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95 Sorted by Parent" sheetId="1" r:id="rId4"/>
    <sheet state="visible" name="New 95 sorted by alphabet" sheetId="2" r:id="rId5"/>
    <sheet state="visible" name="Western" sheetId="3" r:id="rId6"/>
    <sheet state="visible" name="Eastern" sheetId="4" r:id="rId7"/>
    <sheet state="visible" name="Legacy A-Z Service by VAMC" sheetId="5" r:id="rId8"/>
    <sheet state="visible" name="Phone Directory" sheetId="6" r:id="rId9"/>
    <sheet state="visible" name="VISN #4" sheetId="7" r:id="rId10"/>
    <sheet state="visible" name="Legend &amp; Notes" sheetId="8" r:id="rId11"/>
  </sheets>
  <definedNames>
    <definedName hidden="1" localSheetId="5" name="_xlnm._FilterDatabase">'Phone Directory'!$A$1:$G$3456</definedName>
    <definedName hidden="1" localSheetId="4" name="_xlnm._FilterDatabase">'Legacy A-Z Service by VAMC'!$A$1:$F$4855</definedName>
  </definedNames>
  <calcPr/>
  <extLst>
    <ext uri="GoogleSheetsCustomDataVersion1">
      <go:sheetsCustomData xmlns:go="http://customooxmlschemas.google.com/" r:id="rId12" roundtripDataSignature="AMtx7mifhDkSQSMC59gtXqwbUU/RJk646A=="/>
    </ext>
  </extLst>
</workbook>
</file>

<file path=xl/comments1.xml><?xml version="1.0" encoding="utf-8"?>
<comments xmlns:r="http://schemas.openxmlformats.org/officeDocument/2006/relationships" xmlns="http://schemas.openxmlformats.org/spreadsheetml/2006/main">
  <authors>
    <author/>
  </authors>
  <commentList>
    <comment authorId="0" ref="J20">
      <text>
        <t xml:space="preserve">LT: Also on Eastern
======</t>
      </text>
    </comment>
    <comment authorId="0" ref="N20">
      <text>
        <t xml:space="preserve">DIABETES MANAGEMENT:
Ashtabula
Crawford
Mckean
Venango
Warren
======</t>
      </text>
    </comment>
    <comment authorId="0" ref="Q24">
      <text>
        <t xml:space="preserve">ENDOSCOPY
======</t>
      </text>
    </comment>
    <comment authorId="0" ref="K28">
      <text>
        <t xml:space="preserve">COUMADIN CLINIC
Armstrong
Clarion
Cranberry
Lawrence
Michael A. Marzano
======</t>
      </text>
    </comment>
    <comment authorId="0" ref="N28">
      <text>
        <t xml:space="preserve">PHLEBOTOMY:
Ashtabula
Crawford
Mckean
Venango
Warren
======</t>
      </text>
    </comment>
    <comment authorId="0" ref="H35">
      <text>
        <t xml:space="preserve">DuBois, Indiana, Johnstown, State College
======</t>
      </text>
    </comment>
    <comment authorId="0" ref="K35">
      <text>
        <t xml:space="preserve">ROUTINE LABORATORY
Armstrong
Clarion
Cranberry
Lawrence
Michael A. Marzano
======</t>
      </text>
    </comment>
    <comment authorId="0" ref="Q35">
      <text>
        <t xml:space="preserve">LABORATORY:
Anaconda
Benjamin Charles Steele
Bozeman
David J. Thatcher
======</t>
      </text>
    </comment>
    <comment authorId="0" ref="Q37">
      <text>
        <t xml:space="preserve">VISUALLY IMPAIRED SERVICES
======</t>
      </text>
    </comment>
    <comment authorId="0" ref="H38">
      <text>
        <t xml:space="preserve">DuBois, Huntingdon, Indiana, Johnstown, State College
======</t>
      </text>
    </comment>
    <comment authorId="0" ref="K38">
      <text>
        <t xml:space="preserve">OUTPATIENT BEHAVIORAL HEALTH SERVICES:
Armstrong
Clarion
Cranberry
Lawrence
Michael A. Marzano
======</t>
      </text>
    </comment>
    <comment authorId="0" ref="Q38">
      <text>
        <t xml:space="preserve">Benjamin Charles Steele
Bozeman
David J. Thatcher
======</t>
      </text>
    </comment>
    <comment authorId="0" ref="K42">
      <text>
        <t xml:space="preserve">TELE-MOVE!
Armstrong
Clarion
Cranberry
Lawrence
Michael A. Marzano
======</t>
      </text>
    </comment>
    <comment authorId="0" ref="H43">
      <text>
        <t xml:space="preserve">DuBois, Indiana, Johnstown, State College
======</t>
      </text>
    </comment>
    <comment authorId="0" ref="H47">
      <text>
        <t xml:space="preserve">DuBois, Indiana, Johnstown, State College
======</t>
      </text>
    </comment>
    <comment authorId="0" ref="K47">
      <text>
        <t xml:space="preserve">NUTRITION:
Armstrong
Clarion
Cranberry
Lawrence
Michael A. Marzano
======</t>
      </text>
    </comment>
    <comment authorId="0" ref="N47">
      <text>
        <t xml:space="preserve">DIETITIAN SERVICES:
Ashtabula
Crawford
Venango
Warren
======</t>
      </text>
    </comment>
    <comment authorId="0" ref="K54">
      <text>
        <t xml:space="preserve">PALLIATIVE CARE:
Armstrong
Clarion
Cranberry
Lawrence
Michael A. Marzano
======</t>
      </text>
    </comment>
    <comment authorId="0" ref="Q58">
      <text>
        <t xml:space="preserve">PHYSICAL THERAPY:
Bozeman
David J. Thatcher
======</t>
      </text>
    </comment>
    <comment authorId="0" ref="H62">
      <text>
        <t xml:space="preserve">DuBois, Huntingdon, Indiana, Johnstown, State College
======</t>
      </text>
    </comment>
    <comment authorId="0" ref="K62">
      <text>
        <t xml:space="preserve">Butler clinics: Armstrong, Clarion, Cranberry, Lawrence, Michael A. Marzano
======</t>
      </text>
    </comment>
    <comment authorId="0" ref="Q63">
      <text>
        <t xml:space="preserve">HOMEBASED PRIMARY CARE
======</t>
      </text>
    </comment>
    <comment authorId="0" ref="Q69">
      <text>
        <t xml:space="preserve">CT SCAN
RADIOLOGY
======</t>
      </text>
    </comment>
    <comment authorId="0" ref="Q73">
      <text>
        <t xml:space="preserve">OIF/OEF/OND
======</t>
      </text>
    </comment>
    <comment authorId="0" ref="H76">
      <text>
        <t xml:space="preserve">DuBois, Indiana, Johnstown, State College
======</t>
      </text>
    </comment>
    <comment authorId="0" ref="K76">
      <text>
        <t xml:space="preserve">Butler clinics: Armstrong, Clarion, Cranberry, Lawrence, Michael A. Marzano
======</t>
      </text>
    </comment>
    <comment authorId="0" ref="H78">
      <text>
        <t xml:space="preserve">DuBois, Indiana, Johnstown, State College
======</t>
      </text>
    </comment>
    <comment authorId="0" ref="K78">
      <text>
        <t xml:space="preserve">SOCIAL WORK SERVICES:
Armstrong
Clarion
Cranberry
Lawrence
Michael A. Marzano
======</t>
      </text>
    </comment>
    <comment authorId="0" ref="Q78">
      <text>
        <t xml:space="preserve">SOCIAL SERVICES:
Anaconda
Benjamin Charles Steele
Bozeman
David J. Thatcher
======</t>
      </text>
    </comment>
    <comment authorId="0" ref="K84">
      <text>
        <t xml:space="preserve">TELE-HEALTH:
Armstrong
Clarion
Cranberry
Lawrence
Michael A. Marzano
======</t>
      </text>
    </comment>
    <comment authorId="0" ref="N84">
      <text>
        <t xml:space="preserve">TELEPHONE CARE:
Ashtabula
Crawford
Mckean
Venango
Warren
======</t>
      </text>
    </comment>
    <comment authorId="0" ref="Q84">
      <text>
        <t xml:space="preserve">TELEHEALTH:
Bozeman
======</t>
      </text>
    </comment>
    <comment authorId="0" ref="K87">
      <text>
        <t xml:space="preserve">TRANSPORTATION ASSISTANCE:
Armstrong
Cranberry
Lawrence
Michael A. Marzano
======</t>
      </text>
    </comment>
    <comment authorId="0" ref="K94">
      <text>
        <t xml:space="preserve">WOMEN'S HEALTH CARE:
Armstrong
Clarion
Cranberry
Lawrence
Michael A. Marzano
======</t>
      </text>
    </comment>
    <comment authorId="0" ref="P109">
      <text>
        <t xml:space="preserve">LT: Not elder care
======</t>
      </text>
    </comment>
    <comment authorId="0" ref="J110">
      <text>
        <t xml:space="preserve">LT: Not Elder Care
======</t>
      </text>
    </comment>
    <comment authorId="0" ref="P112">
      <text>
        <t xml:space="preserve">Anaconda
Bozeman
David J. Thatcher
Kalispell
======</t>
      </text>
    </comment>
    <comment authorId="0" ref="G113">
      <text>
        <t xml:space="preserve">Preventive Care is listed separately under: DuBois, Indiana, Johnstown, State College
======</t>
      </text>
    </comment>
    <comment authorId="0" ref="P113">
      <text>
        <t xml:space="preserve">Benjamin Charles Steele
======</t>
      </text>
    </comment>
    <comment authorId="0" ref="J114">
      <text>
        <t xml:space="preserve">Additional Resources Listed: 
1. Be Involved in Your Healthcare
2. Be Tobacco Free
3. Eat Wisely
4 Be Physically Active
5. Strive for a Healthy Weight
6. Limit Alcohol
7. Get Recommended Screening Tests and Immunizations
8. Manage Stress
9. Be Safe
======</t>
      </text>
    </comment>
    <comment authorId="0" ref="P114">
      <text>
        <t xml:space="preserve">Benjamin Charles Steele
======</t>
      </text>
    </comment>
    <comment authorId="0" ref="P115">
      <text>
        <t xml:space="preserve">Benjamin Charles Steele
======</t>
      </text>
    </comment>
    <comment authorId="0" ref="P116">
      <text>
        <t xml:space="preserve">David J. Thatcher
Kalispell
======</t>
      </text>
    </comment>
    <comment authorId="0" ref="J118">
      <text>
        <t xml:space="preserve">Butler clinics: Armstrong, Clarion, Cranberry, Lawrence, Michael A. Marzano
======</t>
      </text>
    </comment>
    <comment authorId="0" ref="J119">
      <text>
        <t xml:space="preserve">Butler clinics: Armstrong, Clarion, Cranberry, Lawrence, Michael A. Marzano
======</t>
      </text>
    </comment>
    <comment authorId="0" ref="J120">
      <text>
        <t xml:space="preserve">Butler clinics: Armstrong, Cranberry, Lawrence, Michael A. Marzano
======</t>
      </text>
    </comment>
    <comment authorId="0" ref="M122">
      <text>
        <t xml:space="preserve">Ashtabula
Crawford
Mckean
Venango
Warren
======</t>
      </text>
    </comment>
    <comment authorId="0" ref="M123">
      <text>
        <t xml:space="preserve">Ashtabula
Crawford
Mckean
Venango
Warren
======</t>
      </text>
    </comment>
    <comment authorId="0" ref="M124">
      <text>
        <t xml:space="preserve">Ashtabula
Crawford
Mckean
Venango
Warren
======</t>
      </text>
    </comment>
    <comment authorId="0" ref="M125">
      <text>
        <t xml:space="preserve">Ashtabula
Crawford
Mckean
Venango
Warren
======</t>
      </text>
    </comment>
    <comment authorId="0" ref="M126">
      <text>
        <t xml:space="preserve">Ashtabula
Crawford
Mckean
Venango
Warren
======</t>
      </text>
    </comment>
  </commentList>
</comments>
</file>

<file path=xl/comments2.xml><?xml version="1.0" encoding="utf-8"?>
<comments xmlns:r="http://schemas.openxmlformats.org/officeDocument/2006/relationships" xmlns="http://schemas.openxmlformats.org/spreadsheetml/2006/main">
  <authors>
    <author/>
  </authors>
  <commentList>
    <comment authorId="0" ref="K15">
      <text>
        <t xml:space="preserve">URL shows: https://www.philadelphia.va.gov/services/Clothing_Room.asp
======</t>
      </text>
    </comment>
    <comment authorId="0" ref="R19">
      <text>
        <t xml:space="preserve">Tele-dermatology: Cape May, Cumberland
======</t>
      </text>
    </comment>
    <comment authorId="0" ref="O20">
      <text>
        <t xml:space="preserve">Allentown (Diabetic Teaching), 
======</t>
      </text>
    </comment>
    <comment authorId="0" ref="R20">
      <text>
        <t xml:space="preserve">Cape May, Cumberland
======</t>
      </text>
    </comment>
    <comment authorId="0" ref="O35">
      <text>
        <t xml:space="preserve">Allentown, Columbia
======</t>
      </text>
    </comment>
    <comment authorId="0" ref="R35">
      <text>
        <t xml:space="preserve">Atlantic, Cape May, Cumberland, Kent, Sussex
======</t>
      </text>
    </comment>
    <comment authorId="0" ref="E37">
      <text>
        <t xml:space="preserve">Why is VISOR green?
======</t>
      </text>
    </comment>
    <comment authorId="0" ref="R37">
      <text>
        <t xml:space="preserve">Cape May, Cumberland, Kent County, Sussex (Tele-Retinal Imaging: Kent &amp; Sussex)
======</t>
      </text>
    </comment>
    <comment authorId="0" ref="O38">
      <text>
        <t xml:space="preserve">Allentown, Columbia (Tele-mental health)
======</t>
      </text>
    </comment>
    <comment authorId="0" ref="R38">
      <text>
        <t xml:space="preserve">Atlantic, Cape May, Cumberland, Sussex
======</t>
      </text>
    </comment>
    <comment authorId="0" ref="R40">
      <text>
        <t xml:space="preserve">Atlantic, Cumberland
======</t>
      </text>
    </comment>
    <comment authorId="0" ref="O47">
      <text>
        <t xml:space="preserve">Allentown (Tele-Nutrition &amp; Nutrition), Columbia (Tele-Nutrition), 
======</t>
      </text>
    </comment>
    <comment authorId="0" ref="R49">
      <text>
        <t xml:space="preserve">Atlantic, Cape May, Cumberland
======</t>
      </text>
    </comment>
    <comment authorId="0" ref="K55">
      <text>
        <t xml:space="preserve">@Kim - Moved from Physical medicine.
======</t>
      </text>
    </comment>
    <comment authorId="0" ref="R60">
      <text>
        <t xml:space="preserve">Atlantic, Cumberland
======</t>
      </text>
    </comment>
    <comment authorId="0" ref="R62">
      <text>
        <t xml:space="preserve">Cape May, Cumberland, Kent County, Sussex
======</t>
      </text>
    </comment>
    <comment authorId="0" ref="R66">
      <text>
        <t xml:space="preserve">Atlantic, Cape May, Cumberland
======</t>
      </text>
    </comment>
    <comment authorId="0" ref="R76">
      <text>
        <t xml:space="preserve">Cape May, Cumberland
======</t>
      </text>
    </comment>
    <comment authorId="0" ref="O78">
      <text>
        <t xml:space="preserve">Allentown (Tele-social work), Columbia, 
======</t>
      </text>
    </comment>
    <comment authorId="0" ref="R78">
      <text>
        <t xml:space="preserve">Atlantic, Cape May, Cumberland, Kent County, Sussex
======</t>
      </text>
    </comment>
    <comment authorId="0" ref="R82">
      <text>
        <t xml:space="preserve">Post-op Surgical Follow-up
======</t>
      </text>
    </comment>
    <comment authorId="0" ref="R84">
      <text>
        <t xml:space="preserve">Atlantic, Cape May, Cumberland
======</t>
      </text>
    </comment>
    <comment authorId="0" ref="O94">
      <text>
        <t xml:space="preserve">Allentown, Columbia
======</t>
      </text>
    </comment>
    <comment authorId="0" ref="R94">
      <text>
        <t xml:space="preserve">Women's Health
======</t>
      </text>
    </comment>
    <comment authorId="0" ref="O122">
      <text>
        <t xml:space="preserve">Allentown (Special Examinations)
======</t>
      </text>
    </comment>
  </commentList>
</comments>
</file>

<file path=xl/sharedStrings.xml><?xml version="1.0" encoding="utf-8"?>
<sst xmlns="http://schemas.openxmlformats.org/spreadsheetml/2006/main" count="23608" uniqueCount="4229">
  <si>
    <t>New 95 Services Western</t>
  </si>
  <si>
    <t>Name</t>
  </si>
  <si>
    <t>Parent</t>
  </si>
  <si>
    <t>Common conditions</t>
  </si>
  <si>
    <t>Patient-friendly name</t>
  </si>
  <si>
    <t>Description</t>
  </si>
  <si>
    <t># VAMC Uses</t>
  </si>
  <si>
    <t>Health Service API ID</t>
  </si>
  <si>
    <t>API Health Service ID</t>
  </si>
  <si>
    <t>Pittsburgh</t>
  </si>
  <si>
    <t>Stop code</t>
  </si>
  <si>
    <t>aka</t>
  </si>
  <si>
    <t>Altoona</t>
  </si>
  <si>
    <t>Addiction and substance abuse treatment</t>
  </si>
  <si>
    <t>Adaptive sports</t>
  </si>
  <si>
    <t>Mental health care</t>
  </si>
  <si>
    <t>Drug and alcohol treatment and rehabilitation</t>
  </si>
  <si>
    <t>We can help you overcome substance use problems from unhealthy alcohol use to life-threatening addiction. We match our servicesâ€”like counseling, group therapy or medicationâ€”to your specific needs.</t>
  </si>
  <si>
    <t>Altoona Clinics</t>
  </si>
  <si>
    <t>addiction, depression, anxiety, trauma, PTSD, bipolar disorder, schizophrenia, OCD</t>
  </si>
  <si>
    <t>Behavioral health</t>
  </si>
  <si>
    <t>If youâ€™re struggling with issues like PTSD, depression, grief, anger or trauma, we offer counseling and other support. All VA health care facilities offer same-day help. You may qualify even without enrolling in VA health care.</t>
  </si>
  <si>
    <t>mentalHealth</t>
  </si>
  <si>
    <t>Military sexual trauma</t>
  </si>
  <si>
    <t>Military sexual trauma can happen to both men and women. If you experienced sexual assault or harassment during military serviceâ€”no matter when you servedâ€”we provide counseling and treatment.</t>
  </si>
  <si>
    <t>Psychiatry</t>
  </si>
  <si>
    <t>If youâ€™re struggling with a mental health problemâ€”or just need to talk with someoneâ€”we can help. We offer treatment and support such as therapy, alternative treatmentsÂ Â and medications when needed.</t>
  </si>
  <si>
    <t>Butler</t>
  </si>
  <si>
    <t>Psychology</t>
  </si>
  <si>
    <t>If youâ€™re struggling with a mental health problemâ€”or just need to talk with someoneâ€”we can help. We offer treatment and support such as therapy, alternative treatmentsÂ and medications when needed.</t>
  </si>
  <si>
    <t>Social programs and services</t>
  </si>
  <si>
    <t>PTSD treatment</t>
  </si>
  <si>
    <t>Our adaptive sports program helps disabled Veterans live active and healthy lives through recreation and athletics.</t>
  </si>
  <si>
    <t>If you have symptoms of PTSD after a traumatic event, we can help. We offer assessment and treatment support such as private counseling, group therapy and medication. Itâ€™s never too late to get help.</t>
  </si>
  <si>
    <t>Butler Clinics</t>
  </si>
  <si>
    <t>Suicide prevention</t>
  </si>
  <si>
    <t>Erie</t>
  </si>
  <si>
    <t>Veterans Crisis Line</t>
  </si>
  <si>
    <t>Call our Veterans Crisis Line at 800-273-8255 (select 1) for free, private help anytime 24/7. Our local suicide prevention coordinators can also connect you with ongoing counseling and services.</t>
  </si>
  <si>
    <t>Advice nurse</t>
  </si>
  <si>
    <t>My HealtheVet coordinator</t>
  </si>
  <si>
    <t>Primary care</t>
  </si>
  <si>
    <t>Other services</t>
  </si>
  <si>
    <t>Talk with an advice nurse if you have questions about your care or for help in deciding whether you need an urgent or routine appointment.</t>
  </si>
  <si>
    <t>VA.gov website</t>
  </si>
  <si>
    <t>Your My HealtheVet coordinator can help you start using the VA online portal to manage your appointments and records, refill prescriptions, view your lab and test resultsÂ and communicate with your health care team.</t>
  </si>
  <si>
    <t>Allergy, asthma and immunology</t>
  </si>
  <si>
    <t>Telehealth</t>
  </si>
  <si>
    <t>Specialty care</t>
  </si>
  <si>
    <t>Video visits, remote care, care by telephone</t>
  </si>
  <si>
    <t>We offer services and treatment for Veterans with allergies, asthmaÂ and other immune system conditions.</t>
  </si>
  <si>
    <t>With VA telehealth, you can get care from your health providers without having to travel. Get checkups and treatment, talk about your careÂ and moreâ€”from home or elsewhere.</t>
  </si>
  <si>
    <t>Amputation care</t>
  </si>
  <si>
    <t>If you face or have had an amputation, our team will support you with thoughtful, compassionate care.</t>
  </si>
  <si>
    <t>Erie Clinics</t>
  </si>
  <si>
    <t>Anesthesia</t>
  </si>
  <si>
    <t>The anesthesia service works to keep you comfortable, safeÂ and pain-free during surgical or screening procedures.</t>
  </si>
  <si>
    <t>Montana</t>
  </si>
  <si>
    <t>Travel reimbursement</t>
  </si>
  <si>
    <t>Audiology and speech</t>
  </si>
  <si>
    <t>If you have to travel far for care, we may be able to reimburse (repay) you for travel expenses. We can also help arrange transportation for getting to and from your VA appointment.</t>
  </si>
  <si>
    <t>tinnitus, vertigo, hearing loss, vestibular conditions, swallowing conditions</t>
  </si>
  <si>
    <t>Hearing, speech and balance</t>
  </si>
  <si>
    <t>We diagnose and treat conditions affecting your hearing, speechÂ or balance. These include hearing loss, tinnitus (noise or ringing the ears) and dizzinessâ€”also speech, language, voiceÂ or swallowing disorders.</t>
  </si>
  <si>
    <t>Vocational rehabilitation and employment programs</t>
  </si>
  <si>
    <t>audiology</t>
  </si>
  <si>
    <t>Job and career training programs</t>
  </si>
  <si>
    <t>WeÂ can help you reach your job and career goals with one-on-one support, counselingÂ and training. Many graduates of our programs go on to work here at VA.</t>
  </si>
  <si>
    <t>Bariatric surgery</t>
  </si>
  <si>
    <t>Weight loss surgery</t>
  </si>
  <si>
    <t>Bariatric surgery is an approach to help you improve your health and quality of life by losing weight.</t>
  </si>
  <si>
    <t>Cancer care</t>
  </si>
  <si>
    <t>VA provides expert cancer diagnosis and care. We offer services to support you through treatment and beyond.</t>
  </si>
  <si>
    <t>Complementary and alternative medicine</t>
  </si>
  <si>
    <t>Cardiology</t>
  </si>
  <si>
    <t>Acupuncture, yoga, and meditation</t>
  </si>
  <si>
    <t>heart disease, high blood pressure, heart rhythm disorders, angina, vascular diseases</t>
  </si>
  <si>
    <t>Complementary and alternative approaches like acupuncture, yogaÂ and meditation can improve mental health, help you manage painÂ and promote wellness.</t>
  </si>
  <si>
    <t>Heart and circulation</t>
  </si>
  <si>
    <t>Our cardiology specialists offer advanced treatment and care for conditions affecting your heart and blood vessels, including heart disease, stroke, heart rhythm disorders and high blood pressure.Â </t>
  </si>
  <si>
    <t>cardiology</t>
  </si>
  <si>
    <t>Emergency care</t>
  </si>
  <si>
    <t>Montana Clinics</t>
  </si>
  <si>
    <t>Emergency room</t>
  </si>
  <si>
    <t>Cardiovascular surgery</t>
  </si>
  <si>
    <t>In an emergency, call 911 or go to the nearest VA or non-VA emergency room. We provide immediate treatment for serious, life-threatening health emergencies such as severe chest pain, seizures, heavy uncontrollable bleedingÂ or moderate to severe burns.</t>
  </si>
  <si>
    <t>Heart surgery</t>
  </si>
  <si>
    <t>When treatment of your heart condition calls for surgery, our cardiovascular surgery service offers expert consultation, treatmentÂ and care.</t>
  </si>
  <si>
    <t>Geriatrics</t>
  </si>
  <si>
    <t>memory problems, sleep problems, falls, bone loss, weight loss</t>
  </si>
  <si>
    <t>Caregiver support</t>
  </si>
  <si>
    <t>Older adult care, senior care</t>
  </si>
  <si>
    <t>As you age, we offer a range of medical and support services to help you stay as healthy, active and independent as possible. We also offer help to family members and caregivers who may support you.</t>
  </si>
  <si>
    <t>If you areÂ caring for a Veteran with serious illness or disabilities, we can help you support themâ€”and take care of yourself. You may qualify for services like training, counselingÂ or respite care when you need a break.</t>
  </si>
  <si>
    <t>Gynecology</t>
  </si>
  <si>
    <t>Chiropractic</t>
  </si>
  <si>
    <t>Reproductive and maternal health, women's health</t>
  </si>
  <si>
    <t>Chiropractors work closely with your health care team to diagnose and manage muscle and joint conditions, including problems in the back, neckÂ and other areas.</t>
  </si>
  <si>
    <t>Our specialists offer reproductive health care services for women Veterans, including contraception, pregnancy care and fertility treatment.</t>
  </si>
  <si>
    <t>Common 95 Services (2 or more services)</t>
  </si>
  <si>
    <t>gynecology</t>
  </si>
  <si>
    <t>Colon and rectal surgery</t>
  </si>
  <si>
    <t>Internal medicine</t>
  </si>
  <si>
    <t>We offer compassionate, expert care and surgical services to Veterans with conditions affecting the small bowel, colon, rectumÂ and pelvic floor.</t>
  </si>
  <si>
    <t>Internist</t>
  </si>
  <si>
    <t>Your internal medicine physician (internist)Â guides your care and connects you with the treatments and services you need.</t>
  </si>
  <si>
    <t>Pharmacy</t>
  </si>
  <si>
    <t>Prescriptions, Rx, medications, pharmacist consultation</t>
  </si>
  <si>
    <t>Our specialists provide a full range of services to help you get and understand your prescription medicines and supplies. You can refill VA prescriptions online, by phone or by mail.</t>
  </si>
  <si>
    <t>Critical care</t>
  </si>
  <si>
    <t>If you or a Veteran you care about has a life-threatening injury, infection, illness or breathing problem, we offer comprehensive care and constant monitoring in our intensive care units (ICUs).</t>
  </si>
  <si>
    <t>Service Name</t>
  </si>
  <si>
    <t>Family and internal medicine</t>
  </si>
  <si>
    <t>Dental/oral surgery</t>
  </si>
  <si>
    <t>Your VA primary care provider will work closely with you to plan for all the care you need to stay healthy and well throughout your life. They will also work withÂ family members or caregivers who support you.</t>
  </si>
  <si>
    <t>teeth cleaning, fillings, restorations, root canal, bridges, dental implants, dentures</t>
  </si>
  <si>
    <t>primaryCare</t>
  </si>
  <si>
    <t>Mouth, teeth, gum and oral care</t>
  </si>
  <si>
    <t>If youâ€™re eligible for VA dental care, we provide dental screenings, cleanings, X-raysÂ and fillings. We also provide specialty dental procedures like root canal, restorationsÂ and dentures.</t>
  </si>
  <si>
    <t>Urgent care</t>
  </si>
  <si>
    <t>sore throat, pink eye, flu, sprains and strains</t>
  </si>
  <si>
    <t>Dermatology</t>
  </si>
  <si>
    <t>Walk-in care</t>
  </si>
  <si>
    <t>We provide immediate, walk-in care for minorÂ injuries and non-emergency illnessesÂ that are not life-threatening but need early attention.</t>
  </si>
  <si>
    <t>psoriasis, eczema, skin cancer, acne, rosacea, allergic skin diseases, ulcers</t>
  </si>
  <si>
    <t>Skin conditions and diseases</t>
  </si>
  <si>
    <t>Our dermatologists offer expert treatment for a range of conditions that affect your skin, hairÂ and nailsâ€”from acne to psoriasis to skin cancer. We also offer skin cancer screening and education.</t>
  </si>
  <si>
    <t>dermatology</t>
  </si>
  <si>
    <t>Diabetes</t>
  </si>
  <si>
    <t>We offer treatment for type 1 and 2 diabetes. We work with you, your family and caregivers to help you live a healthier life through treatment, monitoring, dietÂ and education.</t>
  </si>
  <si>
    <t>Homeless Veteran care</t>
  </si>
  <si>
    <t>Endocrinology</t>
  </si>
  <si>
    <t>diabetes, thyroid and parathyroid conditions, endocrine conditions</t>
  </si>
  <si>
    <t>Transitional and supportive housing, HUD-VASH</t>
  </si>
  <si>
    <t>Hormones</t>
  </si>
  <si>
    <t>We provide caring, expert treatment for diabetes and disorders of the endocrine, hormonal, glandularÂ and metabolic systems.</t>
  </si>
  <si>
    <t>If youâ€™re homeless or at risk of becoming homeless, we can help. We offer many programs and services, including free health care. And we can help you connect with resources in your community.</t>
  </si>
  <si>
    <t>Extended care and rehabilitation</t>
  </si>
  <si>
    <t>Intimate partner violence</t>
  </si>
  <si>
    <t>We assist frail and elderly Veterans and their families as they deal with chronic illness or disabilities. Services include home, nursingÂ and hospice and palliative care. Â </t>
  </si>
  <si>
    <t>domestic violence, abuse</t>
  </si>
  <si>
    <t>If you feel that you or a loved one are in or may be in a potentially abusive or violent relationship, we can help.</t>
  </si>
  <si>
    <t>Gastroenterology</t>
  </si>
  <si>
    <t>reflux, GERD, Barrett's esophagus, endoscopy, colonoscopy</t>
  </si>
  <si>
    <t>LGBT Veteran care</t>
  </si>
  <si>
    <t>Digestive care, GI</t>
  </si>
  <si>
    <t>Our gastrointestinal (GI) specialists offer screening and treatment for conditions affecting your GI tract, gallbladder, liverÂ and pancreasâ€”like reflux, Crohnâ€™s disease, hepatitis and pancreatitis.</t>
  </si>
  <si>
    <t>Lesbian, gay, bisexual and transgender</t>
  </si>
  <si>
    <t>If you're a Veteran who identifies as lesbian, gay, bisexual, transgenderÂ or a related identity,Â weâ€™re committed to serving your needs.Â The LGBT Veteran care coordinator at your VA health care facility can help you get the care you need in a safe, sensitive environment.</t>
  </si>
  <si>
    <t>gastroenterology</t>
  </si>
  <si>
    <t>Genomic medicine/medical genetics</t>
  </si>
  <si>
    <t>Minority Veteran care</t>
  </si>
  <si>
    <t>We make sureÂ you have access to state-of-the-art genetic counseling and diagnostic testing.</t>
  </si>
  <si>
    <t>We offer resources and support for minority Veterans to help address your specific needs with benefits and services at VA.</t>
  </si>
  <si>
    <t>Patient advocates</t>
  </si>
  <si>
    <t>VA wants to make sure that you get the best possible care. If you need help finding care or getting problems resolved, please contact a patient advocate.</t>
  </si>
  <si>
    <t>Recreation and creative arts therapy</t>
  </si>
  <si>
    <t>We offer a wide range of activities (arts and crafts, games, sports, exercise) that we can adapt to your needs.</t>
  </si>
  <si>
    <t>Registry exams</t>
  </si>
  <si>
    <t>Hematology/oncology</t>
  </si>
  <si>
    <t>Military exposures: Agent Orange, burn pit, Gulf War</t>
  </si>
  <si>
    <t>If you were exposed to toxic chemicals or other hazards during your military service, we offer you a free exam. This exam helps you identify potential health risks and helps us monitor issues so we can better serve you.</t>
  </si>
  <si>
    <t>Blood disorders and medical oncology</t>
  </si>
  <si>
    <t>If you have a diagnosis of anemia, lymphoma, leukemiaÂ or another blood cancer or disorder, we support you with expert care and treatment.</t>
  </si>
  <si>
    <t>Returning service member care</t>
  </si>
  <si>
    <t>HIV/hepatitis</t>
  </si>
  <si>
    <t>Post-9/11 Veterans (OEF, OIF, OND) transition and care management services</t>
  </si>
  <si>
    <t>If youâ€™re returning from military service, we can help you readjust to civilian life and get started with VA health care. We can also help connect you withÂ programs like mental health services and education and career counseling.</t>
  </si>
  <si>
    <t>HIV/AIDS, hepatitis A/B/C</t>
  </si>
  <si>
    <t>If you have a diagnosis of HIV or hepatitis A, BÂ or C, we can provide you with the latest treatment methods and support. We also offer prevention education and testing for these infectious diseases.</t>
  </si>
  <si>
    <t>Social work</t>
  </si>
  <si>
    <t>Social workers are here to help Veterans, familiesÂ and caregiversÂ with almost any need, from help with finances or housing to questions about treatment to just feeling overwhelmed. We are here for you.</t>
  </si>
  <si>
    <t>Women Veteran care</t>
  </si>
  <si>
    <t>women's primary care, mental health, obstetrics and gynecology, pap smear, mammogram</t>
  </si>
  <si>
    <t>We offer womenâ€™s health services to meet your specific needsÂ such asÂ disease screenings, mental health treatment, recovery from military sexual trauma, maternity careÂ and female-specific medical equipment.</t>
  </si>
  <si>
    <t>Hospital medicine</t>
  </si>
  <si>
    <t>Our team of hospital physicians (hospitalists) oversees your care during your hospital stay.</t>
  </si>
  <si>
    <t>Infectious disease</t>
  </si>
  <si>
    <t>HIV/AIDS</t>
  </si>
  <si>
    <t>We evaluate and treat Veterans with infections including hepatitis, HIV/AIDSÂ and tuberculosis.</t>
  </si>
  <si>
    <t>Laboratory and pathology</t>
  </si>
  <si>
    <t>Blood draw and clinical testing</t>
  </si>
  <si>
    <t>We offer blood tests and other advanced testing services to help you and your VA health care team monitor your health, find and understand any health problemsÂ and make informed treatment decisions.</t>
  </si>
  <si>
    <t>Low vision and blind rehabilitation</t>
  </si>
  <si>
    <t>macular degeneration, diabetic eye disease, glaucoma,  corneal diseases, retinitis pigmentosa, uveitis, stroke and injury-related vision loss</t>
  </si>
  <si>
    <t>We offer advanced vision care and blind rehabilitation services to help you live independently. These may include vision-enhancing devices and technology as well as visual skills and related training.</t>
  </si>
  <si>
    <t>MOVE! weight management</t>
  </si>
  <si>
    <t>overweight, obesity, diabetes, high blood pressure</t>
  </si>
  <si>
    <t>We offer easy-to-follow weight management plans backed by the latest science. Our experts can help you reduce health risks, prevent or reverse some diseasesÂ and live a betterâ€”and even longerâ€”life.</t>
  </si>
  <si>
    <t>Nephrology, renal and kidney</t>
  </si>
  <si>
    <t>dialysis, kidney disease, high blood pressure</t>
  </si>
  <si>
    <t>Dialysis and hypertension</t>
  </si>
  <si>
    <t>Our specialists offer you advanced care for kidney-related diseasesÂ like chronic kidney disease, high blood pressure and fluid and electrolyte problems. We also provide dialysis and related support. Â </t>
  </si>
  <si>
    <t>Neurology</t>
  </si>
  <si>
    <t>cognitive disorders, epilepsy, headache motor neuron and movement disorders, multiple sclerosis, stroke</t>
  </si>
  <si>
    <t>Brain, spine and nervous system</t>
  </si>
  <si>
    <t>Our specialists evaluate and treat conditions and diseases of the brain, spineÂ and nervous system, including headache, stroke, Alzheimer's disease, epilepsy, Parkinsonâ€™s diseaseÂ and other conditions.</t>
  </si>
  <si>
    <t>Neurosurgery</t>
  </si>
  <si>
    <t>Brain and spine</t>
  </si>
  <si>
    <t>We provide expert care and surgical services for Veterans with conditions and diseases that affect the brain, spineÂ and nervous system.</t>
  </si>
  <si>
    <t>Nutrition, food, and dietary</t>
  </si>
  <si>
    <t>Our nutrition experts work closely with you and your care team to help make sure youâ€™re getting the nutrition you need to get and stay as healthy as possible.</t>
  </si>
  <si>
    <t>Ophthalmology</t>
  </si>
  <si>
    <t>cataracts, glaucoma, macular degeneration, diabetic eye disease</t>
  </si>
  <si>
    <t>Eye and vision care</t>
  </si>
  <si>
    <t>Our ophthalmology specialists diagnose and provide medical and surgical care for conditions that affect your eyesâ€”like cataracts, glaucoma, macular degeneration and diabetic retinopathy.Â </t>
  </si>
  <si>
    <t>ophthalmology</t>
  </si>
  <si>
    <t>Optometry</t>
  </si>
  <si>
    <t>vision exams, prescription eyeglasses, contact lenses</t>
  </si>
  <si>
    <t>Vision care, corrective lenses and eyeglasses</t>
  </si>
  <si>
    <t>Our optometrists offer you routine eye exams, preventive vision testingÂ and treatment for conditions like glaucoma. We also provide prescriptions for eyeglasses and other assistive devices.</t>
  </si>
  <si>
    <t>optometry</t>
  </si>
  <si>
    <t>Orthopedics</t>
  </si>
  <si>
    <t>arthritis, musculoskeletal disorders, tendon and ligament repair, joint replacement</t>
  </si>
  <si>
    <t>Bones, muscles and joints</t>
  </si>
  <si>
    <t>Our orthopedists offer advanced care and treatment for issues related to muscles, bonesÂ and joints, including arthritis, disorders of the muscles and bones, tendon and ligament repairÂ and joint replacement.</t>
  </si>
  <si>
    <t>orthopedics</t>
  </si>
  <si>
    <t>Otolaryngology</t>
  </si>
  <si>
    <t>balance issues, sinusitis, difficulty swallowing, obstructive sleep apnea, head and neck tumors</t>
  </si>
  <si>
    <t>Ear, nose and throat; head and neck surgery</t>
  </si>
  <si>
    <t>We provide a full range of care for Veterans who have problems that affect their ears, sinuses, adenoids, tonsilsÂ and thyroid.</t>
  </si>
  <si>
    <t>Outpatient surgery</t>
  </si>
  <si>
    <t>ambulatory surgery, day surgery, same-day surgery</t>
  </si>
  <si>
    <t>Our team cares for you if you need surgery but donâ€™t have to stay overnight in the hospital.</t>
  </si>
  <si>
    <t>Pain management</t>
  </si>
  <si>
    <t>If you are in pain, we work with you and your health care team to find the best way to treat and manage it.</t>
  </si>
  <si>
    <t>Palliative and hospice care</t>
  </si>
  <si>
    <t>Serious illness, hospice and end-of-life care</t>
  </si>
  <si>
    <t>Palliative care focuses on comfort, quality of lifeÂ and reducing suffering. Hospice care is a type of palliative care offered to patients with life-threatening illness under certain conditions.</t>
  </si>
  <si>
    <t>Physical medicine and rehabilitation</t>
  </si>
  <si>
    <t>pain, stroke, brain injury, neuromuscular disorders, musculoskeletal problems, sports injuries, spinal cord injuries</t>
  </si>
  <si>
    <t>If youâ€™re living with a traumatic brain injury, amputation or other disability, our specialists offer support to help you improve your independence and quality of life, manage painÂ and stay healthy.</t>
  </si>
  <si>
    <t>Physical therapy, occupational therapy and kinesiotherapy</t>
  </si>
  <si>
    <t>PT, OT, KT</t>
  </si>
  <si>
    <t>Physical therapy, occupational therapyÂ and kinesiotherapy can help restore movement and function if you have been disabled by injury or disease.</t>
  </si>
  <si>
    <t>Plastic and reconstructive surgery</t>
  </si>
  <si>
    <t>Plastic and reconstructive surgery can restore function and appearance after damage from disease, burns, traumatic injuries, congenital and developmental conditionsÂ and other causes.</t>
  </si>
  <si>
    <t>Podiatry</t>
  </si>
  <si>
    <t>arthritis, bunions, diabetic foot care, foot deformities, skin and nail conditions</t>
  </si>
  <si>
    <t>Foot, ankle and lower extremities</t>
  </si>
  <si>
    <t>Our podiatry specialists evaluate and treat a wide range of injuries, diseasesÂ and disorders that affect your feet and anklesâ€”from ingrown toenails to inflammation to diabetic foot ulcers.</t>
  </si>
  <si>
    <t>Polytrauma and traumatic brain injury</t>
  </si>
  <si>
    <t>TBI and multiple traumas</t>
  </si>
  <si>
    <t>We provide a thoughtful, wide-ranging approach to treating Veterans who have injuries to multiple body systems caused by a single event.</t>
  </si>
  <si>
    <t>AUDIOLOGY</t>
  </si>
  <si>
    <t>Pulmonary medicine</t>
  </si>
  <si>
    <t>tuberculosis, respiratory conditions, sleep apnea, sleep problems</t>
  </si>
  <si>
    <t>Lungs and breathing</t>
  </si>
  <si>
    <t>Our pulmonary medicine team treats diseases and conditions that affect the lungs and breathing, including asthma, tuberculosis, chronic obstructive pulmonary disease, acute respiratory distress syndromeÂ and sleep apnea.</t>
  </si>
  <si>
    <t>Radiation oncology</t>
  </si>
  <si>
    <t>The radiation oncology service works with your health care team to target cancer safely and precisely using radiation therapy.</t>
  </si>
  <si>
    <t>Radiology</t>
  </si>
  <si>
    <t>Our radiology service uses imaging to help screen for, diagnoseÂ and treat disease. We provide X-rays, ultrasound, mammography, MRI, CT and PET scansÂ and other imaging procedures.</t>
  </si>
  <si>
    <t>Rehabilitation and prosthetics</t>
  </si>
  <si>
    <t>Prosthetics, orthotics and medical equipment</t>
  </si>
  <si>
    <t>We provide and help you use medical aids, hearing aids, state-of-the-art adaptive home equipmentÂ and other equipment to help you preserve and increase your mobility and independence.</t>
  </si>
  <si>
    <t>Benjamin Charles Steel</t>
  </si>
  <si>
    <t>Rheumatology</t>
  </si>
  <si>
    <t>arthritis, Crohn's disease, gout, lupus</t>
  </si>
  <si>
    <t>Arthritis and joint conditions</t>
  </si>
  <si>
    <t>Our team cares for and treats Veterans with joint and autoimmune conditions.</t>
  </si>
  <si>
    <t>Sleep medicine</t>
  </si>
  <si>
    <t>insomnia, narcolepsy, restless legs syndrome, sleep apnea, sleepwalking</t>
  </si>
  <si>
    <t>CPAP therapy</t>
  </si>
  <si>
    <t>The sleep medicine service diagnoses and treats your sleep problems, including trouble sleeping, breathing difficulties while sleeping, snoring, teeth grindingÂ and jaw clenching.</t>
  </si>
  <si>
    <t>Smoking and tobacco cessation</t>
  </si>
  <si>
    <t>Quit smoking</t>
  </si>
  <si>
    <t>If you are trying to quit smoking or want to stop using tobacco, we can help you with support, resourcesÂ and programs.</t>
  </si>
  <si>
    <t>Spinal cord injury and disorders</t>
  </si>
  <si>
    <t>If you have a spinal cord injury or disorder, our specialists provide coordinated care throughout your life. We work to help you achieve your goals for independence, productivityÂ and quality of life.</t>
  </si>
  <si>
    <t>Surgery</t>
  </si>
  <si>
    <t>If you are having surgery, weÂ make sure that your procedure and follow-up care are safe and high-quality.</t>
  </si>
  <si>
    <t>Surgical oncology</t>
  </si>
  <si>
    <t>Cancer surgery</t>
  </si>
  <si>
    <t>If your cancer requires surgery, the surgical oncology service works with your health care team to give expert diagnosis and treatment.</t>
  </si>
  <si>
    <t>Thoracic surgery</t>
  </si>
  <si>
    <t>esophageal and lung conditions, lung cancer, mesothelioma</t>
  </si>
  <si>
    <t>Chest/lung surgery</t>
  </si>
  <si>
    <t>We perform chest surgery (also known as thoracic surgery) to treats conditions involving your chest, airwayÂ and esophagus.</t>
  </si>
  <si>
    <t>Transplant surgery</t>
  </si>
  <si>
    <t>We are experts in life-saving transplants, including kidney, liver, heart, lung, small bowel, bone marrowÂ and stem cell.</t>
  </si>
  <si>
    <t>Urology</t>
  </si>
  <si>
    <t>prostate cancer, erectile dysfunction, urinary disorders</t>
  </si>
  <si>
    <t>Male and female urinary tract and male reproductive system</t>
  </si>
  <si>
    <t>We offer understanding and advanced care and treatment to Veterans with conditions that affect the male urinary and reproductive systems and the female urinary system.Â </t>
  </si>
  <si>
    <t>urology</t>
  </si>
  <si>
    <t>Vascular surgery</t>
  </si>
  <si>
    <t>vascular conditions, varicose veins</t>
  </si>
  <si>
    <t>Arteries, veins and circulation</t>
  </si>
  <si>
    <t>Our expert team diagnoses and treats diseases and conditions that affect arteries, veinsÂ and blood circulation.</t>
  </si>
  <si>
    <t>Wheelchair and mobility</t>
  </si>
  <si>
    <t>lightweight manual</t>
  </si>
  <si>
    <t>Wheelchairs, scooters and custom seating</t>
  </si>
  <si>
    <t>We provide support and assistive devices, including wheelchairs, scooters, walkersÂ and canes, to help you preserve and increase your mobility.</t>
  </si>
  <si>
    <t>Whole health</t>
  </si>
  <si>
    <t>Patient-centered care</t>
  </si>
  <si>
    <t>Whole health puts you at the center of care, rather than your illnesses or conditions. We work with you to develop a personalized health plan based on your values, needsÂ and goals.Â </t>
  </si>
  <si>
    <t>Wound care and ostomy</t>
  </si>
  <si>
    <t>We provide thoughtful, compassionate diagnosis and treatment for Veterans with acute or chronic wounds or those who need ostomy care.</t>
  </si>
  <si>
    <t>Parent Categories (5)</t>
  </si>
  <si>
    <t>CAREGIVER PROGRAM</t>
  </si>
  <si>
    <t>API</t>
  </si>
  <si>
    <t>Total</t>
  </si>
  <si>
    <t>DENTAL CLINIC</t>
  </si>
  <si>
    <t>DENTAL</t>
  </si>
  <si>
    <t>DENTAL SERVICES</t>
  </si>
  <si>
    <t>Diabetes Management****</t>
  </si>
  <si>
    <t>Multiple</t>
  </si>
  <si>
    <t>EMERGENCY DEPARTMENT</t>
  </si>
  <si>
    <t>EXTENDED CARE AND REHABILITATION</t>
  </si>
  <si>
    <t>Geriatrics*</t>
  </si>
  <si>
    <t>Adult Day Health Care*</t>
  </si>
  <si>
    <t>HOMELESS VETERANS</t>
  </si>
  <si>
    <t>HOMELESS CARE TEAM</t>
  </si>
  <si>
    <t>PATHOLOGY AND LABORATORY MEDICINE</t>
  </si>
  <si>
    <t>LAB SERVICES</t>
  </si>
  <si>
    <t>PATHOLOGY &amp; LABORATORY MEDICINE</t>
  </si>
  <si>
    <t>LGBT VETERANS</t>
  </si>
  <si>
    <t>VISUAL IMPAIRMENT SERVICES</t>
  </si>
  <si>
    <t>LOW VISION CLINIC AND SERVICES FOR BLIND VETERANS</t>
  </si>
  <si>
    <r>
      <t>MENTAL HEALTH,</t>
    </r>
    <r>
      <rPr>
        <color rgb="FF38761D"/>
      </rPr>
      <t xml:space="preserve"> </t>
    </r>
    <r>
      <rPr>
        <color rgb="FF93C47D"/>
      </rPr>
      <t>Veteran Justice Outreach**</t>
    </r>
  </si>
  <si>
    <r>
      <t>MENTAL HEALTH,</t>
    </r>
    <r>
      <rPr>
        <color rgb="FF93C47D"/>
      </rPr>
      <t xml:space="preserve"> Behavioral Health**</t>
    </r>
    <r>
      <t xml:space="preserve">, </t>
    </r>
    <r>
      <rPr>
        <color rgb="FF6AA84F"/>
      </rPr>
      <t>Veterans Justice Outreach (VJO)***</t>
    </r>
  </si>
  <si>
    <t>Primary Care Mental Health Integration, Behavioral Health Specialty Care*</t>
  </si>
  <si>
    <t>MENTAL HEALTH</t>
  </si>
  <si>
    <t>MILITARY SEXUAL TRAUMA</t>
  </si>
  <si>
    <t>MINORITY VETERANS PROGRAM COORDINATOR</t>
  </si>
  <si>
    <t>MINORITY VETERANS PROGRAM</t>
  </si>
  <si>
    <t>MOVE!****</t>
  </si>
  <si>
    <t>MOVE! Weight Management Program*</t>
  </si>
  <si>
    <t>My HealtheVet</t>
  </si>
  <si>
    <t>My HealtheVet****</t>
  </si>
  <si>
    <t>My HealtheVet*</t>
  </si>
  <si>
    <t>NUTRITION AND FOOD SERVICES</t>
  </si>
  <si>
    <t>Nutrition Counseling****</t>
  </si>
  <si>
    <t>NUTRITION CLINIC</t>
  </si>
  <si>
    <t>NUTRITION AND FOOD SERVICE</t>
  </si>
  <si>
    <t>Ophthalmology**</t>
  </si>
  <si>
    <t>OPHTHALMOLOGY</t>
  </si>
  <si>
    <t>ORTHOPEDICS</t>
  </si>
  <si>
    <t>Pain Management**</t>
  </si>
  <si>
    <r>
      <t>PALLIATIVE CARE,</t>
    </r>
    <r>
      <rPr>
        <color rgb="FF38761D"/>
      </rPr>
      <t xml:space="preserve"> </t>
    </r>
    <r>
      <rPr>
        <color rgb="FF6AA84F"/>
      </rPr>
      <t>Hospice Care*****</t>
    </r>
  </si>
  <si>
    <t>HOSPICE AND PALLIATIVE CARE (UNIT 5)</t>
  </si>
  <si>
    <t>PALLIATIVE AND HOSPICE CARE</t>
  </si>
  <si>
    <t>PHARMACY</t>
  </si>
  <si>
    <t>PHYSICAL MEDICINE AND REHABILITATION</t>
  </si>
  <si>
    <t>PHYSICAL MEDICINE AND REHABILITATION (PM&amp;R)</t>
  </si>
  <si>
    <t>Michael A. Marzano Department of Veterans Affairs Outpatient</t>
  </si>
  <si>
    <t>Podiatry**</t>
  </si>
  <si>
    <t>PRIMARY CARE</t>
  </si>
  <si>
    <t>RESPIRATORY THERAPY</t>
  </si>
  <si>
    <t>RADIOLOGY/IMAGING (X-RAY)</t>
  </si>
  <si>
    <t>REHABILITATION &amp; PROSTHETICS</t>
  </si>
  <si>
    <t>PROTHETICS &amp; SENSORY AIDS</t>
  </si>
  <si>
    <t>PROSTHETICS</t>
  </si>
  <si>
    <t>PROSTHETICS &amp; SENSORY AIDS</t>
  </si>
  <si>
    <t>RETURNING SERVICE MEMBERS</t>
  </si>
  <si>
    <t>OEF/OIF/OND</t>
  </si>
  <si>
    <t>SLEEP CLINIC</t>
  </si>
  <si>
    <t>Tobacco Cessation****</t>
  </si>
  <si>
    <t>Tobacco Cessation Program*</t>
  </si>
  <si>
    <t>SOCIAL WORK</t>
  </si>
  <si>
    <t>SPECIALTY</t>
  </si>
  <si>
    <t>Huntingdon</t>
  </si>
  <si>
    <t>SPECIALTY CARE</t>
  </si>
  <si>
    <t>SPINAL CORD INJURY</t>
  </si>
  <si>
    <r>
      <t>SUICIDE PREVENTION COORDINATOR,</t>
    </r>
    <r>
      <rPr>
        <color rgb="FF6AA84F"/>
      </rPr>
      <t xml:space="preserve"> Veterans Crisis Line***</t>
    </r>
  </si>
  <si>
    <r>
      <t xml:space="preserve">SUICIDE PREVENTION, </t>
    </r>
    <r>
      <rPr>
        <color rgb="FF6AA84F"/>
      </rPr>
      <t>National Crisis Line******</t>
    </r>
  </si>
  <si>
    <r>
      <t xml:space="preserve">VETERANS CRISIS LINE, </t>
    </r>
    <r>
      <rPr>
        <color rgb="FF93C47D"/>
      </rPr>
      <t>Suicide Prevention Coordinator***</t>
    </r>
  </si>
  <si>
    <t>General Surgery**</t>
  </si>
  <si>
    <t>SURGICAL PRE-OPERATIVE INFO (GETTING READY FOR SURGERY)*</t>
  </si>
  <si>
    <t>TELEHEALTH</t>
  </si>
  <si>
    <t>CONNECTED CARE</t>
  </si>
  <si>
    <t>BENEFICIARY TRAVEL REIMBURSEMENT REQUEST</t>
  </si>
  <si>
    <t>URGENT CARE CENTER</t>
  </si>
  <si>
    <t>UROLOGY**</t>
  </si>
  <si>
    <t>VOCATIONAL REHABILITATION</t>
  </si>
  <si>
    <t>Veteran Fitness Classes****, Wellness Center****</t>
  </si>
  <si>
    <t>WHOLE HEALTH PROGRAM</t>
  </si>
  <si>
    <t>WOMEN VETERANS PROGRAM</t>
  </si>
  <si>
    <t>WOMEN VETERANS</t>
  </si>
  <si>
    <t>Common
 95 Services
 (2 or more)</t>
  </si>
  <si>
    <t>Total Above Count</t>
  </si>
  <si>
    <t>Total (VA Count found on the attached sheet)</t>
  </si>
  <si>
    <t>A-Z Services Unmatched</t>
  </si>
  <si>
    <t>VAMC</t>
  </si>
  <si>
    <t xml:space="preserve"> RESIDENTIAL RECOVERY CENTER - RRC</t>
  </si>
  <si>
    <t>Service</t>
  </si>
  <si>
    <t>URL</t>
  </si>
  <si>
    <t>AKA</t>
  </si>
  <si>
    <t>alaska</t>
  </si>
  <si>
    <t>ETHICS CONSULTATION SERVICE</t>
  </si>
  <si>
    <t>SUBSTANCE ABUSE RESIDENTIAL REHABILITATION TREATMENT PROGRAM</t>
  </si>
  <si>
    <t>NO</t>
  </si>
  <si>
    <t>GREEN ENVIRONMENTAL MANAGEMENT SYSTEM GEMS</t>
  </si>
  <si>
    <t>ARU, ADDICTION RECOVERY UNIT, ADDICTION RECOVERY UNIT (ARU), OPIOID TREATMENT PROGRAM</t>
  </si>
  <si>
    <t>HOME TELEHEALTH</t>
  </si>
  <si>
    <t>HUMAN RESOURCES MANAGEMENT SERVICES</t>
  </si>
  <si>
    <t>SUBTANCE ABUSE AND RESIDENTIAL REHABILITATION TREATMENT PROGRAM</t>
  </si>
  <si>
    <t>ADDICTIVE BEHAVIORS (BH)</t>
  </si>
  <si>
    <t>JUMPSTART  NEW EMPLOYEE ORIENTATION</t>
  </si>
  <si>
    <t>LESBIAN, GAY, BISEXUAL, AND TRANSGENDER (LGBT)</t>
  </si>
  <si>
    <t>PATIENT ALIGNED CARE TEAM (PACT) CALL CENTER</t>
  </si>
  <si>
    <t>PATIENT REPRESENTATIVE - ANCHORAGE</t>
  </si>
  <si>
    <t>RURAL HEALTH</t>
  </si>
  <si>
    <t>VETERANS LISTENING SESSION</t>
  </si>
  <si>
    <t>VOLUNTARY SERVICE OFFICE</t>
  </si>
  <si>
    <t>albany</t>
  </si>
  <si>
    <t>ADULT DAY HEALTH CARE</t>
  </si>
  <si>
    <t>AGENT ORANGE REGISTRY EXAMS</t>
  </si>
  <si>
    <t>ALZHEIMERS DISEASE AND DEMENTIA CARE</t>
  </si>
  <si>
    <t>ANESTHESIOLOGY</t>
  </si>
  <si>
    <t>AUDIOLOGY &amp; SPEECH PATHOLOGY</t>
  </si>
  <si>
    <t>ACUTE AND LONG TERM CARE*</t>
  </si>
  <si>
    <t>CANCER CARE</t>
  </si>
  <si>
    <t>CARDIOLOGY</t>
  </si>
  <si>
    <t>ACUPUNCTURE</t>
  </si>
  <si>
    <t>AUDIOLOGY AND SPEECH PATHOLOGY, SPEECH PATHOLOGY</t>
  </si>
  <si>
    <t>CHAPLAIN</t>
  </si>
  <si>
    <t>CHIROPRACTIC CARE</t>
  </si>
  <si>
    <t>AMBULATORY SURGERY CENTER**</t>
  </si>
  <si>
    <t>COMMUNITY LIVING CENTER AND COMMUNITY NURSING HOME</t>
  </si>
  <si>
    <t>AUDIOLOGY; SPEECH THERAPY</t>
  </si>
  <si>
    <t>COMPENSATION AND PENSION EXAMS</t>
  </si>
  <si>
    <t>DIABETES</t>
  </si>
  <si>
    <t>DIALYSIS</t>
  </si>
  <si>
    <t>CHAPLAIN AND RELIGIOUS SERVICES</t>
  </si>
  <si>
    <t>EYE AND VISION CARE</t>
  </si>
  <si>
    <t>AUDIOLOGY AND SPEECH PATHOLOGY, SPEECH PATHOLOGY, HEARING AIDS</t>
  </si>
  <si>
    <t>FEE BASIS/FEE SERVICE</t>
  </si>
  <si>
    <t>GYNECOLOGY WOMENS HEALTH</t>
  </si>
  <si>
    <t>HIV AND AIDS TREATMENT</t>
  </si>
  <si>
    <t>HOME BASED PRIMARY CARE</t>
  </si>
  <si>
    <t>AUDIOLOGY (SC)</t>
  </si>
  <si>
    <t>Allentown</t>
  </si>
  <si>
    <t>COMMUNITY LIVING CENTER (UNIT 4)</t>
  </si>
  <si>
    <t>Cumberland County</t>
  </si>
  <si>
    <t>HOMEMAKER AND HOME HEALTH AIDE PROGRAM</t>
  </si>
  <si>
    <t>HOSPICE AND PALLIATIVE CARE</t>
  </si>
  <si>
    <t>LGBT PATIENT CENTERED CARE</t>
  </si>
  <si>
    <t>COMMUNITY LIVING CENTER (5TH AND 6TH FLOORS)</t>
  </si>
  <si>
    <t>LAB AND PATHOLOGY SERVICES</t>
  </si>
  <si>
    <t>MOVE! WEIGHT MANAGEMENT PROGRAM</t>
  </si>
  <si>
    <t>MAMMOGRAPHY</t>
  </si>
  <si>
    <t>ADULT DAY HEALTH CARE (ADHC)*</t>
  </si>
  <si>
    <t>MEDICATIONS</t>
  </si>
  <si>
    <t>MILITARY SEXUAL TRAUMA COUNSELING</t>
  </si>
  <si>
    <t>BEHAVIORAL HEALTH</t>
  </si>
  <si>
    <t>OEF – OIF – OND VETERANS POINT OF CONTACT</t>
  </si>
  <si>
    <t>DEMENTIA SERVICES</t>
  </si>
  <si>
    <t>PAIN MANAGEMENT</t>
  </si>
  <si>
    <t>PODIATRY</t>
  </si>
  <si>
    <t>POLYTRAUMA PROGRAM</t>
  </si>
  <si>
    <t>CHEMOTHERAPY, ONCOLOGY</t>
  </si>
  <si>
    <t>POSTTRAUMATIC STRESS DISORDER (PTSD)</t>
  </si>
  <si>
    <t>PASTORAL CARE/CHAPLAIN SERVICES/CHAPLAIN AND RELIGIOUS SERVICES</t>
  </si>
  <si>
    <t>COMPENSATION AND PENSION</t>
  </si>
  <si>
    <t>PROSTHETICS AND SENSORY AIDS</t>
  </si>
  <si>
    <t>RADIATION ONCOLOGY</t>
  </si>
  <si>
    <t>BEHAVIORAL HEALTH**</t>
  </si>
  <si>
    <t>ONCOLOGY (SC)</t>
  </si>
  <si>
    <t>BEHAVIORAL HEALTH CLINIC</t>
  </si>
  <si>
    <t>RADIOLOGY AND DIAGNOSTIC IMAGING</t>
  </si>
  <si>
    <t>CANCER CARE COORDINATOR</t>
  </si>
  <si>
    <t>SPINAL CORD INJURY AND DISORDERS</t>
  </si>
  <si>
    <t>Cancer Care</t>
  </si>
  <si>
    <t>ETHICS CONSULATION SERVICE</t>
  </si>
  <si>
    <t>SUBSTANCE ABUSE SERVICES</t>
  </si>
  <si>
    <t>FORMER POW ADVOCATE</t>
  </si>
  <si>
    <t>CHAPLAIN SERVICES</t>
  </si>
  <si>
    <t>UROLOGY</t>
  </si>
  <si>
    <t>VA NURSE HELPLINE</t>
  </si>
  <si>
    <t>VISION REHABILITATION SERVICES</t>
  </si>
  <si>
    <t>WOMEN'S HEALTH</t>
  </si>
  <si>
    <t>CARDIAC INTERVENTION PROGRAM, CARDIOLOGY</t>
  </si>
  <si>
    <t>albuquerque</t>
  </si>
  <si>
    <t>ADMISSIONS</t>
  </si>
  <si>
    <t>MEDICAL FOSTER HOME</t>
  </si>
  <si>
    <t>CAREGIVER SUPPORT COORDINATOR</t>
  </si>
  <si>
    <t>CHAPLAIN SERVICE</t>
  </si>
  <si>
    <t>COMMUNITY MENTAL HEALTH POINT OF CONTACT</t>
  </si>
  <si>
    <t>COMPENSATION &amp; PENSION</t>
  </si>
  <si>
    <t>LIBRARY</t>
  </si>
  <si>
    <t>COMMUNITY LIVING CENTER</t>
  </si>
  <si>
    <t>DECEDENT AFFAIRS</t>
  </si>
  <si>
    <t>CAREGIVER SUPPORT</t>
  </si>
  <si>
    <t>ENROLLMENT</t>
  </si>
  <si>
    <t>FORMER PRISONER OF WAR ADVOCATE</t>
  </si>
  <si>
    <t>CARE GIVER SUPPORT</t>
  </si>
  <si>
    <t>CAREGIVER SUPPORT PROGRAM</t>
  </si>
  <si>
    <t>HOMELESS PROGRAM COORDINATOR</t>
  </si>
  <si>
    <t>CARE GIVER SUPPRT PROGRAM</t>
  </si>
  <si>
    <t>LESBIAN, GAY, BISEXUAL, TRANSGENDER (LGBT) PROGRAM</t>
  </si>
  <si>
    <t>Caregiver Support</t>
  </si>
  <si>
    <t>VETERAN JUSTICE OUTREACH**</t>
  </si>
  <si>
    <t>MY HEALTHEVET</t>
  </si>
  <si>
    <t>COMPLIANCE AND BUSINESS INTEGRITY</t>
  </si>
  <si>
    <t>PATHOLOGY AND LABORATORY</t>
  </si>
  <si>
    <t>COMPENSATED WORK THERAPY</t>
  </si>
  <si>
    <t>PATIENT HEALTH EDUCATION</t>
  </si>
  <si>
    <t>COLONOSCOPY</t>
  </si>
  <si>
    <t>PATIENT TRAVEL</t>
  </si>
  <si>
    <t>VET CENTERS</t>
  </si>
  <si>
    <t>PRIVACY OFFICE AND FREEDOM OF INFORMATION ACT (FOIA)</t>
  </si>
  <si>
    <t>VETERANS CRISIS LINE***</t>
  </si>
  <si>
    <t>PUBLIC AFFAIRS</t>
  </si>
  <si>
    <t>RECREATION THERAPY</t>
  </si>
  <si>
    <t>DOMICILIARY RESIDENTIAL REHABILITATION TREATMENT***</t>
  </si>
  <si>
    <t>REQUEST YOUR MEDICAL RECORDS</t>
  </si>
  <si>
    <t>RESEARCH</t>
  </si>
  <si>
    <t>SPINAL CORD INJURY/DISORDERS CARE LINE</t>
  </si>
  <si>
    <t>Management of Acute and Chronic Diseases</t>
  </si>
  <si>
    <t>VA POLICE</t>
  </si>
  <si>
    <t>VETERAN SERVICE ORGANIZATIONS</t>
  </si>
  <si>
    <t>DENTAL SERVICE</t>
  </si>
  <si>
    <t>Preventive Care</t>
  </si>
  <si>
    <t>Dental Service</t>
  </si>
  <si>
    <t>VETERANS JUSTICE OUTREACH</t>
  </si>
  <si>
    <t>DERMATOLOGY</t>
  </si>
  <si>
    <t>VOLUNTARY SERVICE</t>
  </si>
  <si>
    <t>FORMER PRISONER OF WAR (FPOW) PROGRAM</t>
  </si>
  <si>
    <t>WOMEN VETERANS HEALTH PROGRAM</t>
  </si>
  <si>
    <t>ERIE VET CENTER</t>
  </si>
  <si>
    <t>alexandria</t>
  </si>
  <si>
    <t>LGBT</t>
  </si>
  <si>
    <t>Podiatry Nail Tech</t>
  </si>
  <si>
    <t>DIABETES CLINIC / ENDOCRINOLOGY</t>
  </si>
  <si>
    <t>SERVICES</t>
  </si>
  <si>
    <t>HEALTH AND WELLNESS****</t>
  </si>
  <si>
    <t>DIABETES EDUCATION MANAGEMENT</t>
  </si>
  <si>
    <t>HEALTH PROMOTION DISEASE PREVENTION*</t>
  </si>
  <si>
    <t>altoona</t>
  </si>
  <si>
    <t>ACUTE AND LONG TERM CARE</t>
  </si>
  <si>
    <t>EMERGENCY ROOM</t>
  </si>
  <si>
    <t>Rehab</t>
  </si>
  <si>
    <t>HOSPICE CARE*****</t>
  </si>
  <si>
    <t>Atlantic County</t>
  </si>
  <si>
    <t>Emergency Care</t>
  </si>
  <si>
    <t>Tele Retinal Imaging</t>
  </si>
  <si>
    <t>ENDOCRINOLOGY</t>
  </si>
  <si>
    <t>NATIONAL CRISIS LINE******</t>
  </si>
  <si>
    <t>NEW PATIENT ORIENTATION</t>
  </si>
  <si>
    <t>Compensation and Pension Exams</t>
  </si>
  <si>
    <t>PASTORAL CARE</t>
  </si>
  <si>
    <t>COMMUNITY SPECIALTY SERVICES PROGRAM</t>
  </si>
  <si>
    <t>PRIMARY CARE (PACT)</t>
  </si>
  <si>
    <t>ADULT DAY HEALTH CARE; GERIATRICS AND EXTENDED CARE</t>
  </si>
  <si>
    <t>ADULT DAY CARE, CWT, COMPENSATED WORK THERAPY - CWT PROGRAM</t>
  </si>
  <si>
    <t>Registration</t>
  </si>
  <si>
    <t>PSYCHOSOCIAL RESIDENTIAL REHABILITATION TREATMENT PROGRAM (PRRTP)</t>
  </si>
  <si>
    <t>GASTROENTEROLOGY (GI)</t>
  </si>
  <si>
    <t>Physical exams</t>
  </si>
  <si>
    <t>RESIDENCY PROGRAM - OPTOMETRY DEPARTMENT</t>
  </si>
  <si>
    <t>GERIATRIC PATIENT ALIGNED CARE TEAM (GERI-PACT), VETERANS DIRECTED CARE,</t>
  </si>
  <si>
    <t>Pharmacy Counseling</t>
  </si>
  <si>
    <t>GERIATRIC, GERIATRICS AND EXTENDED CARE</t>
  </si>
  <si>
    <t>SUICIDE PREVENTION COORDINATORS***</t>
  </si>
  <si>
    <t>GERIATRICS AND EXTENDED CARE</t>
  </si>
  <si>
    <t>Tele-Derm</t>
  </si>
  <si>
    <t>GYN (SC)</t>
  </si>
  <si>
    <t>TRAVELING VETERAN CARE</t>
  </si>
  <si>
    <t>HEMATOLOGY</t>
  </si>
  <si>
    <t>Tele-Retinal Diabetic Eye Exams</t>
  </si>
  <si>
    <t>Medication management</t>
  </si>
  <si>
    <t>ANTICOAGULATION CLINIC, COUMADIN CLINIC, HEMATOLOGY/ONCOLOGY</t>
  </si>
  <si>
    <t>SUICIDE PREVENTION COORDINATOR</t>
  </si>
  <si>
    <t>ANTICOAGULATION MANAGEMENT &amp; EDUCATION</t>
  </si>
  <si>
    <t>VETERAN JUSTICE OUTREACH</t>
  </si>
  <si>
    <t>HIV PROGRAM, HEPATITIS C SCREENING</t>
  </si>
  <si>
    <t>Patient-Family health education</t>
  </si>
  <si>
    <t>VETERANS CRISIS LINE</t>
  </si>
  <si>
    <t>Patient assessment</t>
  </si>
  <si>
    <t>HOMELESS VETERAN PROGRAM</t>
  </si>
  <si>
    <t xml:space="preserve"> HOMELESS VETERAN SUPPORTED EMPLOYMENT PROGRAM; DOMICILIARY CARE FOR HOMELESS VETERANS RESIDENTIAL REHABILITATION TREATMENT PROGRAM</t>
  </si>
  <si>
    <t>Care planning</t>
  </si>
  <si>
    <t>amarillo</t>
  </si>
  <si>
    <t>ADVANCE DIRECTIVES</t>
  </si>
  <si>
    <t>ADVANCED LOW VISION CLINIC</t>
  </si>
  <si>
    <t>Nuring services</t>
  </si>
  <si>
    <t>CALL CENTER</t>
  </si>
  <si>
    <t>INFECTIOUS DISEASE</t>
  </si>
  <si>
    <t>COMMUNITY BASED OUTPATIENT CLINICS</t>
  </si>
  <si>
    <t>Services Listed Only in Phone Directory</t>
  </si>
  <si>
    <t>COMMUNITY HEALTH NURSING COORDINATORS</t>
  </si>
  <si>
    <t>CONTRACT NURSING HOME PROGRAM</t>
  </si>
  <si>
    <t>LABORATORY</t>
  </si>
  <si>
    <t>FAMILY SERVICES PROGRAM</t>
  </si>
  <si>
    <t>CYTOLOGY LAB,BLOOD BANK, BLOOD DRAW LAB, LAB</t>
  </si>
  <si>
    <t>HUD-VASH PROGRAM</t>
  </si>
  <si>
    <t>HEALTH CARE FOR HOMELESS VETERANS</t>
  </si>
  <si>
    <t>Laboratory</t>
  </si>
  <si>
    <t>HOMELESS VETERAN COORDINATOR</t>
  </si>
  <si>
    <t>LGBT VETERAN CARE COORDINATION (SW)</t>
  </si>
  <si>
    <t>VISOR</t>
  </si>
  <si>
    <t>HOUSING FIRST</t>
  </si>
  <si>
    <t>VISUAL IMPAIREMENT SERVICES</t>
  </si>
  <si>
    <t>YES</t>
  </si>
  <si>
    <t>VISIUAL IMPAIRMENT SERVICES</t>
  </si>
  <si>
    <t>LODGE</t>
  </si>
  <si>
    <t>MOVE!</t>
  </si>
  <si>
    <t>MEDICAL SERVICE</t>
  </si>
  <si>
    <t>MENTAL HEALTH INTENSIVE CASE MANAGEMENT</t>
  </si>
  <si>
    <t>MENTAL HEALTH, MENTAL HEALTH INTENSIVE CASE MANAGEMENT (MHICM)</t>
  </si>
  <si>
    <t>MENTAL HEALTH, RECOVERY RESOURCE CENTER</t>
  </si>
  <si>
    <t>NUCLEAR MEDICINE</t>
  </si>
  <si>
    <t>BEHAVIORAL HEALTH,CESATE, INPATIENT MENTAL HEALTH, MIRECC, MENTAL HEALTH, MENTAL ILLNESS RESEARCH AND EDUCATION CENTER,OUTPATIENT MENTAL HEALTH, SE, TWE</t>
  </si>
  <si>
    <t>BEHAVIORAL HEALTH (BH)</t>
  </si>
  <si>
    <t>PATIENT ALIGNED CARE TEAMS</t>
  </si>
  <si>
    <t>Mental Health care</t>
  </si>
  <si>
    <t>PHYSICAL THERAPY</t>
  </si>
  <si>
    <t>PROSTHETIC TREATMENT</t>
  </si>
  <si>
    <t>REHABILITATION</t>
  </si>
  <si>
    <t>These are services that are NOT found on their website except the VAMC phone directory.</t>
  </si>
  <si>
    <t>SPEECH PATHOLOGY AND AUDIOLOGY</t>
  </si>
  <si>
    <t>Associate director</t>
  </si>
  <si>
    <t>MILITARY SEXUAL TRAUMA (MSPD)</t>
  </si>
  <si>
    <t>ACUTE CARE</t>
  </si>
  <si>
    <t>SUBSTANCE USE DISORDER PROGRAM</t>
  </si>
  <si>
    <t>SUICIDE PREVENTION PROGRAM</t>
  </si>
  <si>
    <t>AGENT CASHIER</t>
  </si>
  <si>
    <t>ACUTE CARE (UNIT 6)</t>
  </si>
  <si>
    <t>TELE-NURSE TRIAGE AFTER-HOURS PROGRAM</t>
  </si>
  <si>
    <t>AMBULATORY CARE</t>
  </si>
  <si>
    <t>TOBACCO CESSATION PROGRAM</t>
  </si>
  <si>
    <t>Associate director for patient care services</t>
  </si>
  <si>
    <t>APPOINTMENTS</t>
  </si>
  <si>
    <t>VET CENTER</t>
  </si>
  <si>
    <t>AMERICAN LEGION</t>
  </si>
  <si>
    <t>AMBULATORY SURGERY</t>
  </si>
  <si>
    <t>Chief of staff</t>
  </si>
  <si>
    <t>annarbor</t>
  </si>
  <si>
    <t>MOVE! WEIGHT MANAGEMENT</t>
  </si>
  <si>
    <t>BILLING AND INSURANCE</t>
  </si>
  <si>
    <t>BARIATRIC SURGERY</t>
  </si>
  <si>
    <t>AUDIOCARE</t>
  </si>
  <si>
    <t>MOVE! WEIGHT MANAGEMENT PROGRAM (MOVE!)</t>
  </si>
  <si>
    <t>APPOINTMENT SCHEDULING</t>
  </si>
  <si>
    <t>BENEFICIARY TRAVEL</t>
  </si>
  <si>
    <t>Deputy director</t>
  </si>
  <si>
    <t>CAREERS</t>
  </si>
  <si>
    <t>BILLING OFFICE</t>
  </si>
  <si>
    <t>BILLING CALL CENTER</t>
  </si>
  <si>
    <t>FORMER PRISONERS OF WAR INFORMATION</t>
  </si>
  <si>
    <t>COLUMBIA FALLS PHARMACY</t>
  </si>
  <si>
    <t>Director's office</t>
  </si>
  <si>
    <t>LESBIAN, GAY, BISEXUAL, AND TRANSGENDER (LGBT) VETERANS PROGRAM</t>
  </si>
  <si>
    <t>COMPENSATED WORK THERAPY (CWT)</t>
  </si>
  <si>
    <t>CAFETERIA AND RETAIL STORE (CANTEEN)</t>
  </si>
  <si>
    <t>ENROLLMENT COORDINATOR</t>
  </si>
  <si>
    <t>MYHEALTHEVET COORDINATOR</t>
  </si>
  <si>
    <t>Impact clinic</t>
  </si>
  <si>
    <t>CARDIAC LAB</t>
  </si>
  <si>
    <t>PALLIATIVE CARE</t>
  </si>
  <si>
    <t>EQUAL OPPORTUNITY AND DIVERSITY MANAGER</t>
  </si>
  <si>
    <t>NEPHROLOGY</t>
  </si>
  <si>
    <t>National crisis line</t>
  </si>
  <si>
    <t>ANEMIA/RENAL CLINIC, RENAL CLINIC, DIALYSIS OUTPATIENT CLINIC, DIALYSIS INPATIENT UNIT, DIALYSIS OUTPATIENT CENTER</t>
  </si>
  <si>
    <t>DIAGNOSTIC SERVICES</t>
  </si>
  <si>
    <t>REHABILITATION AND EXTENDED AND PALLIATIVE CARE SERVICES</t>
  </si>
  <si>
    <t>MOVE! PROGRAM</t>
  </si>
  <si>
    <t>CARE IN THE COMMUNITY</t>
  </si>
  <si>
    <t>FACILITIES MANAGEMENT SERVICE</t>
  </si>
  <si>
    <t>NEUROLOGY SERVICE</t>
  </si>
  <si>
    <t>Patient advocate</t>
  </si>
  <si>
    <t>ELIGIBILITY</t>
  </si>
  <si>
    <t>NEUROLOGY, PARKINSON'S DISEASE RESEARCH_EDUCATION AND CLINICAL CENTER (PADRECC)</t>
  </si>
  <si>
    <t>SCAN-ECHO</t>
  </si>
  <si>
    <t>COUMADIN CLINIC</t>
  </si>
  <si>
    <t>NEUROLOGY (SC)</t>
  </si>
  <si>
    <t>FACILITY PLANNER</t>
  </si>
  <si>
    <t>Suicide prevention hotline</t>
  </si>
  <si>
    <t>HUMAN RESOURCES</t>
  </si>
  <si>
    <t>NATIONAL CRISIS LINE</t>
  </si>
  <si>
    <t>SPINAL CORD INJURY (SCI)</t>
  </si>
  <si>
    <t>DAV TRANSPORTATION</t>
  </si>
  <si>
    <t>FORMER PRISONERS OF WAR (FPOW) ADVOCATE</t>
  </si>
  <si>
    <t>NEUROSURGERY (SC)</t>
  </si>
  <si>
    <t>Vision impairment services team</t>
  </si>
  <si>
    <t>VETERANS INTEGRATION TO ACADEMIC LEADERSHIP (VITAL)</t>
  </si>
  <si>
    <t>LESBIAN, GAY, BISEXUAL AND TRANSGENDER VETERAN CARE</t>
  </si>
  <si>
    <t>OUTREACH COORDINATOR</t>
  </si>
  <si>
    <t>VISUAL IMPAIRMENT SERVICES TEAM - VIST</t>
  </si>
  <si>
    <t>FORT HARRISON VA FIRE DEPARTMENT</t>
  </si>
  <si>
    <t>HEALTHY EATING; NUTRITION, AND FOOD SERVICES</t>
  </si>
  <si>
    <t>LOST AND FOUND</t>
  </si>
  <si>
    <t>PUBLIC AFFAIRS OFFICE</t>
  </si>
  <si>
    <t>asheville</t>
  </si>
  <si>
    <t>APPOINTMENT INFORMATION</t>
  </si>
  <si>
    <t>GU/CYSTO/UROLOGY</t>
  </si>
  <si>
    <t>RELEASE OF INFORMATION (ROI)</t>
  </si>
  <si>
    <t>GROUP PRACTICE MANAGER</t>
  </si>
  <si>
    <t>OPHTHALMOLOGY (SC)</t>
  </si>
  <si>
    <t>NEWS MEDIA</t>
  </si>
  <si>
    <t>COMMUNITY CARE</t>
  </si>
  <si>
    <t>HEALTH ADMINISTRATIVE SERVICES (HAS)</t>
  </si>
  <si>
    <t>PATIENT ADVOCATE</t>
  </si>
  <si>
    <t>NON-VA CARE (FEE BASIS) CONSULTS</t>
  </si>
  <si>
    <t>HEMATOLOGY/ONCOLOGY</t>
  </si>
  <si>
    <t>PATIENT LOCATION</t>
  </si>
  <si>
    <t>IMAGING</t>
  </si>
  <si>
    <t>POLYTRAUMA</t>
  </si>
  <si>
    <t>ONCOLOGY CLINIC</t>
  </si>
  <si>
    <t>MEDICAL FOSTER HOME CARE</t>
  </si>
  <si>
    <t>HOSPITAL AND SPECIALTY MEDICINE</t>
  </si>
  <si>
    <t>PUBLIC AFFAIRS OFFICER</t>
  </si>
  <si>
    <t>POST-TRAUMATIC STRESS DISORDER</t>
  </si>
  <si>
    <t>OPTOMETRY CLINIC</t>
  </si>
  <si>
    <t>HOUSEKEEPING</t>
  </si>
  <si>
    <t>MYHEALTHEVET</t>
  </si>
  <si>
    <t>RELEASE OF INFORMATION</t>
  </si>
  <si>
    <t>OPTOMETRY/OPHTHALMOLOGY</t>
  </si>
  <si>
    <t>PRE-REGISTRATION OFFICE</t>
  </si>
  <si>
    <t>PUBLIC AFFAIRS &amp; MEDIA RELATIONS</t>
  </si>
  <si>
    <t>SECURITY</t>
  </si>
  <si>
    <t>POLICE</t>
  </si>
  <si>
    <t>LAB - OUTPATIENT</t>
  </si>
  <si>
    <t>SPINAL CORD INJURY COORDINATOR</t>
  </si>
  <si>
    <t>OPTMETRY (SC)</t>
  </si>
  <si>
    <t>RADIOLOGY</t>
  </si>
  <si>
    <t>SPINCAL CORD INJURY/DISCORDERS (SCI/D)</t>
  </si>
  <si>
    <t>EYE CLINIC</t>
  </si>
  <si>
    <t>LOGISTICS SERVICE</t>
  </si>
  <si>
    <t>PSYCHOLOGY SERVICES</t>
  </si>
  <si>
    <t>SURGERY</t>
  </si>
  <si>
    <t>LOGISTICS/SUPPLY CHAIN MANAGEMENT</t>
  </si>
  <si>
    <t>TELEPHONE CARE</t>
  </si>
  <si>
    <t>ORTHOPEDIC_SURGERY</t>
  </si>
  <si>
    <t>SPEECH THERAPY</t>
  </si>
  <si>
    <t>SURGICAL CLINICS</t>
  </si>
  <si>
    <t>MRI</t>
  </si>
  <si>
    <t>URGENT CARE</t>
  </si>
  <si>
    <t>ORTHOPEDIC (SC)</t>
  </si>
  <si>
    <t>SUBSTANCE ABUSE TREATMENT</t>
  </si>
  <si>
    <t>VA REFERRALS TO PITTSBURGH / CLEVELAND / BUFFALO</t>
  </si>
  <si>
    <t>MAIL ROOM</t>
  </si>
  <si>
    <t>VOLUNTEER OR GIVE</t>
  </si>
  <si>
    <t>TOBACCO CESSATION</t>
  </si>
  <si>
    <t>URGENT CARE QUESTIONS</t>
  </si>
  <si>
    <t>VETERAN EXPERIENCE OFFICERS</t>
  </si>
  <si>
    <t>MEDICAL LIBRARY</t>
  </si>
  <si>
    <t>ENT, EAR_NOSE AND THROAT</t>
  </si>
  <si>
    <t>VETERANS JUSTICE OUTREACH (VJO)</t>
  </si>
  <si>
    <t>VOLUNTARY SERVICES</t>
  </si>
  <si>
    <t>VETERANS TRANSPORTATION SERVICE</t>
  </si>
  <si>
    <t>MEDICAL RECORDS</t>
  </si>
  <si>
    <t>VOCATIONAL REHABILITATION AND EMPLOYMENT</t>
  </si>
  <si>
    <t>MEDICAL SPECIALTY CLINICS</t>
  </si>
  <si>
    <t>WELLNESS CENTER</t>
  </si>
  <si>
    <t>WOMEN VETERANS HEALTH</t>
  </si>
  <si>
    <t>MENTAL HEALTH CLINIC</t>
  </si>
  <si>
    <t>atlanta</t>
  </si>
  <si>
    <t>BRONZE GERI-PACT CLINIC</t>
  </si>
  <si>
    <t>CWT PROGRAM</t>
  </si>
  <si>
    <t>PAIN MANAGEMENT (MTPD)</t>
  </si>
  <si>
    <t>NETWORK AUTHORIZATION OFFICE</t>
  </si>
  <si>
    <t>NEUROLOGY CLINIC AND SERVICE</t>
  </si>
  <si>
    <t>HOSPICE</t>
  </si>
  <si>
    <t>NEW PATIENTS</t>
  </si>
  <si>
    <t>PALLIATIVE CARE, HOME HOSPICE</t>
  </si>
  <si>
    <t>EMERGENCY MANAGEMENT</t>
  </si>
  <si>
    <t>NURSE OF THE DAY</t>
  </si>
  <si>
    <t>EMPOWER VETERANS PROGRAM</t>
  </si>
  <si>
    <t>OPERATOR</t>
  </si>
  <si>
    <t>FINANCIAL MANAGEMENT</t>
  </si>
  <si>
    <t>GROUNDS AND TRANSPORTATION</t>
  </si>
  <si>
    <t>HEALTH ADMINISTRATION SERVICE (HAS)</t>
  </si>
  <si>
    <t>ORTHOPAEDICS</t>
  </si>
  <si>
    <t>HOSPICE SERVICES</t>
  </si>
  <si>
    <t>PATHOLOGY AND LABRATORY</t>
  </si>
  <si>
    <t>INFECTION DISEASE SECTION OF THE MEDICAL SPECIALTY CARE SERVICE LINE</t>
  </si>
  <si>
    <t>PATIENT ACCOUNTS</t>
  </si>
  <si>
    <t>PHARMACY - PRESCRIPTION REFILLS</t>
  </si>
  <si>
    <t>MEDICAL SPECIALTY CARE SERVICES</t>
  </si>
  <si>
    <t>PHYSICAL MEDICINE AND REHABILITATION IN-PATIENT PROGRAM,</t>
  </si>
  <si>
    <t>NUCLEAR MEDICINE SERVICE LINE</t>
  </si>
  <si>
    <t>PAYROLL</t>
  </si>
  <si>
    <t>POLICE SERVICE</t>
  </si>
  <si>
    <t>PHYSICAL THERAPY AND REHABILITATION ,OCCUPATIONAL THERAPY</t>
  </si>
  <si>
    <t>PHYSICAL THERAPY, OCCUPATIONAL THERAPY</t>
  </si>
  <si>
    <t>PRIVACY OFFICER</t>
  </si>
  <si>
    <t>PM&amp;R</t>
  </si>
  <si>
    <t>PHYSICAL THERAPY, OCCUPATIONAL THERAPY, KINESIOTHERAPY (PR)</t>
  </si>
  <si>
    <t>PALLIATIVE CARE (INPATIENT)</t>
  </si>
  <si>
    <t>PALLIATIVE CARE (OUTPATIENT)</t>
  </si>
  <si>
    <t>QUALITY, SAFETY, VALUE SERVICE</t>
  </si>
  <si>
    <t>PHAMACY SERVICE</t>
  </si>
  <si>
    <t>PHARMACY - REFILL LINE</t>
  </si>
  <si>
    <t>REHABILITATION SERVICE</t>
  </si>
  <si>
    <t>PODIATRY (SC)</t>
  </si>
  <si>
    <t>PRIMARY CARE GOLD TEAM</t>
  </si>
  <si>
    <t>PRIMARY CARE PURPLE TEAM</t>
  </si>
  <si>
    <t>SAFETY AND OCCUPATIONAL HEALTH</t>
  </si>
  <si>
    <t>PULMONARY</t>
  </si>
  <si>
    <t>STERILE PROCESSING SERVICE</t>
  </si>
  <si>
    <t>PRIMARY CARE CLINICS</t>
  </si>
  <si>
    <t>READJUSTMENT COUNSELING SERVICE</t>
  </si>
  <si>
    <t>2-BLUE TEAM, GOLD TEAM, GREEN TEAM, ORANGE TEAM, PRIMARY CARE, RED TEAM, WOMEN'S HEALTH DIAMOND TEAM, WOMEN'S HEALTH PEARL TEAM</t>
  </si>
  <si>
    <t>SUICIDE PREVENTION COORDINATORS</t>
  </si>
  <si>
    <t>PRIMARY CARE, PREVENTATIVE CARE PROGRAM</t>
  </si>
  <si>
    <t>Columbia County</t>
  </si>
  <si>
    <t>REGIONAL TELEHEALTH SERVICES</t>
  </si>
  <si>
    <t>SUPPORT SERVICES</t>
  </si>
  <si>
    <t>RESEARCH - CENTER FOR VISUAL AND NEUROCOGNITIVE REHABILITATION</t>
  </si>
  <si>
    <t>SAFETY OFFICE</t>
  </si>
  <si>
    <t>TELEPHONE CARE (AFTER HOURS)</t>
  </si>
  <si>
    <t>SPEECH PATHOLOGY</t>
  </si>
  <si>
    <t>TELEPHONE CARE (BUSINESS HOURS)</t>
  </si>
  <si>
    <t>SURGICAL &amp; PERIOPERATIVE CARE SERVICE LINE</t>
  </si>
  <si>
    <t>TRANSITION CARE MANAGEMENT</t>
  </si>
  <si>
    <t>HOME-BASED PRIMARY CARE</t>
  </si>
  <si>
    <t>HOME-BASED PRIMARY CAE</t>
  </si>
  <si>
    <t>ULTRASOUND</t>
  </si>
  <si>
    <t>SURGICAL CLINIC</t>
  </si>
  <si>
    <t>Primary care (Home based)</t>
  </si>
  <si>
    <t>TELE-STROKE ROBOTIC REHABILITATION</t>
  </si>
  <si>
    <t>VETERANS CANTEEN SERVICE</t>
  </si>
  <si>
    <t>TELEPHONE ADVICE PROGRAM</t>
  </si>
  <si>
    <t>PSYCHIATRY - INPATIENT, PSYCHIATRY-OUTPATIENT</t>
  </si>
  <si>
    <t>ACUTE PSYCHIATRY UNIT</t>
  </si>
  <si>
    <t>TRAUMATIC BRAIN INJURY CLINIC AND POLYTRAUMA SUPPORT CLINIC TEAM</t>
  </si>
  <si>
    <t>ACUTE CARE INPATIENT PSYCHIATRIC UNIT</t>
  </si>
  <si>
    <t>VCS CANTEEN</t>
  </si>
  <si>
    <t>WOMENS HEALTH</t>
  </si>
  <si>
    <t>VOCATIONAL SERVICES</t>
  </si>
  <si>
    <t>PSYCHIATRY (BH)</t>
  </si>
  <si>
    <t>X-RAY</t>
  </si>
  <si>
    <t>PSYCHOSOCIAL REHABILITATION AND RECOVERY CENTER - PRRC</t>
  </si>
  <si>
    <t>WHOLE HEALTH SYSTEM</t>
  </si>
  <si>
    <t>augusta</t>
  </si>
  <si>
    <t>AUDIOLOGY AND SPEECH PATHOLOGY</t>
  </si>
  <si>
    <t>PHYCHOLOGICAL ASSESSMENT (MPD)</t>
  </si>
  <si>
    <t>CLINICAL PASTORAL EDUCATION (CPE) PROGRAM</t>
  </si>
  <si>
    <t>PSYCHOLOGY (BH)</t>
  </si>
  <si>
    <t>DENTAL SERVICE AND GENERAL PRACTICE RESIDENCY</t>
  </si>
  <si>
    <t>POST TRAUMATIC STRESS DISORDER RESIDENTIAL REHABILITATION TREATMENT PROGRAM</t>
  </si>
  <si>
    <t>TRAUMA RECOVERY SERVICE; Wellness Classes (MTPD)</t>
  </si>
  <si>
    <t>PULMONARY REHABILITATION, RESPIRATORY CARE</t>
  </si>
  <si>
    <t>TRANSITION SERVICES CENTER</t>
  </si>
  <si>
    <t>bath</t>
  </si>
  <si>
    <t>RADIATION (SC);</t>
  </si>
  <si>
    <t>ONCOLOGY</t>
  </si>
  <si>
    <t>DIAGNOSTIC IMAGING, ECHOCARDIOGRAM LAB, MRI, NUCLEAR MEDICINE, RADIOLOGY, XRAY</t>
  </si>
  <si>
    <t>IMAGING SERVICES</t>
  </si>
  <si>
    <t>DIAGNOSTIC IMAGING</t>
  </si>
  <si>
    <t>DOMICILIARY RESIDENTIAL REHABILITATION TREATMENT PROGRAM</t>
  </si>
  <si>
    <t>RECREATION THERAPY (PR)</t>
  </si>
  <si>
    <t>AGENT ORANGE, GULF WAR EXAM, MEANS TEST</t>
  </si>
  <si>
    <t>AGENT ORANGE</t>
  </si>
  <si>
    <t>PROSTHETICS AND SENSORY AIDS SERVICE; RESIDENTIAL REHABILITATION TREATMENT PROGRAMS</t>
  </si>
  <si>
    <t>PROSTHETICS AND REHABILITATION SERVICE (PR)</t>
  </si>
  <si>
    <t>PROSTHETICS &amp; SENSORY AIDS SERVICE</t>
  </si>
  <si>
    <t>OEF OIF OND VETERANS POINT OF CONTACT</t>
  </si>
  <si>
    <t>OEF, OIF</t>
  </si>
  <si>
    <t>OBSTETRICS AND GYNECOLOGY</t>
  </si>
  <si>
    <t>OCCUPATIONAL THERAPY AND PHYSICAL MEDICINE</t>
  </si>
  <si>
    <t>RHEUMATOLOGY AND INFECTIOUS DISEASE</t>
  </si>
  <si>
    <t>POSTTRAUMATIC STRESS DISORDER</t>
  </si>
  <si>
    <t>PRIMARY CARE MEDICINE</t>
  </si>
  <si>
    <t>SLEEP CENTER</t>
  </si>
  <si>
    <t>SPECIALTY CARE SERVICES</t>
  </si>
  <si>
    <t xml:space="preserve"> SMOKING CESSATION</t>
  </si>
  <si>
    <t>battlecreek</t>
  </si>
  <si>
    <t>SMOKING CESSATION SERVICES</t>
  </si>
  <si>
    <t>BLIND REHABILITATION</t>
  </si>
  <si>
    <t>VETERANS ACTIVITY CENTER</t>
  </si>
  <si>
    <t>CANTEEN</t>
  </si>
  <si>
    <t>CARE COORDINATION TELEHEALTH</t>
  </si>
  <si>
    <t>SOCIAL WORK SERVICES</t>
  </si>
  <si>
    <t>SOCIAL WORK, TRANSITION_AND_CARE_MANAGEMENT</t>
  </si>
  <si>
    <t>CHRONIC PAIN MANAGEMENT</t>
  </si>
  <si>
    <t>SOCIAL WORK (SW)</t>
  </si>
  <si>
    <t>COMPENSATED WORK THERAPY/ TRANSITIONAL RESIDENCE</t>
  </si>
  <si>
    <t>COURTESY SHUTTLE</t>
  </si>
  <si>
    <t>CUSTOMER SERVICE</t>
  </si>
  <si>
    <t>SPECIALTY CARE(SC)</t>
  </si>
  <si>
    <t>DIETICIANS</t>
  </si>
  <si>
    <t>DOMICILIARY</t>
  </si>
  <si>
    <t>EMPLOYEE WELLNESS</t>
  </si>
  <si>
    <t>SPINAL CORD INJURY PROGRAM</t>
  </si>
  <si>
    <t>FLU SHOT CLINICS</t>
  </si>
  <si>
    <t>SPINAL CORD INJURY &amp; DISORDERS SUPPORT CLINIC TEAM</t>
  </si>
  <si>
    <t>NATIONAL CRISIS LINE, SUICIDE PREVENTION COORDINATOR</t>
  </si>
  <si>
    <t>SUICIDE PREVENTION COORDINATORY; NATIONAL VETERANS CRISIS LINE; VETERANS CRISIS OUTLINE</t>
  </si>
  <si>
    <t>INPATIENT MEDICAL UNIT</t>
  </si>
  <si>
    <t>NATIONAL CRISIS LINE; SUICIDE PREVENTION COORDINATOR</t>
  </si>
  <si>
    <t>SUICIDE PREVENTION COORDINATOR; NATIONAL VETERANS CRISIS LINE</t>
  </si>
  <si>
    <t>INPATIENT MENTAL HEALTH</t>
  </si>
  <si>
    <t>KINESIOTHERAPY</t>
  </si>
  <si>
    <t>LABORATORY AND PATHOLOGY</t>
  </si>
  <si>
    <t>SURGICAL SERVICES</t>
  </si>
  <si>
    <t>LODGING</t>
  </si>
  <si>
    <t>MOVE WEIGHT MANAGEMENT PROGRAM FOR VETERANS</t>
  </si>
  <si>
    <t>General Surgery (SC)</t>
  </si>
  <si>
    <t>MEDICAL SOCIAL WORK</t>
  </si>
  <si>
    <t>NEUROPSYCHOLOGY ASSESSMENT CLINIC</t>
  </si>
  <si>
    <t>NORTHERN RURAL EXPANSION</t>
  </si>
  <si>
    <t>NURSING ESCORT SECTION</t>
  </si>
  <si>
    <t>NUTRITIONAL COUNSELING</t>
  </si>
  <si>
    <t>CARE COORDINATION HOME TELEHEALTH (CCHT)</t>
  </si>
  <si>
    <t>OEF/OIF/OND VETERANS SERVICES</t>
  </si>
  <si>
    <t>HOME TELEHEALTH; TELEHEALTH</t>
  </si>
  <si>
    <t>OCCUPATIONAL THERAPY</t>
  </si>
  <si>
    <t>OPTOMETRY</t>
  </si>
  <si>
    <t>OUTPATIENT GENERAL MENTAL HEALTH CLINICS</t>
  </si>
  <si>
    <t>PTSD OUTPATIENT CLINIC - PCT</t>
  </si>
  <si>
    <t>PTSD RESIDENTIAL REHABILITATION TREATMENT PROGRAM</t>
  </si>
  <si>
    <t>THORACIC SURGERY (SC)</t>
  </si>
  <si>
    <t>PATHOLOGY</t>
  </si>
  <si>
    <t>PATIENT ADVOCATES</t>
  </si>
  <si>
    <t>PATIENT ALIGNED CARE TEAM</t>
  </si>
  <si>
    <t>TRANSPLANT COORDINATION</t>
  </si>
  <si>
    <t>TRAVEL BENEFITS</t>
  </si>
  <si>
    <t>POST 9/11 VETERANS SERVICES</t>
  </si>
  <si>
    <t>TRAVEL, BENEFICIARY TRAVEL</t>
  </si>
  <si>
    <t>TRAVELING VETERANS PROGRAM</t>
  </si>
  <si>
    <t>PREVENTION OF AMPUTATION IN VETERANS EVERYWHERE - PAVE CLINIC</t>
  </si>
  <si>
    <t>TRAVELING VETERAN PROGRAM</t>
  </si>
  <si>
    <t>PROSTHETICS AND SENSORY AIDS SERVICE</t>
  </si>
  <si>
    <t>PSYCHIATRY SERVICE</t>
  </si>
  <si>
    <t>PSYCHOLOGY SERVICE</t>
  </si>
  <si>
    <t>PSYCHOSOCIAL RESIDENTIAL REHABILITATION TREATMENT PROGRAM - DOMICILIARY</t>
  </si>
  <si>
    <t>SEATING CLINIC</t>
  </si>
  <si>
    <t>SELF-HELP TRAINING/COURSES</t>
  </si>
  <si>
    <t>UROLOGY (SC)</t>
  </si>
  <si>
    <t>SHUTTLE SERVICE</t>
  </si>
  <si>
    <t>SMOKING AND HEALTH</t>
  </si>
  <si>
    <t>SOCIAL WORK SERVICE</t>
  </si>
  <si>
    <t>VASCULAR (SC)</t>
  </si>
  <si>
    <t>VOCATIONAL REHABILITATION UNIT</t>
  </si>
  <si>
    <t>COMPENSATED WORK THERAPY; WORK RESTORATION</t>
  </si>
  <si>
    <t>SPINAL CORD INJURY AND DISORDER</t>
  </si>
  <si>
    <t>SPIRITUAL CARE</t>
  </si>
  <si>
    <t>SUBSTANCE USE DISORDER OUTPATIENT CLINIC</t>
  </si>
  <si>
    <t>TELEPHONE TRIAGE</t>
  </si>
  <si>
    <t>THERAPEUTIC RECREATION</t>
  </si>
  <si>
    <t>TOBACCO AND HEALTH</t>
  </si>
  <si>
    <t>TRANSITION AND CARE MANAGEMENT</t>
  </si>
  <si>
    <t>VETERAN AND FAMILY ADVISORY COUNCIL</t>
  </si>
  <si>
    <t>WOMEN'S HEALTH SERVICES; RESIDENTIAL REHABILITATION TREAT PROGRAM FOR WOMEN VERTERANS - POWER PROGRAM</t>
  </si>
  <si>
    <t>WOMEN VETERANS HEALTH CENTER</t>
  </si>
  <si>
    <t>VISUAL IMPAIRMENT SERVICES OUTPATIENT REHABILITATION CLINIC</t>
  </si>
  <si>
    <t>WOMEN VETERANS (MSPD)</t>
  </si>
  <si>
    <t>WARRIOR 2 SOUL MATE PROGRAM</t>
  </si>
  <si>
    <t>WEIGHT MANAGEMENT</t>
  </si>
  <si>
    <t>WELLNESS AND RECOVERY CENTER</t>
  </si>
  <si>
    <t>baypines</t>
  </si>
  <si>
    <t>CHAMPVA</t>
  </si>
  <si>
    <t>CARE COORDINATION HOME TELEHEALTH</t>
  </si>
  <si>
    <t>Total (Above Count)</t>
  </si>
  <si>
    <t>DIABETES MANAGEMENT</t>
  </si>
  <si>
    <t>EYE CARE</t>
  </si>
  <si>
    <t>GERIATRICS AND EXTENDED CARE SERVICE</t>
  </si>
  <si>
    <t>LEGAL SERVICES</t>
  </si>
  <si>
    <t>LESBIAN, GAY, BISEXUAL AND TRANSGENDER VETERANS</t>
  </si>
  <si>
    <t>Total (A-Z Count)</t>
  </si>
  <si>
    <t>LODGETEL PROGRAM (TEMPORARY LODGING)</t>
  </si>
  <si>
    <t>MLP</t>
  </si>
  <si>
    <t>MEDICAL LEGAL PARTNERSHIP PROGRAM</t>
  </si>
  <si>
    <t>MEDICAL-LEGAL PARTNERSHIP PROGRAM</t>
  </si>
  <si>
    <t>NUCLEAR MEDICINE SERVICE</t>
  </si>
  <si>
    <t>OFFICE OF PUBLIC AFFAIRS</t>
  </si>
  <si>
    <t>PATHOLOGY AND LABORATORY MEDICINE SERVICE</t>
  </si>
  <si>
    <t>PHYSICAL MEDICINE AND REHABILITATION SERVICES</t>
  </si>
  <si>
    <t>PRIMARY CARE MEDICINE SERVICE</t>
  </si>
  <si>
    <t>PRIVACY OFFICE</t>
  </si>
  <si>
    <t>PSYCHOSOCIAL REHABILITATION AND RECOVERY CENTER (PRRC)</t>
  </si>
  <si>
    <t>RESEARCH AND DEVELOPMENT SERVICE</t>
  </si>
  <si>
    <t>SURGERY SERVICES</t>
  </si>
  <si>
    <t>TEMPORARY LODGING</t>
  </si>
  <si>
    <t>TOBACCO FREE PROGRAM</t>
  </si>
  <si>
    <t>VISUALLY IMPAIRED SERVICES</t>
  </si>
  <si>
    <t>WHOLE HEALTH AT BAY PINES: EVERYONE IS WELCOME.</t>
  </si>
  <si>
    <t>beckley</t>
  </si>
  <si>
    <t>RURAL HEALTH INITIATIVE</t>
  </si>
  <si>
    <t>WHOLE HEALTH</t>
  </si>
  <si>
    <t>bedford</t>
  </si>
  <si>
    <t>BEDFORD GREEN, VETERAN APARTMENT COMMUNITY 55 AND UP</t>
  </si>
  <si>
    <t>BEDFORD VA RESEARCH CORP., INC.</t>
  </si>
  <si>
    <t>CRCT</t>
  </si>
  <si>
    <t>CHAPEL</t>
  </si>
  <si>
    <t>COMMUNITY RECOVERY CONNECTIONS TEAM (PEER SPECIALISTS)</t>
  </si>
  <si>
    <t>COMMUNITY RESIDENTIAL CARE PROGRAM</t>
  </si>
  <si>
    <t>COMMUNITY STABILIZATION PROGRAM</t>
  </si>
  <si>
    <t>COMP AND PEN</t>
  </si>
  <si>
    <t>COUPLES AND FAMILY THERAPY</t>
  </si>
  <si>
    <t>CRESCENT HOUSE TRANSITIONAL RESIDENCE PROGRAM</t>
  </si>
  <si>
    <t>DOMICILIARY CARE FOR HOMELESS VETERANS</t>
  </si>
  <si>
    <t>FAMILY AND COUPLES THERAPY</t>
  </si>
  <si>
    <t>FITNESS CENTER</t>
  </si>
  <si>
    <t>MENTAL HEALTH PROGRAM DESCRIPTIONS (MPD)</t>
  </si>
  <si>
    <t>GERIATRIC EXTENDED CARE</t>
  </si>
  <si>
    <t>HEALTH PROMOTION DISEASE PREVENTION (HPDP)</t>
  </si>
  <si>
    <t>Cape May County</t>
  </si>
  <si>
    <t>HOSPICE CARE AND PALLIATIVE CARE</t>
  </si>
  <si>
    <t>BARBER</t>
  </si>
  <si>
    <t>ADMISSIONS DEPARTMENT</t>
  </si>
  <si>
    <t>LESBIAN, GAY, BISEXUAL, TRANSGENDER, QUESTIONING VETERANS</t>
  </si>
  <si>
    <t>MENTAL HEALTH SPECIALIZED PROGRAM DESCRIPTIONS (MSPD)</t>
  </si>
  <si>
    <t>MOVE! WEIGHT MANAGEMENT PROGRAM FOR VETERAN</t>
  </si>
  <si>
    <t>BILLING</t>
  </si>
  <si>
    <t>GOLDEN MEMORY CLINIC (Geriatrics &amp; Extended Care)</t>
  </si>
  <si>
    <t>CHERP (Center for Health Equity Research and Promotion)</t>
  </si>
  <si>
    <t>MENTAL HEALTH THERAPEUTIC PROGRAM DESCRIPTIONS (MTPD)</t>
  </si>
  <si>
    <t>MSW SOCIAL WORK TRAINING PROGRAM, EDITH NOURSE ROGERS MEMORIAL HOSPITAL, BEDFORD MA</t>
  </si>
  <si>
    <t>ENVIRONMENT HEALTH REGISTRY FOR VETERANS</t>
  </si>
  <si>
    <t>HOME HEALTH CARE &amp; ADULT DAY CARE</t>
  </si>
  <si>
    <t>CLC (Community Living Center)</t>
  </si>
  <si>
    <t>MENTAL HEALTH ACUTE INPATIENT TREATMENT</t>
  </si>
  <si>
    <t>BEREAVEMENT SUPPORT GROUP</t>
  </si>
  <si>
    <t>WILMINGTON VA MEDICAL CENTERS COMMUNITY OUTREACH</t>
  </si>
  <si>
    <t>MENTAL HEALTH VETERANS CRISIS HOTLINE</t>
  </si>
  <si>
    <t>CARE COORDINATION</t>
  </si>
  <si>
    <t>CENTER FOR HEALTH EQUITY RESEARCH AND PROMOTION (CHERP)</t>
  </si>
  <si>
    <t>MILITARY SEXUAL TRAUMA TREATMENT</t>
  </si>
  <si>
    <t>PALLIATIVE CARE AND HOSPICE</t>
  </si>
  <si>
    <t>PEER SUPPORT SERVICES</t>
  </si>
  <si>
    <t>MOBILE ADULT DAY HEALTHCARE</t>
  </si>
  <si>
    <t>MEDICAL FOSTER HOME PROGRAM</t>
  </si>
  <si>
    <t>RECREATIONAL THERAPY FOR OUTPATIENTS</t>
  </si>
  <si>
    <t>CHILD CARE</t>
  </si>
  <si>
    <t>MOBILE VETERANS PROGRAM</t>
  </si>
  <si>
    <t>COMMUNICATIONS OFFICE</t>
  </si>
  <si>
    <t>SAFING CENTER</t>
  </si>
  <si>
    <t>CANTEEN, RETAIL STORE, AND COFFEE SHOP</t>
  </si>
  <si>
    <t>VJO</t>
  </si>
  <si>
    <t>SENSORY AND PHYSICAL REHAB SERVICE</t>
  </si>
  <si>
    <t>NURSING HOME</t>
  </si>
  <si>
    <t>SMOKING CESSATION SUPPORT FOR VETERANS</t>
  </si>
  <si>
    <t>RESPITE CARE</t>
  </si>
  <si>
    <t>MEDICAL MEDIA</t>
  </si>
  <si>
    <t>SUICIDE PREVENTION AND CRISIS LINE</t>
  </si>
  <si>
    <t>JUSTICE OUTREACH PROGRAM</t>
  </si>
  <si>
    <t>COMMUNITY CARE SERVICE</t>
  </si>
  <si>
    <t>VCCC COMMUNITY BASED OUTPATIENT CLINIC</t>
  </si>
  <si>
    <t>ELIGIBILTY</t>
  </si>
  <si>
    <t>VEC</t>
  </si>
  <si>
    <t>PHOTO IDENTIFICATION</t>
  </si>
  <si>
    <t>HOME MAKER AND HOME HEALTH AIDE</t>
  </si>
  <si>
    <t>VITAL VETERAN INTEGRATION TO ACADEMIC LEADERSHIP</t>
  </si>
  <si>
    <t>VIST COORDINATOR (spelling?)</t>
  </si>
  <si>
    <t>FPOW ADVOCATES</t>
  </si>
  <si>
    <t>VETERANS CENTER FOR ADDICTION TREATMENT</t>
  </si>
  <si>
    <t>VA GRANT PER DIEM</t>
  </si>
  <si>
    <t>LOGISTICS</t>
  </si>
  <si>
    <t>VISUAL IMPAIRMENT SERVICE TEAM (VIST)</t>
  </si>
  <si>
    <t>PRISONER OF WAR</t>
  </si>
  <si>
    <t>VOCATIONAL EVALUATION CENTER (VEC)</t>
  </si>
  <si>
    <t>WARD ADMINISTRATION SERVICE</t>
  </si>
  <si>
    <t>WOMEN VETERANS SERVICES</t>
  </si>
  <si>
    <t>WORK STUDY</t>
  </si>
  <si>
    <t>WOUNDED WARRIOR PROGRAM</t>
  </si>
  <si>
    <t>bigspring</t>
  </si>
  <si>
    <t>Oculoplastic (SC)</t>
  </si>
  <si>
    <t>RELEASE OF MEDICAL RECORDS</t>
  </si>
  <si>
    <t>COMMUNITY LIVING CENTER (CLC)</t>
  </si>
  <si>
    <t>RETAIL STORE</t>
  </si>
  <si>
    <t>HUD - VASH PROGRAM</t>
  </si>
  <si>
    <t>HEALTH PROMOTION DISEASE PREVENTION</t>
  </si>
  <si>
    <t>VAEA</t>
  </si>
  <si>
    <t>HOME BASED PRIMARY CARE (HBPC)</t>
  </si>
  <si>
    <t>HOMELESS VETERANS PROGRAM</t>
  </si>
  <si>
    <t>VETERANS BENEFIT COUNSELOR</t>
  </si>
  <si>
    <t>MEDICAL EQUIPMENT</t>
  </si>
  <si>
    <t>PATIENT BUSINESS OFFICE</t>
  </si>
  <si>
    <t>PHYSICAL MEDICINE AND REHABILITATION SERVICE</t>
  </si>
  <si>
    <t>POLYTRAUMA/TRAUMATIC BRAIN INJURY (TBI)</t>
  </si>
  <si>
    <t xml:space="preserve">Total </t>
  </si>
  <si>
    <t>POST-TRAUMATIC STRESS DISORDER (PTSD) PROGRAM</t>
  </si>
  <si>
    <t>QUALITY MANAGEMENT</t>
  </si>
  <si>
    <t>RESIDENTIAL REHABILITATION TREATMENT PROGRAM (RRTP)</t>
  </si>
  <si>
    <t>RESPITE CARE PROGRAM</t>
  </si>
  <si>
    <t>PATIENT FUNDS, BILL PAYMENTS, AND BENE-TRAVEL REIMBURSEMENTS</t>
  </si>
  <si>
    <t>SPINAL CORD INJURY CLINIC (SCI)</t>
  </si>
  <si>
    <t>SUBSTANCE ABUSE TREATMENT PROGRAM (SATP)</t>
  </si>
  <si>
    <t>biloxi</t>
  </si>
  <si>
    <t>BLIND REHABILITATION CENTER</t>
  </si>
  <si>
    <t>EXTENDED CARE</t>
  </si>
  <si>
    <t>FORMER POW(FPOW) ADVOCATE</t>
  </si>
  <si>
    <t>HOSPITAL INPATIENT SERVICES</t>
  </si>
  <si>
    <t>MYHEALTHEVET COORDINATOR - MHV</t>
  </si>
  <si>
    <t>PSYCHOSOCIAL RESIDENTIAL REHABILITATION TREATMENT</t>
  </si>
  <si>
    <t>HOME INFUSION</t>
  </si>
  <si>
    <t>birmingham</t>
  </si>
  <si>
    <t>CARDIOVASCULAR CARE (OPEN HEART)</t>
  </si>
  <si>
    <t>GERIATRIC CENTER</t>
  </si>
  <si>
    <t>GERIATRIC RESEARCH, EDUCATION, AND CLINICAL CENTER (GRECC)</t>
  </si>
  <si>
    <t>MEDICAL SUBSPECIALTY CARE</t>
  </si>
  <si>
    <t>IMMUNIZATIONS</t>
  </si>
  <si>
    <t>POST TRAUMATIC STRESS DISORDER (PTSD)</t>
  </si>
  <si>
    <t>SURGICAL SPECIALTIES</t>
  </si>
  <si>
    <t>TELEPHONE CARE PROGRAM (TCP)</t>
  </si>
  <si>
    <t>VISUAL IMPAIRMENT SERVICES TEAM (VIST)</t>
  </si>
  <si>
    <t>blackhills</t>
  </si>
  <si>
    <t>ADDICTIVE DISORDERS SERVICE</t>
  </si>
  <si>
    <t>CONNECTED HEALTH</t>
  </si>
  <si>
    <t>HEMODIALYSIS</t>
  </si>
  <si>
    <t>MEDICAL FOSTER HOMES</t>
  </si>
  <si>
    <t>OEF/OIF/OND PROGRAM</t>
  </si>
  <si>
    <t>PATIENT PRIVACY</t>
  </si>
  <si>
    <t>Services Listed only in Phone Directory</t>
  </si>
  <si>
    <t>POLYTRAUMA SYSTEM OF CARE</t>
  </si>
  <si>
    <t>NONE LISTED</t>
  </si>
  <si>
    <t>POST TRAUMATIC STRESS OUTPATIENT PROGRAM</t>
  </si>
  <si>
    <t>SOCIAL WORK PROGRAM</t>
  </si>
  <si>
    <t>STUDENT INTERNSHIPS</t>
  </si>
  <si>
    <t>VETERANS TRANSPORTATION SERVICE (VTS)</t>
  </si>
  <si>
    <t>VIRTUAL LIFETIME ELECTRONIC RECORD HEALTH PROGRAM - VLER</t>
  </si>
  <si>
    <t>boise</t>
  </si>
  <si>
    <t>EXTENDED CARE &amp; REHABILITATION</t>
  </si>
  <si>
    <t>NON-VA CARE</t>
  </si>
  <si>
    <t>OPTICAL SERVICES</t>
  </si>
  <si>
    <t>PATIENT ADVISORY COUNCIL</t>
  </si>
  <si>
    <t>AFTER HOURS NURSE HELP LINE</t>
  </si>
  <si>
    <t>AFGE - AMERICAN FEDERATION OF GOVERNMENT EMPLOYEES</t>
  </si>
  <si>
    <t>boston</t>
  </si>
  <si>
    <t>ACUTE INPATIENT REHABILITATION</t>
  </si>
  <si>
    <t>AMVETS</t>
  </si>
  <si>
    <t>ADAPTIVE SPORTS</t>
  </si>
  <si>
    <t>AMBULATORY DIAGNOSTIC AND TREATMENT CENTER (ADTC)</t>
  </si>
  <si>
    <t>ACADEMIC AFFILIATIONS/EDUCATION</t>
  </si>
  <si>
    <t>AMPUTATION REHABILITATION PROGRAM</t>
  </si>
  <si>
    <t>ASBESTOS AND MESOTHELIOMA</t>
  </si>
  <si>
    <t>ASTHMA AND BRONCHIAL THERMOPLASTY</t>
  </si>
  <si>
    <t>COFFEE SHOP - VCS</t>
  </si>
  <si>
    <t>ACCOUNTS PAYABLE</t>
  </si>
  <si>
    <t>BARIATRIC SURGERY PROGRAM</t>
  </si>
  <si>
    <t>CARDIAC SURGERY</t>
  </si>
  <si>
    <t>COMMUNITY &amp; CONGRESSIONAL AFFAIRS</t>
  </si>
  <si>
    <t>CARDIAC AND PULMONARY REHABILITATION</t>
  </si>
  <si>
    <t>CARDIOLOGY AND VASCULAR MEDICINE</t>
  </si>
  <si>
    <t>CENTER FOR RETURNING VETERANS (OEF/OIF)</t>
  </si>
  <si>
    <t>COUNSELING AND PSYCHOTHERAPY</t>
  </si>
  <si>
    <t>DINING HALL (VETERAN RESIDENTS ONLY)</t>
  </si>
  <si>
    <t>DEPRESSION AND ANXIETY</t>
  </si>
  <si>
    <t>DISABLED AMERICAN VETERANS TRANSPORTATION PROGRAM</t>
  </si>
  <si>
    <t>BLIND VETERAN ASSOCIATION</t>
  </si>
  <si>
    <t>FORMER PRISONER OF WAR PROGRAM</t>
  </si>
  <si>
    <t>ENROLLMENT AND ELIGIBILITY</t>
  </si>
  <si>
    <t>CANTEEN SERVICE</t>
  </si>
  <si>
    <t>GASTROENTEROLOGY</t>
  </si>
  <si>
    <t>GENERAL INTERNAL MEDICINE</t>
  </si>
  <si>
    <t>FIRE DEPARTMENT</t>
  </si>
  <si>
    <t>GERIATRIC MENTAL HEALTH</t>
  </si>
  <si>
    <t>CENTER FOR EVALUATION OF PATIENT ALIGNED CARE TEAM</t>
  </si>
  <si>
    <t>GERIATRICS CLINIC</t>
  </si>
  <si>
    <t>FOOD COURT - VCS</t>
  </si>
  <si>
    <t>GYNECOLOGY</t>
  </si>
  <si>
    <t>CLINICAL RESEARCH CENTER</t>
  </si>
  <si>
    <t>FORMER PRISONERS OF WAR ADVOCATE</t>
  </si>
  <si>
    <t>HOMEMAKER/HOME HEALTH AIDE</t>
  </si>
  <si>
    <t>INTERNSHIPS, FELLOWSHIPS AND AFFILIATION</t>
  </si>
  <si>
    <t>FRESH START</t>
  </si>
  <si>
    <t>COMMUNITY RESOURCE AND REFERRAL CENTER CRRC</t>
  </si>
  <si>
    <t>HUD-VASH: HOUSING AND URBAN DEVELOPMENT VETERANS AFFAIRS SUPPORTIVE HOUSING</t>
  </si>
  <si>
    <t>LOW VISION AND BLIND REHABILITATION</t>
  </si>
  <si>
    <t>HEALTH PROMOTION AND DISEASE PREVENTION</t>
  </si>
  <si>
    <t>MENTAL HEALTH AND SUBSTANCE ABUSE SERVICES FOR WOMEN</t>
  </si>
  <si>
    <t>MENTAL HEALTH: SERIOUS MENTAL ILLNESS</t>
  </si>
  <si>
    <t>INDEPENDENCE HALL</t>
  </si>
  <si>
    <t>CREDIT UNION – ARDENT FORMERLY SB1</t>
  </si>
  <si>
    <t>LZII</t>
  </si>
  <si>
    <t>DECEDENT AFFAIRS  FORMERLY DETAILS CLERK</t>
  </si>
  <si>
    <t>PTSD: POST TRAUMATIC STRESS DISORDER</t>
  </si>
  <si>
    <t>DISABLED AMERICAN VETERANS TRANSPORTATION</t>
  </si>
  <si>
    <t>PRIMARY CARE BEHAVIORAL HEALTH PROGRAM</t>
  </si>
  <si>
    <t>PROSTHETICS AND SENSORY AID DEPARTMENT</t>
  </si>
  <si>
    <t>EDUCATION / STAFF DEVELOPMENT</t>
  </si>
  <si>
    <t>PSYCHIATRY: INPATIENT</t>
  </si>
  <si>
    <t>PULMONARY, ALLERGY, SLEEP, AND CRITICAL CARE MEDICINE</t>
  </si>
  <si>
    <t>MARY E. WALKER HOUSE</t>
  </si>
  <si>
    <t>RADIATION THERAPY</t>
  </si>
  <si>
    <t>RENAL SERVICE</t>
  </si>
  <si>
    <t>RHEUMATOLOGY</t>
  </si>
  <si>
    <t>NEUROLOGY</t>
  </si>
  <si>
    <t>PRIVACY_OFFICER</t>
  </si>
  <si>
    <t>SENSORY &amp; PHYSICAL REHABILITATION</t>
  </si>
  <si>
    <t>SMOKE-FREE SERVICES FOR VETERANS</t>
  </si>
  <si>
    <t>OFFICE OF CARE COORDINATION</t>
  </si>
  <si>
    <t>SPEECH AND AUDIOLOGY</t>
  </si>
  <si>
    <t>OFFICE OF INFORMATION &amp; TECHNOLOGY</t>
  </si>
  <si>
    <t>SPINAL CORD INJURY SCI CENTER</t>
  </si>
  <si>
    <t>SUBSTANCE ABUSE</t>
  </si>
  <si>
    <t>VETERANS JUSTICE OUTREACH PROGRAM</t>
  </si>
  <si>
    <t>VETERAN DIRECTED CARE</t>
  </si>
  <si>
    <t>VETERANS CARE PROJECT</t>
  </si>
  <si>
    <t>VETERANS SERVICE OFFICERS</t>
  </si>
  <si>
    <t>VETERANS AND FAMILIES CONSUMER COUNCIL (VFCC)</t>
  </si>
  <si>
    <t>WHEELCHAIR CLINICS</t>
  </si>
  <si>
    <t>VOLUNTARY</t>
  </si>
  <si>
    <t>WOMEN'S COMPREHENSIVE PRIMARY CARE AND GYNECOLOGY</t>
  </si>
  <si>
    <t>bronx</t>
  </si>
  <si>
    <t>POLYTRAUMA AND TRAUMATIC BRAIN INJURY</t>
  </si>
  <si>
    <t>DIET</t>
  </si>
  <si>
    <t>ENT, AUDIOLOGY AND SPEECH-LANGUAGE PATHOLOGY SERVICES</t>
  </si>
  <si>
    <t>EDUCATION</t>
  </si>
  <si>
    <t>END-OF-LIFE CARE</t>
  </si>
  <si>
    <t>EXTENDED CARE/COMMUNITY LIVING CENTER</t>
  </si>
  <si>
    <t>HEALTH PROMOTION AND DISEASE PREVENTION PROGRAM</t>
  </si>
  <si>
    <t>HELPLINE</t>
  </si>
  <si>
    <t>RETAIL STORE - VCS</t>
  </si>
  <si>
    <t>INTERACTIVE TRAINING</t>
  </si>
  <si>
    <t>SUBSTANCE USE DISORDER RESIDENTIAL REHABILITATION TREATMENT PROGRAM</t>
  </si>
  <si>
    <t>KIDNEY TRANSPLANT PROGRAM</t>
  </si>
  <si>
    <t>TRANSITION AND CARE MANAGEMENT PROGRAM</t>
  </si>
  <si>
    <t>NURSES HELPLINE</t>
  </si>
  <si>
    <t>OBESITY</t>
  </si>
  <si>
    <t>ONLINE TRAINING</t>
  </si>
  <si>
    <t>POLYTRAUMA NETWORK SITE</t>
  </si>
  <si>
    <t>REHABILITATION MEDICINE</t>
  </si>
  <si>
    <t>RENAL TRANSPLANT PROGRAM</t>
  </si>
  <si>
    <t>SHUTTLE SCHEDULE</t>
  </si>
  <si>
    <t>SMOKING CESSATION</t>
  </si>
  <si>
    <t>SPEECH-LANGUAGE PATHOLOGY</t>
  </si>
  <si>
    <t>SPINAL CORD INJURY PATIENT CARE CENTER</t>
  </si>
  <si>
    <t>TRAINING</t>
  </si>
  <si>
    <t>VA NURSES HELPLINE - 1-800-877-6976</t>
  </si>
  <si>
    <t>VISN2 GERIATRIC RESEARCH, EDUCATION AND CLINICAL CENTER</t>
  </si>
  <si>
    <t>VIRTUAL HEALTH</t>
  </si>
  <si>
    <t>VISION REHABILITATION:  VISUAL IMPAIRMENT SERVICES TEAM (VIST)</t>
  </si>
  <si>
    <t>WEIGHT LOSS PROGRAM</t>
  </si>
  <si>
    <t>buffalo</t>
  </si>
  <si>
    <t>CANCER CARE ONCOLOGY</t>
  </si>
  <si>
    <t>DENTISTRY</t>
  </si>
  <si>
    <t>GERIATRIC EVALUATION AND MANAGEMENT</t>
  </si>
  <si>
    <t>OEF OIF OND</t>
  </si>
  <si>
    <t>POSTTRAUMATIC STRESS DISORDER PTSD</t>
  </si>
  <si>
    <t>TRANSPLANT SERVICE</t>
  </si>
  <si>
    <t>butler</t>
  </si>
  <si>
    <t>ADULT DAY HEALTH CARE (ADHC)</t>
  </si>
  <si>
    <t>DOMICILIARY RESIDENTIAL REHABILITATION TREATMENT</t>
  </si>
  <si>
    <t>HEALTH AND WELLNESS</t>
  </si>
  <si>
    <t>HOSPICE CARE</t>
  </si>
  <si>
    <t>MILITARY SEXUAL TRAUMA (MST)</t>
  </si>
  <si>
    <t>SUICIDE PREVENTION</t>
  </si>
  <si>
    <t>canandaigua</t>
  </si>
  <si>
    <t>ALZHEIMERS DISEASE</t>
  </si>
  <si>
    <t>COMMUNITY LIVING CENTER AND NURSING HOME</t>
  </si>
  <si>
    <t>HEALTH FITNESS CENTERS</t>
  </si>
  <si>
    <t>POSTTRAUMATIC STRESS DISORDER (PTSD) TREATMENT</t>
  </si>
  <si>
    <t>VETERANS INTEGRATION TO ACADEMIC LEADERSHIP</t>
  </si>
  <si>
    <t>VISION REHABILITATION</t>
  </si>
  <si>
    <t>caribbean</t>
  </si>
  <si>
    <t>ACOS FOR EDUCATION, EDUCATION SERVICES</t>
  </si>
  <si>
    <t>BARBERSHOP</t>
  </si>
  <si>
    <t>COMMUNITY HEALTH PROGRAM</t>
  </si>
  <si>
    <t>COMPLIANCE AND BUSINESS INTEGRITY PROGRAM OFFICE</t>
  </si>
  <si>
    <t>FORMER PRISONERS OF WAR</t>
  </si>
  <si>
    <t>GERIATRICS PRIMARY CARE (GPC)</t>
  </si>
  <si>
    <t>HEALTH CARE FOR HOMELESS PROGRAM</t>
  </si>
  <si>
    <t>HEALTH INFORMATICS SERVICE</t>
  </si>
  <si>
    <t>HUMAN RESOURCES MANAGEMENT SERVICE</t>
  </si>
  <si>
    <t>MOVE AND MOVEMPLOYEE</t>
  </si>
  <si>
    <t>NURSING SERVICE</t>
  </si>
  <si>
    <t>OIF/OEF/OND</t>
  </si>
  <si>
    <t>PATIENT ALIGNED CARE FOR OUR VETERANS</t>
  </si>
  <si>
    <t>PRIMARY CARE SERVICE</t>
  </si>
  <si>
    <t>centralalabama</t>
  </si>
  <si>
    <t>ACUTE CARE, SPECIALTIES &amp; DIAGNOSTICS</t>
  </si>
  <si>
    <t>PTSD RESOURCES</t>
  </si>
  <si>
    <t>PASTORAL CARE EDUCATION</t>
  </si>
  <si>
    <t>centraliowa</t>
  </si>
  <si>
    <t>COMMUNITY RESOURCE AND REFERRAL CENTER (CRRC)</t>
  </si>
  <si>
    <t>DIABETES EDUCATION PROGRAM</t>
  </si>
  <si>
    <t>GENOMIC MEDICINE</t>
  </si>
  <si>
    <t>IMAGING SERVICE</t>
  </si>
  <si>
    <t>LEARNING SERVICE</t>
  </si>
  <si>
    <t>LESBIAN, GAY, BISEXUAL &amp; TRANSGENDER (LGBT) PROGRAM</t>
  </si>
  <si>
    <t>MUSIC THERAPY</t>
  </si>
  <si>
    <t>PARKINSON'S DISEASE</t>
  </si>
  <si>
    <t>PATHOLOGY AND LAB</t>
  </si>
  <si>
    <t>PHARMACY RESIDENCY PROGRAM</t>
  </si>
  <si>
    <t>PSYCHOLOGY INTERNSHIP PROGRAM</t>
  </si>
  <si>
    <t>QUALITY AND SAFETY</t>
  </si>
  <si>
    <t>SPINAL CORD INJURY/DYSFUNCTION CLINIC</t>
  </si>
  <si>
    <t>VETERAN HEALTH EDUCATION</t>
  </si>
  <si>
    <t>centraltexas</t>
  </si>
  <si>
    <t>CHIROPRACTIC CLINIC</t>
  </si>
  <si>
    <t>FITNESS REHABILITATION PROGRAM</t>
  </si>
  <si>
    <t>HEALTH PROMOTION DISEASE PREVENTION PROGRAM</t>
  </si>
  <si>
    <t>MEDICAL</t>
  </si>
  <si>
    <t>MEDICAL FOSTER HOME, SOCIAL WORK</t>
  </si>
  <si>
    <t>NUTRITION AND FOOD</t>
  </si>
  <si>
    <t>OUTPATIENT MEDICAL REHABILITATION PROGRAM</t>
  </si>
  <si>
    <t>PHYSIATRY/ELECTROMYOGRAPHY (EMG)</t>
  </si>
  <si>
    <t>PHYSICAL MEDICINE &amp; REHABILITATION</t>
  </si>
  <si>
    <t>POST TRAUMATIC STRESS DISORDER</t>
  </si>
  <si>
    <t>POSTTRAUMATIC STRESS RESIDENTIAL REHABILITATION PROGRAM</t>
  </si>
  <si>
    <t>PRESERVATION AMPUTATION FOR VETERANS EVERYWHERE (PAVE)</t>
  </si>
  <si>
    <t>PSYCHOLOGY INTERNSHIP</t>
  </si>
  <si>
    <t>RECREATIONAL THERAPY</t>
  </si>
  <si>
    <t>REGISTERED NURSE TRIAGE CALL CENTER</t>
  </si>
  <si>
    <t>SPEECH-LANGUAGE PATHOLOGY PROGRAM</t>
  </si>
  <si>
    <t>SUICIDE PREVENTION, SOCIAL WORK, AUSTIN</t>
  </si>
  <si>
    <t>SUICIDE PREVENTION, SOCIAL WORK, TEMPLE</t>
  </si>
  <si>
    <t>SUICIDE PREVENTION, SOCIAL WORK, WACO</t>
  </si>
  <si>
    <t>TRAUMATIC BRAIN INJURY (TBI)</t>
  </si>
  <si>
    <t>WACO WOMEN DOMICILIARY</t>
  </si>
  <si>
    <t>centralwesternmass</t>
  </si>
  <si>
    <t>DIABETES CARE</t>
  </si>
  <si>
    <t>HEALTHY LIVING</t>
  </si>
  <si>
    <t>HORTICULTURAL THERAPY</t>
  </si>
  <si>
    <t>VETERANS CARE RESEARCH PROJECT</t>
  </si>
  <si>
    <t>VISUAL IMPAIRMENT SERVICES TEAM PROGRAM (VIST)</t>
  </si>
  <si>
    <t>charleston</t>
  </si>
  <si>
    <t>CHARLESTON FISHER HOUSE</t>
  </si>
  <si>
    <t>EQUAL EMPLOYMENT OPPORTUNITY</t>
  </si>
  <si>
    <t>HEALTH EQUITY AND RURAL OUTREACH INNOVATION CENTER</t>
  </si>
  <si>
    <t>HEALTH PROMOTION AND DISEASE PREVENTION (HPDP)</t>
  </si>
  <si>
    <t>HEMATOLOGY AND ONCOLOGY</t>
  </si>
  <si>
    <t>HOSPICE SERVICES FOR VETERANS</t>
  </si>
  <si>
    <t>INPATIENT PALLIATIVE CARE</t>
  </si>
  <si>
    <t>NUTRITION SERVICES</t>
  </si>
  <si>
    <t>PATIENT AND FAMILY CENTERED CARE (PFCC)</t>
  </si>
  <si>
    <t>RESEARCH AND DEVELOPMENT</t>
  </si>
  <si>
    <t>SLEEP LABORATORY AND CPAP PROGRAM</t>
  </si>
  <si>
    <t>cheyenne</t>
  </si>
  <si>
    <t>AGENT ORANGE REGISTRY EXAM</t>
  </si>
  <si>
    <t>CARDIOPULMONARY AND NEUROLOGY SERVICE</t>
  </si>
  <si>
    <t>CHEMOTHERAPY INFUSION CLINIC</t>
  </si>
  <si>
    <t>CLINICAL PSYCHOLOGY</t>
  </si>
  <si>
    <t>EAR, NOSE AND THROAT SERVICES</t>
  </si>
  <si>
    <t>ENDOSCOPY SERVICES</t>
  </si>
  <si>
    <t>HOME TELEHEALTH PROGRAM</t>
  </si>
  <si>
    <t>MOBILE TELE-HEALTH CLINIC</t>
  </si>
  <si>
    <t>PSAS</t>
  </si>
  <si>
    <t>PATHOLOGY AND LABORATORY SERVICES</t>
  </si>
  <si>
    <t>PROSTHETIC AND SENSORY AIDS SERVICE (PSAS)</t>
  </si>
  <si>
    <t>RADIOLOGY AND IMAGING SERVICE</t>
  </si>
  <si>
    <t>TELEMENTAL HEALTH (TMH)</t>
  </si>
  <si>
    <t>chicago</t>
  </si>
  <si>
    <t>COMPLEMENTARY AND ALTERNATIVE MEDICINE TREATMENTS (CAM) (JADE CLINIC)</t>
  </si>
  <si>
    <t>ETHICS</t>
  </si>
  <si>
    <t>ETHICS CONSULTATION PROGRAM</t>
  </si>
  <si>
    <t>FORMER PRISONER OF WAR (FPOW) ADVOCATE PROGRAM</t>
  </si>
  <si>
    <t>INTEGRATED ETHICS</t>
  </si>
  <si>
    <t>PHYSICAL MEDICINE AND REHABILITATION - PM&amp;R</t>
  </si>
  <si>
    <t>PHYSICAL THERAPY AND KINESIOTHERAPY</t>
  </si>
  <si>
    <t>POST-DEPLOYMENT CLINIC</t>
  </si>
  <si>
    <t>RECREATION THERAPY SERVICE</t>
  </si>
  <si>
    <t>REHABILITATION SERVICES</t>
  </si>
  <si>
    <t>SPECIALITY CARE</t>
  </si>
  <si>
    <t>chillicothe</t>
  </si>
  <si>
    <t>VIRTUAL LIFETIME ELECTRONIC RECORD</t>
  </si>
  <si>
    <t>WILMINGTON COMMUNITY BASED OUTPATIENT CLINIC</t>
  </si>
  <si>
    <t>cincinnati</t>
  </si>
  <si>
    <t>FISHER HOUSE</t>
  </si>
  <si>
    <t>FORT THOMAS</t>
  </si>
  <si>
    <t>GASTROENTEROLOGY: (GI) CLINIC</t>
  </si>
  <si>
    <t>GEROFIT</t>
  </si>
  <si>
    <t>INPATIENT MENTAL HEALTH: CINCINNATI VAMC</t>
  </si>
  <si>
    <t>INPATIENT MENTAL HEALTH: FORT THOMAS VA</t>
  </si>
  <si>
    <t>MENTAL HEALTH: SPECIAL SERVICES</t>
  </si>
  <si>
    <t>NUTRITION PROGRAM</t>
  </si>
  <si>
    <t>OUTPATIENT BEHAVIORAL HEALTHCARE CLINIC</t>
  </si>
  <si>
    <t>PARTIAL HOSPITALIZATION PROGRAM (PHP)</t>
  </si>
  <si>
    <t>PEER SUPPORT</t>
  </si>
  <si>
    <t>POST TRAUMATIC STRESS</t>
  </si>
  <si>
    <t>PSYCHIATRIC EVALUATION CENTER</t>
  </si>
  <si>
    <t>RESIDENCIES, FELLOWSHIPS AND INTERNSHIPS</t>
  </si>
  <si>
    <t>SUBSTANCE DEPENDENCE SERVICES</t>
  </si>
  <si>
    <t>SUPPORTED EMPLOYMENT (SE)</t>
  </si>
  <si>
    <t>TOBACCO CESSATION COUNSELING</t>
  </si>
  <si>
    <t>TREATMENT, RECOVERY AND ACTIVITY CENTER</t>
  </si>
  <si>
    <t>VASCULAR SURGERY</t>
  </si>
  <si>
    <t>VETERAN BENEFITS COUNSELOR</t>
  </si>
  <si>
    <t>VETERANS INTEGRATION INTO ACADEMIC LEADERSHIP</t>
  </si>
  <si>
    <t>VIRTUAL LIFETIME ELECTRONIC RECORD (VLER)</t>
  </si>
  <si>
    <t>VISUAL IMPAIRMENT SERVICES (VIST)</t>
  </si>
  <si>
    <t>VOLUNTEER</t>
  </si>
  <si>
    <t>WOMEN HEALTH SERVICES</t>
  </si>
  <si>
    <t>clarksburg</t>
  </si>
  <si>
    <t>ANESTHESIOLOGY/PAIN MANAGEMENT</t>
  </si>
  <si>
    <t>EARS, NOSE AND THROAT: OTOLARYNGOLOGY</t>
  </si>
  <si>
    <t>FEE BASIS</t>
  </si>
  <si>
    <t>GENERAL SURGERY</t>
  </si>
  <si>
    <t>MENTAL HEALTH OUTPATIENT CLINIC</t>
  </si>
  <si>
    <t>MENTAL HEALTH POST GRADUATE RESIDENCY</t>
  </si>
  <si>
    <t>OCCUPATIONAL THERAPY (OT)</t>
  </si>
  <si>
    <t>PROSTHETICS DEPARTMENT</t>
  </si>
  <si>
    <t>PULMONOLOGY</t>
  </si>
  <si>
    <t>SPEECH PATHOLOGY CLINIC</t>
  </si>
  <si>
    <t>VALET PARKING</t>
  </si>
  <si>
    <t>VISUAL IMPAIRMENT SERVICES TEAM</t>
  </si>
  <si>
    <t>cleveland</t>
  </si>
  <si>
    <t>AMPUTEE CLINIC</t>
  </si>
  <si>
    <t>CARDIOLOGY SERVICE</t>
  </si>
  <si>
    <t>DIABETES SELF-MANAGEMENT EDUCATION</t>
  </si>
  <si>
    <t>ENDOCRINOLOGY SERVICE</t>
  </si>
  <si>
    <t>EXTENSION FOR COMMUNITY HEALTHCARE OUTCOMES (ECHO)</t>
  </si>
  <si>
    <t>GERIATRICS</t>
  </si>
  <si>
    <t>LABEL INFORMATION</t>
  </si>
  <si>
    <t>MEDICAL FOSTER CARE</t>
  </si>
  <si>
    <t>NEPHROLOGY SERVICE</t>
  </si>
  <si>
    <t>NURSING SERVICE / PATIENT CARE SERVICES (PCS)</t>
  </si>
  <si>
    <t>OUTPATIENT PHARMACIES</t>
  </si>
  <si>
    <t>OUTPATIENT PHARMACY</t>
  </si>
  <si>
    <t>PAIN MANAGEMENT CENTER</t>
  </si>
  <si>
    <t>PULMONARY, CRITICAL CARE, ALLERGY &amp; SLEEP MEDICINE</t>
  </si>
  <si>
    <t>RECOVERY RESOURCE CENTER</t>
  </si>
  <si>
    <t>RESEARCH HOME</t>
  </si>
  <si>
    <t>SCAN-ECHO PROJECT</t>
  </si>
  <si>
    <t>SURGICAL SERVICE</t>
  </si>
  <si>
    <t>VA SPECIALTY CARE ACCESS NETWORK (SCAN)</t>
  </si>
  <si>
    <t>coatesville</t>
  </si>
  <si>
    <t>DOMICILIARY CARE FOR HOMELESS VETERANS RESIDENTIAL REHABILITATION TREATMENT PROGRAM</t>
  </si>
  <si>
    <t>GERIATRIC PATIENT ALIGNED CARE TEAM (GERI-PACT)</t>
  </si>
  <si>
    <t>GOLDEN MEMORY CLINIC</t>
  </si>
  <si>
    <t>HOME HEALTH CARE AND ADULT DAY HEALTH CARE</t>
  </si>
  <si>
    <t>HOMELESS VETERAN SUPPORTED EMPLOYMENT PROGRAM</t>
  </si>
  <si>
    <t>MOBILE ADULT DAY HEALTH CARE</t>
  </si>
  <si>
    <t>NATIONAL VETERANS CRISIS LINE</t>
  </si>
  <si>
    <t>RESIDENTIAL REHABILITATION TREATMENT PROGRAM FOR WOMEN VETERANS - POWER PROGRAM</t>
  </si>
  <si>
    <t>RESIDENTIAL REHABILITATION TREATMENT PROGRAMS</t>
  </si>
  <si>
    <t>VA GRANT AND PER DIEM</t>
  </si>
  <si>
    <t>WOMEN'S HEALTH SERVICES</t>
  </si>
  <si>
    <t>WORK RESTORATION</t>
  </si>
  <si>
    <t>columbiamo</t>
  </si>
  <si>
    <t>ANESTHESIA</t>
  </si>
  <si>
    <t>AUDIOLOGY/SPEECH PATHOLOGY</t>
  </si>
  <si>
    <t>EMERGENCY CARE</t>
  </si>
  <si>
    <t>GASTROENTEROLOGY / GI SERVICE</t>
  </si>
  <si>
    <t>IMAGING: RADIOLOGY &amp; NUCLEAR MEDICINE SERVICES</t>
  </si>
  <si>
    <t>LESBIAN, GAY, BISEXUAL &amp; TRANSGENDER (LGBT) VETERANS</t>
  </si>
  <si>
    <t>MEDICAL SUBSPECIALTIES</t>
  </si>
  <si>
    <t>MINOR SURGERY</t>
  </si>
  <si>
    <t>ORTHOPEDIC SURGERY</t>
  </si>
  <si>
    <t>OTOLARYNGOLOGY (EAR, NOSE AND THROAT OR ENT)</t>
  </si>
  <si>
    <t>PHYSICAL MEDICINE &amp; REHABILITATION (PM&amp;R)</t>
  </si>
  <si>
    <t>PLASTIC SURGERY</t>
  </si>
  <si>
    <t>RESPIRATORY CARE</t>
  </si>
  <si>
    <t>SLEEP LAB</t>
  </si>
  <si>
    <t>SURGICAL ENDOSCOPY</t>
  </si>
  <si>
    <t>THORACIC SURGERY</t>
  </si>
  <si>
    <t>TRANSITION CARE MANAGEMENT PROGRAM</t>
  </si>
  <si>
    <t>columbiasc</t>
  </si>
  <si>
    <t>AUDIOLOGY AND SPEECH LANGUAGE PATHOLOGY CLINIC</t>
  </si>
  <si>
    <t>COMPLIANCE - BUSINESS INTEGRITY -  INTEGRATED ETHICS OFFICE</t>
  </si>
  <si>
    <t>EDUCATION SERVICE (STAFF AND AFFILIATES)</t>
  </si>
  <si>
    <t>EDUCATION SERVICE (VETERAN PATIENTS)</t>
  </si>
  <si>
    <t>ENGINEERING</t>
  </si>
  <si>
    <t>ENVIRONMENTAL MANAGEMENT SERVICE</t>
  </si>
  <si>
    <t>FLU VACCINATIONS</t>
  </si>
  <si>
    <t>LEGAL CLINIC</t>
  </si>
  <si>
    <t>NON VA COORDINATED CARE PROGRAM NVCC</t>
  </si>
  <si>
    <t>ORTHOPAEDIC SERVICES</t>
  </si>
  <si>
    <t>PHYSICAL THERAPY TEAM</t>
  </si>
  <si>
    <t>PLASTIC SURGERY CLINIC</t>
  </si>
  <si>
    <t>PODIATRY CLINIC</t>
  </si>
  <si>
    <t>PRE-BED ASSESSMENT CLINIC</t>
  </si>
  <si>
    <t>SLEEP STUDIES</t>
  </si>
  <si>
    <t>SURGICAL CARE SERVICE</t>
  </si>
  <si>
    <t>TELEHEALTH SERVICES</t>
  </si>
  <si>
    <t>TRANSITION AND CARE MANAGEMENT - FREEDOM TEAM</t>
  </si>
  <si>
    <t>UROLOGY CLINIC</t>
  </si>
  <si>
    <t>VASCULAR THORACIC MINOR SURGERY CLINIC</t>
  </si>
  <si>
    <t>VOLUNTEER SERVICES</t>
  </si>
  <si>
    <t>columbus</t>
  </si>
  <si>
    <t>EAR, NOSE AND THROAT (ENT)</t>
  </si>
  <si>
    <t>ENDOCRINOLOGY &amp; DIABETES MANAGEMENT</t>
  </si>
  <si>
    <t>EYE CARE CLINIC</t>
  </si>
  <si>
    <t>GYNECOLOGICAL SURGERY</t>
  </si>
  <si>
    <t>HEMATOLOGY-ONCOLOGY</t>
  </si>
  <si>
    <t>LGBT CHAMPIONS</t>
  </si>
  <si>
    <t>NEPHROLOGY-RENAL</t>
  </si>
  <si>
    <t>ORTHOPEDIC CARE</t>
  </si>
  <si>
    <t>PAIN MANAGEMENT SERVICES</t>
  </si>
  <si>
    <t>PHARMACY SERVICES</t>
  </si>
  <si>
    <t>PHYSICAL MEDICINE AND REHABILITATIVE SERVICE</t>
  </si>
  <si>
    <t>PLASTIC SURGERY SERVICE</t>
  </si>
  <si>
    <t>PRE-ADMISSION TESTING</t>
  </si>
  <si>
    <t>PULMONARY AND SLEEP MEDICINE</t>
  </si>
  <si>
    <t>RECOVERY SERVICES</t>
  </si>
  <si>
    <t>SPECIALTY MEDICINE</t>
  </si>
  <si>
    <t>URGENT CARE CLINIC (UCC)</t>
  </si>
  <si>
    <t>WOMEN'S CLINIC</t>
  </si>
  <si>
    <t>WOUND CARE SERVICE</t>
  </si>
  <si>
    <t>connecticut</t>
  </si>
  <si>
    <t>BLIND REHABILITATION OUTPATIENT SPECIALIST</t>
  </si>
  <si>
    <t>CAT SCAN (WEST HAVEN)</t>
  </si>
  <si>
    <t>CARE/CASE MANAGEMENT AND TELEHEALTH</t>
  </si>
  <si>
    <t>COMPREHENSIVE CANCER CENTER (WEST HAVEN)</t>
  </si>
  <si>
    <t>EASTERN BLIND REHABILITATION SERVICE</t>
  </si>
  <si>
    <t>EPILEPSY CENTER OF EXCELLENCE</t>
  </si>
  <si>
    <t>HYPERTENSION CLINIC</t>
  </si>
  <si>
    <t>INTERVENTIONAL RADIOLOGY (WEST HAVEN)</t>
  </si>
  <si>
    <t>KIDNEY DISEASE AND DIALYSIS</t>
  </si>
  <si>
    <t>MRI (WEST HAVEN)</t>
  </si>
  <si>
    <t>MILITARY SEXUAL TRAUMA SERVICES</t>
  </si>
  <si>
    <t>MY HEALTHEVET COORDINATOR</t>
  </si>
  <si>
    <t>NEW HAVEN VET CENTER READJUSTMENT COUNSELING SERVICE</t>
  </si>
  <si>
    <t>OCCUPATIONAL HEALTH</t>
  </si>
  <si>
    <t>PET/CT</t>
  </si>
  <si>
    <t>PRIME CENTER</t>
  </si>
  <si>
    <t>PATHOLOGY AND LABORATORY MEDICINE - NEWINGTON</t>
  </si>
  <si>
    <t>PATHOLOGY AND LABORATORY MEDICINE - WEST HAVEN</t>
  </si>
  <si>
    <t>PHLEBOTOMY SERVICES - NEWINGTON</t>
  </si>
  <si>
    <t>PHLEBOTOMY SERVICES - WEST HAVEN</t>
  </si>
  <si>
    <t>PSYCHIATRIC ER (PER)</t>
  </si>
  <si>
    <t>PULMONARY CLINIC</t>
  </si>
  <si>
    <t>RADIATION SAFETY OFFICE</t>
  </si>
  <si>
    <t>RADIOLOGY SERVICE (WEST HAVEN CAMPUS)</t>
  </si>
  <si>
    <t>RENAL CLINIC - NEWINGTON</t>
  </si>
  <si>
    <t>RENAL CLINIC - WEST HAVEN</t>
  </si>
  <si>
    <t>RENAL REPLACEMENT OPTIONS</t>
  </si>
  <si>
    <t>RENAL TRANSPLANT CLINIC</t>
  </si>
  <si>
    <t>ULTRASOUND SERVICE (WEST HAVEN)</t>
  </si>
  <si>
    <t>danville</t>
  </si>
  <si>
    <t>MOVE WEIGHT MANAGEMENT</t>
  </si>
  <si>
    <t>MENTAL HEALTH INTENSIVE CASE MANAGEMENT PROGRAM</t>
  </si>
  <si>
    <t>MENTAL HEALTH SERVICES - INPATIENT</t>
  </si>
  <si>
    <t>MENTAL HEALTH-SUICIDE PREVENTION</t>
  </si>
  <si>
    <t>NEUROPSYCHOLOGY</t>
  </si>
  <si>
    <t>PALLIATIVE CARE - EDUCATION/VOLUNTEER OPPORTUNITIES</t>
  </si>
  <si>
    <t>PALLIATIVE CARE - PRE-PLANNING</t>
  </si>
  <si>
    <t>PALLIATIVE CARE COMMUNITY RESOURCES</t>
  </si>
  <si>
    <t>PALLIATIVE CARE INFORMATION</t>
  </si>
  <si>
    <t>PALLIATIVE CARE PROGRAM</t>
  </si>
  <si>
    <t>PODIATRIC RESIDENCY &amp; CLERKSHIP PROGRAMS</t>
  </si>
  <si>
    <t>POST TRAUMATIC STRESS DISORDER (PTSD) CLINIC</t>
  </si>
  <si>
    <t>PRIMARY CARE SERVICES</t>
  </si>
  <si>
    <t>SUBSTANCE ABUSE TREATMENT PROGRAM (SARP)</t>
  </si>
  <si>
    <t>SURGERY SERVICE</t>
  </si>
  <si>
    <t>THERAPEUTIC SUPPORTED EMPLOYMENT SERVICES (TSES)</t>
  </si>
  <si>
    <t>VAIHCS MEDICAL FOSTER HOME PROGRAM</t>
  </si>
  <si>
    <t>WOMENS VETERAN PROGRAM</t>
  </si>
  <si>
    <t>dayton</t>
  </si>
  <si>
    <t>ANESTHESIA SERVICE</t>
  </si>
  <si>
    <t>ANTICOAGULATION CLINIC</t>
  </si>
  <si>
    <t>AUDIOLOGY HEARING/SPEECH PATHOLOGY</t>
  </si>
  <si>
    <t>BIOMEDICAL ENGINEERING</t>
  </si>
  <si>
    <t>BLUE TEAM (PRIMARY CARE)</t>
  </si>
  <si>
    <t>CAT SCAN</t>
  </si>
  <si>
    <t>CAFETERIA - CANTEEN OFFICE</t>
  </si>
  <si>
    <t>CANTEEN SERVICES</t>
  </si>
  <si>
    <t>CAREGIVER SUPPORT PROGRAM (CSP)</t>
  </si>
  <si>
    <t>CATH LAB - HEART CATH</t>
  </si>
  <si>
    <t>CEMETERY</t>
  </si>
  <si>
    <t>CHILD CARE SERVICES</t>
  </si>
  <si>
    <t>CHIROPRACTOR</t>
  </si>
  <si>
    <t>COLORECTAL CANCER SCREENING</t>
  </si>
  <si>
    <t>COMMUNITY HEALTH NURSING COORDINATORS (CHNC)</t>
  </si>
  <si>
    <t>COMMUNITY OUTREACH</t>
  </si>
  <si>
    <t>COMMUNITY RESIDENTIAL CARE (CRC)</t>
  </si>
  <si>
    <t>COMPENSATION - PENSION EXAMS</t>
  </si>
  <si>
    <t>DAY AIR CREDIT UNION</t>
  </si>
  <si>
    <t>DIABETES NURSE</t>
  </si>
  <si>
    <t>DIABETIC EDUCATION PROGRAM</t>
  </si>
  <si>
    <t>DISABLED AMERICAN VETERANS</t>
  </si>
  <si>
    <t>DOMICILIARY PROGRAM FOR HOMELESS VETERANS</t>
  </si>
  <si>
    <t>DUAL DIAGNOSIS PROGRAM (DDP)</t>
  </si>
  <si>
    <t>EBENEFITS</t>
  </si>
  <si>
    <t>ECHO</t>
  </si>
  <si>
    <t>EAR NOSE THROAT - ENT</t>
  </si>
  <si>
    <t>ELIGIBILITY MEANS TEST</t>
  </si>
  <si>
    <t>ELIGIBILITY/BENEFITS</t>
  </si>
  <si>
    <t>EMPLOYEE HEALTH</t>
  </si>
  <si>
    <t>ENDOCRINOLOGY - HORMONES</t>
  </si>
  <si>
    <t>ENVIRONMENTAL HEALTH PROGRAM</t>
  </si>
  <si>
    <t>GI CLINIC - GASTROENTEROLOGY</t>
  </si>
  <si>
    <t>GOLD TEAM (PRIMARY CARE)</t>
  </si>
  <si>
    <t>GRANT &amp; PER DIEM PROGRAM</t>
  </si>
  <si>
    <t>GREEN TEAM (PRIMARY CARE)</t>
  </si>
  <si>
    <t>HEALTH CARE FOR THE HOMELESS VETERANS (HCHV)</t>
  </si>
  <si>
    <t>HEMODIALYSIS UNIT</t>
  </si>
  <si>
    <t>HOSPITALITY DESK (FRONT LOBBY)</t>
  </si>
  <si>
    <t>HUMAN RESOURCES MANAGEMENT</t>
  </si>
  <si>
    <t>INCENTIVE THERAPY IT AND CWT</t>
  </si>
  <si>
    <t>Office</t>
  </si>
  <si>
    <t>INFECTION CONTROL</t>
  </si>
  <si>
    <t>INPATIENT REHABILITATION PROGRAM</t>
  </si>
  <si>
    <t>INPATIENT ROOMS (ICU)</t>
  </si>
  <si>
    <t>INPATIENT ROOMS (PSYCHIATRY)</t>
  </si>
  <si>
    <t>Phone Directory URL</t>
  </si>
  <si>
    <t>Services only listed in VAMC phone directory</t>
  </si>
  <si>
    <t>INPATIENT ROOMS (TELEMETRY)</t>
  </si>
  <si>
    <t>INPATIENT ROOMS SURG/MED/TELEMETRY</t>
  </si>
  <si>
    <t>INTERVENTIONAL RADIOLOGY</t>
  </si>
  <si>
    <t>KENNEDY WAY COMMUNITY LIVING CENTER</t>
  </si>
  <si>
    <t>KINESIOTHERAPY CARDIAC AND PULMONARY REHAB</t>
  </si>
  <si>
    <t>KINESIOTHERAPY CLINIC</t>
  </si>
  <si>
    <t>KINESIOTHERAPY CLINIC - FITNESS CENTER</t>
  </si>
  <si>
    <t>CREDENTIALING</t>
  </si>
  <si>
    <t>LGBT VETERANS CARE COORDINATOR</t>
  </si>
  <si>
    <t>DIRECTOR'S OFFICE</t>
  </si>
  <si>
    <t>LAB</t>
  </si>
  <si>
    <t>HEALTH BENEFITS</t>
  </si>
  <si>
    <t>INTEGRATED CARE SERVICE</t>
  </si>
  <si>
    <t>LABORATORY/RADIOLOGY</t>
  </si>
  <si>
    <t>LOAN GUARANTY</t>
  </si>
  <si>
    <t>LOGISTICS SERVICES</t>
  </si>
  <si>
    <t>PATIENT REPRESENTATIVE - FAIRBANKS</t>
  </si>
  <si>
    <t>PATIENT REPRESENTATIVE - KENAI</t>
  </si>
  <si>
    <t>MOVE - WEIGHT MANAGEMENT PRORGRAM</t>
  </si>
  <si>
    <t>MAGNETIC RESONANCE IMAGING - MRI</t>
  </si>
  <si>
    <t>SOCIAL AND BEHAVIORAL HEALTH SERVICE</t>
  </si>
  <si>
    <t>MED 1</t>
  </si>
  <si>
    <t>VA POLICE SERVICE</t>
  </si>
  <si>
    <t>ACQUISITION &amp; MATERIEL MANAGEMENT</t>
  </si>
  <si>
    <t>CONTRACTING/SMALL BUSINESS</t>
  </si>
  <si>
    <t>DAV/VOLUNTEER TRANSPORTATION NETWORK</t>
  </si>
  <si>
    <t>ENVIRONMENTAL MANAGEMENT</t>
  </si>
  <si>
    <t>ETHICS OFFICE</t>
  </si>
  <si>
    <t>MENTAL HEALTH OUTPATIENT</t>
  </si>
  <si>
    <t>FACILITY MANAGEMENT</t>
  </si>
  <si>
    <t>MENTAL HEALTH RESIDENTIAL REHABILITATION TREATMENT PROGRAM</t>
  </si>
  <si>
    <t>MILITARY SEXUAL TRAUMA - MST</t>
  </si>
  <si>
    <t>INFORMATION RESOURCE MANAGEMENT</t>
  </si>
  <si>
    <t>MEDICAL CENTER OPERATOR</t>
  </si>
  <si>
    <t>MINORITY VETERANS</t>
  </si>
  <si>
    <t>MULTIPLE SCLEROSIS CARE LIAISON</t>
  </si>
  <si>
    <t>OTOLARYNGOLOGY EAR, NOSE AND THROAT SERVICE</t>
  </si>
  <si>
    <t>PATIENT TRANSFERS</t>
  </si>
  <si>
    <t>PERSIAN GULF REGISTRY EXAMS</t>
  </si>
  <si>
    <t>PLASTIC AND RECONSTRUCTIVE SERVICES</t>
  </si>
  <si>
    <t>NEPHROLOGY - KIDNEY</t>
  </si>
  <si>
    <t>PRESCRIPTION REFILLS (AUTOMATED SYSTEM)</t>
  </si>
  <si>
    <t>NEUROLOGY CLINIC</t>
  </si>
  <si>
    <t>TELCARE</t>
  </si>
  <si>
    <t>NONVA CARE PROGRAM OFFICE</t>
  </si>
  <si>
    <t>TRAVEL/INFORMATION LOUNGE</t>
  </si>
  <si>
    <t>VETERANS BENEFITS COUNSELOR</t>
  </si>
  <si>
    <t>VETERANS CONTACT CALL CENTER</t>
  </si>
  <si>
    <t>NURSING SERVICES</t>
  </si>
  <si>
    <t>EMERGENCY HOSPITALIZATION</t>
  </si>
  <si>
    <t>GIVING</t>
  </si>
  <si>
    <t>OEF/OIF/OND POST DEPLOYMENT CLINIC</t>
  </si>
  <si>
    <t>MEDICAL STAFF OFFICE CREDENTIALING &amp; PRIVILEGING</t>
  </si>
  <si>
    <t>NEWS</t>
  </si>
  <si>
    <t>OFFICE OF VETERANS EXPERIENCE</t>
  </si>
  <si>
    <t>PARKINSON DISEASE</t>
  </si>
  <si>
    <t>OPERATION CLEAR MIND WITH K9 COCHINA</t>
  </si>
  <si>
    <t>PSYCHOLOGY</t>
  </si>
  <si>
    <t>OPTICAL SHOP - EYEGLASSES</t>
  </si>
  <si>
    <t>OPTOMETRY - APPOINTMENT</t>
  </si>
  <si>
    <t>OUTPATIENT SUBSTANCE TREATMENT PROGRAM</t>
  </si>
  <si>
    <t>PATIENT BUSINESS SERVICE</t>
  </si>
  <si>
    <t>PATIENT FINANCIAL SERVICES</t>
  </si>
  <si>
    <t>AMERICAN INDIAN PROGRAM COORDINATOR</t>
  </si>
  <si>
    <t>PHYSICAL MEDICINE AND REHABILITATION CLINIC</t>
  </si>
  <si>
    <t>CARE MANAGEMENT AND SOCIAL WORK SERVICE</t>
  </si>
  <si>
    <t>COMMUNITY LIVING CENTER (CLC) A</t>
  </si>
  <si>
    <t>COMMUNITY LIVING CENTER (CLC) B</t>
  </si>
  <si>
    <t>COMMUNITY LIVING CENTER (CLC) DIETITIAN</t>
  </si>
  <si>
    <t>DIET OFFICE</t>
  </si>
  <si>
    <t>POLYSUBSTANCE REHABILITATION PROGRAM</t>
  </si>
  <si>
    <t>ENDOSCOPY</t>
  </si>
  <si>
    <t>ENGINEERING HVAC ISSUES</t>
  </si>
  <si>
    <t>FINANCE</t>
  </si>
  <si>
    <t>POST-TRAUMATIC STRESS DISORDER PROGRAM</t>
  </si>
  <si>
    <t>FREEDOM OF INFORMATION ACT</t>
  </si>
  <si>
    <t>HOME BASED PRIMARY CARE DIETITIAN</t>
  </si>
  <si>
    <t>INTENSIVE CARE UNIT</t>
  </si>
  <si>
    <t>KITCHEN</t>
  </si>
  <si>
    <t>PROSTHETIC TREATMENT CENTER</t>
  </si>
  <si>
    <t>MED SURG</t>
  </si>
  <si>
    <t>MILITARY SEXUAL TRAUMA COORDINATOR</t>
  </si>
  <si>
    <t>NURSE RECRUITER</t>
  </si>
  <si>
    <t>OPERATING ROOM</t>
  </si>
  <si>
    <t>PSYCHIATRY  OUTPATIENT</t>
  </si>
  <si>
    <t>QUALITY, SAFETY, VALUE</t>
  </si>
  <si>
    <t>PSYCHOSOCIAL REHABILITATION PROGRAM</t>
  </si>
  <si>
    <t>SAFETY</t>
  </si>
  <si>
    <t>PSYCHOSOCIAL REHABILITATION AND RECOVERY CENTER</t>
  </si>
  <si>
    <t>SYSTEMS REDESIGN/LEAN</t>
  </si>
  <si>
    <t>TRANSITION AND CARE MANAGEMENT AMARILLO</t>
  </si>
  <si>
    <t>TRANSITION AND CARE MANAGEMENT LUBBOCK</t>
  </si>
  <si>
    <t>PULMONARY LAB</t>
  </si>
  <si>
    <t>RADIATION THERAPY/ONCOLOGY</t>
  </si>
  <si>
    <t>READJUSTMENT COUNSELING</t>
  </si>
  <si>
    <t>CAFETERIA</t>
  </si>
  <si>
    <t>COFFEE SHOP</t>
  </si>
  <si>
    <t>RED TEAM (PRIMARY CARE)</t>
  </si>
  <si>
    <t>DISABLED AMERICAN VETERANS (DAV)</t>
  </si>
  <si>
    <t>EYE CENTER</t>
  </si>
  <si>
    <t>FLU SHOTS</t>
  </si>
  <si>
    <t>FOOT CLINIC</t>
  </si>
  <si>
    <t>RENAL CLINIC</t>
  </si>
  <si>
    <t>INFORMATION DESK</t>
  </si>
  <si>
    <t>RESPIRATORY</t>
  </si>
  <si>
    <t>NURSE RECRUITMENT</t>
  </si>
  <si>
    <t>PATIENT ADVOCATES - ANN ARBOR MEDICAL CENTER</t>
  </si>
  <si>
    <t>PATIENT ADVOCATES - FLINT CBOC</t>
  </si>
  <si>
    <t>PATIENT ADVOCATES - JACKSON CBOC</t>
  </si>
  <si>
    <t>PATIENT ADVOCATES - TOLEDO CBOC</t>
  </si>
  <si>
    <t>SAM UNIT</t>
  </si>
  <si>
    <t>URGENT CARE CLINIC</t>
  </si>
  <si>
    <t>VETERAN HEALTH EDUCATION RESOURCE CENTER</t>
  </si>
  <si>
    <t>VETERANS OF FOREIGN WARS</t>
  </si>
  <si>
    <t>SPECIALTY CLINIC LAB - MICROBIOLOGY</t>
  </si>
  <si>
    <t>SPECIALTY CLINIC LAB - SENDOUTS</t>
  </si>
  <si>
    <t>PATIENT REPRESENTATIVES</t>
  </si>
  <si>
    <t>VOLUNTEER OR DONATE</t>
  </si>
  <si>
    <t>TSES</t>
  </si>
  <si>
    <t>ANONYMOUS PATIENT INCIDENT REPORTING</t>
  </si>
  <si>
    <t>APPOINTMENTS- TO MAKE/CHANGE/CANCEL</t>
  </si>
  <si>
    <t>BRONZE TEAM (SENIORS)</t>
  </si>
  <si>
    <t>COPAYS AND CHARGES INFORMATION</t>
  </si>
  <si>
    <t>THERAPEUTIC SUPPORTED EMPLOYMENT SERVICES</t>
  </si>
  <si>
    <t>DIETICIAN</t>
  </si>
  <si>
    <t>DRIVER REHABILITATION</t>
  </si>
  <si>
    <t>ENT</t>
  </si>
  <si>
    <t>THORACIC SURGERY CLINIC</t>
  </si>
  <si>
    <t>GI LAB</t>
  </si>
  <si>
    <t>GULF WAR/AGENT ORANGE /POW SPECIALTY PROGRAMS</t>
  </si>
  <si>
    <t>HAND</t>
  </si>
  <si>
    <t>HEPATOLOGY</t>
  </si>
  <si>
    <t>TRANSPLANT</t>
  </si>
  <si>
    <t>MENTAL HEALTH SERVICE LINE</t>
  </si>
  <si>
    <t>MENTAL HEALTH SERVICE LINE - PRRC</t>
  </si>
  <si>
    <t>MENTAL HEALTH SERVICE LINE - TRP</t>
  </si>
  <si>
    <t>MENTAL HEALTH, INPATIENT, 4TH FLR.</t>
  </si>
  <si>
    <t>MENTAL HEALTH, TEAM 1</t>
  </si>
  <si>
    <t>TRAVEL CLERK</t>
  </si>
  <si>
    <t>MENTAL HEALTH, TEAM 2</t>
  </si>
  <si>
    <t>MENTAL HEALTH, TEAM 3</t>
  </si>
  <si>
    <t>TRICARE COORDINATOR</t>
  </si>
  <si>
    <t>MENTAL HEALTH, TEAM 4</t>
  </si>
  <si>
    <t>MOBILE MAMMOGRAM</t>
  </si>
  <si>
    <t>NEUROLOGY NURSE</t>
  </si>
  <si>
    <t>NURSING EDUCATION</t>
  </si>
  <si>
    <t>NUTRITION</t>
  </si>
  <si>
    <t>OEF/OIF PROGRAM</t>
  </si>
  <si>
    <t>OPTICAL SHOP</t>
  </si>
  <si>
    <t>VBA CH. 31</t>
  </si>
  <si>
    <t>VASCULAR SURGERY CLINIC</t>
  </si>
  <si>
    <t>VET CENTER (FOR READJUSTMENT COUNSELING)</t>
  </si>
  <si>
    <t>PLATINUM</t>
  </si>
  <si>
    <t>POLICE AND SECURITY SERVICE</t>
  </si>
  <si>
    <t>VETERANS CARE COORDINATOR</t>
  </si>
  <si>
    <t>PUBLIC TRANSPORTATION</t>
  </si>
  <si>
    <t>VETERANS INDUSTRIES</t>
  </si>
  <si>
    <t>RENAL</t>
  </si>
  <si>
    <t>VETERANS JUSTICE OUTREACH (VJO) PROGRAM</t>
  </si>
  <si>
    <t>RESEARCH - CLINICAL STUDIES CENTER</t>
  </si>
  <si>
    <t>VETERANS SERVICE ORGANIZATIONS</t>
  </si>
  <si>
    <t>SOCIAL WORKER</t>
  </si>
  <si>
    <t>VA REGIONAL OFFICE</t>
  </si>
  <si>
    <t>VASCULAR LAB/CLINIC</t>
  </si>
  <si>
    <t>VETERAN LEARNING CENTER</t>
  </si>
  <si>
    <t>VETERANS READJUSTMENT PROGRAM</t>
  </si>
  <si>
    <t>VISUAL IMPAIRED</t>
  </si>
  <si>
    <t>WOMENS WELLNESS</t>
  </si>
  <si>
    <t>AUTOMATED PRESCRIPTION REFILL LINE</t>
  </si>
  <si>
    <t>BILLING AND INSURANCE - DOWNTOWN DIVISION</t>
  </si>
  <si>
    <t>VISUAL IMPAIRMENT SERVICES AND TEAM (VIST)</t>
  </si>
  <si>
    <t>BILLING AND INSURANCE - UPTOWN DIVISION</t>
  </si>
  <si>
    <t>CANTEEN - DOWNTOWN DIVISION</t>
  </si>
  <si>
    <t>CANTEEN - UPTOWN DIVISION</t>
  </si>
  <si>
    <t>WOMEN'S CENTER</t>
  </si>
  <si>
    <t>COMMUNITY LIVING CENTERS</t>
  </si>
  <si>
    <t>COMMUNITY RESIDENTIAL CARE</t>
  </si>
  <si>
    <t>COORDINATOR COMMUNITY SERVICES</t>
  </si>
  <si>
    <t>WOUND CLINIC</t>
  </si>
  <si>
    <t>EMERGENCY SERVICES</t>
  </si>
  <si>
    <t>X-RAY/RADIOLOGY CHECK IN</t>
  </si>
  <si>
    <t>LOCAL RECOVERY COORDINATOR</t>
  </si>
  <si>
    <t>denver</t>
  </si>
  <si>
    <t>PATIENT ADVOCATES - DOWNTOWN DIVISION</t>
  </si>
  <si>
    <t>PATIENT ADVOCATES - UPTOWN DIVISION</t>
  </si>
  <si>
    <t>COLORADO SPRINGS SURGICAL SERVICES</t>
  </si>
  <si>
    <t>GERIATRIC RESEARCH, EDUCATION AND CLINICAL CENTER</t>
  </si>
  <si>
    <t>RELEASE OF INFORMATION - DOWNTOWN DIVISION</t>
  </si>
  <si>
    <t>RELEASE OF INFORMATION - UPTOWN DIVISION</t>
  </si>
  <si>
    <t>RETAIL STORE (BOTH DIVISIONS)</t>
  </si>
  <si>
    <t>TELEPHONE CARE/NURSE CALL CENTER</t>
  </si>
  <si>
    <t>VALET PARKING (FREE SERVICE) - DOWNTOWN DIVISION</t>
  </si>
  <si>
    <t>VALET PARKING (FREE SERVICE) - UPTOWN DIVISION</t>
  </si>
  <si>
    <t>VOLUNTARY SERVICE - DOWNTOWN DIVISION</t>
  </si>
  <si>
    <t>VOLUNTARY SERVICE - UPTOWN DIVISION</t>
  </si>
  <si>
    <t>ACQUISITION AND MATERIAL MANAGEMENT</t>
  </si>
  <si>
    <t>detroit</t>
  </si>
  <si>
    <t>ACUTE PSYCHIATRIC SERVICE</t>
  </si>
  <si>
    <t>BILLING INFORMATION</t>
  </si>
  <si>
    <t>CLINICAL NEUROPSYCHOLOGY</t>
  </si>
  <si>
    <t>COMPLIANCE OFFICE</t>
  </si>
  <si>
    <t>COMPENSATED WORK THERAPY PROGRAMS</t>
  </si>
  <si>
    <t>CONGESTIVE HEART FAILURE; CARDIOVASCULAR SERVICE LINE</t>
  </si>
  <si>
    <t>INFORMATION SYSTEMS</t>
  </si>
  <si>
    <t>MEDICAL CENTER</t>
  </si>
  <si>
    <t>PERFORMANCE MANAGEMENT</t>
  </si>
  <si>
    <t>PRINT SHOP</t>
  </si>
  <si>
    <t>TRICARE</t>
  </si>
  <si>
    <t>BARBER SHOP</t>
  </si>
  <si>
    <t>EAR, NOSE AND THROAT CLINIC</t>
  </si>
  <si>
    <t>GASTROENTEROLOGY AND HEPATOLOGY SERVICE</t>
  </si>
  <si>
    <t>HEPATITIS C SUPPORT GROUP</t>
  </si>
  <si>
    <t>INFORMATION MANAGEMENT SERVICE</t>
  </si>
  <si>
    <t>HIV/AIDS DISEASE MANAGEMENT: MISSION STATEMENT-PROMOTING QUALITY OF LIFE ONE VETERAN AT A TIME</t>
  </si>
  <si>
    <t>NEW VETERAN ENROLLEE ORIENTATION</t>
  </si>
  <si>
    <t>HEMATOLOGY, ONCOLOGY AND CHEMOTHERAPY</t>
  </si>
  <si>
    <t>PATIENT ADVOCATE - WYOMING CBOC</t>
  </si>
  <si>
    <t>PATIENT ADVOCATES - BATTLE CREEK</t>
  </si>
  <si>
    <t>POOL HOURS</t>
  </si>
  <si>
    <t>INTERNAL MEDICINE</t>
  </si>
  <si>
    <t>REGISTRY EXAMINATIONS</t>
  </si>
  <si>
    <t>MEDICAL SPECIALTIES</t>
  </si>
  <si>
    <t>RURAL HEALTH INITIATIVES</t>
  </si>
  <si>
    <t>TRAVELING VETERAN COORDINATOR</t>
  </si>
  <si>
    <t>MENTAL HEALTH INTAKE SERVICE</t>
  </si>
  <si>
    <t>VA SHUTTLE EXPRESS</t>
  </si>
  <si>
    <t>NEPHROLOGY (RENAL MEDICINE)</t>
  </si>
  <si>
    <t>FORMER PRISONERS OF WAR BENEFITS TEAM</t>
  </si>
  <si>
    <t>ADULT DAY CARE</t>
  </si>
  <si>
    <t>CANTEEN CAFETERIA AND STORE</t>
  </si>
  <si>
    <t>PHARMACY ANTICOAGULATION CLINIC</t>
  </si>
  <si>
    <t>POST TRAUMATIC STRESS DISORDER (PTSD) TEAM</t>
  </si>
  <si>
    <t>PRIMARY CARE - MENTAL HEALTH INTEGRATION PC-MHI</t>
  </si>
  <si>
    <t>EAR, NOSE, AND THROAT</t>
  </si>
  <si>
    <t>PULMONARY SERVICE LINE</t>
  </si>
  <si>
    <t>MINORITY VETERAN PROGRAM COORDINATOR</t>
  </si>
  <si>
    <t>SLEEP DISORDERS CENTER</t>
  </si>
  <si>
    <t>A&amp;MM</t>
  </si>
  <si>
    <t>CHIEF OF STAFF</t>
  </si>
  <si>
    <t>DIRECTORS SUITE</t>
  </si>
  <si>
    <t>SUBSTANCE USE DISORDER SERVICES (SUDS)</t>
  </si>
  <si>
    <t>EDUCATION CENTER (518)</t>
  </si>
  <si>
    <t>FMS</t>
  </si>
  <si>
    <t>FISCAL</t>
  </si>
  <si>
    <t>FOOD &amp; NUTRITION</t>
  </si>
  <si>
    <t>TBI/POLYTRAUMA CLINIC</t>
  </si>
  <si>
    <t>VIST (VISUAL IMPAIRMENT SERVICES TEAM)</t>
  </si>
  <si>
    <t>PUBLIC AFFAIRS/MEDIA INQUIRIES</t>
  </si>
  <si>
    <t>SMOKING CESSATION PROGRAM FOR VETERANS</t>
  </si>
  <si>
    <t>VOLUNTEER AND COMMUNITY RELATIONS</t>
  </si>
  <si>
    <t>dublin</t>
  </si>
  <si>
    <t>VOLUNTEER SERVICE</t>
  </si>
  <si>
    <t>MOVE PROGRAM</t>
  </si>
  <si>
    <t>MEDICAL FOSTER HOME (MFH) PROGRAM</t>
  </si>
  <si>
    <t>CONTACT</t>
  </si>
  <si>
    <t>CONTACTS</t>
  </si>
  <si>
    <t>VISITORS</t>
  </si>
  <si>
    <t>TRANSITION CARE MANAGEMENT - TCM</t>
  </si>
  <si>
    <t>durham</t>
  </si>
  <si>
    <t>GASTROINTESTINAL AND ENDOSCOPY</t>
  </si>
  <si>
    <t>VA TEACHER AMBASSADOR PROGRAM</t>
  </si>
  <si>
    <t>GERIATRICS AND EXTENDED CARE SERVICES</t>
  </si>
  <si>
    <t>DIAGNOSTICS</t>
  </si>
  <si>
    <t>ELIGIBILITY - FORT MEADE CAMPUS</t>
  </si>
  <si>
    <t>ELIGIBILITY - HOT SPRINGS CAMPUS</t>
  </si>
  <si>
    <t>FREEDOM OF INFORMATION ACT REQUESTS</t>
  </si>
  <si>
    <t>LOST AND FOUND - FORT MEADE CAMPUS</t>
  </si>
  <si>
    <t>LOST AND FOUND - HOT SPRINGS CAMPUS</t>
  </si>
  <si>
    <t>NURSE ADVICE LINE</t>
  </si>
  <si>
    <t>PRIMARY AND SPECIALTY MEDICINE</t>
  </si>
  <si>
    <t>RELIGIOUS SERVICES - FORT MEADE CAMPUS</t>
  </si>
  <si>
    <t>RELIGIOUS SERVICES - HOT SPRINGS CAMPUS</t>
  </si>
  <si>
    <t>PHARMACY SERVICE</t>
  </si>
  <si>
    <t>RETAIL SERVICES</t>
  </si>
  <si>
    <t>SECURITY - FORT MEADE CAMPUS</t>
  </si>
  <si>
    <t>SECURITY - HOT SPRINGS CAMPUS</t>
  </si>
  <si>
    <t>PHYSICAL THERAPY ORTHOPAEDIC RESIDENCY PROGRAM</t>
  </si>
  <si>
    <t>PRIMARY CARE (AMBULATORY CARE)</t>
  </si>
  <si>
    <t>VA NURSE</t>
  </si>
  <si>
    <t>PSYCHOLOGY TRAINING</t>
  </si>
  <si>
    <t>VOLUNTARY SERVICE - FORT MEADE CAMPUS</t>
  </si>
  <si>
    <t>VOLUNTARY SERVICE - HOT SPRINGS CAMPUS</t>
  </si>
  <si>
    <t>BOISE VA MEDICAL CENTER</t>
  </si>
  <si>
    <t>CAFETERIA AND RETAIL STORE</t>
  </si>
  <si>
    <t>SPINAL CORD INJURY DISEASE</t>
  </si>
  <si>
    <t>TRANSITIONAL CARE (TLC) PARTNERS PROGRAM</t>
  </si>
  <si>
    <t>CONTACT THE VA BOSTON HEALTHCARE SYSTEM</t>
  </si>
  <si>
    <t>DONATE OR VOLUNTEER</t>
  </si>
  <si>
    <t>URGENT CARE (QUESTIONS ONLY)</t>
  </si>
  <si>
    <t>MEDIA AND NEWS</t>
  </si>
  <si>
    <t>SHORT TERM CASE MANAGEMENT</t>
  </si>
  <si>
    <t>VA BENEFICIARY TRAVEL</t>
  </si>
  <si>
    <t>ELIGIBILITY OFFICE</t>
  </si>
  <si>
    <t>FORMER-POW ADVOCATE</t>
  </si>
  <si>
    <t>GERIATRIC RESEARCH, EDUCATION &amp; CLINICAL CENTER (GRECC)</t>
  </si>
  <si>
    <t>elpaso</t>
  </si>
  <si>
    <t>TRAVEL</t>
  </si>
  <si>
    <t>EL PASO VA PSYCHOLOGY INTERNSHIP PROGRAM</t>
  </si>
  <si>
    <t>CONTRACTING SERVICES</t>
  </si>
  <si>
    <t>ENVIRONMENTAL FACILITY MANAGEMENT</t>
  </si>
  <si>
    <t>PATIENT INFORMATION DESK</t>
  </si>
  <si>
    <t>TRAVEL INFORMATION</t>
  </si>
  <si>
    <t>VETERANS SERVICE CENTER</t>
  </si>
  <si>
    <t>VETERANS TRANSPORTATION SERVICES</t>
  </si>
  <si>
    <t>OPTOMETRY AND OPHTHALMOLOGY</t>
  </si>
  <si>
    <t>erie</t>
  </si>
  <si>
    <t>AMBULATORY SURGERY CENTER</t>
  </si>
  <si>
    <t>ASSOCIATE DIRECTOR FOR PATIENT NURSING SERVICES</t>
  </si>
  <si>
    <t>COMPLIANCE</t>
  </si>
  <si>
    <t>CONTACT US</t>
  </si>
  <si>
    <t>CONTRACTING SERVICES (SMALL BUSINESS SPECIALIST)</t>
  </si>
  <si>
    <t>FIRE EMERGENCY</t>
  </si>
  <si>
    <t>GARDEN VIEW - COMMUNITY LIVING CENTER</t>
  </si>
  <si>
    <t>GLADWIN HALL A COMMUNITY LIVING CENTER</t>
  </si>
  <si>
    <t>GLADWIN HALL B COMMUNITY LIVING CENTER</t>
  </si>
  <si>
    <t>GOLDEN MEMORIES COMMUNITY LIVING CENTER</t>
  </si>
  <si>
    <t>OUTPATIENT CLINICS (BLUE TEAM, RED TEAM)</t>
  </si>
  <si>
    <t>PATIENT FUNDS</t>
  </si>
  <si>
    <t>PATIENT REPRESENTATIVE</t>
  </si>
  <si>
    <t>PATIENT SAFETY</t>
  </si>
  <si>
    <t>VETERAN CONTACT CALL CENTER</t>
  </si>
  <si>
    <t>WARD 8B</t>
  </si>
  <si>
    <t>CANTEEN - MONTGOMERY-WEST CAMPUS</t>
  </si>
  <si>
    <t>CANTEEN - TUSKEGEE-EAST CAMPUS</t>
  </si>
  <si>
    <t>CAREERS - MONTGOMERY-WEST CAMPUS</t>
  </si>
  <si>
    <t>CAREERS - TUSKEGEE-EAST CAMPUS</t>
  </si>
  <si>
    <t>CHAPLAIN SERVICE - MONTGOMERY-WEST CAMPUS</t>
  </si>
  <si>
    <t>CHAPLAIN SERVICE - TUSKEGEE-EAST CAMPUS</t>
  </si>
  <si>
    <t>COMPENSATION AND PENSION - TUSKEGEE- EAST CAMPUS</t>
  </si>
  <si>
    <t>ELIGIBILITY - MONTGOMERY-WEST CAMPUS</t>
  </si>
  <si>
    <t>ELIGIBILITY - TUSKEGEE-EAST CAMPUS</t>
  </si>
  <si>
    <t>LOST AND FOUND - MONTGOMERY-WEST CAMPUS</t>
  </si>
  <si>
    <t>LOST AND FOUND - TUSKEGEE EAST CAMPUS</t>
  </si>
  <si>
    <t>PATIENT ADVOCATES - MONTGOMERY-WEST CAMPUS</t>
  </si>
  <si>
    <t>PATIENT ADVOCATES - TUSKEGEE-EAST CAMPUS</t>
  </si>
  <si>
    <t>PATIENT EDUCATION CENTER - MONTGOMERY-WEST CAMPUS</t>
  </si>
  <si>
    <t>PATIENT EDUCATION CENTER - TUSKEGEE-EAST CAMPUS</t>
  </si>
  <si>
    <t>PATIENT LOCATION - MONTGOMERY-WEST CAMPUS</t>
  </si>
  <si>
    <t>fargo</t>
  </si>
  <si>
    <t>PATIENT LOCATION - TUSKEGEE-EAST CAMPUS</t>
  </si>
  <si>
    <t>AMERICAN INDIAN OUTREACH AND SERVICES</t>
  </si>
  <si>
    <t>RELEASE OF INFORMATION - MONTGOMERY-WEST CAMPUS</t>
  </si>
  <si>
    <t>RELEASE OF INFORMATION - TUSKEGEE-EAST CAMPUS</t>
  </si>
  <si>
    <t>RETAIL STORE - MONTGOMERY-WEST CAMPUS</t>
  </si>
  <si>
    <t>RETAIL STORE - TUSKEGEE-EAST CAMPUS</t>
  </si>
  <si>
    <t>CANCER PROGRAM</t>
  </si>
  <si>
    <t>SECURITY - MONTGOMERY-WEST CAMPUS</t>
  </si>
  <si>
    <t>SECURITY - TUSKEGEE-EAST CAMPUS</t>
  </si>
  <si>
    <t>CARE IN THE COMMUNITY - VA COMMUNITY CARE - VETERANS CHOICE PROGRAM INFO</t>
  </si>
  <si>
    <t>TRAINEE PROGRAM</t>
  </si>
  <si>
    <t>VOLUNTARY SERVICE - MONTGOMERY-WEST CAMPUS</t>
  </si>
  <si>
    <t>VOLUNTARY SERVICE - TUSKEGEE-EAST CAMPUS</t>
  </si>
  <si>
    <t>BLIND REHABILITATION SERVICES</t>
  </si>
  <si>
    <t>CARROLL CLINIC</t>
  </si>
  <si>
    <t>COMPLIANCE OFFICER</t>
  </si>
  <si>
    <t>DES MOINES CLINIC</t>
  </si>
  <si>
    <t>DAISY AWARD</t>
  </si>
  <si>
    <t>DEMENTIA CARE CLINIC</t>
  </si>
  <si>
    <t>FORT DODGE CLINIC</t>
  </si>
  <si>
    <t>KNOXVILLE CLINIC</t>
  </si>
  <si>
    <t>DOMESTIC VIOLENCE/INTIMATE PARTNER VIOLENCE</t>
  </si>
  <si>
    <t>MARSHALLTOWN CLINIC</t>
  </si>
  <si>
    <t>MASON CITY CLINIC</t>
  </si>
  <si>
    <t>EMPLOYEE EDUCATION</t>
  </si>
  <si>
    <t>INFECTION PREVENTION AND CONTROL</t>
  </si>
  <si>
    <t>MEDICAL ADMINISTRATION</t>
  </si>
  <si>
    <t>HONORS ESCORT</t>
  </si>
  <si>
    <t>NURSING</t>
  </si>
  <si>
    <t>HOSPICE AND PALLIATIVE CARE PROGRAM</t>
  </si>
  <si>
    <t>PATIENT ADMINISTRATION</t>
  </si>
  <si>
    <t>HOUSING ASSISTANCE</t>
  </si>
  <si>
    <t>IMAGING DEPARTMENT - RADIOLOGY</t>
  </si>
  <si>
    <t>APPOINTMENTS, MEDICAL</t>
  </si>
  <si>
    <t>INPATIENT MEDICAL-SURGICAL UNIT</t>
  </si>
  <si>
    <t>ELIGIBILITY CLERK</t>
  </si>
  <si>
    <t>NON-VA CARE BILLING OFFICE (FEE SERVICE)</t>
  </si>
  <si>
    <t>MEDICAL FOSTER HOME PROGRAM (MFH)</t>
  </si>
  <si>
    <t>TRANSPORTATION</t>
  </si>
  <si>
    <t>MYHEALTHEVET PROGRAM</t>
  </si>
  <si>
    <t>VETERANS BENEFITS</t>
  </si>
  <si>
    <t>NURSING INTEGRATIVE HEALING THERAPIES</t>
  </si>
  <si>
    <t>VOLUNTEER PROGRAM</t>
  </si>
  <si>
    <t>NUTRITION EDUCATION</t>
  </si>
  <si>
    <t>PATIENT EDUCATION CLASSES</t>
  </si>
  <si>
    <t>CARDIO-THORACIC SURGERY</t>
  </si>
  <si>
    <t>CASE MANAGEMENT (MHICM)</t>
  </si>
  <si>
    <t>COMMUNITY LIVING CENTER (NURSING HOME)</t>
  </si>
  <si>
    <t>POLICE SERVICES</t>
  </si>
  <si>
    <t>COUPLES THERAPY</t>
  </si>
  <si>
    <t>ELECTROCONVULSIVE THERAPY</t>
  </si>
  <si>
    <t>ELIGIBILITY AND ENROLLMENT</t>
  </si>
  <si>
    <t>PROSTHETICS AND SENSORY AIDS SERVICES</t>
  </si>
  <si>
    <t>FPOW ADVOCATE</t>
  </si>
  <si>
    <t>RENAL TRANSPLANT COORDINATION</t>
  </si>
  <si>
    <t>INTERVENTIONAL CARDIOLOGY</t>
  </si>
  <si>
    <t>LESBIAN, GAY, BISEXUAL AND TRANSGENDER (LGBT) PROGRAM</t>
  </si>
  <si>
    <t>MENTAL HEALTH DAY HOSPITAL</t>
  </si>
  <si>
    <t>MENTAL HEALTH INTENSIVE</t>
  </si>
  <si>
    <t>SAFE PATIENT HANDLING PROGRAM</t>
  </si>
  <si>
    <t>NEWS MEDIA/PUBLIC AFFAIRS</t>
  </si>
  <si>
    <t>NURSING STAFF</t>
  </si>
  <si>
    <t>PTSD</t>
  </si>
  <si>
    <t>SPINAL CORD INJURY AND DISORDERS CLINIC</t>
  </si>
  <si>
    <t>STEPPING ON - FALL PREVENTION PROGRAM</t>
  </si>
  <si>
    <t>THERAPY SERVICES (PT, OT, SPEECH AND RECREATION)</t>
  </si>
  <si>
    <t>TOBACCO CESSATION TREATMENT</t>
  </si>
  <si>
    <t>VETERANS CHOICE NAVIGATOR</t>
  </si>
  <si>
    <t>VLER</t>
  </si>
  <si>
    <t>BILLING AND PAYMENTS</t>
  </si>
  <si>
    <t>VETERANS DROP-IN CENTER</t>
  </si>
  <si>
    <t>CAREERS AND JOBS</t>
  </si>
  <si>
    <t>PATIENT ADVOCACY</t>
  </si>
  <si>
    <t>VOLUNTEERS</t>
  </si>
  <si>
    <t>ADMINISTRATIVE</t>
  </si>
  <si>
    <t>WOMEN VETERAN PROGRAM MANAGER</t>
  </si>
  <si>
    <t>fayettevillear</t>
  </si>
  <si>
    <t>BILLING &amp; INSURANCE</t>
  </si>
  <si>
    <t>DENTAL - ADVANCED EDUCATION IN GENERAL DENTISTRY</t>
  </si>
  <si>
    <t>FAYETTEVILLE VET CENTER</t>
  </si>
  <si>
    <t>VOLUNTARY OFFICE</t>
  </si>
  <si>
    <t>A MAIN LINE NUMBER</t>
  </si>
  <si>
    <t>ADMISSIONS/URGENT CARE</t>
  </si>
  <si>
    <t>HOME AND COMMUNITY CARE</t>
  </si>
  <si>
    <t>ATHENS COMMUNITY-BASED OUTPATIENT CLINIC</t>
  </si>
  <si>
    <t>LESBIAN, GAY, BISEXUAL, TRANSGENDER VETERANS</t>
  </si>
  <si>
    <t>CAMBRIDGE COMMUNITY-BASED OUTPATIENT CLINIC</t>
  </si>
  <si>
    <t>CANTEEN FOOD COURT</t>
  </si>
  <si>
    <t>MEDICINE</t>
  </si>
  <si>
    <t>MENTAL HEALTH INTENSIVE CASE MANAGEMENT (MHICM)</t>
  </si>
  <si>
    <t>MINORITY VETERANS PROGRAM (MVP)</t>
  </si>
  <si>
    <t>LANCASTER COMMUNITY-BASED OUTPATIENT CLINIC</t>
  </si>
  <si>
    <t>MARIETTA COMMUNITY-BASED OUTPATIENT CLINIC</t>
  </si>
  <si>
    <t>OFFICE OF VETERAN EXPERIENCE</t>
  </si>
  <si>
    <t>OUTREACH PROGRAM</t>
  </si>
  <si>
    <t>PATIENT LOCATOR</t>
  </si>
  <si>
    <t>POLICE DEPARTMENT</t>
  </si>
  <si>
    <t>PORTSMOUTH COMMUNITY-BASED OUTPATIENT CLINIC</t>
  </si>
  <si>
    <t>TRANSPORTATION REQUEST</t>
  </si>
  <si>
    <t>VETERAN EXPERIENCE SPECIALISTS</t>
  </si>
  <si>
    <t>PROSTHETIC &amp; SENSORY AIDS SERVICE (PSAS)</t>
  </si>
  <si>
    <t>ALLERGY CLINIC</t>
  </si>
  <si>
    <t>BE INVOLVED IN YOUR HEALTHCARE</t>
  </si>
  <si>
    <t>BE PHYSICALLY ACTIVE</t>
  </si>
  <si>
    <t>BE TOBACCO FREEE</t>
  </si>
  <si>
    <t>CHIROPRACTIC CARE CLINIC</t>
  </si>
  <si>
    <t>EAT WISELY</t>
  </si>
  <si>
    <t>VETERANS JUSTICE OUTREACH - ARKANSAS</t>
  </si>
  <si>
    <t>FEEL SPIRITUALLY CONNECTED</t>
  </si>
  <si>
    <t>HAMILTON_CBOC</t>
  </si>
  <si>
    <t>HEAD AND NECK: CANCER SUPPORT GROUP</t>
  </si>
  <si>
    <t>VETERANS JUSTICE OUTREACH PROGRAM - SOUTHWEST MISSOURI</t>
  </si>
  <si>
    <t>HEALTHY TEACHING KITCHEN</t>
  </si>
  <si>
    <t>HEALTHY U</t>
  </si>
  <si>
    <t>INPATIENT BEHAVIOR HEALTHCARE</t>
  </si>
  <si>
    <t>WHOLE HEALTH AND COMPLEMENTARY INTEGRATIVE HEALTH APPROACHES</t>
  </si>
  <si>
    <t>LIMIT ALCOHOL</t>
  </si>
  <si>
    <t>MANAGE STRESS</t>
  </si>
  <si>
    <t>fayettevillenc</t>
  </si>
  <si>
    <t>MATTER OF BALANCE</t>
  </si>
  <si>
    <t>MENTAL HEALTH EDUCATION AND TRAINING</t>
  </si>
  <si>
    <t>MILITARY SEXUAL TRAUMA SUPPORT GROUP</t>
  </si>
  <si>
    <t>MINDFULNESS MEDITATION</t>
  </si>
  <si>
    <t>NAMI HOMEFRONT</t>
  </si>
  <si>
    <t>ONLINE PARENTING SKILLS</t>
  </si>
  <si>
    <t>OPIATE SUBSTITUTION - METHADONE MAINTENANCE</t>
  </si>
  <si>
    <t>ORTHOTIC - BRACE SHOP</t>
  </si>
  <si>
    <t>HEALTH PROMOTION &amp; DISEASE PREVENTION</t>
  </si>
  <si>
    <t>PRIMARY CARE: MENTAL HEALTH INTEGRATION (MHI)</t>
  </si>
  <si>
    <t>RED CARPET WELCOME</t>
  </si>
  <si>
    <t>SLEEP CLINIC:  DIGMA</t>
  </si>
  <si>
    <t>SLEEP: CBT-INSOMNIA</t>
  </si>
  <si>
    <t>SLEEP: CPAP/BIPAP COORDINATOR</t>
  </si>
  <si>
    <t>SUBSTANCE DEPENDENCY - BUPRENORPHINE TREATMENT CLINIC</t>
  </si>
  <si>
    <t>SUBSTANCE_DEPENDENCY-INTAKE-AND-DETOX</t>
  </si>
  <si>
    <t>SUPPORTIVE RELATIONSHIPS: WELL-BEING</t>
  </si>
  <si>
    <t>TELEMOVE</t>
  </si>
  <si>
    <t>WARRIORS 2 SOUL MATE</t>
  </si>
  <si>
    <t>SEASONAL FLU SHOTS NOW AVAILABLE FOR ENROLLED VETERANS</t>
  </si>
  <si>
    <t>WHOLE HEALTH GROUP</t>
  </si>
  <si>
    <t>YOGA</t>
  </si>
  <si>
    <t>AMERICAN FEDERATION OF GOVERNMENT EMPLOYEES</t>
  </si>
  <si>
    <t>BLUE TEAM</t>
  </si>
  <si>
    <t>BROWN TEAM</t>
  </si>
  <si>
    <t>URGENT CARE IN THE COMMUNITY QUESTIONS</t>
  </si>
  <si>
    <t>ELIGIBILITY &amp; ENROLLMENT CENTER</t>
  </si>
  <si>
    <t>EMERGENCY ROOM (ER)</t>
  </si>
  <si>
    <t>GASTROENTEROLOGY CLINIC</t>
  </si>
  <si>
    <t>fresno</t>
  </si>
  <si>
    <t>GOLD TEAM</t>
  </si>
  <si>
    <t>HEALTH EDUCATION</t>
  </si>
  <si>
    <t>GERIATRICS / EXTENDED CARE (GEC) SERVICE</t>
  </si>
  <si>
    <t>LOUIS A. JOHNSON VA MEDICAL CENTER</t>
  </si>
  <si>
    <t>PAIN CLINIC</t>
  </si>
  <si>
    <t>PATRIOT STORE</t>
  </si>
  <si>
    <t>PRISONERS OF WAR ADVOCATE</t>
  </si>
  <si>
    <t>PURPLE TEAM</t>
  </si>
  <si>
    <t>RED FIRM</t>
  </si>
  <si>
    <t>NEUROLOGY AND REHABILITATION SERVICE</t>
  </si>
  <si>
    <t>SOCIAL WORK ( PRIMARY CARE - GOLD, BROWN, PINK, WOOD, TUCKER CBOC)</t>
  </si>
  <si>
    <t>SOCIAL WORK (PRIMARY CARE - PURPLE, BLUE, MON, BRAX CBOC)</t>
  </si>
  <si>
    <t>NUTRITION &amp; FOOD SERVICE (N&amp;FS)</t>
  </si>
  <si>
    <t>SURGERY SCHEDULING</t>
  </si>
  <si>
    <t>PATHOLOGY &amp; LABORATORY MEDICINE SERVICE (PLMS)</t>
  </si>
  <si>
    <t>DIALYSIS CENTER</t>
  </si>
  <si>
    <t>FAMILY TO FAMILY PROGRAM</t>
  </si>
  <si>
    <t>PATIENT INFORMATION</t>
  </si>
  <si>
    <t>WOMEN VETERANS HEALTH CLINIC</t>
  </si>
  <si>
    <t>grandjunction</t>
  </si>
  <si>
    <t>ADDICTION SERVICES</t>
  </si>
  <si>
    <t>CARDIOPULMONARY</t>
  </si>
  <si>
    <t>COMPREHENSIVE WELLNESS CENTER</t>
  </si>
  <si>
    <t>DISCHARGE PLANNER</t>
  </si>
  <si>
    <t>HOMELESS PROGRAM</t>
  </si>
  <si>
    <t>BILLING AND MEDICAL CLAIMS - TRICARE</t>
  </si>
  <si>
    <t>DIABETES CLINIC</t>
  </si>
  <si>
    <t>HEMO-DIALYSIS</t>
  </si>
  <si>
    <t>ONCOLOGY CARE COORDINATOR</t>
  </si>
  <si>
    <t>HOME OXYGEN</t>
  </si>
  <si>
    <t>ORTHOTIC &amp; PROSTHETIC LAB</t>
  </si>
  <si>
    <t>LABORATORY SERVICES</t>
  </si>
  <si>
    <t>MAGNETIC REASONANCE IMAGING (MRI) STUDIES</t>
  </si>
  <si>
    <t>MILLION VETERAN PROGRAM - MVP</t>
  </si>
  <si>
    <t>PATIENT</t>
  </si>
  <si>
    <t>PATIENT EDUCATION RESOURCE CENTER</t>
  </si>
  <si>
    <t>RENAL/NEPHROLOGY</t>
  </si>
  <si>
    <t>RADIOLOGY/IMAGING/X-RAY</t>
  </si>
  <si>
    <t>CONTACT CENTER</t>
  </si>
  <si>
    <t>TRANSITION AND CARE MANAGEMENT PROGRAM - OEF/OIF/OND POST DEPLOYMENT CLINICS</t>
  </si>
  <si>
    <t>TELEHEALTH CARE COORDINATION</t>
  </si>
  <si>
    <t>APPOINTMENT CALL CENTER (ALL SITES)</t>
  </si>
  <si>
    <t>TRANSPORTATION DISABLED AMERICAN VETERANS</t>
  </si>
  <si>
    <t>BUSINESS COMPLIANCE OFFICE</t>
  </si>
  <si>
    <t>TRANSPORTATION: VETERAN TRANSPORTATION SERVICE</t>
  </si>
  <si>
    <t>CHIEF OF STAFF OFFICE</t>
  </si>
  <si>
    <t>CHIROPRACTICS</t>
  </si>
  <si>
    <t>CLINICAL ENGINEERING (BIOMED)</t>
  </si>
  <si>
    <t>TRAVEL OFFICE - BENEFICIARY TRAVEL</t>
  </si>
  <si>
    <t>COOPERATIVE STUDIES PROGRAM (CSP) COORDINATING CENTER</t>
  </si>
  <si>
    <t>VA COMMUNITY CARE</t>
  </si>
  <si>
    <t>COOPERATIVE STUDIES PROGRAM - CERC</t>
  </si>
  <si>
    <t>DECISION SUPPORT SYSTEM (DSS)</t>
  </si>
  <si>
    <t>WHOLE HEALTH AND LIBRARY CENTER</t>
  </si>
  <si>
    <t>ENERGY PROGRAM - CT &amp; WESTERN MA</t>
  </si>
  <si>
    <t>EXECUTIVE OFFICE</t>
  </si>
  <si>
    <t>FACILTIES MANAGEMENT SERVICE</t>
  </si>
  <si>
    <t>JOBS AND CAREERS - NEWINGTON</t>
  </si>
  <si>
    <t>JOBS AND CAREERS - WEST HAVEN</t>
  </si>
  <si>
    <t>hampton</t>
  </si>
  <si>
    <t>MENTAL ILLNESS RESEARCH, EDUCATION AND CLINICAL CENTER (MIRECC)</t>
  </si>
  <si>
    <t>PATIENT CARE SERVICES</t>
  </si>
  <si>
    <t>PATIENT TRANSPORTATION (NEWINGTON)</t>
  </si>
  <si>
    <t>PATIENT TRANSPORTATION (WEST HAVEN)</t>
  </si>
  <si>
    <t>PATRIOT BREW/COFFEE SHOP - WEST HAVEN</t>
  </si>
  <si>
    <t>PATRIOT CAFE - WEST HAVEN</t>
  </si>
  <si>
    <t>PATRIOT STORE - WEST HAVEN</t>
  </si>
  <si>
    <t>POLICE SERVICE - NEWINGTON CAMPUS</t>
  </si>
  <si>
    <t>PRESCRIPTION MAIL-OUT (AUTOMATED REFILLS)</t>
  </si>
  <si>
    <t>LOW VISION CLINIC</t>
  </si>
  <si>
    <t>RECORDS MANAGEMENT OFFICER</t>
  </si>
  <si>
    <t>RELEASE OF INFORMATION (NEWINGTON CAMPUS)</t>
  </si>
  <si>
    <t>RELEASE OF INFORMATION (WEST HAVEN CAMPUS)</t>
  </si>
  <si>
    <t>RESEARCH COMPLIANCE</t>
  </si>
  <si>
    <t>STERILE PROCESSING SERVICES</t>
  </si>
  <si>
    <t>THE PAIN, RESEARCH, INFORMATICS, MEDICAL COMORBIDITIES, AND EDUCATION (PRIME) CENTER</t>
  </si>
  <si>
    <t>VACT CHAPLAIN SERVICE</t>
  </si>
  <si>
    <t>PATIENTS/BILLING</t>
  </si>
  <si>
    <t>TELEHEALTH PROGRAM</t>
  </si>
  <si>
    <t>URGENT CARE LOCATOR</t>
  </si>
  <si>
    <t>SCHEDULING</t>
  </si>
  <si>
    <t>AMERICAN VETERAN HERITAGE CENTER (AVHC)</t>
  </si>
  <si>
    <t>VIRTUAL LIFETIME ELECTRONIC RECORD (VLER) HEALTH PROGRA</t>
  </si>
  <si>
    <t>CPAP/SLEEP STUDY</t>
  </si>
  <si>
    <t>HOME OXYGEN - CPAP (RESPIRATORY)</t>
  </si>
  <si>
    <t>INPATIENT REHAB</t>
  </si>
  <si>
    <t>hawaii</t>
  </si>
  <si>
    <t>GERIATRICS, REHABILIATION &amp; EXTENDED CARE CENTER</t>
  </si>
  <si>
    <t>LODGING SERVICES</t>
  </si>
  <si>
    <t>LESBIAN, GAY, BISEXUAL, AND TRANSGENDER (LGBT) VETERANS SERVICES</t>
  </si>
  <si>
    <t>MEDIA</t>
  </si>
  <si>
    <t>PATIENT EXPERIENCE LIAISONS/ADVOCATES</t>
  </si>
  <si>
    <t>NATIONAL CENTER-POST TRAUMATIC STRESS DISORDER</t>
  </si>
  <si>
    <t>PATRIOT CAFE</t>
  </si>
  <si>
    <t>PATRIOT MART</t>
  </si>
  <si>
    <t>POST TRAUMATIC STRESS DISORDER RECOVERY REHABILITATION PROGRAM</t>
  </si>
  <si>
    <t>TELERETINAL IMAGING</t>
  </si>
  <si>
    <t>VA COFFEE SHOP</t>
  </si>
  <si>
    <t>hines</t>
  </si>
  <si>
    <t>AMPUTATION SYSTEM OF CARE</t>
  </si>
  <si>
    <t>DAV TRANSPORTATION NETWORK</t>
  </si>
  <si>
    <t>AUDIOLOGY AND SPEECH PATHOLOGY SERVICE</t>
  </si>
  <si>
    <t>EXTENDED CARE CENTER</t>
  </si>
  <si>
    <t>BLIND REHABILITATION CENTER WELCOME</t>
  </si>
  <si>
    <t>GERIATRIC &amp; EXTENDED CARE SERVICES (G&amp;EC)</t>
  </si>
  <si>
    <t>HEALTH PROMOTION AND DISEASE PREVENTION COORDINATOR</t>
  </si>
  <si>
    <t>CARDIAC REHABILITATION</t>
  </si>
  <si>
    <t>HOME HEALTH NURSE</t>
  </si>
  <si>
    <t>LOST AND FOUND - AFTER HOURS</t>
  </si>
  <si>
    <t>MEDICATION QUESTIONS</t>
  </si>
  <si>
    <t>MINORITY VETERANS COORDINATOR</t>
  </si>
  <si>
    <t>CLINICAL INFORMATICS</t>
  </si>
  <si>
    <t>NURSE LINE</t>
  </si>
  <si>
    <t>COMMUNITY OUTREACH TEAM</t>
  </si>
  <si>
    <t>PTSD CLINICAL TEAM</t>
  </si>
  <si>
    <t>STATE DEPT. VETERANS SERVICE</t>
  </si>
  <si>
    <t>TELEPHONE CARE - AFTER HOURS</t>
  </si>
  <si>
    <t>TRAVEL PAY</t>
  </si>
  <si>
    <t>WEBSITE PROBLEMS</t>
  </si>
  <si>
    <t>INPATIENT REHABILITATION</t>
  </si>
  <si>
    <t>KINESIOTHERAPY SERVICE</t>
  </si>
  <si>
    <t>BILLING QUESTIONS</t>
  </si>
  <si>
    <t>LESBIAN, GAY, BISEXUAL, AND TRANSGENDER VETERANS</t>
  </si>
  <si>
    <t>BILLING QUESTIONS - AGENTS CASHIER WINDOW - FOR PAYMENTS ONLY</t>
  </si>
  <si>
    <t>DIABETES EDUCATION</t>
  </si>
  <si>
    <t>DIALYSIS UNIT</t>
  </si>
  <si>
    <t>NO VETERAN DIES ALONE VOLUNTEER PROGRAM</t>
  </si>
  <si>
    <t>EMG</t>
  </si>
  <si>
    <t>EAR, NOSE &amp; THROAT</t>
  </si>
  <si>
    <t>OEF/OIF POST DEPLOYMENT CENTER</t>
  </si>
  <si>
    <t>ENDOCRINE</t>
  </si>
  <si>
    <t>ORTHOPEDIC CLINIC</t>
  </si>
  <si>
    <t>GI/GASTROENTEROLOGY</t>
  </si>
  <si>
    <t>GENERAL SURGERY CLINIC</t>
  </si>
  <si>
    <t>GERIATRICS PRIMARY CARE</t>
  </si>
  <si>
    <t>HOME HEALTH AIDE SERVICE</t>
  </si>
  <si>
    <t>INFECTIOUS DISEASE CLINIC</t>
  </si>
  <si>
    <t>LGBT VETERAN CARE COORDINATOR</t>
  </si>
  <si>
    <t>LIVER CLINIC/HEPATITIS CLINIC</t>
  </si>
  <si>
    <t>MICU</t>
  </si>
  <si>
    <t>MIRECC</t>
  </si>
  <si>
    <t>MENTAL HEALTH ACCESS CENTER</t>
  </si>
  <si>
    <t>NEURODIAGNOSTIC CLINIC</t>
  </si>
  <si>
    <t>SOCIAL WORKERS AT THE HINES VAMC</t>
  </si>
  <si>
    <t>NEUROSURGERY</t>
  </si>
  <si>
    <t>NUTRITION CLINIC/MOVE</t>
  </si>
  <si>
    <t>SPEECH PATHOLOGY SPECIALTY CLINICS</t>
  </si>
  <si>
    <t>SPINAL CORD</t>
  </si>
  <si>
    <t>SUBSTANCE ABUSE RESIDENTIAL REHABILITATION TREATMENT PROGRAM (SARRTP)</t>
  </si>
  <si>
    <t>TRAUMA SERVICES PROGRAM (TSP)</t>
  </si>
  <si>
    <t>houston</t>
  </si>
  <si>
    <t>AMPUTEE SYSTEM OF CARE</t>
  </si>
  <si>
    <t>PRIVACY/FOIA</t>
  </si>
  <si>
    <t>CANCER CENTER</t>
  </si>
  <si>
    <t>PSYCHIATRY EMERGENCY CARE</t>
  </si>
  <si>
    <t>PSYCHOLOGY POSTDOCTORAL FELLOWSHIP PROGRAM</t>
  </si>
  <si>
    <t>PSYCHOSOCIAL REHAB AND RECOVERY CLINIC (PRRC)</t>
  </si>
  <si>
    <t>DIALECTICAL BEHAVIOR THERAPY PROGRAM</t>
  </si>
  <si>
    <t>REGISTRATION</t>
  </si>
  <si>
    <t>HEALTH PROMOTION &amp; DISEASE PREVENTION (HPDP)</t>
  </si>
  <si>
    <t>SICU</t>
  </si>
  <si>
    <t>SLEEP APNEA/CPAP CLINIC</t>
  </si>
  <si>
    <t>LESBIAN, GAY, BISEXUAL, AND TRANSGENDER (LGBT) PROGRAM</t>
  </si>
  <si>
    <t>SLEEP STUDY CLINIC</t>
  </si>
  <si>
    <t>MILLION VETERAN PROGRAM</t>
  </si>
  <si>
    <t>VASCULAR RADIOLOGY</t>
  </si>
  <si>
    <t>WOMEN'S HEALTH - GYNECOLOGY AND SPECIALTY CARE</t>
  </si>
  <si>
    <t>WOMEN'S HEALTH - PRIMARY CARE</t>
  </si>
  <si>
    <t>PATIENT ALIGNED CARE TEAM (PACT)</t>
  </si>
  <si>
    <t>AMBULATORY SURGERY UNIT</t>
  </si>
  <si>
    <t>AUDIOLOGY CLINIC</t>
  </si>
  <si>
    <t>CANTEEN/ RETAIL STORE</t>
  </si>
  <si>
    <t>CARDIOLOGY CLINIC</t>
  </si>
  <si>
    <t>COMMUNITY CARE SERVICES</t>
  </si>
  <si>
    <t>PROSTHETIC &amp; SENSORY AIDS SERVICE</t>
  </si>
  <si>
    <t>DIABETIC CLINIC</t>
  </si>
  <si>
    <t>EXTENDED CARE/ NONINSTITUTIONAL CARE</t>
  </si>
  <si>
    <t>MOVE/ WEIGHT MANAGEMENT CLINIC</t>
  </si>
  <si>
    <t>MRI / CT IMAGING CLINIC</t>
  </si>
  <si>
    <t>SPINAL CORD INJURY CENTER</t>
  </si>
  <si>
    <t>ONCOLOGY/ ENDOCRINE</t>
  </si>
  <si>
    <t>ORTHOPEDIC SERVICES</t>
  </si>
  <si>
    <t>SUPPORT GROUPS</t>
  </si>
  <si>
    <t>PAIN/ UROLOGY</t>
  </si>
  <si>
    <t>VISUAL IMPAIRMENT SERVICES OUTPATIENT REHABILITATION &lt;BR&gt;(VISOR) PROGRAM</t>
  </si>
  <si>
    <t>PHARMACY REPRESENTATIVE</t>
  </si>
  <si>
    <t>PHYSICAL THERAPY/ OCCUPATIONAL THERAPY/ SPEECH THERAPY</t>
  </si>
  <si>
    <t>WELLNESS AND FITNESS CENTER</t>
  </si>
  <si>
    <t>PRESCRIPTION REFILL</t>
  </si>
  <si>
    <t>hudsonvalley</t>
  </si>
  <si>
    <t>CLINICAL VIDEO TELEHEALTH</t>
  </si>
  <si>
    <t>RADIOLOGY/ ULTRASOUND</t>
  </si>
  <si>
    <t>SPECIAL EXAMS UNIT/ C&amp;P</t>
  </si>
  <si>
    <t>TRANSITION &amp; CARE MANAGEMENT (OEF/OIF/ND)</t>
  </si>
  <si>
    <t>TRAVEL CLAIMS</t>
  </si>
  <si>
    <t>VIST- VISUAL IMPAIRMENT SERVICES TEAM</t>
  </si>
  <si>
    <t>WOMEN'S &amp; GYNECOLOGY CLINIC</t>
  </si>
  <si>
    <t>EXTENDED CARE PROGRAM</t>
  </si>
  <si>
    <t>LESBIAN, GAY, BISEXUAL AND TRANSGENDER (LGBT) VETERAN CARE</t>
  </si>
  <si>
    <t>PHARMACY CLINIC</t>
  </si>
  <si>
    <t>AFTER HOURS TELEPHONE CARE</t>
  </si>
  <si>
    <t>AUDIOINQUIRY SYSTEM - CURRENT LISTING OF APPOINTMENTS</t>
  </si>
  <si>
    <t>CANTEEN - VETERANS CANTEEN SERVICE</t>
  </si>
  <si>
    <t>EEO PROGRAM MANAGER</t>
  </si>
  <si>
    <t>KIDNEY CLINIC</t>
  </si>
  <si>
    <t>SUPPORT AND FAMILY EDUCATION (SAFE) PROGRAM</t>
  </si>
  <si>
    <t>URGENT CARE SERVICES</t>
  </si>
  <si>
    <t>PHYSICIAN RECRUITER</t>
  </si>
  <si>
    <t>RETAIL STORE - VETERANS CANTEEN SERVICE PATRIOT STORE</t>
  </si>
  <si>
    <t>VETERANS JUSTICE OUTREACH PROGRAM - VJO</t>
  </si>
  <si>
    <t>CANTEEN CAFETERIA</t>
  </si>
  <si>
    <t>CANTEEN RETAIL STORE</t>
  </si>
  <si>
    <t>huntington</t>
  </si>
  <si>
    <t>BLUE TEAM PRIMARY CARE</t>
  </si>
  <si>
    <t>PATIENT ADVOCATES OFFICE</t>
  </si>
  <si>
    <t>FORMER PRISONERS OF WAR PROGRAM</t>
  </si>
  <si>
    <t>GREEN TEAM PRIMARY CARE</t>
  </si>
  <si>
    <t>MEDICAL SPECIALTY CLINIC</t>
  </si>
  <si>
    <t>MISSION ACT</t>
  </si>
  <si>
    <t>REHABILITATION PROGRAM</t>
  </si>
  <si>
    <t>PRIVACY AND FREEDOM OF INFORMATION ACT (FOIA) OFFICE</t>
  </si>
  <si>
    <t>VISUAL IMPAIRMENT PROGRAM</t>
  </si>
  <si>
    <t>TRANSITION &amp; CARE MANAGEMENT (FORMERLY OEF/OIF/OND)</t>
  </si>
  <si>
    <t>indianapolis</t>
  </si>
  <si>
    <t>URGENT CARE IN THE COMMUNITY QUESTIONS (MISSION ACT)</t>
  </si>
  <si>
    <t>APPOINTMENT</t>
  </si>
  <si>
    <t>CAFETERIA &amp; RETAIL STORE</t>
  </si>
  <si>
    <t>COMPENSATION AND PENSION (C&amp;P)</t>
  </si>
  <si>
    <t>BLOOD DRAW</t>
  </si>
  <si>
    <t>BLOOMINGTON CBOC</t>
  </si>
  <si>
    <t>ANTICOAGULANT CLINIC</t>
  </si>
  <si>
    <t>CANCER DIAGNOSIS AND TREATMENT PROGRAM</t>
  </si>
  <si>
    <t>CLINICS</t>
  </si>
  <si>
    <t>FORMER POW/FAMILIES OF MIA ADVOCATES</t>
  </si>
  <si>
    <t>NURSE HELP LINE</t>
  </si>
  <si>
    <t>EMERGENCY</t>
  </si>
  <si>
    <t>LONG TERM CARE</t>
  </si>
  <si>
    <t>FAMILY SUPPORT CENTER</t>
  </si>
  <si>
    <t>MEDICAL ADVICE</t>
  </si>
  <si>
    <t>FORMER POW ADVOCACY</t>
  </si>
  <si>
    <t>GRACE</t>
  </si>
  <si>
    <t>GERIATRICS AND EXTENDED CARE CLINIC</t>
  </si>
  <si>
    <t>HEALTH BENEFITS UNIT (HBU)</t>
  </si>
  <si>
    <t>HOPTEL</t>
  </si>
  <si>
    <t>ELIGIBILITY/ENROLLMENT</t>
  </si>
  <si>
    <t>INDY WEST VA HEALTH CLINIC</t>
  </si>
  <si>
    <t>LESBIAN GAY BISEXUAL AND TRANSGENDER LGBT</t>
  </si>
  <si>
    <t>MOVE</t>
  </si>
  <si>
    <t>MARTINSVILLE CBOC</t>
  </si>
  <si>
    <t>ADDICTION TREATMENT PROGRAM (ATP)</t>
  </si>
  <si>
    <t>COMMUNITY HEALTH NURSING</t>
  </si>
  <si>
    <t>COMMUNITY NURSING HOMES</t>
  </si>
  <si>
    <t>FOOD COURT</t>
  </si>
  <si>
    <t>GERIATRICS - MENTAL HEALTH</t>
  </si>
  <si>
    <t>HIV TESTING COORDINATOR</t>
  </si>
  <si>
    <t>HEALTH CARE FOR HOMELESS VETERANS (HCHV)</t>
  </si>
  <si>
    <t>HOMEMAKER/HOME HEALTH AID</t>
  </si>
  <si>
    <t>HOTEL INFORMATION</t>
  </si>
  <si>
    <t>OPEN ACCESS SCHEDULING</t>
  </si>
  <si>
    <t>INPATIENT CONSULT LIAISON</t>
  </si>
  <si>
    <t>MENTAL HEALTH INTAKE CENTER</t>
  </si>
  <si>
    <t>MENTAL HEALTH INTENSIVE CASE MANAGEMENT (MHICM)/CASE MANAGEMENT</t>
  </si>
  <si>
    <t>NEW PATIENT HOTLINE</t>
  </si>
  <si>
    <t>PATIENT RESPONSE CENTER</t>
  </si>
  <si>
    <t>OPIOID SUBSTITUTION CLINIC (OSC)</t>
  </si>
  <si>
    <t>PATIENT HEALTH INFORMATION CENTER</t>
  </si>
  <si>
    <t>PHARMACY RESIDENCY PROGRAMS</t>
  </si>
  <si>
    <t>PHARMACY, MEDICATIONS AND REFILLS</t>
  </si>
  <si>
    <t>PSYCHIATRIC CONSULTATION</t>
  </si>
  <si>
    <t>RESIDENTIAL CARE PROGRAM</t>
  </si>
  <si>
    <t>PSYCHIATRIC-MENTAL HEALTH NP RESIDENCY</t>
  </si>
  <si>
    <t>SMOKING CESSATION CLINIC</t>
  </si>
  <si>
    <t>TBI/POLYTRAUMA PROGRAM</t>
  </si>
  <si>
    <t>VISUAL IMPAIRMENT SERVICES TEAM (VIST) COORDINATOR</t>
  </si>
  <si>
    <t>APPOINTMENTS: NETWORK TELECARE AND APPOINTMENT CENTER</t>
  </si>
  <si>
    <t>SAME DAY SURGERY</t>
  </si>
  <si>
    <t>BEAUMONT VA OUTPATIENT CLINIC</t>
  </si>
  <si>
    <t>CHAMPVA IN-HOUSE TREATMENT INITIATIVE</t>
  </si>
  <si>
    <t>TERRE HAUTE CBOC</t>
  </si>
  <si>
    <t>CANTEEN MAIN VENDING ROOM</t>
  </si>
  <si>
    <t>CARE IN THE COMMUNITY (MISSION ACT)</t>
  </si>
  <si>
    <t>CHARLES WILSON VA OUTPATIENT CLINIC - LUFKIN</t>
  </si>
  <si>
    <t>VET TO VET</t>
  </si>
  <si>
    <t>COACHING INTO CARE FAMILY/FRIENDS MENTAL HEALTH HOTLINE</t>
  </si>
  <si>
    <t>CONROE VA OUTPATIENT CLINIC</t>
  </si>
  <si>
    <t>FORMER PRISONER OF WAR ADVOCATE, DR. WRIGHT WILLIAMS</t>
  </si>
  <si>
    <t>GALVESTON VA OUTPATIENT CLINIC</t>
  </si>
  <si>
    <t>HOUSTON NATIONAL CEMETERY</t>
  </si>
  <si>
    <t>VETERANS HOUSE</t>
  </si>
  <si>
    <t>HOUSTON REGIONAL OFFICE - MAIN NUMBER</t>
  </si>
  <si>
    <t>KATY VA OUTPATIENT CLINIC</t>
  </si>
  <si>
    <t>LAKE JACKSON VA OUTPATIENT CLINIC</t>
  </si>
  <si>
    <t>MAIN NUMBER</t>
  </si>
  <si>
    <t>VISUAL IMPAIRMENT SERVICES TEAM VIST</t>
  </si>
  <si>
    <t>MYVA311</t>
  </si>
  <si>
    <t>PATIENT ADVOCATE - BEAUMONT</t>
  </si>
  <si>
    <t>iowacity</t>
  </si>
  <si>
    <t>PATIENT ADVOCATE - CONROE</t>
  </si>
  <si>
    <t>PATIENT ADVOCATE - GALVESTON</t>
  </si>
  <si>
    <t>CPAP/BIPAP CLINIC</t>
  </si>
  <si>
    <t>PATIENT ADVOCATE - HOUSTON (CONSUMER AFFAIRS)</t>
  </si>
  <si>
    <t>EQUAL EMPLOYMENT OPPORTUNITY (EEO)</t>
  </si>
  <si>
    <t>PATIENT ADVOCATE - KATY</t>
  </si>
  <si>
    <t>PATIENT ADVOCATE - LAKE JACKSON</t>
  </si>
  <si>
    <t>PATIENT ADVOCATE - LUFKIN</t>
  </si>
  <si>
    <t>PATIENT ADVOCATE - RICHMOND</t>
  </si>
  <si>
    <t>INTIMATE PARTNER VIOLENCE (IPV) ASSISTANCE PROGRAM</t>
  </si>
  <si>
    <t>PATIENT ADVOCATE - TEXAS CITY</t>
  </si>
  <si>
    <t>PATIENT ADVOCATE - TOMBALL</t>
  </si>
  <si>
    <t>RELEASE OF INFORMATION (REQUEST MEDICAL RECORDS)</t>
  </si>
  <si>
    <t>RICHMOND VA OUTPATIENT CLINIC</t>
  </si>
  <si>
    <t>TEXAS CITY VA OUTPATIENT CLINIC</t>
  </si>
  <si>
    <t>TOMBALL VA OUTPATIENT CLINIC</t>
  </si>
  <si>
    <t>VET CENTER - BEAUMONT (JEFFERSON COUNTY)</t>
  </si>
  <si>
    <t>VET CENTER - HARRIS COUNTY</t>
  </si>
  <si>
    <t>VET CENTER - N. POST OAK ROAD (WEST)</t>
  </si>
  <si>
    <t>PROSTHETIC AND SENSORY AIDS SERVICE</t>
  </si>
  <si>
    <t>VET CENTER - RICHMOND AVE.</t>
  </si>
  <si>
    <t>ACUTE MEDICAL UNIT (UNIT E-2)</t>
  </si>
  <si>
    <t>ADULT DAY HEALTHCARE PROGRAM</t>
  </si>
  <si>
    <t>AMERICAN EX-POW SERVICE OFFICER</t>
  </si>
  <si>
    <t>STAKEHOLDERS POC LISTING</t>
  </si>
  <si>
    <t>BILLING (CASTLE POINT)</t>
  </si>
  <si>
    <t>BILLING (MONTROSE)</t>
  </si>
  <si>
    <t>CASTLE POINT EARLY CHILDHOOD LEARNING CENTER</t>
  </si>
  <si>
    <t>ironmountain</t>
  </si>
  <si>
    <t>CHANGE YOUR APPOINTMENT</t>
  </si>
  <si>
    <t>BILLING (NORTH CENTRAL CONSOLIDATED PATIENT ACCOUNT CENTER)</t>
  </si>
  <si>
    <t>CONSOLIDATED PATIENT ACCOUNT CENTER (CPAC)</t>
  </si>
  <si>
    <t>HOME BASED PRIMARY CARE PROGRAM</t>
  </si>
  <si>
    <t>HOMEMAKER HOME HEALTH AIDE PROGRAM</t>
  </si>
  <si>
    <t>EXTENDED CARE AND REHABILITATION PROGRAM</t>
  </si>
  <si>
    <t>INSURANCE</t>
  </si>
  <si>
    <t>LABORATORY PROGRAM</t>
  </si>
  <si>
    <t>MEDIA INQUIRIES</t>
  </si>
  <si>
    <t>MESSAGING FOR PRIMARY CARE, MENTAL HEALTH OR SPECIALTY PROVIDER</t>
  </si>
  <si>
    <t>MONTROSE DAY CARE CENTER, INC.</t>
  </si>
  <si>
    <t>MILITARY SEXUAL TRAUMA (MST) PROGRAM</t>
  </si>
  <si>
    <t>NYS DEPARTMENT OF VETERANS AFFAIRS</t>
  </si>
  <si>
    <t>NYS VETERANS HOME PROGRAM</t>
  </si>
  <si>
    <t>NON-VA CARE COORDINATION (NVCC)</t>
  </si>
  <si>
    <t>OTOLARYNGOLOGY/ENT</t>
  </si>
  <si>
    <t>OUTREACH</t>
  </si>
  <si>
    <t>PAIN MANAGEMENT PROGRAM</t>
  </si>
  <si>
    <t>NUTRITION PROGRAMS</t>
  </si>
  <si>
    <t>PALLIATIVE CARE / HOSPICE CARE</t>
  </si>
  <si>
    <t>PHARMACY REFILL</t>
  </si>
  <si>
    <t>PRIVACY AND FOIA OFFICER</t>
  </si>
  <si>
    <t>TRANSPORTATION - VETERANS TRANSPORTATION NETWORK</t>
  </si>
  <si>
    <t>SUBSTANCE USE DISORDER OUTPATIENT TREATMENT PROGRAM</t>
  </si>
  <si>
    <t>VETERAN HEALTH INFORMATION (VLER) COORDINATOR</t>
  </si>
  <si>
    <t>WOMEN VETERANS HEALTH CARE PROGRAM</t>
  </si>
  <si>
    <t>VA NURSES HELPLINE</t>
  </si>
  <si>
    <t>jackson</t>
  </si>
  <si>
    <t>VIRTUAL HEALTH VIDEO OR HOME TELEHEALTH</t>
  </si>
  <si>
    <t>VISITOR INFORMATION</t>
  </si>
  <si>
    <t>CARE IN THE COMMUNITY CUSTOMER SERVICE REPRESENTATIVE</t>
  </si>
  <si>
    <t>CHIROPRACTIC</t>
  </si>
  <si>
    <t>CARDIAC CATH LAB</t>
  </si>
  <si>
    <t>CHARLESTON OUTPATIENT CLINIC</t>
  </si>
  <si>
    <t>CHEMOTHERAPY</t>
  </si>
  <si>
    <t>CLOTHING ALLOWANCE</t>
  </si>
  <si>
    <t>DAV</t>
  </si>
  <si>
    <t>EAR NOSE AND THROAT</t>
  </si>
  <si>
    <t>ETHICS AND COMPLIANCE OFFICER</t>
  </si>
  <si>
    <t>FREEDOM OF INFORMATION ACT OFFICER</t>
  </si>
  <si>
    <t>GI SUITE</t>
  </si>
  <si>
    <t>GALLIPOLIS OUTPATIENT CLINIC</t>
  </si>
  <si>
    <t>GATEWAY MENTAL HEALTH CLINIC</t>
  </si>
  <si>
    <t>GERI-PACT</t>
  </si>
  <si>
    <t>GERIATRIC CARE</t>
  </si>
  <si>
    <t>HEARING CLINIC/HEARING AIDS</t>
  </si>
  <si>
    <t>HOMELESS VETERAN RESOURCE CENTER</t>
  </si>
  <si>
    <t>JOBS &amp; CAREERS</t>
  </si>
  <si>
    <t>kansascity</t>
  </si>
  <si>
    <t>LABORATORY, TESTING</t>
  </si>
  <si>
    <t>LEARNING RESOURCES CENTER</t>
  </si>
  <si>
    <t>LENORE OUTPATIENT CLINIC</t>
  </si>
  <si>
    <t>MENTAL HEALTH (CHARLESTON)</t>
  </si>
  <si>
    <t>MENTAL HEALTH (PRESTONSBURG)</t>
  </si>
  <si>
    <t>NEWS, EVENTS &amp; MEDIA</t>
  </si>
  <si>
    <t>NURSING (INPATIENT) 4 SOUTH</t>
  </si>
  <si>
    <t>NURSING (INPATIENT) 5 SOUTH</t>
  </si>
  <si>
    <t>NURSING HOME PLACEMENT</t>
  </si>
  <si>
    <t>OPTICAL SHOP (VCS)</t>
  </si>
  <si>
    <t>OUTPATIENT LABORATORY</t>
  </si>
  <si>
    <t>OUTPATIENT MEDICAL EQUIPMENT</t>
  </si>
  <si>
    <t>IMAGING (SCHEDULING)</t>
  </si>
  <si>
    <t>PRESTONSBURG OUTPATIENT CLINIC</t>
  </si>
  <si>
    <t>SPINAL CORD INJURY CASE MANAGER</t>
  </si>
  <si>
    <t>SUBSTANCE ABUSE TREATMENT (HUNTINGTON)</t>
  </si>
  <si>
    <t>SUBSTANCE ABUSE TREATMENT (PRESTONSBURG)</t>
  </si>
  <si>
    <t>SURGERY CLINIC, GENERAL</t>
  </si>
  <si>
    <t>TRANSPORTATION SERVICES</t>
  </si>
  <si>
    <t>TRAUMATIC BRAIN INJURY CASE MANAGER</t>
  </si>
  <si>
    <t>TRAVEL PAY AND REIMBURSMENT</t>
  </si>
  <si>
    <t>WALK-IN CLINIC</t>
  </si>
  <si>
    <t>QUIT TOBACCO INFORMATION</t>
  </si>
  <si>
    <t>DONATIONS</t>
  </si>
  <si>
    <t>JOBS</t>
  </si>
  <si>
    <t>OPTOMETRY (EYE CLINIC)</t>
  </si>
  <si>
    <t>OUTPATIENT RADIOLOGY SCHEDULING</t>
  </si>
  <si>
    <t>PATIENT EDUCATION</t>
  </si>
  <si>
    <t>PHYSICAL MEDICINE REHAB</t>
  </si>
  <si>
    <t>VETERAN TRANSPORTATION SERVICE</t>
  </si>
  <si>
    <t>VISION IMPAIRMENT SERVICES PROGRAM VISP</t>
  </si>
  <si>
    <t>WAKEMAN VA CLINIC</t>
  </si>
  <si>
    <t>BETTENDORF, IA</t>
  </si>
  <si>
    <t>lasvegas</t>
  </si>
  <si>
    <t>COMMUNITY RESOURCE AND REFERRAL CENTER - DAVENPORT</t>
  </si>
  <si>
    <t>CORALVILLE, IA</t>
  </si>
  <si>
    <t>DECORAH, IA</t>
  </si>
  <si>
    <t>DUBUQUE, IA</t>
  </si>
  <si>
    <t>GALESBURG, IL</t>
  </si>
  <si>
    <t>BEHAVIORAL HEALTH SERVICE</t>
  </si>
  <si>
    <t>OTTUMWA, IA</t>
  </si>
  <si>
    <t>QUINCY, IL</t>
  </si>
  <si>
    <t>CHIROPRACTOR CLINIC</t>
  </si>
  <si>
    <t>RED TEAM</t>
  </si>
  <si>
    <t>REQUEST INFORMATION</t>
  </si>
  <si>
    <t>STERLING, IL</t>
  </si>
  <si>
    <t>COMMUNITY RESOURCE AND REFERRAL CENTER</t>
  </si>
  <si>
    <t>VOLUNTEERING OR DONATING</t>
  </si>
  <si>
    <t>WATERLOO, IA</t>
  </si>
  <si>
    <t>WHITE TEAM</t>
  </si>
  <si>
    <t>WOMEN'S HEALTH CENTER</t>
  </si>
  <si>
    <t>AUTOMATED INFORMATION SYSTEM</t>
  </si>
  <si>
    <t>DERMATOLOGY CLINIC</t>
  </si>
  <si>
    <t>ENT CLINIC</t>
  </si>
  <si>
    <t>DETAILS OFFICE</t>
  </si>
  <si>
    <t>ENDOCRINE CLINIC</t>
  </si>
  <si>
    <t>ENROLL IN MOVE! - CALL CALL CENTER TO SCHEDULE MOVE! ENROLLMENT CLASS</t>
  </si>
  <si>
    <t>OEF/OIF TEAM</t>
  </si>
  <si>
    <t>GI CLINIC</t>
  </si>
  <si>
    <t>HEMATOLOGY ONCOLOGY</t>
  </si>
  <si>
    <t>HOME AND COMMUNITY BASED CARE</t>
  </si>
  <si>
    <t>REHAB MEDICINE</t>
  </si>
  <si>
    <t>AFTER-HOURS TELEPHONE CARE</t>
  </si>
  <si>
    <t>leavenworth</t>
  </si>
  <si>
    <t>HOMELESS PATIENT ALIGNED CARE TEAM</t>
  </si>
  <si>
    <t>INFUSION CLINIC</t>
  </si>
  <si>
    <t>INTERVENTIONAL PAIN CLINIC</t>
  </si>
  <si>
    <t>EMERGENCY AND URGENT CARE</t>
  </si>
  <si>
    <t>VOLUNTARY SERVICES OFFICE</t>
  </si>
  <si>
    <t>lexington</t>
  </si>
  <si>
    <t>HEALTH BENEFITS CENTER</t>
  </si>
  <si>
    <t>NEW VETERAN ORIENTATION</t>
  </si>
  <si>
    <t>LEXINGTON PHONE OPERATOR</t>
  </si>
  <si>
    <t>NEW PATIENT SCHEDULING</t>
  </si>
  <si>
    <t>OMT CLINIC</t>
  </si>
  <si>
    <t>OCCUPATIONAL THERAPY CLINIC</t>
  </si>
  <si>
    <t>RELEASE OF INFORMATION OFFICE</t>
  </si>
  <si>
    <t>OPHTHALMOLOGY CLINIC</t>
  </si>
  <si>
    <t>TELEPHONE CARE PROGRAM</t>
  </si>
  <si>
    <t>littlerock</t>
  </si>
  <si>
    <t>PACT</t>
  </si>
  <si>
    <t>PAVE CLINIC</t>
  </si>
  <si>
    <t>lomalinda</t>
  </si>
  <si>
    <t>PAIN</t>
  </si>
  <si>
    <t>PHYSICAL THERAPY CLINIC</t>
  </si>
  <si>
    <t>PREOP CLINIC</t>
  </si>
  <si>
    <t>PROSTHETICS CLINIC</t>
  </si>
  <si>
    <t>RHEUMATOLOGY CLINIC</t>
  </si>
  <si>
    <t>RADIOLOGY SCHEDULING</t>
  </si>
  <si>
    <t>losangeles</t>
  </si>
  <si>
    <t>REHAB CLINIC</t>
  </si>
  <si>
    <t>LAND USE AND EVENT REQUEST</t>
  </si>
  <si>
    <t>louisville</t>
  </si>
  <si>
    <t>SLEEP MEDICINE CARE</t>
  </si>
  <si>
    <t>SPINAL CORD INJURY CLINIC</t>
  </si>
  <si>
    <t>ELIGIBILITY &amp; ENROLLMENT</t>
  </si>
  <si>
    <t>SPINAL STIMULATOR CLINIC</t>
  </si>
  <si>
    <t>FORMER POW PROGRAM</t>
  </si>
  <si>
    <t>TRAUMA BRAIN INJURY CLINIC</t>
  </si>
  <si>
    <t>NEWS &amp; MEDIA</t>
  </si>
  <si>
    <t>TRAVELING VETERANS PROGRAM SERVICES</t>
  </si>
  <si>
    <t>WELLNESS RESOURCES</t>
  </si>
  <si>
    <t>ACTIVE DUTY/RESERVE SPONSORSHIP COORDINATOR</t>
  </si>
  <si>
    <t>lovellfhcc</t>
  </si>
  <si>
    <t>VASCULAR CLINIC</t>
  </si>
  <si>
    <t>ACUTE INPATIENT PSYCHIATRY</t>
  </si>
  <si>
    <t>ADVANCED CLINICAL ACCESS</t>
  </si>
  <si>
    <t>APPOINTMENTS - DOD/TRICARE PATIENTS</t>
  </si>
  <si>
    <t>APPOINTMENTS - VA PATIENTS</t>
  </si>
  <si>
    <t>CAREGIVER SUPPORT CENTER</t>
  </si>
  <si>
    <t>VISUAL IMPAIRMENT SERVICE TEAM BLIND REHABILITATION</t>
  </si>
  <si>
    <t>WOMEN HEALTH CENTER</t>
  </si>
  <si>
    <t>FAMILY PRACTICE (DOD)</t>
  </si>
  <si>
    <t>GENERAL INQUIRIES</t>
  </si>
  <si>
    <t>INSURANCE AND BILLING (TRICARE)</t>
  </si>
  <si>
    <t>INSURANCE AND BILLING - VA</t>
  </si>
  <si>
    <t>KENOSHA COMMUNITY BASED OUTPATIENT CLINIC</t>
  </si>
  <si>
    <t>DOMICILLIARY CARE SERVICES - LEAVENWORTH</t>
  </si>
  <si>
    <t>MENTAL HEALTH REHABILITATION RESIDENTIAL TREATMENT DOMICILIARY</t>
  </si>
  <si>
    <t>MESSAGE CENTER LINE (DOD)</t>
  </si>
  <si>
    <t>OEF OIF OND CASE MANAGEMENT</t>
  </si>
  <si>
    <t>PRIMARY CARE - DOD/TRICARE PATIENTS</t>
  </si>
  <si>
    <t>PSYCHOSOCIAL REHABILITATION AND RECOVERY CENTER PRRC</t>
  </si>
  <si>
    <t>QUARTERDECK</t>
  </si>
  <si>
    <t>USS OSBORNE DENTAL CLINIC</t>
  </si>
  <si>
    <t>USS RED ROVER</t>
  </si>
  <si>
    <t>SUBSTANCE USE DISORDER TREATMENT</t>
  </si>
  <si>
    <t>USS TRANQUILLITY</t>
  </si>
  <si>
    <t>madison</t>
  </si>
  <si>
    <t>DAV TRANSPORT/ TRAVEL WITHIN DANE COUNTY</t>
  </si>
  <si>
    <t>lebanon</t>
  </si>
  <si>
    <t>HUMAN RESOURCES/CAREERS</t>
  </si>
  <si>
    <t>POLICE AND SECURITY</t>
  </si>
  <si>
    <t>STORE/CANTEEN</t>
  </si>
  <si>
    <t>VOLUNTARY SERVICE/COMMUNITY AFFAIRS</t>
  </si>
  <si>
    <t>manchester</t>
  </si>
  <si>
    <t>COMPENSATION &amp; PENSION EXAMS</t>
  </si>
  <si>
    <t>FACILITY SERVICE</t>
  </si>
  <si>
    <t>AGENT ORANGE CLINIC</t>
  </si>
  <si>
    <t>FISCAL SERVICE</t>
  </si>
  <si>
    <t>GERIATRIC AND EXTENDED CARE</t>
  </si>
  <si>
    <t>NONVA HEALTH CARE</t>
  </si>
  <si>
    <t>SENSORY &amp; PHYSICAL REHABILITATIVE MEDICINE</t>
  </si>
  <si>
    <t>SOCIAL WORK OUTPATIENT</t>
  </si>
  <si>
    <t>SPECIALTY &amp; ACUTE CARE</t>
  </si>
  <si>
    <t>VOLUNTEER SERVICES COORDINATOR</t>
  </si>
  <si>
    <t>marion</t>
  </si>
  <si>
    <t>GULF WAR SYNDROME SPECIALTY CLINIC</t>
  </si>
  <si>
    <t>INPATIENT CARE</t>
  </si>
  <si>
    <t>PATIENT SAFETY MANAGER</t>
  </si>
  <si>
    <t>PRIVACY</t>
  </si>
  <si>
    <t>VETERANS CRISIS INTERVENTION HOTLINE</t>
  </si>
  <si>
    <t>VOLUNTEER TRANSPORTATION NETWORK (VTN)</t>
  </si>
  <si>
    <t>martinsburg</t>
  </si>
  <si>
    <t>maryland</t>
  </si>
  <si>
    <t>FORMER PRISONER OF WAR SERVICES</t>
  </si>
  <si>
    <t>VA HEALTH BENEFITS SERVICES</t>
  </si>
  <si>
    <t>AMBULATORY SURGERY CLINIC</t>
  </si>
  <si>
    <t>memphis</t>
  </si>
  <si>
    <t>AUDIOLOGY/SPEECH CLINIC</t>
  </si>
  <si>
    <t>BUSINESS OFFICE</t>
  </si>
  <si>
    <t>CAREER CENTER</t>
  </si>
  <si>
    <t>CUSTOMER SERVICE ADVOCATES</t>
  </si>
  <si>
    <t>ELIGIBILITY ENROLLMENT OFFICE</t>
  </si>
  <si>
    <t>GULF WAR EXAM</t>
  </si>
  <si>
    <t>GREEN ENVIRONMENTAL MANAGEMENT SYSTEM (GEMS)</t>
  </si>
  <si>
    <t>HIV PROGRAM</t>
  </si>
  <si>
    <t>MEDICINE'S SPECIALTY CLINIC</t>
  </si>
  <si>
    <t>PRIMARY CARE JACKSON CLINIC</t>
  </si>
  <si>
    <t>PRIMARY CARE MAIN GROUP</t>
  </si>
  <si>
    <t>PRIMARY CARE NONCONNAH</t>
  </si>
  <si>
    <t>PRIMARY CARE NORTH CLINIC</t>
  </si>
  <si>
    <t>HEPATITIS C SCREENING</t>
  </si>
  <si>
    <t>RETURNING SERVICE MEMBERS (OPERATIONS OEF/OIF/OND)</t>
  </si>
  <si>
    <t>SURGICAL SPECIALTY CLINICS</t>
  </si>
  <si>
    <t>ENVIRONMENTAL HEALTH AND SAFETY SERVICE</t>
  </si>
  <si>
    <t>miami</t>
  </si>
  <si>
    <t>milwaukee</t>
  </si>
  <si>
    <t>MEANS TEST</t>
  </si>
  <si>
    <t>minneapolis</t>
  </si>
  <si>
    <t>FISHER HOUSE - FAMILY LODGING FOR INPATIENT VETERANS</t>
  </si>
  <si>
    <t>POST DEPLOYMENT CLINIC (PRIMARY CARE)</t>
  </si>
  <si>
    <t>ADMINISTRATIVE OFFICER OF THE DAY</t>
  </si>
  <si>
    <t>montana</t>
  </si>
  <si>
    <t>CT SCAN</t>
  </si>
  <si>
    <t>COMPLIANCE AND BUSINESS INTEGRITY OFFICE</t>
  </si>
  <si>
    <t>CONGRESSIONAL LIASON</t>
  </si>
  <si>
    <t>CONSOLIDATED PAYMENT CENTER</t>
  </si>
  <si>
    <t>CREDENTIALING AND PRIVILEGING</t>
  </si>
  <si>
    <t>DIAGNOSTIC IMAGING SERVICE</t>
  </si>
  <si>
    <t>EEG LAB</t>
  </si>
  <si>
    <t>EDUCATION/LEARNING SERVICES</t>
  </si>
  <si>
    <t>ELIGIBILITY / ENROLLMENT</t>
  </si>
  <si>
    <t>ENGINEERING SERVICE</t>
  </si>
  <si>
    <t>PHYSICAL THERAPY AND REHABILITATION</t>
  </si>
  <si>
    <t>PSYCHIATRY - INPATIENT</t>
  </si>
  <si>
    <t>PSYCHIATRY-OUTPATIENT</t>
  </si>
  <si>
    <t>PULMONARY REHABILITATION</t>
  </si>
  <si>
    <t>RESIDENTIAL RECOVERY CENTER - RRC</t>
  </si>
  <si>
    <t>mountainhome</t>
  </si>
  <si>
    <t>BUSINESS OFFICE (ELIGIBILITY)</t>
  </si>
  <si>
    <t>muskogee</t>
  </si>
  <si>
    <t>AUTOMATED APPOINTMENT SYSTEM</t>
  </si>
  <si>
    <t>BILLING - NON-VA CARE</t>
  </si>
  <si>
    <t>nebraska</t>
  </si>
  <si>
    <t>DENTAL - OMAHA</t>
  </si>
  <si>
    <t>ENROLLMENT AND ELIGIBILITY - GRAND ISLAND</t>
  </si>
  <si>
    <t>ENROLLMENT AND ELIGIBILITY - LINCOLN</t>
  </si>
  <si>
    <t>ENROLLMENT AND ELIGIBILITY - OMAHA</t>
  </si>
  <si>
    <t>VETERAN TRANSPORTATION SERVICE – BENEFICIARY TRAVEL REIMBURSEMENT</t>
  </si>
  <si>
    <t>VETERAN TRANSPORTATION SERVICE – RIDE SCHEDULING</t>
  </si>
  <si>
    <t>VETERANS OUTREACH COORDINATOR</t>
  </si>
  <si>
    <t>APPOINTMENTS - ENROLLED VETERANS</t>
  </si>
  <si>
    <t>newjersey</t>
  </si>
  <si>
    <t>APPOINTMENTS - NEW VETERANS</t>
  </si>
  <si>
    <t>CLINICAL PASTORAL EDUCATION</t>
  </si>
  <si>
    <t>ENHANCED RANGE PROGRAM</t>
  </si>
  <si>
    <t>WAR-RELATED ILLNESS AND INJURY STUDY CENTER (WRIISC)</t>
  </si>
  <si>
    <t>neworleans</t>
  </si>
  <si>
    <t>MISSION ACT INFORMATION</t>
  </si>
  <si>
    <t>SUBSTANCE ABUSE TREATMENT PROGRAM</t>
  </si>
  <si>
    <t>VETERANS EXPERIENCE OFFICE</t>
  </si>
  <si>
    <t>northerncalifornia</t>
  </si>
  <si>
    <t>POLYTRAUMA/TRAUMATIC BRAIN INJURY SYSTEM OF CARE</t>
  </si>
  <si>
    <t>VISN #4 Sites</t>
  </si>
  <si>
    <t xml:space="preserve"> </t>
  </si>
  <si>
    <t>TRANSPORTATION (VETERANS TRANSPORTATION SERVICE)</t>
  </si>
  <si>
    <t>Team Member</t>
  </si>
  <si>
    <t>WHEELCHAIR, SEATING AND POWER MOBILITY CLINIC</t>
  </si>
  <si>
    <t>BILLING/VA HEALTH REVENUE CENTER</t>
  </si>
  <si>
    <t>3C REHABILITATION</t>
  </si>
  <si>
    <t>CLINIC/SITE ADMINISTRATION</t>
  </si>
  <si>
    <t>Completed</t>
  </si>
  <si>
    <t>Legacy A-Z Services</t>
  </si>
  <si>
    <t>Campuses</t>
  </si>
  <si>
    <t>Websites</t>
  </si>
  <si>
    <t>New Website</t>
  </si>
  <si>
    <t>COMPENSATION &amp; PENSION OFFICE</t>
  </si>
  <si>
    <t>LITTLE ROCK GRECC - GERIATRIC RESEARCH, EDUCATION, AND CLINICAL CENTER</t>
  </si>
  <si>
    <t>ENROLLMENT/ELIGIBILITY</t>
  </si>
  <si>
    <t>Western</t>
  </si>
  <si>
    <t>PMRS</t>
  </si>
  <si>
    <t>Lisa</t>
  </si>
  <si>
    <t>X</t>
  </si>
  <si>
    <t>HOSPICE/PALLIATIVE CARE</t>
  </si>
  <si>
    <t>Altoona, PA</t>
  </si>
  <si>
    <t>https://www.altoona.va.gov/</t>
  </si>
  <si>
    <t>https://www.va.gov/altoona-health-care</t>
  </si>
  <si>
    <t>PROSTHETIC</t>
  </si>
  <si>
    <t>PROSTHETIC TREATMENT CENTER PROGRAMS AND SERVICES</t>
  </si>
  <si>
    <t>MILITARY SEXUAL TRAUMA- RECOVERY COORDINATOR</t>
  </si>
  <si>
    <t>VISUAL IMPAIRMENT SERVICE TEAM (VIST) PROGRAM</t>
  </si>
  <si>
    <t>VOCATIONAL REHABILITATION COUNSELING SERVICE PROGRAMS</t>
  </si>
  <si>
    <t>NEWS RELEASES</t>
  </si>
  <si>
    <t>OEF/OIF/OND PROGRAM COORDINATOR</t>
  </si>
  <si>
    <t>ALCOHOL AND DRUG TREATMENT PROGRAM</t>
  </si>
  <si>
    <t>Butler, PA</t>
  </si>
  <si>
    <t>https://www.butler.va.gov/</t>
  </si>
  <si>
    <t>https://www.va.gov/butler-health-care</t>
  </si>
  <si>
    <t>Erie, PA</t>
  </si>
  <si>
    <t>https://www.erie.va.gov/</t>
  </si>
  <si>
    <t>https://www.va.gov/erie-health-care</t>
  </si>
  <si>
    <t>Pittsburgh, PA</t>
  </si>
  <si>
    <t>https://www.pittsburgh.va.gov/</t>
  </si>
  <si>
    <t>https://www.va.gov/pittsburgh-health-care/</t>
  </si>
  <si>
    <t>https://www.montana.va.gov/</t>
  </si>
  <si>
    <t>GERIATRIC EVALUATION AND MANAGEMENT CLINIC</t>
  </si>
  <si>
    <t>Eastern</t>
  </si>
  <si>
    <t>HEALTH PROMOTION</t>
  </si>
  <si>
    <t>Chanelle</t>
  </si>
  <si>
    <t>Coatesville, PA</t>
  </si>
  <si>
    <t>https://www.coatesville.va.gov/</t>
  </si>
  <si>
    <t>https://www.va.gov/coatesville-health-care</t>
  </si>
  <si>
    <t>PRIMARY CARE - SACRAMENTO VAMC</t>
  </si>
  <si>
    <t>Lebanon, PA</t>
  </si>
  <si>
    <t>https://www.lebanon.va.gov/</t>
  </si>
  <si>
    <t>https://www.va.gov/lebanon-health-care</t>
  </si>
  <si>
    <t>Kim</t>
  </si>
  <si>
    <t>Philadelphia, PA</t>
  </si>
  <si>
    <t>https://www.philadelphia.va.gov/</t>
  </si>
  <si>
    <t>https://www.va.gov/philadelphia-health-care</t>
  </si>
  <si>
    <t>PURCHASED CARE/NON-VA CARE</t>
  </si>
  <si>
    <t>POW</t>
  </si>
  <si>
    <t>Wilkes-Barre, PA</t>
  </si>
  <si>
    <t>https://www.wilkes-barre.va.gov/</t>
  </si>
  <si>
    <t>https://www.va.gov/wilkes-barre-health-care</t>
  </si>
  <si>
    <t>RELEASE OF INFORMATION/MEDICAL RECORDS</t>
  </si>
  <si>
    <t>Wilmington, DE</t>
  </si>
  <si>
    <t>https://www.wilmington.va.gov/</t>
  </si>
  <si>
    <t>https://www.va.gov/wilmington-health-care</t>
  </si>
  <si>
    <t>PROSTHETIC SERVICE</t>
  </si>
  <si>
    <t>SHUTTLE SERVICES</t>
  </si>
  <si>
    <t>STOP SMOKING CLASSES</t>
  </si>
  <si>
    <t>SUICIDE HELP LINE</t>
  </si>
  <si>
    <t>VET TO VET PROGRAM</t>
  </si>
  <si>
    <t>TRIWEST CHOICE</t>
  </si>
  <si>
    <t>VETERANS CHOICE</t>
  </si>
  <si>
    <t>VETERAN TRANSPORTATION</t>
  </si>
  <si>
    <t>WOMEN VETERANS PROGRAM MANAGER</t>
  </si>
  <si>
    <t>northernindiana</t>
  </si>
  <si>
    <t>CLINIC - GOSHEN CBOC</t>
  </si>
  <si>
    <t>longbeach</t>
  </si>
  <si>
    <t>CLINIC - MUNCIE CBOC</t>
  </si>
  <si>
    <t>CLINIC - PERU CBOC</t>
  </si>
  <si>
    <t>DONATIONS, VOLUNTEERING</t>
  </si>
  <si>
    <t>BONE DENSITY SCAN</t>
  </si>
  <si>
    <t>CT SCANS</t>
  </si>
  <si>
    <t>FREEDOM OF INFORMATION ACT (FOIA)</t>
  </si>
  <si>
    <t>REASONABLE ACCOMMODATION</t>
  </si>
  <si>
    <t>northflorida</t>
  </si>
  <si>
    <t>AGENT ORANGE &amp; PERSIAN GULF/GULF WAR - GAINESVILLE</t>
  </si>
  <si>
    <t>AGENT ORANGE &amp; PERSIAN GULF/GULF WAR - LAKE CITY</t>
  </si>
  <si>
    <t>APPOINTMENTS - GAINESVILLE</t>
  </si>
  <si>
    <t>APPOINTMENTS - LAKE CITY</t>
  </si>
  <si>
    <t>GENERAL DIAGNOSTIC</t>
  </si>
  <si>
    <t>CHAPLAIN SERVICE - LAKE CITY VAMC</t>
  </si>
  <si>
    <t>CHAPLAIN SERVICE - MALCOM RANDALL VAMC -GAINESVILLE, FL</t>
  </si>
  <si>
    <t>MAGENTIC RESONANCE IMAGING (MRI)</t>
  </si>
  <si>
    <t>DISABLED AMERICAN VETERANS - LAKE CITY VAMC</t>
  </si>
  <si>
    <t>DISABLED AMERICAN VETERANS - MALCOM RANDALL VAMC - GAINESVILLE</t>
  </si>
  <si>
    <t>ELIGIBILITY - LAKE CITY VAMC</t>
  </si>
  <si>
    <t>ELIGIBILITY - MALCOM RANDALL VAMC - GAINESVILLE</t>
  </si>
  <si>
    <t>FORMER PRISONERS OF WAR (POW) ADVOCATE</t>
  </si>
  <si>
    <t>LIBRARY SERVICES - LAKE CITY VAMC</t>
  </si>
  <si>
    <t>LIBRARY SERVICES - MALCOM RANDALL VAMC - GAINESVILLE</t>
  </si>
  <si>
    <t>LOST AND FOUND - LAKE CITY VAMC</t>
  </si>
  <si>
    <t>LOST AND FOUND - MALCOM RANDALL VAMC</t>
  </si>
  <si>
    <t>PATIENT ADVOCATES - LAKE CITY VAMC</t>
  </si>
  <si>
    <t>PATIENT ADVOCATES - MALCOM RANDALL VAMC - GAINESVILLE</t>
  </si>
  <si>
    <t>PATIENT LOCATION - LAKE CITY VAMC</t>
  </si>
  <si>
    <t>PATIENT LOCATION - MALCOM RANDALL VAMC</t>
  </si>
  <si>
    <t>RELEASE OF INFORMATION - LAKE CITY VAMC</t>
  </si>
  <si>
    <t>RELEASE OF INFORMATION - MALCOM RANDALL VAMC - GAINESVILLE</t>
  </si>
  <si>
    <t>VOLUNTEERING - LAKE CITY VAMC</t>
  </si>
  <si>
    <t>PRIMARY CARE HEALTH CARE GROUP</t>
  </si>
  <si>
    <t>VOLUNTEERING - MALCOM RANDALL VAMC - GAINESVILLE</t>
  </si>
  <si>
    <t>northport</t>
  </si>
  <si>
    <t>DAV TRAVEL</t>
  </si>
  <si>
    <t>LABORATORY - NORTHPORT VAMC CAMPUS</t>
  </si>
  <si>
    <t>PATIENT LIBRARY</t>
  </si>
  <si>
    <t>ASBESTOS CANCER</t>
  </si>
  <si>
    <t>nyharbor</t>
  </si>
  <si>
    <t>ASBESTOS LUNG CANCER</t>
  </si>
  <si>
    <t>ELIGIBILITY (BROOKLYN)</t>
  </si>
  <si>
    <t>ELIGIBILITY (MANHATTAN)</t>
  </si>
  <si>
    <t>LEADERSHIP</t>
  </si>
  <si>
    <t>BIOETHICS CONSULTATION SERVICE</t>
  </si>
  <si>
    <t>RETURNING SERVICE MEMBERS/READJUSTMENT</t>
  </si>
  <si>
    <t>CANCER CENTER RESEARCH</t>
  </si>
  <si>
    <t>CARDIAC REHAB</t>
  </si>
  <si>
    <t>oklahoma</t>
  </si>
  <si>
    <t>CLOTHING ROOM/LOST AND FOUND</t>
  </si>
  <si>
    <t>CONTINUOUS POSITIVE AIRWAY PRESSURE</t>
  </si>
  <si>
    <t>GERIATRIC RESEARCH, EDUCATION AND CLINICAL CENTER (GRECC)</t>
  </si>
  <si>
    <t>DENTAL CLINIC - LAWTON</t>
  </si>
  <si>
    <t>EAR, NOSE AND THROAT/OTOLARYNGOLOGY (ENT/ORL)</t>
  </si>
  <si>
    <t>EYE SURGERY</t>
  </si>
  <si>
    <t>MALIGNANT PLEURAL MESOTHELIOMA</t>
  </si>
  <si>
    <t>INTERVENTIONAL - RADIOLOGY</t>
  </si>
  <si>
    <t>LIVER CLINIC</t>
  </si>
  <si>
    <t>MEDICAL INTENSIVE CARE UNIT (MICU)</t>
  </si>
  <si>
    <t>MEMORY DISORDERS CLINIC</t>
  </si>
  <si>
    <t>MESOTHELIOMA</t>
  </si>
  <si>
    <t>NEPHROLOGY (RENAL)</t>
  </si>
  <si>
    <t>NEUROLOGY/REHABILITATION</t>
  </si>
  <si>
    <t>NEUROLOGY/REHABILITATION INPATIENT FLOOR</t>
  </si>
  <si>
    <t>MESOTHELIOMA CANCER TREATMENT</t>
  </si>
  <si>
    <t>MESOTHELIOMA SURGERY CENTER</t>
  </si>
  <si>
    <t>OUTPATIENT SURGERY</t>
  </si>
  <si>
    <t>RESEARCH SERVICE</t>
  </si>
  <si>
    <t>orlando</t>
  </si>
  <si>
    <t>ALLERGY</t>
  </si>
  <si>
    <t>AMBULATORY SURGERY AND ENDOSCOPY PROCEDURE AREA</t>
  </si>
  <si>
    <t>PLEURAL EFFUSION</t>
  </si>
  <si>
    <t>CBO, OFFICE OF COMMUNITY CARE -- NON-VA CARE BILLING, FORMERLY FEE BASIS</t>
  </si>
  <si>
    <t>CONCIERGE DESK</t>
  </si>
  <si>
    <t>DECEDENT AFFAIRS -- REPORTING VETERAN DEATH</t>
  </si>
  <si>
    <t>EAR NOSE AND THROAT (ENT)</t>
  </si>
  <si>
    <t>ENDOCRINOLOGY / DIABETIC</t>
  </si>
  <si>
    <t>THORACIC MEDICAL ONCOLOGY</t>
  </si>
  <si>
    <t>FREEDOM CLINIC</t>
  </si>
  <si>
    <t>GASTROENTEROLOGY--GI</t>
  </si>
  <si>
    <t>THORACIC ONCOLOGY</t>
  </si>
  <si>
    <t>GREEN TEAM</t>
  </si>
  <si>
    <t>THORACIC RADIATION ONCOLOGY</t>
  </si>
  <si>
    <t>HERO CLINIC</t>
  </si>
  <si>
    <t>HOMELESS PROGRAMS</t>
  </si>
  <si>
    <t>HONOR CLINIC</t>
  </si>
  <si>
    <t>LIBERTY CLINIC</t>
  </si>
  <si>
    <t>MCCOY FEDERAL CREDIT UNION ATM CONTACT NUMBER</t>
  </si>
  <si>
    <t>NURSE RECRUITING</t>
  </si>
  <si>
    <t>OPTICAL SHOP -- GLASSES</t>
  </si>
  <si>
    <t>IPV ASSISTANCE PROGRAM</t>
  </si>
  <si>
    <t>ORANGE TEAM</t>
  </si>
  <si>
    <t>ORTHOPEDIC AND HAND CLINIC</t>
  </si>
  <si>
    <t>PIV BADGING</t>
  </si>
  <si>
    <t>PATIENT ADVOCATE DAYTONA BEACH</t>
  </si>
  <si>
    <t>PATIENT ADVOCATE LAKE BALDWIN</t>
  </si>
  <si>
    <t>PATIENT ADVOCATE LAKE NONA</t>
  </si>
  <si>
    <t>PATIENT ADVOCATE VIERA</t>
  </si>
  <si>
    <t>PATRIOT CLINIC</t>
  </si>
  <si>
    <t>MILLION VETERAN PROGRAM (MVP)</t>
  </si>
  <si>
    <t>RELEASE OF INFORMATION--ROI</t>
  </si>
  <si>
    <t>RETURNING VETERANS: ENDURING FREEDOM, IRAQI FREEDOM, NEW DAWN - OEF OIF OND</t>
  </si>
  <si>
    <t>SURGERY CLINIC -- GENERAL</t>
  </si>
  <si>
    <t>SURGERY SPECIALTY CLINIC--PLASTIC, THORACIC, VASCULAR, AND WOUND</t>
  </si>
  <si>
    <t>TEAL TEAM</t>
  </si>
  <si>
    <t>TELEPHONE CARE TRIAGE AND APPOINTMENTS</t>
  </si>
  <si>
    <t>ONCOLOGY AND HEMATOLOGY</t>
  </si>
  <si>
    <t>VA CARE BILLING</t>
  </si>
  <si>
    <t>VA CHOICE</t>
  </si>
  <si>
    <t>VTN TRANSPORTATION - DAV</t>
  </si>
  <si>
    <t>VTS TRANSPORTATION</t>
  </si>
  <si>
    <t>VALOR CLINIC</t>
  </si>
  <si>
    <t>VETERAN OUTREACH PROGRAM</t>
  </si>
  <si>
    <t>VICTORY CLINIC</t>
  </si>
  <si>
    <t>WOMENS CLINIC</t>
  </si>
  <si>
    <t>ADMISSIONS &amp; ELIGIBILITY</t>
  </si>
  <si>
    <t>paloalto</t>
  </si>
  <si>
    <t>AUDIOLOGY AND SPEECH PATHOLOGY SERVICES - MONTEREY</t>
  </si>
  <si>
    <t>AUDIOLOGY AND SPEECH PATHOLOGY SERVICES - PALO ALTO</t>
  </si>
  <si>
    <t>SUPPORT GROUP</t>
  </si>
  <si>
    <t>AUDIOLOGY AND SPEECH PATHOLOGY SERVICES LIVERMORE</t>
  </si>
  <si>
    <t>AUDIOLOGY AND SPEECH PATHOLOGY SERVICES SAN JOSE</t>
  </si>
  <si>
    <t>THORACIC SURGERY SERVICE</t>
  </si>
  <si>
    <t>CARDIOTHORACIC SURGERY (HEART AND LUNGS)</t>
  </si>
  <si>
    <t>ADDICTION TREATMENT PROGRAM</t>
  </si>
  <si>
    <t>CHAPLAIN SERVICES / SPIRITUAL CARE</t>
  </si>
  <si>
    <t>AUDIOLOGY / SPEECH PATHOLOGY CLINIC</t>
  </si>
  <si>
    <t>COMPENSATION &amp; PENSION (C&amp;P)</t>
  </si>
  <si>
    <t>EMERGENCY DEPARTMENT (ED)</t>
  </si>
  <si>
    <t>GASTROENTEROLOGY / GI SERVICE - LIVERMORE</t>
  </si>
  <si>
    <t>HAND SURGERY</t>
  </si>
  <si>
    <t>HOMEMAKER HOME HEALTH AIDE</t>
  </si>
  <si>
    <t>COMPLIMENTARY VALET</t>
  </si>
  <si>
    <t>INFORMATION DESK - LIVERMORE</t>
  </si>
  <si>
    <t>INFORMATION DESK - PALO ALTO</t>
  </si>
  <si>
    <t>MENTAL HEALTH CLINIC - ENROLLED PATIENTS</t>
  </si>
  <si>
    <t>MENTAL HEALTH CLINIC - NEW PATIENTS</t>
  </si>
  <si>
    <t>OPTOMETRY - SAN JOSE</t>
  </si>
  <si>
    <t>EAR, NOSE, THROAT - ENT</t>
  </si>
  <si>
    <t>OTOLARYNGOLOGY  (EAR, NOSE AND THROAT)</t>
  </si>
  <si>
    <t>PATIENT TRAVEL PAY</t>
  </si>
  <si>
    <t>EXCEPTIONAL FAMILY MEMBER PROGRAM (EFMP)</t>
  </si>
  <si>
    <t>POLICE SERVICE - LIVERMORE</t>
  </si>
  <si>
    <t>POLICE SERVICE - MENLO PARK</t>
  </si>
  <si>
    <t>PRIMARY CARE CLINIC APPOINTMENTS</t>
  </si>
  <si>
    <t>PROSTHETICS &amp; SENSORY AIDS GENERAL INFORMATION</t>
  </si>
  <si>
    <t>FAMILY PRACTICE</t>
  </si>
  <si>
    <t>PROSTHETICS - LIVERMORE</t>
  </si>
  <si>
    <t>PROSTHETICS - MONTEREY</t>
  </si>
  <si>
    <t>PROSTHETICS - SAN JOSE</t>
  </si>
  <si>
    <t>FISHER BRANCH MEDICAL CLINIC</t>
  </si>
  <si>
    <t>PROSTHETICS INVENTORY PICK-UP</t>
  </si>
  <si>
    <t>PURCHASED HOME SKILLED SERVICE</t>
  </si>
  <si>
    <t>RELEASE OF INFORMATION / MEDICAL RECORDS - MENLO PARK</t>
  </si>
  <si>
    <t>RELEASE OF INFORMATION / MEDICAL RECORDS - PALO ALTO</t>
  </si>
  <si>
    <t>VASCULAR</t>
  </si>
  <si>
    <t>WHEELCHAIR REPAIR</t>
  </si>
  <si>
    <t>philadelphia</t>
  </si>
  <si>
    <t>HOMELESS VETERANS WALK-IN CENTER</t>
  </si>
  <si>
    <t>IMMUNIZATION CLINIC</t>
  </si>
  <si>
    <t>LESBIAN, GAY, BISEXUAL AND TRANSGENDER (LGBT) PATIENT CARE</t>
  </si>
  <si>
    <t>LIFE SKILLS - MENTAL HEALTH</t>
  </si>
  <si>
    <t>MANAGED CARE</t>
  </si>
  <si>
    <t>NURSE ADVICE LINE - DOD/TRICARE PATIENTS</t>
  </si>
  <si>
    <t>NURSE ADVICE LINE - VETERAN PATIENTS</t>
  </si>
  <si>
    <t>OPERATIONAL MEDICINE, FISHER CLINIC</t>
  </si>
  <si>
    <t>phoenix</t>
  </si>
  <si>
    <t>AMETHYST CLINIC</t>
  </si>
  <si>
    <t>CARDIOLOGY DEPARTMENT</t>
  </si>
  <si>
    <t>CAREERS - HUMAN RESOURCES</t>
  </si>
  <si>
    <t>CHRONIC PAIN CLINIC</t>
  </si>
  <si>
    <t>PEDIATRICS</t>
  </si>
  <si>
    <t>ENT - EARS, NOSE AND THROAT CLINIC</t>
  </si>
  <si>
    <t>FEE SERVICE</t>
  </si>
  <si>
    <t>GASTROENTEROLOGY - GI CLINIC</t>
  </si>
  <si>
    <t>JADE-OPAL CLINIC</t>
  </si>
  <si>
    <t>MEDICAL CENTER LIBRARY</t>
  </si>
  <si>
    <t>MEDICAL RECORDS DEPARTMENT</t>
  </si>
  <si>
    <t>NEWSROOM</t>
  </si>
  <si>
    <t>PTSD CLINIC</t>
  </si>
  <si>
    <t>PATIENT TRANSPORTATION SERVICE</t>
  </si>
  <si>
    <t>PULMONOLOGY / SLEEP</t>
  </si>
  <si>
    <t>PRIVACY &amp; FOIA</t>
  </si>
  <si>
    <t>PULMONARY DEPARTMENT</t>
  </si>
  <si>
    <t>PURCHASED/COMMUNITY CARE</t>
  </si>
  <si>
    <t>VETERAN CRISIS LINE</t>
  </si>
  <si>
    <t>STRESS DISORDER TREATMENT UNIT</t>
  </si>
  <si>
    <t>VOLUNTEERING AND GIVING</t>
  </si>
  <si>
    <t>WARFARIN CLINIC</t>
  </si>
  <si>
    <t>ASSOCIATE DIRECTOR</t>
  </si>
  <si>
    <t>pittsburgh</t>
  </si>
  <si>
    <t>SUICIDE PREVENTION AWARENESS</t>
  </si>
  <si>
    <t>ASSOCIATE DIRECTOR FOR PATIENT CARE SERVICES</t>
  </si>
  <si>
    <t>DEPUTY DIRECTOR</t>
  </si>
  <si>
    <t>IMPACT CLINIC</t>
  </si>
  <si>
    <t>TRANSPLANT PATIENT CARE</t>
  </si>
  <si>
    <t>SUICIDE PREVENTION HOTLINE</t>
  </si>
  <si>
    <t>VISION IMPAIRMENT SERVICES TEAM</t>
  </si>
  <si>
    <t>AMERICAN LEGION SERVICE</t>
  </si>
  <si>
    <t>poplarbluff</t>
  </si>
  <si>
    <t>VJO OR VTAC</t>
  </si>
  <si>
    <t>AUTOMATED REFILL LINE</t>
  </si>
  <si>
    <t>WOMENS HEALTH CLINIC</t>
  </si>
  <si>
    <t>ADDICTIVE DISORDERS TREATMENT PROGRAM (ADTP)</t>
  </si>
  <si>
    <t>AMPUTEE CARE</t>
  </si>
  <si>
    <t>HEALTH BENEFITS ADVISORS</t>
  </si>
  <si>
    <t>HOSPITAL FLOOR</t>
  </si>
  <si>
    <t>AUDIOLOGY, SPEECH PATHOLOGY AND EARS, NOSE AND THROAT - ENT</t>
  </si>
  <si>
    <t>BACK MAINTENANCE SCHOOL</t>
  </si>
  <si>
    <t>LEARNING RESOURCE CENTER</t>
  </si>
  <si>
    <t>CALL CENTER/CUSTOMER  SERVICE</t>
  </si>
  <si>
    <t>NURSING FOOT CLINIC</t>
  </si>
  <si>
    <t>PAIN MANAGEMENT-SPECIAL CARE</t>
  </si>
  <si>
    <t>COMMUNITY SUPPORT PROGRAM AND HOMELESS PROGRAM</t>
  </si>
  <si>
    <t>POLICE DEPT</t>
  </si>
  <si>
    <t>DIABETIC FOOT CARE AND MANAGEMENT</t>
  </si>
  <si>
    <t>SUPPORTIVE EMPLOYMENT</t>
  </si>
  <si>
    <t>VFW SERVICE OFFICER</t>
  </si>
  <si>
    <t>EPILEPSY SERVICE  - ECOE</t>
  </si>
  <si>
    <t>APPOINTMENTS - PRIMARY CARE CLINICS</t>
  </si>
  <si>
    <t>portland</t>
  </si>
  <si>
    <t>APPOINTMENTS - SPECIALTY CARE CLINICS</t>
  </si>
  <si>
    <t>BENEFICIARY TRAVEL OFFICE</t>
  </si>
  <si>
    <t>FALLS PREVENTION AND BALANCE RETRAINING</t>
  </si>
  <si>
    <t>BILLING - HEALTH REVENUE CENTER</t>
  </si>
  <si>
    <t>GERIATRIC CARE - GERIATRICS PRIMARY CARE CLINIC</t>
  </si>
  <si>
    <t>COMMUNITY CARE TEAM, NON-VA CARE</t>
  </si>
  <si>
    <t>COMMUNITY LIVING CENTER – VANCOUVER</t>
  </si>
  <si>
    <t>COMMUNITY REINTEGRATION SERVICES</t>
  </si>
  <si>
    <t>GERIATRICS RESEARCH EDUCATION AND CLINICAL CENTER - GRECC</t>
  </si>
  <si>
    <t>FOOD COURT - PORTLAND</t>
  </si>
  <si>
    <t>FOOD AND RETAIL - VANCOUVER</t>
  </si>
  <si>
    <t>LGBTQ VETERANS CARE COORDINATOR</t>
  </si>
  <si>
    <t>MISSION ACT HOTLINE</t>
  </si>
  <si>
    <t>NON-VA CARE BILLING - NETWORK PAYMENT CENTER</t>
  </si>
  <si>
    <t>MOVE PROGRAM - WEIGHT MANAGEMENT PROGRAM</t>
  </si>
  <si>
    <t>PARKING</t>
  </si>
  <si>
    <t>PATIENT ADVOCATES - PORTLAND</t>
  </si>
  <si>
    <t>MEDICAL IMAGING</t>
  </si>
  <si>
    <t>PATIENT ADVOCATES - VANCOUVER</t>
  </si>
  <si>
    <t>PHARMACY BILLING</t>
  </si>
  <si>
    <t>PURCHASED CARE AUTHORIZATION UNIT; VA CHOICE AND NON VA CARE ASSISTANCE</t>
  </si>
  <si>
    <t>RETAIL STORE - PORTLAND</t>
  </si>
  <si>
    <t>VA CASE MANAGED HOUSING PROGRAMS</t>
  </si>
  <si>
    <t>VA COMMUNITY GRANT AND PER DIEM PROGRAM</t>
  </si>
  <si>
    <t>NUTRITION DEPARTMENT</t>
  </si>
  <si>
    <t>VIST COORDINATOR</t>
  </si>
  <si>
    <t>EMERGENCY HOSPITALIZATION IN THE COMMUNITY</t>
  </si>
  <si>
    <t>prescott</t>
  </si>
  <si>
    <t>PATIENT LOCATION - HOSPITAL IN-PATIENTS</t>
  </si>
  <si>
    <t>PHARMACY AND AUTOMATED REFILLS</t>
  </si>
  <si>
    <t>AMBULATORY DIAGNOSTIC &amp; TREATMENT UNIT</t>
  </si>
  <si>
    <t>providence</t>
  </si>
  <si>
    <t>ANTICOAGULATION MANAGEMENT (OAMS)</t>
  </si>
  <si>
    <t>POST TRAUMATIC STRESS DISORDER - PTSD</t>
  </si>
  <si>
    <t>BENEFITS REPRESENTATIVE</t>
  </si>
  <si>
    <t>BLIND REHABILITATION (BROS)</t>
  </si>
  <si>
    <t>BLOOD DRAW - PHLEBOTOMY</t>
  </si>
  <si>
    <t>BRONCHOSCOPY SUITE</t>
  </si>
  <si>
    <t>CAT - CT SCAN</t>
  </si>
  <si>
    <t>CANTEEN OFFICE</t>
  </si>
  <si>
    <t>CANTEEN STORE - VCS PATRIOT STORE</t>
  </si>
  <si>
    <t>CASE MANAGEMENT - INPATIENT</t>
  </si>
  <si>
    <t>CASE MANAGEMENT - OUTPATIENT</t>
  </si>
  <si>
    <t>RESPIRATORY AND PULMONARY SERVICES</t>
  </si>
  <si>
    <t>CASHIER</t>
  </si>
  <si>
    <t>COMMUNITY CARE OFFICE</t>
  </si>
  <si>
    <t>COMMUNITY RESIDENTIAL CARE COORDINATOR</t>
  </si>
  <si>
    <t>CYSTOSCOPY</t>
  </si>
  <si>
    <t>THE PATIENT ADVOCATE PROGRAM</t>
  </si>
  <si>
    <t>EAR, NOSE &amp; THROAT (ENT)</t>
  </si>
  <si>
    <t>ECHOCARDIOGRAPHY LAB</t>
  </si>
  <si>
    <t>TOBACCO TREATMENT CLINIC</t>
  </si>
  <si>
    <t>ELECTROCARDIOGRAM - EKG (WALK-IN)</t>
  </si>
  <si>
    <t>TRANSPLANT PROGRAM</t>
  </si>
  <si>
    <t>EMPLOYEE EDUCATION - VA MEDICAL CENTER</t>
  </si>
  <si>
    <t>ENDOSCOPY UNIT</t>
  </si>
  <si>
    <t>VESTIBULAR REHABILITATION</t>
  </si>
  <si>
    <t>ENVIRONMENTAL MANAGEMENT SERVICE - EMS</t>
  </si>
  <si>
    <t>ERYTHROPOIESIS (EPO) CLINIC</t>
  </si>
  <si>
    <t>GI (GASTROENTEROLOGY) - LIVER</t>
  </si>
  <si>
    <t>HEAD AND NECK</t>
  </si>
  <si>
    <t>maine</t>
  </si>
  <si>
    <t>HOMELESS CLINIC</t>
  </si>
  <si>
    <t>FORMER PRISONERS OF WAR (FPOW)</t>
  </si>
  <si>
    <t>HYANNIS VA OUTPATIENT CLINIC</t>
  </si>
  <si>
    <t>IDENTIFICATION CARDS</t>
  </si>
  <si>
    <t>MOVE - WEIGHT MANAGEMENT PROGRAM</t>
  </si>
  <si>
    <t>GERIATRICS &amp; EXTENDED CARE</t>
  </si>
  <si>
    <t>MRI (MAGNETIC RESONANCE IMAGING)</t>
  </si>
  <si>
    <t>MENTAL HEALTH - ADMINISTRATION</t>
  </si>
  <si>
    <t>MENTAL HEALTH - COLLABORATIVE ADDICTION RECOVERY SERVICES</t>
  </si>
  <si>
    <t>MENTAL HEALTH - COMPREHENSIVE AMBULATORY PSYCHIATRY SECTION - CAPS</t>
  </si>
  <si>
    <t>INTERDISCIPLINARY INTENSIVE OUTPATIENT PROGRAM FOR CHRONIC PAIN (ACT IOP)</t>
  </si>
  <si>
    <t>MENTAL HEALTH - EMPLOYMENT RESOURCE CENTER</t>
  </si>
  <si>
    <t>MENTAL HEALTH - INPATIENT UNIT</t>
  </si>
  <si>
    <t>MENTAL HEALTH - INTENSIVE CASE MANAGEMENT</t>
  </si>
  <si>
    <t>MENTAL HEALTH - NEUROPSYCHOLOGY</t>
  </si>
  <si>
    <t>MENTAL HEALTH - POST-DEPLOYMENT AND READJUSTMENT PROGRAM</t>
  </si>
  <si>
    <t>MENTAL HEALTH - PSYCHOSOCIAL REHABILITATION AND RECOVERY CENTER</t>
  </si>
  <si>
    <t>MENTAL HEALTH - TRAUMA RECOVERY SERVICES - PTSD</t>
  </si>
  <si>
    <t>INTIMATE PARTNER VIOLENCE ASSISTANCE PROGRAM</t>
  </si>
  <si>
    <t>MENTAL HEALTH - URGENT CARE</t>
  </si>
  <si>
    <t>MIDDLETOWN VA OUTPATIENT CLINIC</t>
  </si>
  <si>
    <t>MOBILITY MANAGER</t>
  </si>
  <si>
    <t>MY HEALTH EVET - REGISTRATION</t>
  </si>
  <si>
    <t>NEW BEDFORD VA OUTPATIENT CLINIC</t>
  </si>
  <si>
    <t>PAIN PROGRAM</t>
  </si>
  <si>
    <t>PUBLIC AFFAIRS / NEWS</t>
  </si>
  <si>
    <t>STARBUCKS COFFEE SHOP</t>
  </si>
  <si>
    <t>THORACIC SERVICES</t>
  </si>
  <si>
    <t>VASCULAR SERVICES</t>
  </si>
  <si>
    <t>WOMENS VETERANS</t>
  </si>
  <si>
    <t>pugetsound</t>
  </si>
  <si>
    <t>CANTEEN - AMERICAN LAKE</t>
  </si>
  <si>
    <t>CANTEEN - SEATTLE (MAIN)</t>
  </si>
  <si>
    <t>CANTEEN - SEATTLE (SATELLITE)</t>
  </si>
  <si>
    <t>DEPLOYMENT HEALTH CLINIC</t>
  </si>
  <si>
    <t>ELIGIBILITY - AMERICAN LAKE</t>
  </si>
  <si>
    <t>AUDIOLOGY SERVICE</t>
  </si>
  <si>
    <t>ELIGIBILITY - SEATTLE</t>
  </si>
  <si>
    <t>EMERGENCY SERVICES AT SEATTLE</t>
  </si>
  <si>
    <t>INTERPRETATION SERVICES</t>
  </si>
  <si>
    <t>LOST AND FOUND - AMERICAN LAKE</t>
  </si>
  <si>
    <t>LOST AND FOUND - SEATTLE</t>
  </si>
  <si>
    <t>MEDICAL LIBRARY - AMERICAN LAKE</t>
  </si>
  <si>
    <t>MEDICAL LIBRARY - SEATTLE</t>
  </si>
  <si>
    <t>MULTIPLE SCLEROSIS SPECIALTY CLINIC</t>
  </si>
  <si>
    <t>CLINICAL NUTRITION SERVICES</t>
  </si>
  <si>
    <t>NURSE INFORMATION LINE</t>
  </si>
  <si>
    <t>PATIENT ADVOCATES - AMERICAN LAKE</t>
  </si>
  <si>
    <t>PATIENT ADVOCATES - SEATTLE</t>
  </si>
  <si>
    <t>ETHICS CONSULT SERVICE</t>
  </si>
  <si>
    <t>PSYCHIATRIC EMERGENCY SERVICES</t>
  </si>
  <si>
    <t>RELEASE OF INFORMATION - AMERICAN LAKE</t>
  </si>
  <si>
    <t>HOME BASED CARDIAC REHABILITATION PROGRAM</t>
  </si>
  <si>
    <t>RELEASE OF INFORMATION - SEATTLE</t>
  </si>
  <si>
    <t>RETAIL STORE - AMERICAN LAKE</t>
  </si>
  <si>
    <t>RETAIL STORE - SEATTLE</t>
  </si>
  <si>
    <t>SECURITY - AMERICAN LAKE</t>
  </si>
  <si>
    <t>SECURITY - SEATTLE</t>
  </si>
  <si>
    <t>TELEHEALTH LINE</t>
  </si>
  <si>
    <t>INTIMATE PARTNER VIOLENCE</t>
  </si>
  <si>
    <t>VETERANS SERVICE ORGANIZATIONS (VSOS) - AMERICAN LAKE</t>
  </si>
  <si>
    <t>VETERANS SERVICE ORGANIZATIONS (VSOS) - SEATTLE</t>
  </si>
  <si>
    <t>VOLUNTARY SERVICE - AMERICAN LAKE</t>
  </si>
  <si>
    <t>VOLUNTARY SERVICE - SEATTLE</t>
  </si>
  <si>
    <t>reno</t>
  </si>
  <si>
    <t>OFFICE OF COMMUNITY CARE</t>
  </si>
  <si>
    <t>PALLIATIVE CARE AND HOSPICE SERVICES</t>
  </si>
  <si>
    <t>FREEDOM OF INFORMATION ACT (FOIA) REQUESTS</t>
  </si>
  <si>
    <t>PROJECT NEVADA'S HEROES (CONSTRUCTION INFORMATION)</t>
  </si>
  <si>
    <t>RETURNING SERVICE MEMBERS - TRANSITION AND CARE MANAGEMENT PROGRAM - FORMERLY OEF-OIF-OND PROGRAM</t>
  </si>
  <si>
    <t>VETERAN ENGAGEMENT SERVICES</t>
  </si>
  <si>
    <t>PROSTHETICS SERVICES</t>
  </si>
  <si>
    <t>richmond</t>
  </si>
  <si>
    <t>RADIOLOGY SERVICE</t>
  </si>
  <si>
    <t>ASSISTIVE TECHNOLOGY</t>
  </si>
  <si>
    <t>REHABILITATION CLINICS</t>
  </si>
  <si>
    <t>SERVICE DOGS</t>
  </si>
  <si>
    <t>ELECTROMYOGRAPHY AND NERVE CONDUCTION STUDIES (EMG)</t>
  </si>
  <si>
    <t>SPINAL CORD INJURY &amp; DISORDER SERVICES</t>
  </si>
  <si>
    <t>MUSCULOSKELETAL AND REHAB CLINIC (RMS)</t>
  </si>
  <si>
    <t>THERAPEUTIC AND SUPPORTED EMPLOYMENT</t>
  </si>
  <si>
    <t>PARALYZED VETERANS OF AMERICA (PVA)</t>
  </si>
  <si>
    <t>VETERANS BENEFIT ADMINISTRATION (VBA)</t>
  </si>
  <si>
    <t>WHOLE HEALTH CENTER AT MANCHESTER VA MEDICAL CENTER</t>
  </si>
  <si>
    <t>roseburg</t>
  </si>
  <si>
    <t>BEHAVIORAL MEDICINE</t>
  </si>
  <si>
    <t>BLOOD DRAWS</t>
  </si>
  <si>
    <t>DIETETIC OFFICE</t>
  </si>
  <si>
    <t>INPATIENT WARD</t>
  </si>
  <si>
    <t>LAB/PATHOLOGY</t>
  </si>
  <si>
    <t>ORTHOPEDIC</t>
  </si>
  <si>
    <t>EXTENDED CARE AND REHABILITATION PROGRAMS</t>
  </si>
  <si>
    <t>PTSD PROGRAM</t>
  </si>
  <si>
    <t>RADIOLOGY SERVICES</t>
  </si>
  <si>
    <t>RECREATION SERVICES</t>
  </si>
  <si>
    <t>REHABILITATIVE MEDICINE</t>
  </si>
  <si>
    <t>SPECIALTY CLINICS</t>
  </si>
  <si>
    <t>NUTRITION SERVICE/DIABETES/MOVE!</t>
  </si>
  <si>
    <t>TRANSITIONAL CARE UNIT</t>
  </si>
  <si>
    <t>ADMISSIONS/DISCHARGES FROM NON-VA FACILITY</t>
  </si>
  <si>
    <t>saginaw</t>
  </si>
  <si>
    <t>CARE INTEGRATION SERVICE</t>
  </si>
  <si>
    <t>RESIDENTIAL REHABILITATION TREATMENT PROGRAM</t>
  </si>
  <si>
    <t>FINANCE SERVICE-CASH RECEIPTS</t>
  </si>
  <si>
    <t>GENERAL INFORMATION</t>
  </si>
  <si>
    <t>SPINAL CORD INJURY &amp; DISORDERS CLINIC</t>
  </si>
  <si>
    <t>GYNECOLOGY SERVICES</t>
  </si>
  <si>
    <t>SURGICAL SPECIALTY</t>
  </si>
  <si>
    <t>NON-VA EMERGENCY MEDICAL CARE (FILING CLAIMS)</t>
  </si>
  <si>
    <t>DIABETES TREATMENT AND PREVENTION</t>
  </si>
  <si>
    <t>PHYSICAL MEDICINE</t>
  </si>
  <si>
    <t>FLU CLINIC</t>
  </si>
  <si>
    <t>PODIATRY/WOUND CLINIC</t>
  </si>
  <si>
    <t>GERIATRIC/LONG-TERM CARE</t>
  </si>
  <si>
    <t>TELEPHONE CARE/TELE NURSE</t>
  </si>
  <si>
    <t>TRANSFER COORDINATOR</t>
  </si>
  <si>
    <t>TRAVELING VETERAN COORDINATORS</t>
  </si>
  <si>
    <t>salem</t>
  </si>
  <si>
    <t>MEDICAL SERVICES</t>
  </si>
  <si>
    <t>CLAIMS</t>
  </si>
  <si>
    <t>REGISTERED NURSE ASSESSMENT LINE</t>
  </si>
  <si>
    <t>SALEM VAMC POLICE DEPARTMENT</t>
  </si>
  <si>
    <t>VETERANS HEALTH INFORMATION EXCHANGE</t>
  </si>
  <si>
    <t>VETERANS TRANSPORTATION NETWORK</t>
  </si>
  <si>
    <t>ADVANCE LOW VISION CLINIC - CHARLOTTE CBOC</t>
  </si>
  <si>
    <t>AGENT ORANGE REGISTRY HEALTH EXAM</t>
  </si>
  <si>
    <t>salisbury</t>
  </si>
  <si>
    <t>APPOINTMENT CENTER</t>
  </si>
  <si>
    <t>ADVANCED LOW VISION CLINIC - KERNERSVILLE HCC</t>
  </si>
  <si>
    <t>AUTOMATED APPOINTMENT LINE</t>
  </si>
  <si>
    <t>ALLERGY IMMUNOLOGY</t>
  </si>
  <si>
    <t>BALTIMORE VA MEDICAL CENTER</t>
  </si>
  <si>
    <t>ALLERGY IMMUNOLOGY- CHARLOTTE HCC</t>
  </si>
  <si>
    <t>AUDIOLOGY - CHARLOTTE HCC</t>
  </si>
  <si>
    <t>AUDIOLOGY - KERNERSVILLE HCC</t>
  </si>
  <si>
    <t>BURIAL INFORMATION AND BENEFITS</t>
  </si>
  <si>
    <t>AUDIOLOGY AND SPEECH PATHOLOGY - SALISBURY VAMC</t>
  </si>
  <si>
    <t>AUDIOLOGY: HEARING AID REPAIR</t>
  </si>
  <si>
    <t>AUDIOLOGY: ORDERING BATTERIES</t>
  </si>
  <si>
    <t>AUDIOLOGY: ORDERING SUPPLIES</t>
  </si>
  <si>
    <t>BENEFICIARY TRAVEL -PAYMENT ONLY</t>
  </si>
  <si>
    <t>CHAPLAIN SERVICE - BALTIMORE VA MEDICAL CENTER</t>
  </si>
  <si>
    <t>BURIAL AND MEMORIAL BENEFITS INFORMATION</t>
  </si>
  <si>
    <t>CPAP CLINIC (7:30 A.M. - 5 P.M.)</t>
  </si>
  <si>
    <t>CHAPLAIN SERVICE - LOCH RAVEN VA MEDICAL CENTER</t>
  </si>
  <si>
    <t>CPAP CLINIC - AFTER HOURS/WEEKENDS/HOLIDAYS</t>
  </si>
  <si>
    <t>CHAPLAIN SERVICE AT PERRY POINT VA MEDICAL CENTER</t>
  </si>
  <si>
    <t>CARDIOLOGY- CHARLOTTE HCC</t>
  </si>
  <si>
    <t>CARE IN THE COMMUNITY COLLECTIONS</t>
  </si>
  <si>
    <t>CHAPLAIN SERVICE - CHARLOTTE HCC</t>
  </si>
  <si>
    <t>CHAPLAIN SERVICE - KERNERSVILLE HCC</t>
  </si>
  <si>
    <t>COMPENSATION &amp; PENSION EXAMINATIONS</t>
  </si>
  <si>
    <t>CHAPLAIN SERVICE - SALISBURY VAMC</t>
  </si>
  <si>
    <t>CHARLOTTE COMMUNITY BASED OUTPATIENT CLINIC (CBOC)</t>
  </si>
  <si>
    <t>DENTAL SERVICES - BALTIMORE VA MEDICAL CENTER</t>
  </si>
  <si>
    <t>CHARLOTTE HEALTH CARE CENTER (HCC)</t>
  </si>
  <si>
    <t>DENTAL SERVICES - PERRY POINT VA MEDICAL CENTER</t>
  </si>
  <si>
    <t>COMPENSATION AND PENSION - CHARLOTTE CBOC</t>
  </si>
  <si>
    <t>COMPENSATION AND PENSION - KERNERSVILLE HCC</t>
  </si>
  <si>
    <t>DENTAL CHARLOTTE HCC</t>
  </si>
  <si>
    <t>DENTAL KERNERSVILLE HCC</t>
  </si>
  <si>
    <t>EMERGENCY DEPARTMENT – BALTIMORE VA MEDICAL CENTER</t>
  </si>
  <si>
    <t>DENTAL SALISBURY VAMC</t>
  </si>
  <si>
    <t>DERMATOLOGY CHARLOTTE HCC</t>
  </si>
  <si>
    <t>DERMATOLOGY KERNERSVILLE HCC</t>
  </si>
  <si>
    <t>EMERGENCY MEDICAL CARE IN THE COMMUNITY</t>
  </si>
  <si>
    <t>ELIGIBILITY - CHARLOTTE HCC</t>
  </si>
  <si>
    <t>ELIGIBILITY - KERNERSVILLE HCC</t>
  </si>
  <si>
    <t>EMPLOYMENT OPPORTUNITIES</t>
  </si>
  <si>
    <t>ELIGIBILITY - SALISBURY VAMC</t>
  </si>
  <si>
    <t>EMERGENCY DEPARTMENT/AOD</t>
  </si>
  <si>
    <t>FEE SERVICE - NON-VA HEALTH CARE BILLING</t>
  </si>
  <si>
    <t>ENDOCRINOLOGY- CHARLOTTE HCC</t>
  </si>
  <si>
    <t>FORMER PRISONER OF WAR (POW) ADVOCATE</t>
  </si>
  <si>
    <t>ENGINEERING SERVICE - SALISBURY VAMC</t>
  </si>
  <si>
    <t>ENVIRONMENTAL MANAGEMENT SERVICE - SALISBURY VAMC</t>
  </si>
  <si>
    <t>FINGER PRINTS/ BACKGROUND INVESTIGATIONS - VA STAFF</t>
  </si>
  <si>
    <t>FORMER PRISONERS OF WAR (FPOW) ADVOCATES</t>
  </si>
  <si>
    <t>HOMELESS VETERANS PROGRAM - BALTIMORE VA MEDICAL CENTER</t>
  </si>
  <si>
    <t>GI BILL HOTLINE</t>
  </si>
  <si>
    <t>HEALTH ADMINISTRATION SERVICE - ADMINISTRATION</t>
  </si>
  <si>
    <t>HOMELESS VETERANS PROGRAM - PERRY POINT VA MEDICAL CENTER</t>
  </si>
  <si>
    <t>HEMATOLOGY- CHARLOTTE HCC</t>
  </si>
  <si>
    <t>HEMATOLOGY- SALISBURY VAMC</t>
  </si>
  <si>
    <t>HOSPITALIST SECTION</t>
  </si>
  <si>
    <t>LEGIONELLA MONITORING</t>
  </si>
  <si>
    <t>HOMELESS VETERANS HOTLINE</t>
  </si>
  <si>
    <t>LOCH RAVEN VA MEDICAL CENTER</t>
  </si>
  <si>
    <t>HUMAN RESOURCE CENTER - BILLING</t>
  </si>
  <si>
    <t>LONG-TERM CARE INFORMATION LINE</t>
  </si>
  <si>
    <t>KERNERSVILLE HEALTH CARE CENTER (HCC)</t>
  </si>
  <si>
    <t>LIMITED ENGLISH PROFICIENCY</t>
  </si>
  <si>
    <t>MS CENTER OF EXCELLENCE - EAST</t>
  </si>
  <si>
    <t>LOGISTICS - CHARLOTTE HCC</t>
  </si>
  <si>
    <t>LOGISTICS - KERNERSVILLE HCC</t>
  </si>
  <si>
    <t>LOGISTICS - SALISBURY VAMC</t>
  </si>
  <si>
    <t>MARIJUANA AND VA</t>
  </si>
  <si>
    <t>MEDICINE SERVICE</t>
  </si>
  <si>
    <t>MEDICINE SERVICE - GENERAL</t>
  </si>
  <si>
    <t>MEDICAL RECORDS: RELEASE OF INFORMATION - BALTIMORE VA MEDICAL CENTER</t>
  </si>
  <si>
    <t>NEPHROLOGY- CHARLOTTE HCC</t>
  </si>
  <si>
    <t>MEDICAL RECORDS: RELEASE OF INFORMATION - PERRY POINT VA MEDICAL CENTER</t>
  </si>
  <si>
    <t>NEPHROLOGY- SALISBURY VAMC</t>
  </si>
  <si>
    <t>NEUROLOGY- CHARLOTTE HCC</t>
  </si>
  <si>
    <t>NEUROLOGY- SALISBURY VAMC</t>
  </si>
  <si>
    <t>NEWS - MEDIA</t>
  </si>
  <si>
    <t>MENTAL HEALTH - BALTIMORE VA MEDICAL CENTER</t>
  </si>
  <si>
    <t>NUTRITION FOOD SERVICE - CHARLOTTE CBOC</t>
  </si>
  <si>
    <t>NUTRITION FOOD SERVICE - CHARLOTTE HCC</t>
  </si>
  <si>
    <t>NUTRITION FOOD SERVICE - KERNERSVILLE HCC</t>
  </si>
  <si>
    <t>MENTAL HEALTH - PERRY POINT VA MEDICAL CENTER</t>
  </si>
  <si>
    <t>NUTRITION FOOD SERVICE - SALISBURY</t>
  </si>
  <si>
    <t>OFFICE OF PERFORMANCE AND QUALITY</t>
  </si>
  <si>
    <t>ONCOLOGY- CHARLOTTE HCC</t>
  </si>
  <si>
    <t>OPHTHALMOLOGY- CHARLOTTE HCC</t>
  </si>
  <si>
    <t>OPTOMETRY - CHARLOTTE HCC</t>
  </si>
  <si>
    <t>MILITARY SEXUAL TRAUMA (MST) COORDINATOR</t>
  </si>
  <si>
    <t>OPTOMETRY - KERNERSVILLE HCC</t>
  </si>
  <si>
    <t>OPTOMETRY/EYE CLINIC - SALISBURY VAMC</t>
  </si>
  <si>
    <t>PIV ID CARDS- VA EMPLOYEES</t>
  </si>
  <si>
    <t>PATHOLOGY/LAB - CHARLOTTE HCC</t>
  </si>
  <si>
    <t>PATHOLOGY/LAB - SALISBURY VAMC</t>
  </si>
  <si>
    <t>PATIENT  SAFETY PROGRAM</t>
  </si>
  <si>
    <t>PATIENT ADVOCATES - BALTIMORE VA MEDICAL CENTER</t>
  </si>
  <si>
    <t>PEER SUPPORT AND RECOVERY</t>
  </si>
  <si>
    <t>PATIENT ADVOCATES - LOCH RAVEN VA MEDICAL CENTER</t>
  </si>
  <si>
    <t>PATIENT ADVOCATES - PERRY POINT VA MEDICAL CENTER</t>
  </si>
  <si>
    <t>PRIMARY CARE CALL CENTER</t>
  </si>
  <si>
    <t>PRIMARY CARE CLINICS - CHARLOTTE CBOC</t>
  </si>
  <si>
    <t>PATIENT SAFETY HOTLINE</t>
  </si>
  <si>
    <t>PRIMARY CARE CLINICS - CHARLOTTE HCC</t>
  </si>
  <si>
    <t>PRIMARY CARE CLINICS - KERNERSVILLE HCC</t>
  </si>
  <si>
    <t>PRIMARY CARE CLINICS - SALISBURY VAMC</t>
  </si>
  <si>
    <t>PERRY POINT VA MEDICAL CENTER</t>
  </si>
  <si>
    <t>PROSTHETICS AND SENSORY AIDS - ITEM ISSUANCE</t>
  </si>
  <si>
    <t>PROSTHETICS AND SENSORY AIDS - ORTHOTICS</t>
  </si>
  <si>
    <t>PHARMACY - BALTIMORE VA MEDICAL CENTER</t>
  </si>
  <si>
    <t>PULMONARY- CHARLOTTE HCC</t>
  </si>
  <si>
    <t>PULMONARY- SALISBURY VAMC</t>
  </si>
  <si>
    <t>PHARMACY - PERRY POINT VA MEDICAL CENTER</t>
  </si>
  <si>
    <t>REHABILITATION MEDICINE SERVICE- SALISBURY VAMC</t>
  </si>
  <si>
    <t>REHABILITATION MEDIICINE SERVICE- CHARLOTTE HCC</t>
  </si>
  <si>
    <t>RELEASE OF INFORMATION - CHARLOTTE HCC</t>
  </si>
  <si>
    <t>PRESCRIPTION REFILL INFORMATION</t>
  </si>
  <si>
    <t>RELEASE OF INFORMATION - SALISBURY VAMC</t>
  </si>
  <si>
    <t>RESEARCH AND ACADEMIC AFFAIRS - MIRECC</t>
  </si>
  <si>
    <t>PRIVACY OFFICE - BALTIMORE VA MEDICAL CENTER</t>
  </si>
  <si>
    <t>RESEARCH AND ACADEMIC AFFAIRS - TBI</t>
  </si>
  <si>
    <t>PRIVACY OFFICE - PERRY POINT VA MEDICAL CENTER</t>
  </si>
  <si>
    <t>RHEUMATOLOGY- CHARLOTTE HCC</t>
  </si>
  <si>
    <t>SALISBURY VA MEDICAL CENTER</t>
  </si>
  <si>
    <t>PUBLIC AND COMMUNITY RELATIONS - BALTIMORE VA</t>
  </si>
  <si>
    <t>SLEEP CLINIC- CHARLOTTE HCC</t>
  </si>
  <si>
    <t>PUBLIC AND COMMUNITY RELATIONS - PERRY POINT VA</t>
  </si>
  <si>
    <t>SUBSTANCE USE DISORDER</t>
  </si>
  <si>
    <t>RECREATION THERAPY AT LOCH RAVEN VA MEDICAL CENTER</t>
  </si>
  <si>
    <t>RECREATION THERAPY AT PERRY POINT VA MEDICAL CENTER</t>
  </si>
  <si>
    <t>SURGERY - EAR NOSE THROAT</t>
  </si>
  <si>
    <t>SURGERY - GYN - WOMEN'S SPECIALTY CARE</t>
  </si>
  <si>
    <t>SURGERY SERVICE - PLASTIC SURGERY</t>
  </si>
  <si>
    <t>RETURNING VETERANS</t>
  </si>
  <si>
    <t>SURGERY SERVICE - THORACIC</t>
  </si>
  <si>
    <t>SURGERY SERVICE - UROLOGY</t>
  </si>
  <si>
    <t>SURGERY SERVICE - VASCULAR</t>
  </si>
  <si>
    <t>SURGERY- CHARLOTTE HCC</t>
  </si>
  <si>
    <t>TELEPHONE CARE LINE</t>
  </si>
  <si>
    <t>THE JOINT COMMISSION</t>
  </si>
  <si>
    <t>UROLOGY- CHARLOTTE HCC</t>
  </si>
  <si>
    <t>VA LIFE INSURANCE CALL CENTER</t>
  </si>
  <si>
    <t>VA BENEFITS</t>
  </si>
  <si>
    <t>VA NATIONAL CHOICE PROGRAM</t>
  </si>
  <si>
    <t>VETERAN CENTER INFORMATION</t>
  </si>
  <si>
    <t>VETERANS AFFAIRS SUPPORTIVE HOUSING</t>
  </si>
  <si>
    <t>VETERANS BENEFITS HOTLINE</t>
  </si>
  <si>
    <t>VETERANS EXPERIENCE ADVOCATE - CHARLOTTE HCC</t>
  </si>
  <si>
    <t>VETERANS EXPERIENCE ADVOCATE - KERNERSVILLE HCC</t>
  </si>
  <si>
    <t>VETERANS EXPERIENCE ADVOCATE - SALISBURY VAMC</t>
  </si>
  <si>
    <t>VISUAL IMPAIRMENT SERVICES TEAM - VIST - CHARLOTTE HCC</t>
  </si>
  <si>
    <t>VISUAL IMPAIRMENT SERVICES TEAM VIST - KERNERSVILLE HCC</t>
  </si>
  <si>
    <t>VOLUNTARY SERVICE - BALTIMORE VA MEDICAL CENTER</t>
  </si>
  <si>
    <t>ANESTHESIOLOGY SERVICE</t>
  </si>
  <si>
    <t>saltlakecity</t>
  </si>
  <si>
    <t>VOLUNTARY SERVICE - LOCH RAVEN VA MEDICAL CENTER</t>
  </si>
  <si>
    <t>VOLUNTARY SERVICE - PERRY POINT VA MEDICAL CENTER</t>
  </si>
  <si>
    <t>WOMEN VETERANS CALL CENTER</t>
  </si>
  <si>
    <t>WOMENS RURAL OUTREACH TELEHEALTH PROGRAM</t>
  </si>
  <si>
    <t>ENVIRONMENTAL MANAGEMENT SERVICE (EMS)</t>
  </si>
  <si>
    <t>AMYOTROPHIC LATERAL SCLEROSIS (ALS) CLINIC</t>
  </si>
  <si>
    <t>SURGERY - GENERAL</t>
  </si>
  <si>
    <t>sandiego</t>
  </si>
  <si>
    <t>MULTIPLE SCLEROSIS</t>
  </si>
  <si>
    <t>BILLING OFFICE (VA HEALTH RESOURCE CENTER)</t>
  </si>
  <si>
    <t>FREEDOM OF INFORMATION ACT (FOIA) OFFICER</t>
  </si>
  <si>
    <t>HEALTH BENEFITS AND ENROLLMENT OFFICE</t>
  </si>
  <si>
    <t>LODGER UNIT</t>
  </si>
  <si>
    <t>MEDICATION REFILLS (AUTOMATED TELEPHONE REFILL LINE)</t>
  </si>
  <si>
    <t>OEF/OIF/OND CARE MANAGEMENT TEAM</t>
  </si>
  <si>
    <t>SLEEP HEALTH CENTER</t>
  </si>
  <si>
    <t>RESPITE CARE (NURSING HOME RESPITE CARE)</t>
  </si>
  <si>
    <t>TELECARE (24-HOUR NURSE ADVICE LINE)</t>
  </si>
  <si>
    <t>ADMISSIONS OFFICE</t>
  </si>
  <si>
    <t>sanfrancisco</t>
  </si>
  <si>
    <t>VISION REHABILITATION CLINIC</t>
  </si>
  <si>
    <t>CLEARLAKE VA CLINIC</t>
  </si>
  <si>
    <t>DAV TRANSPORTATION COORDINATOR</t>
  </si>
  <si>
    <t>EAR, NOSE AND THROAT</t>
  </si>
  <si>
    <t>EUREKA VA CLINIC</t>
  </si>
  <si>
    <t>HAND CLINIC</t>
  </si>
  <si>
    <t>HEPATITIS C CLINIC</t>
  </si>
  <si>
    <t>MAIN HOSPITAL</t>
  </si>
  <si>
    <t>MEDICAL PRACTICE</t>
  </si>
  <si>
    <t>MEMBER SERVICES</t>
  </si>
  <si>
    <t>METABOLIC/ENDOCRINE</t>
  </si>
  <si>
    <t>MOVEMENT DISORDERS</t>
  </si>
  <si>
    <t>OPTHALMOLOGY</t>
  </si>
  <si>
    <t>PATIENT EXPERIENCE SPECIALIST</t>
  </si>
  <si>
    <t>PERSONNEL HEALTH</t>
  </si>
  <si>
    <t>POLICE SERVICE - EMERGENCY</t>
  </si>
  <si>
    <t>POLICE SERVICE - NON EMERGENCY</t>
  </si>
  <si>
    <t>SF VA DOWNTOWN CLINIC</t>
  </si>
  <si>
    <t>SAN BRUNO VA CLINIC</t>
  </si>
  <si>
    <t>SANTA ROSA VA CLINIC</t>
  </si>
  <si>
    <t>SUBSTANCE ABUSE OUTPATIENT CLINIC</t>
  </si>
  <si>
    <t>UKIAH VA CLINIC</t>
  </si>
  <si>
    <t>sheridan</t>
  </si>
  <si>
    <t>PRESCRIPTION REFILLS</t>
  </si>
  <si>
    <t>RECREATION AND CREATIVE ARTS THERAPY SERVICE</t>
  </si>
  <si>
    <t>FORMER PRISONER OF WAR ADVOCATES</t>
  </si>
  <si>
    <t>NURSE LINE (24 HOUR)</t>
  </si>
  <si>
    <t>SPINAL CORD INJURY UNIT</t>
  </si>
  <si>
    <t>shreveport</t>
  </si>
  <si>
    <t>TELECARE URBAN HOME HEALTHCARE</t>
  </si>
  <si>
    <t>ACCOMMODATIONS - FISHER HOUSE</t>
  </si>
  <si>
    <t>siouxfalls</t>
  </si>
  <si>
    <t>ACCOMMODATIONS - HOPTEL</t>
  </si>
  <si>
    <t>ADAPTIVE SPORTS -- RECREATION THERAPY</t>
  </si>
  <si>
    <t>ADDICTION PROGRAMS AND TREATMENT</t>
  </si>
  <si>
    <t>ART THERAPY</t>
  </si>
  <si>
    <t>FORMER PRISONER OF WAR (FPOW) ADVOCATE</t>
  </si>
  <si>
    <t>COMING HOME FROM WAR</t>
  </si>
  <si>
    <t>COMPENSATED WORK THERAPY/WORK PROGRAM</t>
  </si>
  <si>
    <t>CREATIVE ARTS FESTIVAL</t>
  </si>
  <si>
    <t>SURGICAL SPECIALTY CARE</t>
  </si>
  <si>
    <t>DAV SHUTTLE</t>
  </si>
  <si>
    <t>southernoregon</t>
  </si>
  <si>
    <t>DIRECTORY</t>
  </si>
  <si>
    <t>DIRECTORY -- MENTAL HEALTH SERVICES</t>
  </si>
  <si>
    <t>EVIDENCED BASED PSYCHOSOCIAL REHABILITATION AND EDUCATION PROGRAM -- EB-PREP</t>
  </si>
  <si>
    <t>ADVANCED LIVING TECHNOLOGY PROGRAM (ALT)</t>
  </si>
  <si>
    <t>southtexas</t>
  </si>
  <si>
    <t>EVIDENCED BASED PSYCHOTHERAPY</t>
  </si>
  <si>
    <t>spokane</t>
  </si>
  <si>
    <t>EXTENSION DIRECTORY</t>
  </si>
  <si>
    <t>SLEEP CLINIC - CPAP - CLINIC A (SSN-LAST 2: 33-65)</t>
  </si>
  <si>
    <t>SLEEP CLINIC - CPAP CLINIC-B (SSN LAST 2: 66-99)</t>
  </si>
  <si>
    <t>SLEEP CLINIC - CPAP CLINIC-C (SSN LAST 2: 00-32)</t>
  </si>
  <si>
    <t>TOBACCO FREE SUPPORT</t>
  </si>
  <si>
    <t>FOOD AND REFRESHMENTS</t>
  </si>
  <si>
    <t>stcloud</t>
  </si>
  <si>
    <t>AMERICAN LEGION REPRESENTATIVE</t>
  </si>
  <si>
    <t>HEALTHCARE FOR RE-ENTRY VETERANS PROGRAM</t>
  </si>
  <si>
    <t>CANTEEN/PATRIOT CAFE</t>
  </si>
  <si>
    <t>HOMELESS PREVENTION</t>
  </si>
  <si>
    <t>CIVIL RIGHTS PROGRAM</t>
  </si>
  <si>
    <t>COMMUNITY HEALTH NURSE</t>
  </si>
  <si>
    <t>DISCRIMINATION COMPLAINTS</t>
  </si>
  <si>
    <t>EQUAL EMPLOYMENT OPPORTUNITY PROGRAM</t>
  </si>
  <si>
    <t>IRAQ/AFGHANISTAN VETERANS</t>
  </si>
  <si>
    <t>LOCATION AND EXTENSION DIRECTORY</t>
  </si>
  <si>
    <t>INCARCERATED VETERANS PROGRAM</t>
  </si>
  <si>
    <t>LOCATION DIRECTORY</t>
  </si>
  <si>
    <t>LODGING - FISHER HOUSE</t>
  </si>
  <si>
    <t>LODGING - HOPTEL</t>
  </si>
  <si>
    <t>MENTAL HEALTH ACCESS TEAM</t>
  </si>
  <si>
    <t>TDD USER</t>
  </si>
  <si>
    <t>TRAUMATIC BRAIN INJURY AND POLYTRAUMA PROGRAM MANAGER</t>
  </si>
  <si>
    <t>MENTAL HEALTH INTENSIVE CASE MANAGEMENT -- MHICM</t>
  </si>
  <si>
    <t>TRI-CARE</t>
  </si>
  <si>
    <t>VETERAN VOTING</t>
  </si>
  <si>
    <t>MENTAL HEALTH RECOVERY &amp; REHABILITATION TREATMENT PROGRAM – MUSIC THERAPY</t>
  </si>
  <si>
    <t>VETERANS BENEFIT ADMINISTRATION ADVISORS</t>
  </si>
  <si>
    <t>MENTAL HEALTH RECOVERY &amp; REHABILITATION TREATMENT PROGRAM -- ART THERAPY</t>
  </si>
  <si>
    <t>VISION IMPAIRMENT SERVICES</t>
  </si>
  <si>
    <t>MENTAL HEALTH SERVICES DIRECTORY FOR VETERANS</t>
  </si>
  <si>
    <t>AM-VETS SERVICE OFFICER</t>
  </si>
  <si>
    <t>stlouis</t>
  </si>
  <si>
    <t>MENTAL HEALTH SUMMIT 2018</t>
  </si>
  <si>
    <t>MENTAL HEALTH URGENT CARE CLINIC</t>
  </si>
  <si>
    <t>AMERICAN LEGION SERVICE OFFICER</t>
  </si>
  <si>
    <t>MENTAL HEALTH AND WELLNESS GUIDE</t>
  </si>
  <si>
    <t>DISABLED AMERICAN VETS</t>
  </si>
  <si>
    <t>GIVING &amp; VOLUNTEERING</t>
  </si>
  <si>
    <t>HOMELESS VETERANS SERVICES</t>
  </si>
  <si>
    <t>OUTPATIENT SERVICES AETC</t>
  </si>
  <si>
    <t>NATIONAL VETERANS CREATIVE ARTS FESTIVAL</t>
  </si>
  <si>
    <t>POLICE &amp; SECURITY</t>
  </si>
  <si>
    <t>PRE-REGISTRATION</t>
  </si>
  <si>
    <t>OPERATION HOPE</t>
  </si>
  <si>
    <t>ACQUISITION AND MATERIEL MANAGEMENT</t>
  </si>
  <si>
    <t>syracuse</t>
  </si>
  <si>
    <t>OUTPATIENT ADDICTION TREATMENT</t>
  </si>
  <si>
    <t>OUTPATIENT MENTAL HEALTH ADDICTION PROGRAM</t>
  </si>
  <si>
    <t>ELIGIBILITY INFORMATION</t>
  </si>
  <si>
    <t>ENVIRONMENTAL MANAGEMENT (EMS)</t>
  </si>
  <si>
    <t>FACILITY MANAGEMENT (FMS)</t>
  </si>
  <si>
    <t>MEDICAL CENTER CONTACT</t>
  </si>
  <si>
    <t>PATIENT ALIGNED CARE TEAMS AND MENTAL HEALTH</t>
  </si>
  <si>
    <t>PATIENTS APPOINTMENTS</t>
  </si>
  <si>
    <t>PATIENTS BILLING</t>
  </si>
  <si>
    <t>PHONE DIRECTORY</t>
  </si>
  <si>
    <t>POST-TRAUMATIC STRESS</t>
  </si>
  <si>
    <t>TRAVEL INFORMATION/LOUNGE</t>
  </si>
  <si>
    <t>VALOR INN</t>
  </si>
  <si>
    <t>VET CENTER PROGRAM</t>
  </si>
  <si>
    <t>PSYCHOTHERAPY</t>
  </si>
  <si>
    <t>tampa</t>
  </si>
  <si>
    <t>RADIATION AND ONCOLOGY</t>
  </si>
  <si>
    <t>RECOVERY AND PATIENT CENTERED CARE</t>
  </si>
  <si>
    <t>COMPENSATION AND PENSION - NORTH CLINIC</t>
  </si>
  <si>
    <t>COMPENSATION AND PENSION - SOUTH CLINIC</t>
  </si>
  <si>
    <t>EYE CLINIC-OFF SITE</t>
  </si>
  <si>
    <t>RECREATION THERAPY -- ADAPTIVE SPORTS</t>
  </si>
  <si>
    <t>LESBIAN, GAY, BISEXUAL, TRANSGENDER, AND QUEER/QUESTIONING (LGBTQ) VETERANS</t>
  </si>
  <si>
    <t>RETURNING FROM WAR</t>
  </si>
  <si>
    <t>OEF/OIF PROGRAM MANAGER</t>
  </si>
  <si>
    <t>tennesseevalley</t>
  </si>
  <si>
    <t>CENTRALIZED SCHEDULING UNIT</t>
  </si>
  <si>
    <t>ELIGIBILITY - BUSINESS OFFICE</t>
  </si>
  <si>
    <t>GENERAL SURGERY SERVICE</t>
  </si>
  <si>
    <t>H.I.R.E. CENTER</t>
  </si>
  <si>
    <t>PATIENT ADVOCATE, CHATTANOOGA</t>
  </si>
  <si>
    <t>PATIENT ADVOCATES, TENNESSEE VALLEY HEALTHCARE</t>
  </si>
  <si>
    <t>Legend</t>
  </si>
  <si>
    <t>PRIVACY / FOIA OFFICERS</t>
  </si>
  <si>
    <t>SPORTS</t>
  </si>
  <si>
    <t>Questions</t>
  </si>
  <si>
    <t>Bundled Services</t>
  </si>
  <si>
    <t>APPOINTMENT SCHEDULING (CORPUS CHRISTI OPC)</t>
  </si>
  <si>
    <t>texasvalley</t>
  </si>
  <si>
    <t>APPOINTMENT SCHEDULING (HARLINGEN OPC)</t>
  </si>
  <si>
    <t>APPOINTMENT SCHEDULING (LAREDO OPC)</t>
  </si>
  <si>
    <t>THERAPEUTIC AND SUPPORTED EMPLOYMENT SERVICES</t>
  </si>
  <si>
    <t>APPOINTMENT SCHEDULING (MCALLEN OPC)</t>
  </si>
  <si>
    <t>Parent Categories (4)</t>
  </si>
  <si>
    <t>VETERAN SPORTS</t>
  </si>
  <si>
    <t>RELEASE OF INFORMATION (CORPUS CHRISTI OPC)</t>
  </si>
  <si>
    <t>RELEASE OF INFORMATION (HARLINGENOPC)</t>
  </si>
  <si>
    <t>RELEASE OF INFORMATION (LAREDO OPC)</t>
  </si>
  <si>
    <t>RELEASE OF INFORMATION (MCALLEN OPC)</t>
  </si>
  <si>
    <t>TOLL FREE NUMBER</t>
  </si>
  <si>
    <t>VETERANS RECOVERY RESOURCE CENTER -- VRRC</t>
  </si>
  <si>
    <t>VETS CLUB</t>
  </si>
  <si>
    <t>tomah</t>
  </si>
  <si>
    <t>WARRIOR STANCE -- VETERAN YOGA AND RELAXATION</t>
  </si>
  <si>
    <t>YOGA AND RELAXATION</t>
  </si>
  <si>
    <t>ALS - AMYOTROPHIC LATERAL SCLEROSIS</t>
  </si>
  <si>
    <t>MEDICAL PROVIDER RECRUITER</t>
  </si>
  <si>
    <t>ADDICTION RECOVERY SERVICES</t>
  </si>
  <si>
    <t>Services Tracked Separately</t>
  </si>
  <si>
    <t>AMYOTROPHIC LATERAL SCLEROSIS</t>
  </si>
  <si>
    <t>ADULT LEARNING CENTER</t>
  </si>
  <si>
    <t>topeka</t>
  </si>
  <si>
    <t>Caregiver Program</t>
  </si>
  <si>
    <t>BRAIN INJURY</t>
  </si>
  <si>
    <t>Homeless Veterans</t>
  </si>
  <si>
    <t>Returning Service Members</t>
  </si>
  <si>
    <t>Women Veterans</t>
  </si>
  <si>
    <t>Pittsburgh Legacy</t>
  </si>
  <si>
    <t>SUICIDE PREVENTION SERVICES</t>
  </si>
  <si>
    <t>CHRONIC PAIN REHAB PROGRAM</t>
  </si>
  <si>
    <t>AGAVE PRIMARY CARE CLINIC</t>
  </si>
  <si>
    <t>tucson</t>
  </si>
  <si>
    <t>AUTOMATED PHARMACY OR YOUR APPOINTMENT INFORMATION</t>
  </si>
  <si>
    <t>NO (yes)</t>
  </si>
  <si>
    <t>CASA GRANDE CBOC</t>
  </si>
  <si>
    <t>Lebanon Legacy</t>
  </si>
  <si>
    <t>COMPREHENSIVE PAIN CENTER</t>
  </si>
  <si>
    <t>GERIATRIC/SPINAL CORD DISEASE</t>
  </si>
  <si>
    <t>GREEN VALLEY CBOC</t>
  </si>
  <si>
    <t>HEPATITIS C TREATMENT INFORMATION</t>
  </si>
  <si>
    <t>DRUG AND ALCOHOL PROBLEMS</t>
  </si>
  <si>
    <t>ENDODONTICS</t>
  </si>
  <si>
    <t>IRONWOOD PRIMARY CARE CLINIC</t>
  </si>
  <si>
    <t>MEDICAL SUBSPECIALTIES CLINIC</t>
  </si>
  <si>
    <t>Issues</t>
  </si>
  <si>
    <t>FAMILY CAREGIVER SUPPORT</t>
  </si>
  <si>
    <t>NORTHWEST TUCSON CBOC</t>
  </si>
  <si>
    <t>NOTIFICATION FOR EMERGENCY HOSPITALIZATIONS IN THE COMMUNITY</t>
  </si>
  <si>
    <t>FOSTER HOME PROGRAM</t>
  </si>
  <si>
    <t>Described as primary care but listed as a social program</t>
  </si>
  <si>
    <t>OCOTILLO PRIMARY CARE CLINIC</t>
  </si>
  <si>
    <t>GI</t>
  </si>
  <si>
    <t>PATIENT TRAVEL AND BENEFICIARY TRAVEL</t>
  </si>
  <si>
    <t>PRIVACY OFFICER AND FREEDOM OF INFORMATION ACT (FOIA)</t>
  </si>
  <si>
    <t>GRECC</t>
  </si>
  <si>
    <t>Lebanon</t>
  </si>
  <si>
    <t>SAFFORD CBOC</t>
  </si>
  <si>
    <t>SAGUARO PRIMARY CARE CLINIC</t>
  </si>
  <si>
    <t>SIERRA VISTA CBOC</t>
  </si>
  <si>
    <t>SOUTHEAST TUCSON CBOC</t>
  </si>
  <si>
    <t>GERIATRIC RESEARCH, EDUCATION &amp; CLINICAL CENTER</t>
  </si>
  <si>
    <t>What is Vaea?</t>
  </si>
  <si>
    <t>VISITORS/CANTEEN</t>
  </si>
  <si>
    <t>WOMEN VETERANS HEALTH PROGRAM (WVHP)</t>
  </si>
  <si>
    <t>HEALTH AND WELLNESS LEARNING CENTER</t>
  </si>
  <si>
    <t>YUMA CBOC</t>
  </si>
  <si>
    <t>tuscaloosa</t>
  </si>
  <si>
    <t>HEMATOLOGY-ONCOLOGY SERVICE</t>
  </si>
  <si>
    <t>BOILER PLANT</t>
  </si>
  <si>
    <t>EDUCATION SERVICE</t>
  </si>
  <si>
    <t>VA Employees Association</t>
  </si>
  <si>
    <t>INTEGRATIVE HEALTH PROGRAM</t>
  </si>
  <si>
    <t>NURSE HELPLINE</t>
  </si>
  <si>
    <t>LIMB LOSS</t>
  </si>
  <si>
    <t>AUDIOLOGY SERVICES</t>
  </si>
  <si>
    <t>wallawalla</t>
  </si>
  <si>
    <t>https://www.lebanon.va.gov/Services/VAEA.asp</t>
  </si>
  <si>
    <t>BEHAVIORAL HEALTH SERVICES</t>
  </si>
  <si>
    <t>LOU GEHRIG'S DISEASE</t>
  </si>
  <si>
    <t>MADE PROGRAM</t>
  </si>
  <si>
    <t>CAREGIVER SUPPORT COORDINATORS</t>
  </si>
  <si>
    <t>MOVE WEIGHT MANAGEMENT PROGRAM</t>
  </si>
  <si>
    <t>DERMATOLOGY SERVICES</t>
  </si>
  <si>
    <t>DISABLED AMERICAN VETERANS (DAV) TRANSPORTATION</t>
  </si>
  <si>
    <t>FOOT CARE SERVICES</t>
  </si>
  <si>
    <t>GASTROENTEROLOGY SERVICES</t>
  </si>
  <si>
    <t>MINNEAPOLIS ADAPTIVE DESIGN AND ENGINEERING PROGRAM</t>
  </si>
  <si>
    <t>HOME OXYGEN PROGRAM</t>
  </si>
  <si>
    <t>INFUSION CLINIC SERVICES</t>
  </si>
  <si>
    <t>Would VISOR go under ophthalmology in 95?</t>
  </si>
  <si>
    <t>OPTOMETRY SERVICES</t>
  </si>
  <si>
    <t>Placed in Opthalmology</t>
  </si>
  <si>
    <t>PHYSICAL THERAPY SERVICES</t>
  </si>
  <si>
    <t>ORAL SURGERY</t>
  </si>
  <si>
    <t>PULMONARY FUNCTION CLINIC</t>
  </si>
  <si>
    <t>PAIN CARE</t>
  </si>
  <si>
    <t>SLEEP-CPAP CLINIC</t>
  </si>
  <si>
    <t>https://www.lebanon.va.gov/Services/Visor.asp</t>
  </si>
  <si>
    <t>UROLOGY SERVICES</t>
  </si>
  <si>
    <t>VETERAN HEALTH INFORMATION EXCHANGE COORDINATOR</t>
  </si>
  <si>
    <t>PERIODONTICS</t>
  </si>
  <si>
    <t>VIRTUAL LIFETIME ELECTRONIC RECORDS (VLER)</t>
  </si>
  <si>
    <t>Agent Orange Clinic</t>
  </si>
  <si>
    <t>WOUND CARE SERVICES</t>
  </si>
  <si>
    <t>BILLING - CHOICE PROGRAM</t>
  </si>
  <si>
    <t>washingtondc</t>
  </si>
  <si>
    <t>BILLING - NON VA/CLAIM</t>
  </si>
  <si>
    <t>BILLING - VA (BUSINESS OFFICE)</t>
  </si>
  <si>
    <t>BILLING - FOR INSURANCE COMPANIES</t>
  </si>
  <si>
    <t>POST 9/11 TRANSITION AND CARE MANAGEMENT PROGRAM</t>
  </si>
  <si>
    <t>Placed in Other Services</t>
  </si>
  <si>
    <t>CENTRAL DENTAL LABORATORY</t>
  </si>
  <si>
    <t>EEG AND SLEEP LAB</t>
  </si>
  <si>
    <t>https://www.lebanon.va.gov/Services/Agent_Orange_Clinic.asp</t>
  </si>
  <si>
    <t>PSYCHOLOGICAL TRAUMA</t>
  </si>
  <si>
    <t>EXECUTIVE SUITE</t>
  </si>
  <si>
    <t>INTEGRATIVE HEALTH AND WELLNESS</t>
  </si>
  <si>
    <t>RADIOLOGY DEPARTMENT</t>
  </si>
  <si>
    <t>PCMH</t>
  </si>
  <si>
    <t>REHAB TECHNOLOGY AND TELEREHAB</t>
  </si>
  <si>
    <t>PRIMARY CARE TEAMS</t>
  </si>
  <si>
    <t>Community specialty services program</t>
  </si>
  <si>
    <t>PRIVACY AND FOIA OFFICE</t>
  </si>
  <si>
    <t>Placed in Caregiver Support Nursing home, hospice, rehab</t>
  </si>
  <si>
    <t>SARP: SUBSTANCE ABUSE RECOVERY PROGRAM</t>
  </si>
  <si>
    <t>https://www.lebanon.va.gov/Services/CommunityNursingHomeCare.asp</t>
  </si>
  <si>
    <t>TRANSPORTATION - BATTLES</t>
  </si>
  <si>
    <t>SEXUAL TRAUMA</t>
  </si>
  <si>
    <t>TRAUMA SERVICES: TSP</t>
  </si>
  <si>
    <t>WRIISC</t>
  </si>
  <si>
    <t>SLEEP DISORDERS</t>
  </si>
  <si>
    <t>westpalmbeach</t>
  </si>
  <si>
    <t>CONTACT INFORMATION</t>
  </si>
  <si>
    <t>SPINAL CORD INJURY &amp; DISORDER CENTER</t>
  </si>
  <si>
    <t>STRESS MANAGEMENT</t>
  </si>
  <si>
    <t>RRC (Residental Recovery Center)</t>
  </si>
  <si>
    <t>Placed in Addiction and substance abuse treatment</t>
  </si>
  <si>
    <t>https://www.lebanon.va.gov/Services/Residential_Recovery_Center_RRC.asp</t>
  </si>
  <si>
    <t>TELE-ICU</t>
  </si>
  <si>
    <t>VETERANS CANTEEN SERVICES (VCS) FOOD AND REFRESHMENTS</t>
  </si>
  <si>
    <t>VETERANS RESOURCE CENTER</t>
  </si>
  <si>
    <t>TELEHEALTH PROGRAM AND CONNECTED CARE</t>
  </si>
  <si>
    <t>whiteriver</t>
  </si>
  <si>
    <t>TELEREHAB</t>
  </si>
  <si>
    <t>TELEREHABILITATION ENTERPRISE WIDE INITIATIVE</t>
  </si>
  <si>
    <t>CLINICAL ENGINEERING</t>
  </si>
  <si>
    <t>VETERAN FOSTER HOME PROGRAM</t>
  </si>
  <si>
    <t>Were nursing home services moved to Benefits?</t>
  </si>
  <si>
    <t>VETERANS BRIDGE TO RECOVERY</t>
  </si>
  <si>
    <t>wichita</t>
  </si>
  <si>
    <t>https://www.va.gov/health-care/about-va-health-benefits/long-term-care/</t>
  </si>
  <si>
    <t>wilmington</t>
  </si>
  <si>
    <t>ACCUPUNCTURE</t>
  </si>
  <si>
    <t>Where does it go in 95, where did new Pitts put it because legacy Pitts had it.</t>
  </si>
  <si>
    <t xml:space="preserve">This service is no longer listed under Wilkes-Barre but is on the tab labeled Legacy-A-Z Service by VAMC. I have highlighted it in yellow. </t>
  </si>
  <si>
    <t>Cell G8 Coatesville</t>
  </si>
  <si>
    <t>(Speech Therapy Link has same information as Physical Therapy and Rehabilitation)</t>
  </si>
  <si>
    <t>SURGICAL PRE-OPERATIVE INFO (GETTING READY FOR SURGERY)</t>
  </si>
  <si>
    <t>AUDIOLOGY AND SPEECH LANGUAGE PATHOLOGY</t>
  </si>
  <si>
    <t>EXTENDED CARE AND GERIATRIC SERVICES</t>
  </si>
  <si>
    <t>HEALTH PROMOTION AND DISEASE PREVENTION (HPDP) PROGRAM</t>
  </si>
  <si>
    <t>SPINAL CORD INJURY SUPPORT</t>
  </si>
  <si>
    <t>VA BENEFICIARY TRAVEL REIMBURSEMENT PROGRAM</t>
  </si>
  <si>
    <t>CLINICAL SERVICES</t>
  </si>
  <si>
    <t>PRESCRIPTION REFILL OPTIONS</t>
  </si>
  <si>
    <t>COLLEGE OUTREACH (VITAL)</t>
  </si>
  <si>
    <t>COMPENSATED WORK THERAPY AND TRANSITIONAL RESIDENCE</t>
  </si>
  <si>
    <t>INTEGRATEDETHICS COUNCIL</t>
  </si>
  <si>
    <t>LGBTQ PROGRAM</t>
  </si>
  <si>
    <t>NWIHCS RESEARCH</t>
  </si>
  <si>
    <t>POW ADVOCATE</t>
  </si>
  <si>
    <t>POLYTRAUMA SUPPORT CLINIC</t>
  </si>
  <si>
    <t>SANDRA MILLER, LADAC, LICSW</t>
  </si>
  <si>
    <t>SPINAL CORD INJURY AND DISORDER CLINIC</t>
  </si>
  <si>
    <t>VITAL</t>
  </si>
  <si>
    <t>VETERANS FOOD PANTRY</t>
  </si>
  <si>
    <t>BLIND REHABILITATION - PATIENT RESPONSIBILITIES</t>
  </si>
  <si>
    <t>COMPREHENSIVE CANCER CENTER</t>
  </si>
  <si>
    <t>COMPREHENSIVE CANCER PREVENTION/SCREENING PROGRAM</t>
  </si>
  <si>
    <t>DAYCARE CENTER</t>
  </si>
  <si>
    <t>LIL' TYKES LEARNING CENTER</t>
  </si>
  <si>
    <t>MAMMOGRAM FACILITIES SUPPORTING THE WOMEN'S HEALTH CARE PROGRAM</t>
  </si>
  <si>
    <t>MENTAL HEALTH RESOURCES FOR COMMUNITY PARTNERS</t>
  </si>
  <si>
    <t>RURAL HEALTH PROGRAM</t>
  </si>
  <si>
    <t>SURGICAL</t>
  </si>
  <si>
    <t>VA VIDEO CONNECT</t>
  </si>
  <si>
    <t>VISUALLY-IMPAIRED SERVICES OUTPATIENT REHABILITATION</t>
  </si>
  <si>
    <t>COMMUNITY AND PUBLIC RELATIONS</t>
  </si>
  <si>
    <t>MILITARY SEXUAL TRAUMA TREATMENT PROGRAM</t>
  </si>
  <si>
    <t>TELEPHONE ADVICE AND APPOINTMENT CENTER</t>
  </si>
  <si>
    <t>TO SPEAK WITH A NURSE</t>
  </si>
  <si>
    <t>TRANSGENDER SUPPORT GROUP</t>
  </si>
  <si>
    <t>LGBT VETERAN CARE</t>
  </si>
  <si>
    <t>VETERANS OUTREACH AND EXPERIENCE (VOE) PROGRAM</t>
  </si>
  <si>
    <t>CLINICAL VIDEO TELEHEALTH (CVT)</t>
  </si>
  <si>
    <t>CLINICAL VIDEO TELEHEALTH (CVT) EXAMPLES</t>
  </si>
  <si>
    <t>FISHER HOUSE - GAINESVILLE</t>
  </si>
  <si>
    <t>GEM - GERIATRIC EVALUATION AND MANAGEMENT</t>
  </si>
  <si>
    <t>HOME TELEHEALTH PROGRAMS</t>
  </si>
  <si>
    <t>LOW ADL MONITORING PROGRAM (LAMP)</t>
  </si>
  <si>
    <t>MOVE! AND MOVEMPLOYEE!</t>
  </si>
  <si>
    <t>SLEEP MEDICINE</t>
  </si>
  <si>
    <t>THE VILLAGES VA OPTOMETRY SERVICE</t>
  </si>
  <si>
    <t>VICTORS- VISUAL IMPAIRMENT CENTER TO OPTIMIZE REMAINING SIGHT</t>
  </si>
  <si>
    <t>northtexas</t>
  </si>
  <si>
    <t>DOMICILIARY - BONHAM</t>
  </si>
  <si>
    <t>DOMICILIARY - DALLAS</t>
  </si>
  <si>
    <t>ELIGIBILITY AND REGISTRATION</t>
  </si>
  <si>
    <t>GI - ENDOSCOPY</t>
  </si>
  <si>
    <t>HEALTH RESOURCE CENTER</t>
  </si>
  <si>
    <t>HEPATITIS C</t>
  </si>
  <si>
    <t>HOMELESS WOMEN VETERANS PROGRAM</t>
  </si>
  <si>
    <t>MEDICAL RECORDS (RELEASE OF INFORMATION)</t>
  </si>
  <si>
    <t>NUTRITION &amp; FOOD</t>
  </si>
  <si>
    <t>OUTPATIENT CLINICS</t>
  </si>
  <si>
    <t>PALLIATIVE CARE SERVICE</t>
  </si>
  <si>
    <t>PATIENT DIRECTORY</t>
  </si>
  <si>
    <t>RADIOLOGY SECTION</t>
  </si>
  <si>
    <t>TELECARE 24/7</t>
  </si>
  <si>
    <t>VISUAL IMPAIRMENT AND BLIND REHABILITATION</t>
  </si>
  <si>
    <t>DAYCARE - BROOKLYN CHILD CARE</t>
  </si>
  <si>
    <t>DAYCARE - IMAGINE VETS KIDS</t>
  </si>
  <si>
    <t>DEMENTIA RESOURCES FOR PROVIDERS AND CAREGIVERS</t>
  </si>
  <si>
    <t>DRUG INFORMATION</t>
  </si>
  <si>
    <t>FOR FORMER PRISONERS OF WAR</t>
  </si>
  <si>
    <t>HOSPICE &amp; PALLIATIVE CARE</t>
  </si>
  <si>
    <t>LESBIAN, GAY, BISEXUAL AND TRANSGENDER PROGRAM</t>
  </si>
  <si>
    <t>POWS</t>
  </si>
  <si>
    <t>PAIN REHABILITATION PROGRAM</t>
  </si>
  <si>
    <t>PRESCIRPTIONS</t>
  </si>
  <si>
    <t>REHABILITATION &amp; RECOVERY</t>
  </si>
  <si>
    <t>SHUTTLE BUS SERVICE</t>
  </si>
  <si>
    <t>ST. ALBANS COMMUNITY LIVING CENTER</t>
  </si>
  <si>
    <t>STUDENT VETERANS</t>
  </si>
  <si>
    <t>VETERANS LEARNING RESOURCES CENTER</t>
  </si>
  <si>
    <t>ALZHEIMER'S CLINIC</t>
  </si>
  <si>
    <t>AMBULATORY MENTAL HEALTH CLINIC</t>
  </si>
  <si>
    <t>ARTHRITIS SCHEDULING</t>
  </si>
  <si>
    <t>BONE DENSITY CLINIC</t>
  </si>
  <si>
    <t>CARDIAC INTENSIVE CARE UNIT</t>
  </si>
  <si>
    <t>CHEST CLINIC</t>
  </si>
  <si>
    <t>DIABETES CLINIC/EDUCATION</t>
  </si>
  <si>
    <t>EXPRESS CARE CLINIC</t>
  </si>
  <si>
    <t>GYNECOLOGY CLINIC</t>
  </si>
  <si>
    <t>HEALTH PROMOTION DISEASE PREVENTION (HPDP) PROGRAM</t>
  </si>
  <si>
    <t>INFECTIOUS DISEASES</t>
  </si>
  <si>
    <t>LGBT SERVICES</t>
  </si>
  <si>
    <t>MOVE/NUTRITION</t>
  </si>
  <si>
    <t>OUTPATIENT PAIN REHABILITATION PROGRAM</t>
  </si>
  <si>
    <t>PALLIATIVE CARE UNIT</t>
  </si>
  <si>
    <t>POSITRON EMISSION TOMOGRAPHY (PET)/COMPUTED TOMOGRAPHY (CT) SCAN</t>
  </si>
  <si>
    <t>PROSTHETICS/ORTHOTICS CLINIC</t>
  </si>
  <si>
    <t>PULMONARY FUNCTION (PFT) LAB</t>
  </si>
  <si>
    <t>PULMONARY ONCOLOGY</t>
  </si>
  <si>
    <t>RADIATION ONCOLOGY CLINIC</t>
  </si>
  <si>
    <t>STAR CLINIC</t>
  </si>
  <si>
    <t>SLEEP MEDICINE CLINIC</t>
  </si>
  <si>
    <t>SMOKING/TOBACCO CESSATION CLINIC</t>
  </si>
  <si>
    <t>SUBSTANCE TREATMENT AND RECOVERY CLINIC</t>
  </si>
  <si>
    <t>SURGERY (OUT-PATIENT)</t>
  </si>
  <si>
    <t>SURGERY CLINICS</t>
  </si>
  <si>
    <t>SURGICAL INTENSIVE CARE UNIT (SICU)</t>
  </si>
  <si>
    <t>TELECHAPLAINCY</t>
  </si>
  <si>
    <t>THERAPEUTIC RECREATION CLINIC</t>
  </si>
  <si>
    <t>TRAUMA AND DEPLOYMENT RECOVERY SERVICES</t>
  </si>
  <si>
    <t>ULTRASOUND CLINIC</t>
  </si>
  <si>
    <t>VREF</t>
  </si>
  <si>
    <t>VETERAN HEALTH INFORMATION EXCHANGE (VLER)</t>
  </si>
  <si>
    <t>VETERANS CHOICE PROGRAM</t>
  </si>
  <si>
    <t>VETERANS RECOVERY CENTER</t>
  </si>
  <si>
    <t>VETERANS RESEARCH &amp; EDUCATION FOUNDATION (VREF)</t>
  </si>
  <si>
    <t>ADAPTIVE SPORTS PROGRAM</t>
  </si>
  <si>
    <t>EYE CLINIC - OPHTHALMOLOGY/OPTOMETRY</t>
  </si>
  <si>
    <t>MINORITY VETERAN PROGRAM</t>
  </si>
  <si>
    <t>ADDICTION TREATMENT SERVICES (ATS)</t>
  </si>
  <si>
    <t>ADVICE NURSE</t>
  </si>
  <si>
    <t>ADVISORY COUNCIL</t>
  </si>
  <si>
    <t>ANESTHESIOLOGY AND PERIOPERATIVE CARE</t>
  </si>
  <si>
    <t>AUDIOLOGY AND SPEECH PATHOLOGY SERVICES</t>
  </si>
  <si>
    <t>BEHAVIORAL MEDICINE CLINIC</t>
  </si>
  <si>
    <t>CHIROPRACTIC SERVICE</t>
  </si>
  <si>
    <t>COMPENSATED WORK THERAPY (CWT) PROGRAM</t>
  </si>
  <si>
    <t>DEFENDERS LODGE</t>
  </si>
  <si>
    <t>DENTAL CLINIC - PALO ALTO</t>
  </si>
  <si>
    <t>DERMATOLOGY SERVICE</t>
  </si>
  <si>
    <t>EARS, NOSE, AND THROAT SURGERY</t>
  </si>
  <si>
    <t>GASTROENTEROLOGY / GI SERVICE - PALO ALTO</t>
  </si>
  <si>
    <t>LESBIAN, GAY, BISEXUAL AND TRANSGENDER RESOURCES</t>
  </si>
  <si>
    <t>MEN'S TRAUMA RECOVERY PROGRAM (MTRP)</t>
  </si>
  <si>
    <t>NATIONAL CENTER FOR PTSD</t>
  </si>
  <si>
    <t>OPHTHALMOLOGY SURGERY SERVICE</t>
  </si>
  <si>
    <t>ORTHOPEDIC SURGERY SERVICE</t>
  </si>
  <si>
    <t>OTOLARYNGOLOGY (EARS, NOSE, AND THROAT) SURGERY SERVICE</t>
  </si>
  <si>
    <t>PACT PSYCHOLOGY</t>
  </si>
  <si>
    <t>PTSD (MEN)</t>
  </si>
  <si>
    <t>PTSD (WOMEN)</t>
  </si>
  <si>
    <t>PHYSICAL MEDICINE &amp; REHABILITATION SERVICE (PM&amp;R)</t>
  </si>
  <si>
    <t>POLICE SERVICE - PALO ALTO</t>
  </si>
  <si>
    <t>PULMONARY SERVICE</t>
  </si>
  <si>
    <t>RADIOLOGY IMAGING AND INTERVENTIONAL SERVICES</t>
  </si>
  <si>
    <t>SPINAL CORD INJURY AND DISORDERS (SCI/D) CENTER</t>
  </si>
  <si>
    <t>TELEQUIT SMOKING CESSATION PROGRAM</t>
  </si>
  <si>
    <t>TRAUMA RECOVERY SERVICES</t>
  </si>
  <si>
    <t>VETERAN AND FAMILY CENTERED CARE (VFCC)</t>
  </si>
  <si>
    <t>WAR RELATED ILLNESS AND INJURY STUDY CENTER (WRIISC)</t>
  </si>
  <si>
    <t>WEIGHT LOSS SURGERY</t>
  </si>
  <si>
    <t>WESTERN BLIND REHABILITATION CENTER (WBRC)</t>
  </si>
  <si>
    <t>WOMEN'S TRAUMA RECOVERY PROGRAM (WTRP)</t>
  </si>
  <si>
    <t>WOMENS COUNSELING CENTER</t>
  </si>
  <si>
    <t>WOUND AND OSTOMY CARE PROGRAM</t>
  </si>
  <si>
    <t>ARU</t>
  </si>
  <si>
    <t>ADDICTION RECOVERY UNIT</t>
  </si>
  <si>
    <t>ADDICTION RECOVERY UNIT (ARU)</t>
  </si>
  <si>
    <t>ANEMIA/RENAL CLINIC</t>
  </si>
  <si>
    <t>BLOOD BANK</t>
  </si>
  <si>
    <t>BLOOD DRAW LAB</t>
  </si>
  <si>
    <t>CESATE</t>
  </si>
  <si>
    <t>CHERP</t>
  </si>
  <si>
    <t>CLC</t>
  </si>
  <si>
    <t>CWT</t>
  </si>
  <si>
    <t>CARDIAC INTERVENTION PROGRAM</t>
  </si>
  <si>
    <t>COMPENSATED WORK THERAPY - CWT PROGRAM</t>
  </si>
  <si>
    <t>CYTOLOGY LAB</t>
  </si>
  <si>
    <t>DIALYSIS INPATIENT UNIT</t>
  </si>
  <si>
    <t>DIALYSIS OUTPATIENT CENTER</t>
  </si>
  <si>
    <t>DIALYSIS OUTPATIENT CLINIC</t>
  </si>
  <si>
    <t>ECHOCARDIOGRAM LAB</t>
  </si>
  <si>
    <t>GERIATRIC</t>
  </si>
  <si>
    <t>HEARING AIDS</t>
  </si>
  <si>
    <t>MENTAL ILLNESS RESEARCH AND EDUCATION CENTER</t>
  </si>
  <si>
    <t>OEF</t>
  </si>
  <si>
    <t>OIF</t>
  </si>
  <si>
    <t>OPIOID TREATMENT PROGRAM</t>
  </si>
  <si>
    <t>OUTPATIENT MENTAL HEALTH</t>
  </si>
  <si>
    <t>PARKINSON'S DISEASE RESEARCH, EDUCATION AND CLINICAL CENTER</t>
  </si>
  <si>
    <t>PHYSICAL MEDICINE AND REHABILITATION IN-PATIENT PROGRAM</t>
  </si>
  <si>
    <t>SE</t>
  </si>
  <si>
    <t>TWE</t>
  </si>
  <si>
    <t>TRANSITION_AND_CARE_MANAGEMENT</t>
  </si>
  <si>
    <t>WOMEN'S HEALTH DIAMOND TEAM</t>
  </si>
  <si>
    <t>WOMEN'S HEALTH PEARL TEAM</t>
  </si>
  <si>
    <t>XRAY</t>
  </si>
  <si>
    <t>AMBULATORY CARE SERVICES</t>
  </si>
  <si>
    <t>COMMUNITY MENTAL HEALTH</t>
  </si>
  <si>
    <t>LABORATORY-OUTPATIENT</t>
  </si>
  <si>
    <t>TRANSITION AND CARE MANAGEMENT PROGRAM (OEF/OIF/OND POST DEPLOYMENT CLINIC)</t>
  </si>
  <si>
    <t>TRAVELING VETERAN COORDINATOR PROGRAM</t>
  </si>
  <si>
    <t>CENTER FOR TREATMENT OF ADDICTIVE DISORDERS (CTAD)</t>
  </si>
  <si>
    <t>COMMUNITY BASED CARE</t>
  </si>
  <si>
    <t>CREATIVE ARTS THERAPY</t>
  </si>
  <si>
    <t>CRITICAL CARE</t>
  </si>
  <si>
    <t>DAV VAN</t>
  </si>
  <si>
    <t>DOMESTIC VIOLENCE</t>
  </si>
  <si>
    <t>EMPLOYMENT VERIFICATION</t>
  </si>
  <si>
    <t>GASTROENTEROLOGY AND HEPATOLOGY</t>
  </si>
  <si>
    <t>GERIATRIC RESEARCH EDUCATION AND CLINICAL CENTER</t>
  </si>
  <si>
    <t>HEARING AID REPAIR CLINIC</t>
  </si>
  <si>
    <t>HEPATITIS C SCREENING AND TREATMENT</t>
  </si>
  <si>
    <t>HOPTEL AND LODGING PROGRAM</t>
  </si>
  <si>
    <t>KIDNEY DISEASE / DIALYSIS</t>
  </si>
  <si>
    <t>LIBRARY SERVICES</t>
  </si>
  <si>
    <t>LODGING/HOPTEL</t>
  </si>
  <si>
    <t>MEDIA RELATIONS</t>
  </si>
  <si>
    <t>MILEAGE REIMBURSEMENT</t>
  </si>
  <si>
    <t>PHARMACY REFILLS</t>
  </si>
  <si>
    <t>PITTSBURGH VET CENTER</t>
  </si>
  <si>
    <t>RECREATION</t>
  </si>
  <si>
    <t>RENAL SERVICES</t>
  </si>
  <si>
    <t>SPECIAL ENVIRONMENTAL HEALTH REGISTRY EVALUATION PROGRAMS FOR VETERANS</t>
  </si>
  <si>
    <t>STEP DOWN UNIT/CRITICAL CARE</t>
  </si>
  <si>
    <t>SUBSTANCE ABUSE TREATMENT AND OPIOID RENEWAL CLINIC</t>
  </si>
  <si>
    <t>WHEELING VET CENTER</t>
  </si>
  <si>
    <t>WHITE OAK VET CENTER</t>
  </si>
  <si>
    <t>COMMUNITY LIVING CENTER / NURSING HOME</t>
  </si>
  <si>
    <t>COMPLIANCE &amp; BUSINESS INTEGRITY</t>
  </si>
  <si>
    <t>AUDIOLOGY AND SPEECH/LANGUAGE PATHOLOGY</t>
  </si>
  <si>
    <t>CANCER CARE NAVIGATION TEAM</t>
  </si>
  <si>
    <t>CANCER CARE SERVICES</t>
  </si>
  <si>
    <t>CENTER FOR WOMEN VETERANS HEALTH</t>
  </si>
  <si>
    <t>CHAPLAIN SERVICE AND CHAPEL</t>
  </si>
  <si>
    <t>DIETITIAN</t>
  </si>
  <si>
    <t>DOMESTIC VIOLENCE ASSISTANCE (KNOWN AT VA AS INTIMATE PARTNER VIOLENCE ASSISTANCE PROGRAM)</t>
  </si>
  <si>
    <t>ELIGIBILITY / ENROLLMENT SERVICES</t>
  </si>
  <si>
    <t>FOOTSTEPS TO RECOVERY</t>
  </si>
  <si>
    <t>HOMELESS VETERANS SERVICES AT CRRC</t>
  </si>
  <si>
    <t>IVF - IN VITRO FERTILIZATION</t>
  </si>
  <si>
    <t>IMAGING/X-RAY SERVICE</t>
  </si>
  <si>
    <t>INPATIENT AND EMERGENCY CARE DIVISION</t>
  </si>
  <si>
    <t>INTIMATE PARTNER VIOLENCE ASSISTANCE PROGRAM COORDINATOR</t>
  </si>
  <si>
    <t>LOW VISION CLINIC AT PORTLAND VA MEDICAL CENTER</t>
  </si>
  <si>
    <t>MAMMOGRAMS</t>
  </si>
  <si>
    <t>MATERNITY BENEFITS</t>
  </si>
  <si>
    <t>MENTAL HEALTH AND NEUROSCIENCES DIVISION</t>
  </si>
  <si>
    <t>MYHEALTHEVET (MHV)</t>
  </si>
  <si>
    <t>NATIONAL ALLIANCE ON MENTAL ILLNESS (NAMI) - VA PARTNERSHIP</t>
  </si>
  <si>
    <t>OEF/OIF/OND TEAM</t>
  </si>
  <si>
    <t>OPERATIVE CARE DIVISION</t>
  </si>
  <si>
    <t>PAIN CENTER, CENTER FOR INTEGRATIVE CARE</t>
  </si>
  <si>
    <t>PAP SMEAR</t>
  </si>
  <si>
    <t>PHYSICAL/OCCUPATIONAL THERAPY - PORTLAND DIVISION</t>
  </si>
  <si>
    <t>PHYSICAL/OCCUPATIONAL THERAPY - VANCOUVER DIVISION</t>
  </si>
  <si>
    <t>PUBLIC AND CONGRESSIONAL AFFAIRS - VAPORHCS</t>
  </si>
  <si>
    <t>RRTP</t>
  </si>
  <si>
    <t>REHABILITATION - VETERANS RECOVERY HOUSE, A RESIDENTIAL REHABILITATION TREATMENT PROGRAM (RRTP)</t>
  </si>
  <si>
    <t>REHABILITATION AND LONG TERM CARE DIVISION</t>
  </si>
  <si>
    <t>TTY</t>
  </si>
  <si>
    <t>TRANSITION AND CARE MANAGEMENT (TCM) PROGRAM</t>
  </si>
  <si>
    <t>TRANSPLANT SERVICES (LIVER AND KIDNEY)</t>
  </si>
  <si>
    <t>VETERAN SERVICE OFFICER SUPPORT AT VAPORHCS</t>
  </si>
  <si>
    <t>VETERANS JUSTICE OUTREACH PROGRAM AND HEALTH CARE FOR RE-ENTRY VETERANS</t>
  </si>
  <si>
    <t>VETERANS TRANSPORTATION PROGRAM</t>
  </si>
  <si>
    <t>VOCATIONAL REHABILITATION SERVICES - VHA</t>
  </si>
  <si>
    <t>WHEELCHAIR CLINIC</t>
  </si>
  <si>
    <t>MENTAL HEALTH RESIDENTIAL REHABILITATION TREATMENT PROGRAM (MH RRTP)</t>
  </si>
  <si>
    <t>MENTAL HEALTH SERVICES</t>
  </si>
  <si>
    <t>PATIENT ALIGNED CARE TEAMS (PACT)</t>
  </si>
  <si>
    <t>PHYSICAL MEDICINE AND REHABILITATION (PM&amp;R) CLINIC</t>
  </si>
  <si>
    <t>SPECIALTY CLINIC LAB (MICROBIOLOGY)</t>
  </si>
  <si>
    <t>TELEHEALTH (HOME TELEHEALTH OVERVIEW)</t>
  </si>
  <si>
    <t>VETERANS JUSTICE OUTREACH PROGRAM (VJO)</t>
  </si>
  <si>
    <t>ALS</t>
  </si>
  <si>
    <t>INTEGRATIVE HEALTH AND WELLNESS CENTER</t>
  </si>
  <si>
    <t>MENTAL HEALTH &amp; BEHAVIORAL SERVICE (MHBS)</t>
  </si>
  <si>
    <t>ONCOLOGY / HEMATOLOGY</t>
  </si>
  <si>
    <t>SENSORY AND PHYSICAL REHABILITATION SERVICE</t>
  </si>
  <si>
    <t>TRANSITION AND CARE MANAGEMENT FOR RETURNING SERVICE MEMBERS</t>
  </si>
  <si>
    <t>ADDICTION TREATMENT CENTER</t>
  </si>
  <si>
    <t>BENE TRAVEL</t>
  </si>
  <si>
    <t>HEALTH PLAN MANAGEMENT</t>
  </si>
  <si>
    <t>MINDFULNESS BASED STRESS REDUCTION</t>
  </si>
  <si>
    <t>REHABILITATION CARE SERVICES</t>
  </si>
  <si>
    <t>URGENT CARE SERVICES AT AMERICAN LAKE</t>
  </si>
  <si>
    <t>SERVICEMEMBER TRANSITIONAL ADVANCED REHABILITATION</t>
  </si>
  <si>
    <t>SPINAL CORD INJURY (SCI) RESEARCH</t>
  </si>
  <si>
    <t>TELEREHABILITATION</t>
  </si>
  <si>
    <t>URGENT CARE (MISSION ACT)</t>
  </si>
  <si>
    <t>VISION AND BLIND REHABILITATION</t>
  </si>
  <si>
    <t>WHOLE HEALTH AND COMPLEMENTARY/INTEGRATIVE HEALTH</t>
  </si>
  <si>
    <t>AMBULATORY CARE CLINICS</t>
  </si>
  <si>
    <t>CARE INTEGRATION SERVICE - COMMUNITY CARE</t>
  </si>
  <si>
    <t>EYE CLINIC/OPTOMETRY</t>
  </si>
  <si>
    <t>INPATIENT REHABILITATION UNIT</t>
  </si>
  <si>
    <t>LESBIAN, GAY, BISEXUAL, TRANSGENDER (LGBT)</t>
  </si>
  <si>
    <t>LOW VISION CLINIC/BLIND REHAB CLINIC</t>
  </si>
  <si>
    <t>PALLIATIVE CARE OPTIONS</t>
  </si>
  <si>
    <t>PHYSIATRY</t>
  </si>
  <si>
    <t>PRIMARY CARE / PATIENT ALIGNED CARE TEAM</t>
  </si>
  <si>
    <t>PRIMARY CARE MENTAL HEALTH INTEGRATION (PC-MHI)</t>
  </si>
  <si>
    <t>SPEECH CLINIC</t>
  </si>
  <si>
    <t>SUICIDE AND CRISIS PREVENTION</t>
  </si>
  <si>
    <t>VETERANS MENTAL HEALTH ADVOCACY COUNCIL OF MID-MICHIGAN</t>
  </si>
  <si>
    <t>WEIGHT MANAGEMENT/MOVE PROGRAM FOR VETERANS AND EMPLOYEES</t>
  </si>
  <si>
    <t>BILLING - NON VA CARE</t>
  </si>
  <si>
    <t>LGBT PROGRAM LESBIAN-GAY BISEXUAL-TRANSGENDER</t>
  </si>
  <si>
    <t>MISSION ACT QUESTIONS</t>
  </si>
  <si>
    <t>SAFETY SERVICE</t>
  </si>
  <si>
    <t>ADVANCED LOW VISION CLINIC - SALISBURY VAMC</t>
  </si>
  <si>
    <t>CARDIOLOGY- SALISBURY VAMC</t>
  </si>
  <si>
    <t>FROM WARRIOR TO SOUL MATE</t>
  </si>
  <si>
    <t>GENERAL MENTAL HEALTH SERVICE LINE</t>
  </si>
  <si>
    <t>HST</t>
  </si>
  <si>
    <t>HOME SLEEP TESTING</t>
  </si>
  <si>
    <t>IMAGING/RADIOLOGY</t>
  </si>
  <si>
    <t>MENTAL HEALTH - CHARLOTTE HCC</t>
  </si>
  <si>
    <t>MENTAL HEALTH - KERNERSVILLE HCC</t>
  </si>
  <si>
    <t>MENTAL HEALTH - SALISBURY VAMC</t>
  </si>
  <si>
    <t>OBSTETRICS</t>
  </si>
  <si>
    <t>OBSTRUCTIVE SLEEP APNEA</t>
  </si>
  <si>
    <t>PTSD CLINICAL TEAM - OUTPATIENT SERVICES</t>
  </si>
  <si>
    <t>PATRIOT SERVICES (CANTEEN)</t>
  </si>
  <si>
    <t>PHYSICAL MEDICINE &amp; REHABILITATION SERVICE</t>
  </si>
  <si>
    <t>POST TRAUMATIC STRESS DISORDER PROGRAMS</t>
  </si>
  <si>
    <t>SLEEP APNEA</t>
  </si>
  <si>
    <t>SLEEP CLINIC- SALISBURY VAMC</t>
  </si>
  <si>
    <t>VISUAL IMPAIRMENT SERVICES TEAM VIST - SALISBURY VAMC</t>
  </si>
  <si>
    <t>AUDIOLOGY AND SPEECH-LANGUAGE PATHOLOGY</t>
  </si>
  <si>
    <t>LGBT PROGRAM</t>
  </si>
  <si>
    <t>MINDFULNESS CENTER</t>
  </si>
  <si>
    <t>PATIENT TRAVEL BENEFITS</t>
  </si>
  <si>
    <t>PULMONARY AND CRITICAL CARE MEDICINE</t>
  </si>
  <si>
    <t>VIRTUAL LIFETIME ELECTRONIC RECORD (VLER) HEALTH PROGRAM</t>
  </si>
  <si>
    <t>ASPIRE CENTER</t>
  </si>
  <si>
    <t>AGENT ORANGE REGISTRY EVALUATION</t>
  </si>
  <si>
    <t>ALCOHOL AND DRUG TREATMENT</t>
  </si>
  <si>
    <t>CANCER SURVIVORS</t>
  </si>
  <si>
    <t>CANCER SURVIVORSHIP AND RESOURCES</t>
  </si>
  <si>
    <t>CHAPLAIN SERVICE/SPIRITUAL CARE</t>
  </si>
  <si>
    <t>COMMUNITY CARE FOR VETERANS</t>
  </si>
  <si>
    <t>CONNECT YOUR DOCS</t>
  </si>
  <si>
    <t>DIRECT SCHEDULING PROGRAMS</t>
  </si>
  <si>
    <t>GULF WAR REGISTRY EVALUATION</t>
  </si>
  <si>
    <t>IONIZING RADIATION REGISTRY EVALUATION</t>
  </si>
  <si>
    <t>MOVE! WEIGHT CONTROL PROGRAM</t>
  </si>
  <si>
    <t>NATIONAL VETERANS SUMMER SPORTS CLINIC</t>
  </si>
  <si>
    <t>PIVOTT LAB</t>
  </si>
  <si>
    <t>PT</t>
  </si>
  <si>
    <t>PATHOLOGY &amp; LABORATORY MEDICINE SERVICE</t>
  </si>
  <si>
    <t>PHYSICAL MEDICINE &amp; REHABILITATION SERVICE (PM&amp;RS)</t>
  </si>
  <si>
    <t>POST-TRAUMATIC STRESS DISORDER CARE FOR VETERANS</t>
  </si>
  <si>
    <t>PROSTHETIC AND SENSORY AIDS</t>
  </si>
  <si>
    <t>SELF-REFERRAL DIRECT SCHEDULING PROGRAMS</t>
  </si>
  <si>
    <t>SMOKING CESSATION PROGRAM</t>
  </si>
  <si>
    <t>SPINAL CORD INJURIES AND DISORDERS CENTER</t>
  </si>
  <si>
    <t>SUMMER SPORTS CLINIC</t>
  </si>
  <si>
    <t>VA MISSION ACT OF 2018</t>
  </si>
  <si>
    <t>VETERANS TRANSPORTATION FOR VA MEDICAL APPOINTMENTS</t>
  </si>
  <si>
    <t>WARRIOR TO SOUL MATE</t>
  </si>
  <si>
    <t>WEIGHT CONTROL PROGRAM</t>
  </si>
  <si>
    <t>GENERAL PRACTICE RESIDENCY PROGRAM</t>
  </si>
  <si>
    <t>HEALTHY HEART PROGRAM</t>
  </si>
  <si>
    <t>HOSPITAL MEDICINE</t>
  </si>
  <si>
    <t>INFECTIOUS DISEASES CLINIC</t>
  </si>
  <si>
    <t>LABORATORY MEDICINE SERVICE</t>
  </si>
  <si>
    <t>NEUROINTERVENTIONAL RADIOLOGY</t>
  </si>
  <si>
    <t>OEF/OIF/OND (NOW CALLED TRANSITION AND CARE MANAGEMENT)</t>
  </si>
  <si>
    <t>PAIN TREATMENT SERVICES</t>
  </si>
  <si>
    <t>PARKINSON&amp;RSQUO;S DISEASE RESEARCH, EDUCATION AND CLINICAL CENTER</t>
  </si>
  <si>
    <t>PETS FOR VETS</t>
  </si>
  <si>
    <t>PODIATRY SERVICE</t>
  </si>
  <si>
    <t>RECREATION THERAPY STRENGTH AND WELLNESS PROGRAM</t>
  </si>
  <si>
    <t>SIMULATION CENTER</t>
  </si>
  <si>
    <t>STUDENT VETERAN HEALTH PROGRAM</t>
  </si>
  <si>
    <t>TELEPHONE LINKED CARE (TLC)</t>
  </si>
  <si>
    <t>VASCULAR AND ENDOVASCULAR SURGERY</t>
  </si>
  <si>
    <t>WELLNESS PROGRAM</t>
  </si>
  <si>
    <t>WOMENS COMPREHENSIVE HEALTH CENTER</t>
  </si>
  <si>
    <t>LGBT INFORMATION</t>
  </si>
  <si>
    <t>MOVE! WEIGHT MANAGEMENT PROGRAM FOR VETERANS</t>
  </si>
  <si>
    <t>MY HEALTHEVET PROGRAM</t>
  </si>
  <si>
    <t>OVERTON BROOKS VA SCHOOL OF MEDICAL TECHNOLOGY</t>
  </si>
  <si>
    <t>PATIENT ADVOCATE OFFICE</t>
  </si>
  <si>
    <t>VLER HEALTH</t>
  </si>
  <si>
    <t>ADAPTIVE SPORTS  PROGRAM</t>
  </si>
  <si>
    <t>MILITARY SEXUAL TRAUMA RESOURCE HOMEPAGE</t>
  </si>
  <si>
    <t>COMMUNITY RESOURCES AND PUBLIC AFFAIRS</t>
  </si>
  <si>
    <t>HUMAN RESOURCE</t>
  </si>
  <si>
    <t>INFECTION CONTROL/INFECTION PREVENTION</t>
  </si>
  <si>
    <t>INFIRMARY</t>
  </si>
  <si>
    <t>INFORMATION TECHNOLOGY OPERATIONS SERVICE (ITOS)</t>
  </si>
  <si>
    <t>LABORATORY SERVICE</t>
  </si>
  <si>
    <t>LIBRARY SERVICE</t>
  </si>
  <si>
    <t>LOGISTICS MANAGEMENT SERVICE</t>
  </si>
  <si>
    <t>POLICE AND LAW ENFORCEMENT</t>
  </si>
  <si>
    <t>PSYCHIATRY</t>
  </si>
  <si>
    <t>RESOURCE MANAGEMENT SERVICE</t>
  </si>
  <si>
    <t>SORCC ADDICTION TREATMENT PROGRAM (SATP)</t>
  </si>
  <si>
    <t>VOCATIONAL REHABILITATION SERVICES</t>
  </si>
  <si>
    <t>ALLERGY, ASTHMA AND IMMUNOLOGY CLINIC</t>
  </si>
  <si>
    <t>BONE MARROW TRANSPLANT UNIT</t>
  </si>
  <si>
    <t>COMMUNITY NURSING HOME PROGRAM (CNH)</t>
  </si>
  <si>
    <t>COMPENSATED WORK THERAPY PROGRAM (CWT)</t>
  </si>
  <si>
    <t>HEPATOLOGY CLINIC</t>
  </si>
  <si>
    <t>LESBIAN-GAY-BISEXUAL-TRANSGENDER-AND RELATED IDENTITIES PROGRAM</t>
  </si>
  <si>
    <t>MEDICINE SERVICE PATIENT CARE 210-617-5300 EXT. 17316</t>
  </si>
  <si>
    <t>POLYTRAUMA REHABILITATION CENTER (PRC)</t>
  </si>
  <si>
    <t>STVHCS FISHER HOUSE</t>
  </si>
  <si>
    <t>THE FREDERIC C. BARTTER GENERAL CLINICAL RESEARCH CENTER (GCRC)</t>
  </si>
  <si>
    <t>WEIGHT MANAGEMENT AND DIABETES CLINIC</t>
  </si>
  <si>
    <t>ACU INPATIENT</t>
  </si>
  <si>
    <t>ACUPUNCTURE THERAPY</t>
  </si>
  <si>
    <t>ACUTE CARE (ACU/ICU) INPATIENT</t>
  </si>
  <si>
    <t>ADDICTION TREATMENT</t>
  </si>
  <si>
    <t>ADMINISTRATOR OF THE DAY (AOD)</t>
  </si>
  <si>
    <t>ADMINISTRATOR ON DUTY (AOD)</t>
  </si>
  <si>
    <t>APPOINTMENTS WITH COEUR D ALENE CBOC</t>
  </si>
  <si>
    <t>APPOINTMENTS WITH PRIMARY CARE PACT TEAMS</t>
  </si>
  <si>
    <t>APPOINTMENTS WITH SPECIALTY CARE CLINICS</t>
  </si>
  <si>
    <t>APPOINTMENTS WITH WENATCHEE CBOC</t>
  </si>
  <si>
    <t>AUDIOLOGY AT SPOKANE VAMC</t>
  </si>
  <si>
    <t>AUDIOLOGY AT WENATCHEE CBOC</t>
  </si>
  <si>
    <t>BACK TO WORK</t>
  </si>
  <si>
    <t>BURIAL BENEFITS</t>
  </si>
  <si>
    <t>CPAP CLINIC</t>
  </si>
  <si>
    <t>CASHIER (TO MAKE A PAYMENT)</t>
  </si>
  <si>
    <t>CASHIER CAGE</t>
  </si>
  <si>
    <t>CEMETARY</t>
  </si>
  <si>
    <t>CLASSES</t>
  </si>
  <si>
    <t>COEUR D'ALENE VA CLINIC</t>
  </si>
  <si>
    <t>COLORECTAL CLINIC</t>
  </si>
  <si>
    <t>COMMUNITY LIVING CENTER AND HOSPICE</t>
  </si>
  <si>
    <t>DAV VAN TRANSPORTATION</t>
  </si>
  <si>
    <t>DEXA</t>
  </si>
  <si>
    <t>DENTIST</t>
  </si>
  <si>
    <t>DRUG AND ALCOHOL TREATMENT</t>
  </si>
  <si>
    <t>ELIGIBILITY AND ENROLLMENT SERVICES</t>
  </si>
  <si>
    <t>FOIA</t>
  </si>
  <si>
    <t>FEE SERVICES</t>
  </si>
  <si>
    <t>FEMALE VETERANS HEALTH PROGRAM</t>
  </si>
  <si>
    <t>FOOT CARE</t>
  </si>
  <si>
    <t>HOME O2</t>
  </si>
  <si>
    <t>HUMAN RESOURCES OFFICE</t>
  </si>
  <si>
    <t>ICU INPATIENT</t>
  </si>
  <si>
    <t>ID CARDS</t>
  </si>
  <si>
    <t>INPATIENT PSYCHIATRY</t>
  </si>
  <si>
    <t>LABORATORY BLOOD DRAW</t>
  </si>
  <si>
    <t>NATIVE AMERICAN VETERANS HEALING LODGE</t>
  </si>
  <si>
    <t>NURSING/PATIENT CARE SERVICES</t>
  </si>
  <si>
    <t>OEF OIF OND TRANSITION</t>
  </si>
  <si>
    <t>OPTICAL</t>
  </si>
  <si>
    <t>PCMHI</t>
  </si>
  <si>
    <t>PARTNER RESOURCES</t>
  </si>
  <si>
    <t>PODIATRIST</t>
  </si>
  <si>
    <t>POST TRAUMATIC STRESS CLINIC</t>
  </si>
  <si>
    <t>PRIMARY CARE - MENTAL HEALTH INTEGRATION (PCMHI)</t>
  </si>
  <si>
    <t>PRIMARY CARE TEAM CLINICS</t>
  </si>
  <si>
    <t>PRIVACY/FREEDOM OF INFORMATION ACT OFFICE</t>
  </si>
  <si>
    <t>PSYCHIATRY INPATIENT</t>
  </si>
  <si>
    <t>PSYCHOLOGY DOCTORAL INTERNSHIP PROGRAM</t>
  </si>
  <si>
    <t>PUBLIC RELATIONS</t>
  </si>
  <si>
    <t>PULMONARY FUNCTION TESTING</t>
  </si>
  <si>
    <t>RX REFILL</t>
  </si>
  <si>
    <t>REFILLS</t>
  </si>
  <si>
    <t>REHABILITATION CENTER</t>
  </si>
  <si>
    <t>RURAL HEALTH CARE PROGRAM</t>
  </si>
  <si>
    <t>SMOKE FREE</t>
  </si>
  <si>
    <t>SPECIALTY CARE CLINICS</t>
  </si>
  <si>
    <t>STORE</t>
  </si>
  <si>
    <t>SUPPORTED EMPLOYMENT</t>
  </si>
  <si>
    <t>SWEAT LODGE</t>
  </si>
  <si>
    <t>TOBACCO FREE</t>
  </si>
  <si>
    <t>TRANSPORTATION SERVICE</t>
  </si>
  <si>
    <t>UROLOGIST</t>
  </si>
  <si>
    <t>VSO</t>
  </si>
  <si>
    <t>VAN TRANSPORT</t>
  </si>
  <si>
    <t>VENDOR RESOURCES</t>
  </si>
  <si>
    <t>VIRTUAL HEALTH INFORMATION EXCHANGE PROGRAM</t>
  </si>
  <si>
    <t>VISION CLINIC</t>
  </si>
  <si>
    <t>WEIGHT LOSS</t>
  </si>
  <si>
    <t>WEIGHT MANAGEMENT PROGRAM</t>
  </si>
  <si>
    <t>WELLNESS</t>
  </si>
  <si>
    <t>WELLNESS PROGRAM RESOURCES</t>
  </si>
  <si>
    <t>WENATCHEE VA CLINIC</t>
  </si>
  <si>
    <t>WOUND CARE</t>
  </si>
  <si>
    <t>MYHEALTHEVET - ONLINE PERSONAL HEALTH RECORD</t>
  </si>
  <si>
    <t>SPECIALTY CARE OUTPATIENT SERVICES</t>
  </si>
  <si>
    <t>AUDIOLOGY &amp; HEARING AIDS</t>
  </si>
  <si>
    <t>CLINICAL EPIDEMIOLOGY CENTER</t>
  </si>
  <si>
    <t>CLINICAL NUTRITION</t>
  </si>
  <si>
    <t>MENTAL HEALTH CLINIC INPATIENT JB</t>
  </si>
  <si>
    <t>MENTAL HEALTH CLINIC JC</t>
  </si>
  <si>
    <t>MENTAL HEALTH CLINIC SENIOR VET JB</t>
  </si>
  <si>
    <t>MENTAL HEALTH CLINICS EAST AND WEST JB</t>
  </si>
  <si>
    <t>OEF/OIF CARE MANAGEMENT PROGRAM</t>
  </si>
  <si>
    <t>OPIATE ADDICTION TREATMENT PROGRAM/BELL STREET CLINIC</t>
  </si>
  <si>
    <t>PTSD CLINICAL TEAMS</t>
  </si>
  <si>
    <t>PAIN REHABILITATION CENTER</t>
  </si>
  <si>
    <t>RADIOLOGY &amp; DIAGNOSTIC IMAGING</t>
  </si>
  <si>
    <t>RESEARCH  AND EDUCATION SERVICE</t>
  </si>
  <si>
    <t>SPINAL CORD INJURY/DYSFUNCTION</t>
  </si>
  <si>
    <t>ALZHEIMERS</t>
  </si>
  <si>
    <t>BEHAVIORAL HEALTH OUTPATIENT CLINICS</t>
  </si>
  <si>
    <t>HIV AIDS</t>
  </si>
  <si>
    <t>HOME HEALTH AIDE</t>
  </si>
  <si>
    <t>LESBIAN, GAY, BISEXUAL AND TRANSGENDER  (LGBT) VETERANS</t>
  </si>
  <si>
    <t>OTOLARYNGOLOGY (EAR, NOSE AND THROAT (ENT))</t>
  </si>
  <si>
    <t>SPINE (ORTHOPEDICS)</t>
  </si>
  <si>
    <t>TRANSITION CARE MANAGEMENT VETERANS POINT OF CONTACT</t>
  </si>
  <si>
    <t>WHOLE HEALTH FOR LIFE</t>
  </si>
  <si>
    <t>ASSISTIVE TECHNOLOGY PROGRAM</t>
  </si>
  <si>
    <t>BROOKSVILLE COMMUNITY BASED OUTPATIENT CLINIC</t>
  </si>
  <si>
    <t>CAREGIVER SUPPORT LINE</t>
  </si>
  <si>
    <t>CHRONIC PAIN REHABILITATION PROGRAM</t>
  </si>
  <si>
    <t>CLINICAL CONTACT CENTER</t>
  </si>
  <si>
    <t>COMPREHENSIVE INTEGRATED INPATIENT REHABILITATION PROGRAM (CIIRP)</t>
  </si>
  <si>
    <t>DENTAL CARE</t>
  </si>
  <si>
    <t>ENROLLMENT CENTER</t>
  </si>
  <si>
    <t>HALEY’S COVE COMMUNITY LIVING CENTER</t>
  </si>
  <si>
    <t>LAKELAND COMMUNITY BASED OUTPATIENT CLINIC</t>
  </si>
  <si>
    <t>MICHAEL BILIRAKIS DVA SPINAL CORD INJURY CENTER</t>
  </si>
  <si>
    <t>NEW PORT RICHEY OUTPATIENT CLINIC</t>
  </si>
  <si>
    <t>NUTRITION OUTPATIENT PROGRAMS</t>
  </si>
  <si>
    <t>PMRS VOCATIONAL REHABILITATION</t>
  </si>
  <si>
    <t>PATIENT ADVOCACY AND GREETER PROGRAMS</t>
  </si>
  <si>
    <t>POLYTRAUMA/TRAUMATIC BRAIN INJURY (TBI) REHABILITATION PROGRAM</t>
  </si>
  <si>
    <t>POST DEPLOYMENT REHABILITATION AND EVALUATION PROGRAM</t>
  </si>
  <si>
    <t>POST DEPLOYMENT TEAM</t>
  </si>
  <si>
    <t>PROGRAMS AND SERVICES: DVA SPINAL CORD INJURY CENTER</t>
  </si>
  <si>
    <t>RADIATION THERAPY UNIT</t>
  </si>
  <si>
    <t>SCI CENTER</t>
  </si>
  <si>
    <t>SOUTH HILLSBOROUGH OUTPATIENT CLINIC</t>
  </si>
  <si>
    <t>TECHNOLOGY PROGRAM</t>
  </si>
  <si>
    <t>TRANSITION AND CARE MANAGEMENT TEAM</t>
  </si>
  <si>
    <t>VETERANS BENEFITS SERVICES</t>
  </si>
  <si>
    <t>VETERANS EXPERIENCE OFFICER</t>
  </si>
  <si>
    <t>ZEPHYRHILLS COMMUNITY BASED OUTPATIENT CLINIC</t>
  </si>
  <si>
    <t>ADDICTION TREATMENT SERVICES</t>
  </si>
  <si>
    <t>LOW VISION REHABILITATION</t>
  </si>
  <si>
    <t>STEM CELL TRANSPLANT PROGRAM</t>
  </si>
  <si>
    <t>SUBSTANCE ABUSE THERAPY</t>
  </si>
  <si>
    <t>AT HOME CONTRACTED HOSPICE AND PALLIATIVE CARE</t>
  </si>
  <si>
    <t>MENTAL HEALTH - CORPUS OPC</t>
  </si>
  <si>
    <t>MENTAL HEALTH - HARLINGEN OPC</t>
  </si>
  <si>
    <t>MENTAL HEALTH - LAREDO OPC</t>
  </si>
  <si>
    <t>MENTAL HEALTH - MCALLEN OPC</t>
  </si>
  <si>
    <t>MILITARY  SEXUAL TRAUMA</t>
  </si>
  <si>
    <t>PHARMACY - HARLINGEN OPC</t>
  </si>
  <si>
    <t>PHARMACY - MCALLEN OPC</t>
  </si>
  <si>
    <t>PRESCRIPTION REFILL BY TELEPHONE</t>
  </si>
  <si>
    <t>SPECIALTY SERVICES</t>
  </si>
  <si>
    <t>ACUTE MEDICAL SERVICES</t>
  </si>
  <si>
    <t>ACUTE PSYCHIATRIC SERVICES</t>
  </si>
  <si>
    <t>AQUATIC THERAPY</t>
  </si>
  <si>
    <t>COUNTY RESOURCE GUIDE - JACKSON COUNTY</t>
  </si>
  <si>
    <t>HOMELESS PROGRAMS AND ASSISTANCE</t>
  </si>
  <si>
    <t>PTSD COMBAT</t>
  </si>
  <si>
    <t>TRANSITION AND CARE MANAGEMENT OIF OEF OND</t>
  </si>
  <si>
    <t>VALOR PROGRAM</t>
  </si>
  <si>
    <t>CONTINUOUS SUPPORTED SELF-CARE MENTAL HEALTH INTENSIVE CASE MANAGEMENT</t>
  </si>
  <si>
    <t>DAY TREATMENT CENTER</t>
  </si>
  <si>
    <t>GEROPSYCHOLOGY - TOPEKA</t>
  </si>
  <si>
    <t>MENTAL HEALTH CLINIC/ACUTE PSYCHIATRY UNIT</t>
  </si>
  <si>
    <t>PTSD CLINICAL TEAM (PCT) - TOPEKA</t>
  </si>
  <si>
    <t>AMPUTEE SERVICES AND CLINIC</t>
  </si>
  <si>
    <t>GASTROENTEROLOGY (GI) SERVICE</t>
  </si>
  <si>
    <t>HEMODIALYSIS UNIT (HDU)</t>
  </si>
  <si>
    <t>MENTAL HEALTH SUBSTANCE ABUSE RESIDENTIAL REHABILITATION TREATMENT PROGRAM</t>
  </si>
  <si>
    <t>SPINAL CORD INJURY AND DISORDERS TEAM</t>
  </si>
  <si>
    <t>TRANSGENDER SERVICES</t>
  </si>
  <si>
    <t>AGENT ORANGE REGISTRY</t>
  </si>
  <si>
    <t>COMMUNITY RESIDENTIAL CARE CLINIC</t>
  </si>
  <si>
    <t>DISABLED AMERICAN VETERANS (DAV) OFFICE</t>
  </si>
  <si>
    <t>EEG/EKG</t>
  </si>
  <si>
    <t>LESBIAN GAY BISEXUAL AND TRANSGENDER PROGRAM</t>
  </si>
  <si>
    <t>MACPAC</t>
  </si>
  <si>
    <t>MEDICAL RECORDS- RELEASE OF INFORMATION</t>
  </si>
  <si>
    <t>MENTAL HEALTH RESIDENTIAL REHABILITATION PROGRAM</t>
  </si>
  <si>
    <t>PATIENT HEALTH EDUCATION RESOURCE CENTER</t>
  </si>
  <si>
    <t>PRINT CLINIC</t>
  </si>
  <si>
    <t>RE-ENGAGEMENT (OUTREACH) PROGRAM COORDINATOR</t>
  </si>
  <si>
    <t>SELMA OUTPATIENT CLINIC</t>
  </si>
  <si>
    <t>SMOKE FREE CAMPUS</t>
  </si>
  <si>
    <t>SUICIDE PREVENTION COORDINATOR/PROGRAM</t>
  </si>
  <si>
    <t>AGENT CASHIER SERVICES</t>
  </si>
  <si>
    <t>FEE BASIS AND BILLING</t>
  </si>
  <si>
    <t>GERIATRICS, EXTENDED CARE AND PALLIATIVE CARE</t>
  </si>
  <si>
    <t>HEMATOLOGY AND MEDICAL ONCOLOGY</t>
  </si>
  <si>
    <t>OCCUPATIONAL HEALTH CLINIC</t>
  </si>
  <si>
    <t>PACEMAKER CENTER</t>
  </si>
  <si>
    <t>PATIENT EXPERIENCE AND ADVOCACY OFFICE</t>
  </si>
  <si>
    <t>PSYCHOLOGY SERVICE AND TRAUMA SERVICE</t>
  </si>
  <si>
    <t>TRANSITION AND CARE MANAGEMENT CENTER</t>
  </si>
  <si>
    <t>WOMENS HEALTH CENTER</t>
  </si>
  <si>
    <t>ADVANCE DIRECTIVE CLINIC</t>
  </si>
  <si>
    <t>COMMUNITY CARE PROGRAM</t>
  </si>
  <si>
    <t>GERIATRIC AND EXTENDED CARE SERVICE</t>
  </si>
  <si>
    <t>MENTAL HEALTH OUTPATIENT SERVICES</t>
  </si>
  <si>
    <t>MENTAL HEALTH AND BEHAVIORAL SCIENCE SERVICES</t>
  </si>
  <si>
    <t>PORT ST. LUCIE VA OUTPATIENT CLINIC</t>
  </si>
  <si>
    <t>POST DEPLOYMENT CLINIC</t>
  </si>
  <si>
    <t>PRIMARY CARE BEHAVIORAL HEALTH (PCBH)</t>
  </si>
  <si>
    <t>SUBSTANCE ABUSE CLINIC</t>
  </si>
  <si>
    <t>VA CONNECT</t>
  </si>
  <si>
    <t>FACILITIES MANAGEMENT</t>
  </si>
  <si>
    <t>LOW VISION REHAB CLINIC</t>
  </si>
  <si>
    <t>VISUAL IMPAIRMENT SERVICE TEAM</t>
  </si>
  <si>
    <t>wilkes-barre</t>
  </si>
  <si>
    <t>COMMUNITY HEALTH NURSING CARE</t>
  </si>
  <si>
    <t>HOME HOSPICE</t>
  </si>
  <si>
    <t>MENTAL HEALTH PROGRAM DESCRIPTIONS</t>
  </si>
  <si>
    <t>MENTAL HEALTH SPECIALIZED PROGRAM DESCRIPTIONS</t>
  </si>
  <si>
    <t>MENTAL HEALTH THERAPEUTIC PROGRAM DESCRIPTIONS</t>
  </si>
  <si>
    <t>PREVENTIVE CARE PROGRAM</t>
  </si>
  <si>
    <t>PROSTHETICS AND REHABILITATION SERVICE</t>
  </si>
  <si>
    <t>CARE GIVER SUPPORT PROGRAM</t>
  </si>
  <si>
    <t>DIABETES EDUCATION AND MANAGEMENT</t>
  </si>
  <si>
    <t>HEALTHY EATING</t>
  </si>
  <si>
    <t>WEIGHT MANAGEMENT PROGRAM (MOVE!)</t>
  </si>
  <si>
    <t>WILMINGTON VA MEDICAL CENTERS COMMUNITY OUTREACH TEAM</t>
  </si>
</sst>
</file>

<file path=xl/styles.xml><?xml version="1.0" encoding="utf-8"?>
<styleSheet xmlns="http://schemas.openxmlformats.org/spreadsheetml/2006/main" xmlns:x14ac="http://schemas.microsoft.com/office/spreadsheetml/2009/9/ac" xmlns:mc="http://schemas.openxmlformats.org/markup-compatibility/2006">
  <fonts count="39">
    <font>
      <sz val="11.0"/>
      <color theme="1"/>
      <name val="Arial"/>
    </font>
    <font>
      <b/>
      <sz val="14.0"/>
      <color theme="1"/>
      <name val="Calibri"/>
    </font>
    <font>
      <b/>
      <sz val="16.0"/>
      <color theme="0"/>
      <name val="Calibri"/>
    </font>
    <font>
      <b/>
      <u/>
      <sz val="14.0"/>
      <color theme="1"/>
      <name val="Calibri"/>
    </font>
    <font>
      <color theme="1"/>
      <name val="Calibri"/>
    </font>
    <font>
      <sz val="11.0"/>
      <color theme="1"/>
      <name val="Calibri"/>
    </font>
    <font>
      <b/>
      <u/>
      <sz val="14.0"/>
      <color rgb="FF000000"/>
      <name val="Calibri"/>
    </font>
    <font>
      <b/>
      <u/>
      <sz val="14.0"/>
      <color rgb="FF000000"/>
      <name val="Calibri"/>
    </font>
    <font>
      <b/>
      <sz val="14.0"/>
      <color rgb="FF000000"/>
      <name val="Calibri"/>
    </font>
    <font>
      <sz val="11.0"/>
      <color rgb="FF000000"/>
      <name val="Calibri"/>
    </font>
    <font>
      <b/>
      <sz val="11.0"/>
      <color rgb="FF000000"/>
      <name val="Calibri"/>
    </font>
    <font>
      <color rgb="FF000000"/>
      <name val="Roboto"/>
    </font>
    <font>
      <i/>
      <color rgb="FFFF0000"/>
      <name val="Calibri"/>
    </font>
    <font>
      <b/>
      <u/>
      <sz val="14.0"/>
      <color theme="1"/>
    </font>
    <font>
      <b/>
      <u/>
      <sz val="14.0"/>
      <color rgb="FF000000"/>
    </font>
    <font>
      <b/>
      <u/>
      <sz val="14.0"/>
      <color theme="1"/>
    </font>
    <font>
      <b/>
      <u/>
      <sz val="14.0"/>
      <color theme="1"/>
    </font>
    <font>
      <b/>
      <u/>
      <sz val="14.0"/>
      <color rgb="FF000000"/>
    </font>
    <font>
      <b/>
      <u/>
      <sz val="14.0"/>
      <color theme="1"/>
    </font>
    <font>
      <sz val="12.0"/>
      <color rgb="FF000000"/>
      <name val="Calibri"/>
    </font>
    <font>
      <b/>
      <sz val="14.0"/>
      <color theme="0"/>
      <name val="Calibri"/>
    </font>
    <font>
      <u/>
      <color rgb="FF0000FF"/>
    </font>
    <font>
      <color rgb="FF000000"/>
      <name val="Calibri"/>
    </font>
    <font>
      <b/>
      <color theme="1"/>
      <name val="Calibri"/>
    </font>
    <font>
      <b/>
      <sz val="16.0"/>
      <color theme="1"/>
      <name val="Calibri"/>
    </font>
    <font>
      <b/>
      <sz val="11.0"/>
      <color theme="0"/>
      <name val="Calibri"/>
    </font>
    <font>
      <b/>
      <sz val="12.0"/>
      <color theme="1"/>
      <name val="Calibri"/>
    </font>
    <font>
      <sz val="12.0"/>
      <color theme="1"/>
      <name val="Calibri"/>
    </font>
    <font>
      <b/>
      <u/>
      <sz val="12.0"/>
      <color theme="1"/>
      <name val="Calibri"/>
    </font>
    <font>
      <b/>
      <sz val="12.0"/>
      <color rgb="FF000000"/>
      <name val="Calibri"/>
    </font>
    <font>
      <u/>
      <sz val="11.0"/>
      <color rgb="FF000000"/>
    </font>
    <font>
      <b/>
      <u/>
      <sz val="12.0"/>
      <color theme="1"/>
      <name val="Calibri"/>
    </font>
    <font>
      <b/>
      <sz val="11.0"/>
      <color theme="1"/>
      <name val="Calibri"/>
    </font>
    <font>
      <b/>
      <u/>
      <sz val="16.0"/>
      <color theme="1"/>
      <name val="Calibri"/>
    </font>
    <font>
      <b/>
      <u/>
      <sz val="12.0"/>
      <color theme="1"/>
      <name val="Calibri"/>
    </font>
    <font>
      <u/>
      <sz val="11.0"/>
      <color theme="10"/>
      <name val="Calibri"/>
    </font>
    <font>
      <u/>
      <sz val="11.0"/>
      <color theme="10"/>
    </font>
    <font>
      <sz val="11.0"/>
      <color rgb="FF000000"/>
      <name val="Arial"/>
    </font>
    <font>
      <u/>
      <sz val="11.0"/>
      <color rgb="FF0563C1"/>
      <name val="Calibri"/>
    </font>
  </fonts>
  <fills count="19">
    <fill>
      <patternFill patternType="none"/>
    </fill>
    <fill>
      <patternFill patternType="lightGray"/>
    </fill>
    <fill>
      <patternFill patternType="solid">
        <fgColor rgb="FFD9D2E9"/>
        <bgColor rgb="FFD9D2E9"/>
      </patternFill>
    </fill>
    <fill>
      <patternFill patternType="solid">
        <fgColor rgb="FF00B0F0"/>
        <bgColor rgb="FF00B0F0"/>
      </patternFill>
    </fill>
    <fill>
      <patternFill patternType="solid">
        <fgColor rgb="FFD9EAD3"/>
        <bgColor rgb="FFD9EAD3"/>
      </patternFill>
    </fill>
    <fill>
      <patternFill patternType="solid">
        <fgColor rgb="FFFFFFFF"/>
        <bgColor rgb="FFFFFFFF"/>
      </patternFill>
    </fill>
    <fill>
      <patternFill patternType="solid">
        <fgColor rgb="FFB6D7A8"/>
        <bgColor rgb="FFB6D7A8"/>
      </patternFill>
    </fill>
    <fill>
      <patternFill patternType="solid">
        <fgColor rgb="FFFEF2CB"/>
        <bgColor rgb="FFFEF2CB"/>
      </patternFill>
    </fill>
    <fill>
      <patternFill patternType="solid">
        <fgColor rgb="FFF4CCCC"/>
        <bgColor rgb="FFF4CCCC"/>
      </patternFill>
    </fill>
    <fill>
      <patternFill patternType="solid">
        <fgColor rgb="FFFBE4D5"/>
        <bgColor rgb="FFFBE4D5"/>
      </patternFill>
    </fill>
    <fill>
      <patternFill patternType="solid">
        <fgColor rgb="FF00FFFF"/>
        <bgColor rgb="FF00FFFF"/>
      </patternFill>
    </fill>
    <fill>
      <patternFill patternType="solid">
        <fgColor theme="0"/>
        <bgColor theme="0"/>
      </patternFill>
    </fill>
    <fill>
      <patternFill patternType="solid">
        <fgColor rgb="FFFFFF00"/>
        <bgColor rgb="FFFFFF00"/>
      </patternFill>
    </fill>
    <fill>
      <patternFill patternType="solid">
        <fgColor rgb="FF93C47D"/>
        <bgColor rgb="FF93C47D"/>
      </patternFill>
    </fill>
    <fill>
      <patternFill patternType="solid">
        <fgColor rgb="FFA9D08E"/>
        <bgColor rgb="FFA9D08E"/>
      </patternFill>
    </fill>
    <fill>
      <patternFill patternType="solid">
        <fgColor rgb="FFFCE5CD"/>
        <bgColor rgb="FFFCE5CD"/>
      </patternFill>
    </fill>
    <fill>
      <patternFill patternType="solid">
        <fgColor rgb="FFD9E2F3"/>
        <bgColor rgb="FFD9E2F3"/>
      </patternFill>
    </fill>
    <fill>
      <patternFill patternType="solid">
        <fgColor rgb="FFCFE2F3"/>
        <bgColor rgb="FFCFE2F3"/>
      </patternFill>
    </fill>
    <fill>
      <patternFill patternType="solid">
        <fgColor rgb="FFFFF2CC"/>
        <bgColor rgb="FFFFF2CC"/>
      </patternFill>
    </fill>
  </fills>
  <borders count="65">
    <border/>
    <border>
      <left/>
      <right/>
      <top/>
      <bottom/>
    </border>
    <border>
      <left style="thick">
        <color rgb="FF000000"/>
      </left>
      <right/>
      <top/>
      <bottom/>
    </border>
    <border>
      <left/>
      <top/>
      <bottom/>
    </border>
    <border>
      <left style="thick">
        <color rgb="FF000000"/>
      </left>
      <right/>
      <top style="thick">
        <color rgb="FF000000"/>
      </top>
      <bottom/>
    </border>
    <border>
      <left/>
      <top style="thick">
        <color rgb="FF000000"/>
      </top>
      <bottom/>
    </border>
    <border>
      <right style="thick">
        <color rgb="FF000000"/>
      </right>
      <top style="thick">
        <color rgb="FF000000"/>
      </top>
    </border>
    <border>
      <right/>
      <top/>
      <bottom/>
    </border>
    <border>
      <left style="thick">
        <color rgb="FF000000"/>
      </left>
    </border>
    <border>
      <right style="thick">
        <color rgb="FF000000"/>
      </right>
    </border>
    <border>
      <left style="thin">
        <color rgb="FFCCCCCC"/>
      </left>
      <top style="thin">
        <color rgb="FFCCCCCC"/>
      </top>
      <bottom style="thin">
        <color rgb="FFCCCCCC"/>
      </bottom>
    </border>
    <border>
      <left style="medium">
        <color rgb="FF000000"/>
      </left>
      <top style="medium">
        <color rgb="FF000000"/>
      </top>
    </border>
    <border>
      <left style="medium">
        <color rgb="FF000000"/>
      </left>
      <right/>
      <top style="medium">
        <color rgb="FF000000"/>
      </top>
      <bottom/>
    </border>
    <border>
      <left/>
      <right/>
      <top style="medium">
        <color rgb="FF000000"/>
      </top>
      <bottom/>
    </border>
    <border>
      <right style="thin">
        <color rgb="FFCCCCCC"/>
      </right>
      <top style="thin">
        <color rgb="FFCCCCCC"/>
      </top>
      <bottom style="thin">
        <color rgb="FFCCCCCC"/>
      </bottom>
    </border>
    <border>
      <top style="medium">
        <color rgb="FF000000"/>
      </top>
    </border>
    <border>
      <right style="medium">
        <color rgb="FF000000"/>
      </right>
      <top style="medium">
        <color rgb="FF000000"/>
      </top>
    </border>
    <border>
      <left/>
      <right style="medium">
        <color rgb="FF000000"/>
      </right>
      <top style="medium">
        <color rgb="FF000000"/>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left style="medium">
        <color rgb="FF000000"/>
      </left>
      <right/>
      <top/>
      <bottom/>
    </border>
    <border>
      <right style="medium">
        <color rgb="FF000000"/>
      </right>
      <bottom style="medium">
        <color rgb="FF000000"/>
      </bottom>
    </border>
    <border>
      <left/>
      <right style="medium">
        <color rgb="FF000000"/>
      </right>
      <top/>
      <bottom/>
    </border>
    <border>
      <left/>
      <right/>
      <top/>
      <bottom style="thin">
        <color rgb="FF000000"/>
      </bottom>
    </border>
    <border>
      <left/>
      <top/>
      <bottom style="thin">
        <color rgb="FF000000"/>
      </bottom>
    </border>
    <border>
      <left style="thick">
        <color rgb="FF000000"/>
      </left>
      <right/>
      <top style="thick">
        <color rgb="FF000000"/>
      </top>
      <bottom style="thin">
        <color rgb="FF000000"/>
      </bottom>
    </border>
    <border>
      <left/>
      <top style="thick">
        <color rgb="FF000000"/>
      </top>
      <bottom style="thin">
        <color rgb="FF000000"/>
      </bottom>
    </border>
    <border>
      <right style="thick">
        <color rgb="FF000000"/>
      </right>
      <top style="thick">
        <color rgb="FF000000"/>
      </top>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right/>
      <top style="thick">
        <color rgb="FF000000"/>
      </top>
      <bottom style="thin">
        <color rgb="FF000000"/>
      </bottom>
    </border>
    <border>
      <left style="thick">
        <color rgb="FF000000"/>
      </left>
      <right style="thin">
        <color rgb="FF000000"/>
      </right>
      <top style="thick">
        <color rgb="FF000000"/>
      </top>
      <bottom style="thin">
        <color rgb="FF000000"/>
      </bottom>
    </border>
    <border>
      <right style="thin">
        <color rgb="FF000000"/>
      </right>
    </border>
    <border>
      <left/>
      <right style="thick">
        <color rgb="FF000000"/>
      </right>
      <bottom/>
    </border>
    <border>
      <left/>
      <right/>
      <bottom/>
    </border>
    <border>
      <right/>
      <bottom/>
    </border>
    <border>
      <left/>
      <right style="thick">
        <color rgb="FF000000"/>
      </right>
      <top/>
      <bottom/>
    </border>
    <border>
      <left/>
      <bottom/>
    </border>
    <border>
      <left/>
      <top/>
    </border>
    <border>
      <left style="thin">
        <color rgb="FFCCCCCC"/>
      </left>
      <right style="thin">
        <color rgb="FFCCCCCC"/>
      </right>
      <top style="thin">
        <color rgb="FFCCCCCC"/>
      </top>
    </border>
    <border>
      <left style="thin">
        <color rgb="FFCCCCCC"/>
      </left>
      <right style="thin">
        <color rgb="FFCCCCCC"/>
      </right>
      <top style="thin">
        <color rgb="FFCCCCCC"/>
      </top>
      <bottom style="thin">
        <color rgb="FFCCCCCC"/>
      </bottom>
    </border>
    <border>
      <left style="thick">
        <color rgb="FF4A86E8"/>
      </left>
      <top style="thick">
        <color rgb="FF4A86E8"/>
      </top>
      <bottom style="thick">
        <color rgb="FF4A86E8"/>
      </bottom>
    </border>
    <border>
      <right style="thin">
        <color rgb="FFCCCCCC"/>
      </right>
      <top style="thin">
        <color rgb="FFCCCCCC"/>
      </top>
    </border>
    <border>
      <left style="thick">
        <color rgb="FF4A86E8"/>
      </left>
      <right style="thick">
        <color rgb="FF4A86E8"/>
      </right>
      <top style="thick">
        <color rgb="FF4A86E8"/>
      </top>
    </border>
    <border>
      <left style="thin">
        <color rgb="FFCCCCCC"/>
      </left>
      <bottom style="thin">
        <color rgb="FFCCCCCC"/>
      </bottom>
    </border>
    <border>
      <left style="thick">
        <color rgb="FF4A86E8"/>
      </left>
      <right style="thick">
        <color rgb="FF4A86E8"/>
      </right>
      <top style="thick">
        <color rgb="FF4A86E8"/>
      </top>
      <bottom style="thick">
        <color rgb="FF4A86E8"/>
      </bottom>
    </border>
    <border>
      <left style="thin">
        <color rgb="FFCCCCCC"/>
      </lef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style="thick">
        <color rgb="FF000000"/>
      </right>
      <top/>
    </border>
    <border>
      <top/>
    </border>
    <border>
      <right style="thick">
        <color rgb="FF000000"/>
      </right>
      <top/>
      <bottom/>
    </border>
    <border>
      <right style="thin">
        <color rgb="FF000000"/>
      </right>
      <top/>
      <bottom/>
    </border>
    <border>
      <top/>
      <bottom/>
    </border>
    <border>
      <left/>
      <right style="thin">
        <color rgb="FF000000"/>
      </right>
      <top/>
      <bottom style="thick">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CCCCCC"/>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30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Border="1" applyFill="1" applyFont="1"/>
    <xf borderId="1" fillId="2" fontId="1" numFmtId="0" xfId="0" applyBorder="1" applyFont="1"/>
    <xf borderId="1" fillId="3" fontId="2" numFmtId="0" xfId="0" applyAlignment="1" applyBorder="1" applyFont="1">
      <alignment shrinkToFit="0" wrapText="1"/>
    </xf>
    <xf borderId="2" fillId="2" fontId="1" numFmtId="0" xfId="0" applyAlignment="1" applyBorder="1" applyFont="1">
      <alignment horizontal="center" textRotation="90"/>
    </xf>
    <xf borderId="3" fillId="2" fontId="1" numFmtId="0" xfId="0" applyAlignment="1" applyBorder="1" applyFont="1">
      <alignment horizontal="center" textRotation="45"/>
    </xf>
    <xf borderId="4" fillId="2" fontId="3" numFmtId="0" xfId="0" applyAlignment="1" applyBorder="1" applyFont="1">
      <alignment horizontal="center" textRotation="90"/>
    </xf>
    <xf borderId="0" fillId="0" fontId="4" numFmtId="0" xfId="0" applyFont="1"/>
    <xf borderId="5" fillId="2" fontId="1" numFmtId="0" xfId="0" applyAlignment="1" applyBorder="1" applyFont="1">
      <alignment horizontal="center"/>
    </xf>
    <xf borderId="0" fillId="0" fontId="5" numFmtId="0" xfId="0" applyFont="1"/>
    <xf borderId="6" fillId="2" fontId="6" numFmtId="0" xfId="0" applyAlignment="1" applyBorder="1" applyFont="1">
      <alignment horizontal="center" readingOrder="0" textRotation="90"/>
    </xf>
    <xf borderId="5" fillId="2" fontId="1" numFmtId="0" xfId="0" applyAlignment="1" applyBorder="1" applyFont="1">
      <alignment horizontal="center" shrinkToFit="0" wrapText="0"/>
    </xf>
    <xf borderId="5" fillId="2" fontId="1" numFmtId="0" xfId="0" applyAlignment="1" applyBorder="1" applyFont="1">
      <alignment horizontal="center" shrinkToFit="0" wrapText="1"/>
    </xf>
    <xf borderId="6" fillId="2" fontId="7" numFmtId="0" xfId="0" applyAlignment="1" applyBorder="1" applyFont="1">
      <alignment readingOrder="0" shrinkToFit="0" textRotation="90" wrapText="1"/>
    </xf>
    <xf borderId="7" fillId="4" fontId="8" numFmtId="0" xfId="0" applyAlignment="1" applyBorder="1" applyFill="1" applyFont="1">
      <alignment readingOrder="0" shrinkToFit="0" wrapText="1"/>
    </xf>
    <xf borderId="0" fillId="4" fontId="1" numFmtId="0" xfId="0" applyAlignment="1" applyFont="1">
      <alignment readingOrder="0" textRotation="45"/>
    </xf>
    <xf borderId="1" fillId="5" fontId="1" numFmtId="0" xfId="0" applyBorder="1" applyFill="1" applyFont="1"/>
    <xf borderId="8" fillId="0" fontId="5" numFmtId="0" xfId="0" applyAlignment="1" applyBorder="1" applyFont="1">
      <alignment horizontal="center"/>
    </xf>
    <xf borderId="0" fillId="0" fontId="5" numFmtId="0" xfId="0" applyAlignment="1" applyFont="1">
      <alignment horizontal="center"/>
    </xf>
    <xf borderId="8" fillId="0" fontId="9" numFmtId="0" xfId="0" applyAlignment="1" applyBorder="1" applyFont="1">
      <alignment horizontal="center" readingOrder="0"/>
    </xf>
    <xf borderId="0" fillId="0" fontId="5" numFmtId="0" xfId="0" applyAlignment="1" applyFont="1">
      <alignment shrinkToFit="0" wrapText="0"/>
    </xf>
    <xf borderId="9" fillId="0" fontId="9" numFmtId="0" xfId="0" applyAlignment="1" applyBorder="1" applyFont="1">
      <alignment horizontal="center" readingOrder="0"/>
    </xf>
    <xf borderId="0" fillId="0" fontId="5" numFmtId="0" xfId="0" applyAlignment="1" applyFont="1">
      <alignment shrinkToFit="0" wrapText="1"/>
    </xf>
    <xf borderId="9" fillId="5" fontId="4" numFmtId="0" xfId="0" applyBorder="1" applyFont="1"/>
    <xf borderId="0" fillId="5" fontId="4" numFmtId="0" xfId="0" applyFont="1"/>
    <xf borderId="9" fillId="5" fontId="4" numFmtId="0" xfId="0" applyAlignment="1" applyBorder="1" applyFont="1">
      <alignment readingOrder="0"/>
    </xf>
    <xf borderId="0" fillId="0" fontId="5" numFmtId="0" xfId="0" applyAlignment="1" applyFont="1">
      <alignment readingOrder="0" shrinkToFit="0" wrapText="0"/>
    </xf>
    <xf borderId="10" fillId="0" fontId="9" numFmtId="0" xfId="0" applyAlignment="1" applyBorder="1" applyFont="1">
      <alignment readingOrder="0" shrinkToFit="0" vertical="bottom" wrapText="0"/>
    </xf>
    <xf borderId="0" fillId="5" fontId="9" numFmtId="0" xfId="0" applyAlignment="1" applyFont="1">
      <alignment readingOrder="0" vertical="bottom"/>
    </xf>
    <xf borderId="0" fillId="0" fontId="9" numFmtId="0" xfId="0" applyAlignment="1" applyFont="1">
      <alignment readingOrder="0"/>
    </xf>
    <xf borderId="11" fillId="0" fontId="5" numFmtId="0" xfId="0" applyBorder="1" applyFont="1"/>
    <xf borderId="12" fillId="3" fontId="1" numFmtId="0" xfId="0" applyBorder="1" applyFont="1"/>
    <xf borderId="10" fillId="0" fontId="9" numFmtId="0" xfId="0" applyAlignment="1" applyBorder="1" applyFont="1">
      <alignment readingOrder="0" shrinkToFit="0" vertical="bottom" wrapText="1"/>
    </xf>
    <xf borderId="13" fillId="3" fontId="5" numFmtId="0" xfId="0" applyBorder="1" applyFont="1"/>
    <xf borderId="14" fillId="5" fontId="9" numFmtId="0" xfId="0" applyAlignment="1" applyBorder="1" applyFont="1">
      <alignment readingOrder="0" vertical="bottom"/>
    </xf>
    <xf borderId="13" fillId="3" fontId="1" numFmtId="0" xfId="0" applyBorder="1" applyFont="1"/>
    <xf borderId="15" fillId="0" fontId="5" numFmtId="0" xfId="0" applyBorder="1" applyFont="1"/>
    <xf borderId="16" fillId="0" fontId="5" numFmtId="0" xfId="0" applyBorder="1" applyFont="1"/>
    <xf borderId="17" fillId="3" fontId="1" numFmtId="0" xfId="0" applyBorder="1" applyFont="1"/>
    <xf borderId="18" fillId="0" fontId="5" numFmtId="0" xfId="0" applyBorder="1" applyFont="1"/>
    <xf borderId="19" fillId="0" fontId="5" numFmtId="0" xfId="0" applyBorder="1" applyFont="1"/>
    <xf borderId="0" fillId="6" fontId="9" numFmtId="0" xfId="0" applyAlignment="1" applyFill="1" applyFont="1">
      <alignment readingOrder="0" shrinkToFit="0" wrapText="0"/>
    </xf>
    <xf borderId="20" fillId="0" fontId="5" numFmtId="0" xfId="0" applyBorder="1" applyFont="1"/>
    <xf borderId="21" fillId="0" fontId="5" numFmtId="0" xfId="0" applyBorder="1" applyFont="1"/>
    <xf borderId="22" fillId="7" fontId="1" numFmtId="0" xfId="0" applyBorder="1" applyFill="1" applyFont="1"/>
    <xf borderId="23" fillId="0" fontId="5" numFmtId="0" xfId="0" applyBorder="1" applyFont="1"/>
    <xf borderId="10" fillId="0" fontId="9" numFmtId="0" xfId="0" applyAlignment="1" applyBorder="1" applyFont="1">
      <alignment readingOrder="0" shrinkToFit="0" wrapText="1"/>
    </xf>
    <xf borderId="1" fillId="7" fontId="5" numFmtId="0" xfId="0" applyBorder="1" applyFont="1"/>
    <xf borderId="24" fillId="7" fontId="5" numFmtId="0" xfId="0" applyBorder="1" applyFont="1"/>
    <xf borderId="0" fillId="5" fontId="4" numFmtId="0" xfId="0" applyAlignment="1" applyFont="1">
      <alignment readingOrder="0"/>
    </xf>
    <xf borderId="0" fillId="0" fontId="10" numFmtId="0" xfId="0" applyAlignment="1" applyFont="1">
      <alignment readingOrder="0" shrinkToFit="0" wrapText="0"/>
    </xf>
    <xf borderId="10" fillId="0" fontId="9" numFmtId="0" xfId="0" applyAlignment="1" applyBorder="1" applyFont="1">
      <alignment readingOrder="0" shrinkToFit="0" wrapText="0"/>
    </xf>
    <xf borderId="9" fillId="5" fontId="5" numFmtId="0" xfId="0" applyAlignment="1" applyBorder="1" applyFont="1">
      <alignment readingOrder="0"/>
    </xf>
    <xf borderId="8" fillId="8" fontId="5" numFmtId="0" xfId="0" applyAlignment="1" applyBorder="1" applyFill="1" applyFont="1">
      <alignment horizontal="center"/>
    </xf>
    <xf borderId="0" fillId="5" fontId="9" numFmtId="0" xfId="0" applyAlignment="1" applyFont="1">
      <alignment readingOrder="0"/>
    </xf>
    <xf borderId="0" fillId="5" fontId="4" numFmtId="0" xfId="0" applyAlignment="1" applyFont="1">
      <alignment shrinkToFit="0" wrapText="0"/>
    </xf>
    <xf borderId="1" fillId="9" fontId="5" numFmtId="0" xfId="0" applyBorder="1" applyFill="1" applyFont="1"/>
    <xf borderId="0" fillId="0" fontId="9" numFmtId="0" xfId="0" applyAlignment="1" applyFont="1">
      <alignment readingOrder="0" shrinkToFit="0" wrapText="0"/>
    </xf>
    <xf borderId="0" fillId="4" fontId="9" numFmtId="0" xfId="0" applyAlignment="1" applyFont="1">
      <alignment readingOrder="0" shrinkToFit="0" wrapText="0"/>
    </xf>
    <xf borderId="0" fillId="5" fontId="11" numFmtId="0" xfId="0" applyAlignment="1" applyFont="1">
      <alignment readingOrder="0"/>
    </xf>
    <xf borderId="1" fillId="5" fontId="5" numFmtId="0" xfId="0" applyBorder="1" applyFont="1"/>
    <xf borderId="9" fillId="5" fontId="9" numFmtId="0" xfId="0" applyAlignment="1" applyBorder="1" applyFont="1">
      <alignment readingOrder="0"/>
    </xf>
    <xf borderId="0" fillId="4" fontId="4" numFmtId="0" xfId="0" applyAlignment="1" applyFont="1">
      <alignment readingOrder="0" shrinkToFit="0" wrapText="0"/>
    </xf>
    <xf borderId="10" fillId="10" fontId="9" numFmtId="0" xfId="0" applyAlignment="1" applyBorder="1" applyFill="1" applyFont="1">
      <alignment readingOrder="0" shrinkToFit="0" vertical="bottom" wrapText="0"/>
    </xf>
    <xf borderId="0" fillId="5" fontId="9" numFmtId="0" xfId="0" applyAlignment="1" applyFont="1">
      <alignment readingOrder="0" shrinkToFit="0" wrapText="0"/>
    </xf>
    <xf borderId="0" fillId="0" fontId="4" numFmtId="0" xfId="0" applyAlignment="1" applyFont="1">
      <alignment shrinkToFit="0" wrapText="0"/>
    </xf>
    <xf borderId="0" fillId="5" fontId="9" numFmtId="0" xfId="0" applyAlignment="1" applyFont="1">
      <alignment readingOrder="0" shrinkToFit="0" wrapText="0"/>
    </xf>
    <xf borderId="0" fillId="0" fontId="9" numFmtId="0" xfId="0" applyAlignment="1" applyFont="1">
      <alignment horizontal="left" readingOrder="0"/>
    </xf>
    <xf borderId="10" fillId="10" fontId="9" numFmtId="0" xfId="0" applyAlignment="1" applyBorder="1" applyFont="1">
      <alignment readingOrder="0" shrinkToFit="0" vertical="bottom" wrapText="1"/>
    </xf>
    <xf borderId="0" fillId="11" fontId="5" numFmtId="0" xfId="0" applyAlignment="1" applyFill="1" applyFont="1">
      <alignment readingOrder="0" shrinkToFit="0" wrapText="0"/>
    </xf>
    <xf borderId="0" fillId="0" fontId="4" numFmtId="0" xfId="0" applyAlignment="1" applyFont="1">
      <alignment readingOrder="0" shrinkToFit="0" wrapText="0"/>
    </xf>
    <xf borderId="0" fillId="5" fontId="5" numFmtId="0" xfId="0" applyFont="1"/>
    <xf borderId="2" fillId="9" fontId="5" numFmtId="0" xfId="0" applyAlignment="1" applyBorder="1" applyFont="1">
      <alignment horizontal="center"/>
    </xf>
    <xf borderId="10" fillId="5" fontId="9" numFmtId="0" xfId="0" applyAlignment="1" applyBorder="1" applyFont="1">
      <alignment readingOrder="0" shrinkToFit="0" vertical="bottom" wrapText="0"/>
    </xf>
    <xf borderId="0" fillId="0" fontId="12" numFmtId="0" xfId="0" applyFont="1"/>
    <xf borderId="10" fillId="6" fontId="9" numFmtId="0" xfId="0" applyAlignment="1" applyBorder="1" applyFont="1">
      <alignment readingOrder="0" shrinkToFit="0" wrapText="1"/>
    </xf>
    <xf borderId="25" fillId="2" fontId="1" numFmtId="0" xfId="0" applyAlignment="1" applyBorder="1" applyFont="1">
      <alignment shrinkToFit="0" wrapText="1"/>
    </xf>
    <xf borderId="25" fillId="2" fontId="1" numFmtId="0" xfId="0" applyBorder="1" applyFont="1"/>
    <xf borderId="26" fillId="2" fontId="1" numFmtId="0" xfId="0" applyBorder="1" applyFont="1"/>
    <xf borderId="0" fillId="10" fontId="5" numFmtId="0" xfId="0" applyAlignment="1" applyFont="1">
      <alignment readingOrder="0" shrinkToFit="0" wrapText="0"/>
    </xf>
    <xf borderId="27" fillId="2" fontId="13" numFmtId="0" xfId="0" applyAlignment="1" applyBorder="1" applyFont="1">
      <alignment horizontal="center" textRotation="90"/>
    </xf>
    <xf borderId="28" fillId="2" fontId="1" numFmtId="0" xfId="0" applyAlignment="1" applyBorder="1" applyFont="1">
      <alignment horizontal="center"/>
    </xf>
    <xf borderId="29" fillId="2" fontId="14" numFmtId="0" xfId="0" applyAlignment="1" applyBorder="1" applyFont="1">
      <alignment horizontal="center" readingOrder="0" textRotation="90"/>
    </xf>
    <xf borderId="30" fillId="2" fontId="15" numFmtId="0" xfId="0" applyAlignment="1" applyBorder="1" applyFont="1">
      <alignment horizontal="center" textRotation="90"/>
    </xf>
    <xf borderId="31" fillId="2" fontId="1" numFmtId="0" xfId="0" applyAlignment="1" applyBorder="1" applyFont="1">
      <alignment horizontal="center" shrinkToFit="0" wrapText="0"/>
    </xf>
    <xf borderId="32" fillId="0" fontId="9" numFmtId="0" xfId="0" applyAlignment="1" applyBorder="1" applyFont="1">
      <alignment horizontal="center" readingOrder="0"/>
    </xf>
    <xf borderId="31" fillId="2" fontId="16" numFmtId="0" xfId="0" applyAlignment="1" applyBorder="1" applyFont="1">
      <alignment horizontal="center" shrinkToFit="0" textRotation="90" wrapText="0"/>
    </xf>
    <xf borderId="33" fillId="0" fontId="5" numFmtId="0" xfId="0" applyAlignment="1" applyBorder="1" applyFont="1">
      <alignment shrinkToFit="0" wrapText="0"/>
    </xf>
    <xf borderId="31" fillId="2" fontId="8" numFmtId="0" xfId="0" applyAlignment="1" applyBorder="1" applyFont="1">
      <alignment horizontal="center" readingOrder="0" shrinkToFit="0" wrapText="0"/>
    </xf>
    <xf borderId="34" fillId="0" fontId="9" numFmtId="0" xfId="0" applyAlignment="1" applyBorder="1" applyFont="1">
      <alignment horizontal="center" readingOrder="0"/>
    </xf>
    <xf borderId="29" fillId="2" fontId="17" numFmtId="0" xfId="0" applyAlignment="1" applyBorder="1" applyFont="1">
      <alignment horizontal="center" readingOrder="0" shrinkToFit="0" textRotation="90" wrapText="0"/>
    </xf>
    <xf borderId="32" fillId="0" fontId="5" numFmtId="0" xfId="0" applyAlignment="1" applyBorder="1" applyFont="1">
      <alignment horizontal="center"/>
    </xf>
    <xf borderId="35" fillId="2" fontId="18" numFmtId="0" xfId="0" applyAlignment="1" applyBorder="1" applyFont="1">
      <alignment horizontal="center" textRotation="90"/>
    </xf>
    <xf borderId="33" fillId="5" fontId="9" numFmtId="0" xfId="0" applyAlignment="1" applyBorder="1" applyFont="1">
      <alignment readingOrder="0" shrinkToFit="0" wrapText="0"/>
    </xf>
    <xf borderId="28" fillId="2" fontId="1" numFmtId="0" xfId="0" applyAlignment="1" applyBorder="1" applyFont="1">
      <alignment horizontal="center" shrinkToFit="0" wrapText="0"/>
    </xf>
    <xf borderId="33" fillId="0" fontId="5" numFmtId="0" xfId="0" applyAlignment="1" applyBorder="1" applyFont="1">
      <alignment shrinkToFit="0" wrapText="1"/>
    </xf>
    <xf borderId="34" fillId="5" fontId="4" numFmtId="0" xfId="0" applyBorder="1" applyFont="1"/>
    <xf borderId="0" fillId="0" fontId="9" numFmtId="0" xfId="0" applyAlignment="1" applyFont="1">
      <alignment horizontal="center" readingOrder="0"/>
    </xf>
    <xf borderId="36" fillId="4" fontId="8" numFmtId="0" xfId="0" applyAlignment="1" applyBorder="1" applyFont="1">
      <alignment horizontal="center" readingOrder="0" shrinkToFit="0" wrapText="1"/>
    </xf>
    <xf borderId="29" fillId="4" fontId="8" numFmtId="0" xfId="0" applyAlignment="1" applyBorder="1" applyFont="1">
      <alignment horizontal="center" readingOrder="0" shrinkToFit="0" textRotation="0" wrapText="0"/>
    </xf>
    <xf borderId="0" fillId="0" fontId="1" numFmtId="0" xfId="0" applyFont="1"/>
    <xf borderId="0" fillId="5" fontId="5" numFmtId="0" xfId="0" applyAlignment="1" applyFont="1">
      <alignment horizontal="center"/>
    </xf>
    <xf borderId="8" fillId="0" fontId="5" numFmtId="0" xfId="0" applyAlignment="1" applyBorder="1" applyFont="1">
      <alignment horizontal="right" shrinkToFit="0" vertical="bottom" wrapText="1"/>
    </xf>
    <xf borderId="0" fillId="0" fontId="5" numFmtId="0" xfId="0" applyAlignment="1" applyFont="1">
      <alignment vertical="bottom"/>
    </xf>
    <xf borderId="0" fillId="0" fontId="4" numFmtId="0" xfId="0" applyAlignment="1" applyFont="1">
      <alignment readingOrder="0"/>
    </xf>
    <xf borderId="9" fillId="0" fontId="19" numFmtId="0" xfId="0" applyAlignment="1" applyBorder="1" applyFont="1">
      <alignment horizontal="right" readingOrder="0" shrinkToFit="0" vertical="bottom" wrapText="0"/>
    </xf>
    <xf borderId="0" fillId="0" fontId="19" numFmtId="0" xfId="0" applyAlignment="1" applyFont="1">
      <alignment horizontal="right" readingOrder="0" shrinkToFit="0" vertical="bottom" wrapText="0"/>
    </xf>
    <xf borderId="9" fillId="0" fontId="9" numFmtId="0" xfId="0" applyAlignment="1" applyBorder="1" applyFont="1">
      <alignment horizontal="right" readingOrder="0" shrinkToFit="0" vertical="bottom" wrapText="0"/>
    </xf>
    <xf borderId="0" fillId="0" fontId="9" numFmtId="0" xfId="0" applyAlignment="1" applyFont="1">
      <alignment horizontal="right" readingOrder="0" shrinkToFit="0" vertical="bottom" wrapText="0"/>
    </xf>
    <xf borderId="0" fillId="0" fontId="9" numFmtId="0" xfId="0" applyAlignment="1" applyFont="1">
      <alignment shrinkToFit="0" vertical="bottom" wrapText="0"/>
    </xf>
    <xf borderId="9" fillId="0" fontId="9" numFmtId="0" xfId="0" applyAlignment="1" applyBorder="1" applyFont="1">
      <alignment horizontal="left" readingOrder="0"/>
    </xf>
    <xf borderId="9" fillId="0" fontId="5" numFmtId="0" xfId="0" applyBorder="1" applyFont="1"/>
    <xf borderId="37" fillId="0" fontId="4" numFmtId="0" xfId="0" applyBorder="1" applyFont="1"/>
    <xf borderId="1" fillId="12" fontId="1" numFmtId="0" xfId="0" applyBorder="1" applyFill="1" applyFont="1"/>
    <xf borderId="9" fillId="0" fontId="4" numFmtId="0" xfId="0" applyAlignment="1" applyBorder="1" applyFont="1">
      <alignment shrinkToFit="0" wrapText="0"/>
    </xf>
    <xf borderId="1" fillId="12" fontId="5" numFmtId="0" xfId="0" applyBorder="1" applyFont="1"/>
    <xf borderId="1" fillId="3" fontId="20" numFmtId="0" xfId="0" applyBorder="1" applyFont="1"/>
    <xf borderId="2" fillId="12" fontId="5" numFmtId="0" xfId="0" applyAlignment="1" applyBorder="1" applyFont="1">
      <alignment horizontal="center"/>
    </xf>
    <xf borderId="38" fillId="12" fontId="5" numFmtId="0" xfId="0" applyAlignment="1" applyBorder="1" applyFont="1">
      <alignment horizontal="center"/>
    </xf>
    <xf borderId="0" fillId="0" fontId="5" numFmtId="0" xfId="0" applyAlignment="1" applyFont="1">
      <alignment shrinkToFit="0" vertical="bottom" wrapText="0"/>
    </xf>
    <xf borderId="0" fillId="0" fontId="21" numFmtId="0" xfId="0" applyFont="1"/>
    <xf borderId="39" fillId="12" fontId="8" numFmtId="0" xfId="0" applyAlignment="1" applyBorder="1" applyFont="1">
      <alignment horizontal="center" readingOrder="0"/>
    </xf>
    <xf borderId="0" fillId="0" fontId="9" numFmtId="0" xfId="0" applyAlignment="1" applyFont="1">
      <alignment readingOrder="0" shrinkToFit="0" vertical="bottom" wrapText="0"/>
    </xf>
    <xf borderId="38" fillId="12" fontId="5" numFmtId="0" xfId="0" applyBorder="1" applyFont="1"/>
    <xf borderId="38" fillId="12" fontId="8" numFmtId="0" xfId="0" applyAlignment="1" applyBorder="1" applyFont="1">
      <alignment horizontal="center" readingOrder="0"/>
    </xf>
    <xf borderId="0" fillId="13" fontId="9" numFmtId="0" xfId="0" applyAlignment="1" applyFill="1" applyFont="1">
      <alignment readingOrder="0" shrinkToFit="0" wrapText="0"/>
    </xf>
    <xf borderId="40" fillId="12" fontId="8" numFmtId="0" xfId="0" applyAlignment="1" applyBorder="1" applyFont="1">
      <alignment horizontal="center" readingOrder="0"/>
    </xf>
    <xf borderId="37" fillId="0" fontId="4" numFmtId="0" xfId="0" applyAlignment="1" applyBorder="1" applyFont="1">
      <alignment readingOrder="0"/>
    </xf>
    <xf borderId="3" fillId="12" fontId="8" numFmtId="0" xfId="0" applyAlignment="1" applyBorder="1" applyFont="1">
      <alignment horizontal="center" readingOrder="0"/>
    </xf>
    <xf borderId="1" fillId="12" fontId="8" numFmtId="0" xfId="0" applyAlignment="1" applyBorder="1" applyFont="1">
      <alignment horizontal="center" readingOrder="0"/>
    </xf>
    <xf borderId="41" fillId="12" fontId="5" numFmtId="0" xfId="0" applyAlignment="1" applyBorder="1" applyFont="1">
      <alignment shrinkToFit="0" wrapText="0"/>
    </xf>
    <xf borderId="42" fillId="12" fontId="8" numFmtId="0" xfId="0" applyAlignment="1" applyBorder="1" applyFont="1">
      <alignment horizontal="center" readingOrder="0"/>
    </xf>
    <xf borderId="43" fillId="12" fontId="5" numFmtId="0" xfId="0" applyAlignment="1" applyBorder="1" applyFont="1">
      <alignment shrinkToFit="0" wrapText="1"/>
    </xf>
    <xf borderId="9" fillId="0" fontId="5" numFmtId="0" xfId="0" applyAlignment="1" applyBorder="1" applyFont="1">
      <alignment horizontal="center"/>
    </xf>
    <xf borderId="44" fillId="6" fontId="9" numFmtId="0" xfId="0" applyAlignment="1" applyBorder="1" applyFont="1">
      <alignment readingOrder="0" vertical="bottom"/>
    </xf>
    <xf borderId="45" fillId="0" fontId="9" numFmtId="0" xfId="0" applyAlignment="1" applyBorder="1" applyFont="1">
      <alignment readingOrder="0" vertical="bottom"/>
    </xf>
    <xf borderId="0" fillId="0" fontId="5" numFmtId="0" xfId="0" applyAlignment="1" applyFont="1">
      <alignment shrinkToFit="0" vertical="bottom" wrapText="0"/>
    </xf>
    <xf borderId="45" fillId="14" fontId="9" numFmtId="0" xfId="0" applyAlignment="1" applyBorder="1" applyFill="1" applyFont="1">
      <alignment readingOrder="0" shrinkToFit="0" wrapText="0"/>
    </xf>
    <xf borderId="0" fillId="5" fontId="9" numFmtId="0" xfId="0" applyAlignment="1" applyFont="1">
      <alignment horizontal="right" readingOrder="0" shrinkToFit="0" vertical="bottom" wrapText="0"/>
    </xf>
    <xf borderId="46" fillId="0" fontId="9" numFmtId="0" xfId="0" applyAlignment="1" applyBorder="1" applyFont="1">
      <alignment readingOrder="0" shrinkToFit="0" wrapText="1"/>
    </xf>
    <xf borderId="0" fillId="5" fontId="9" numFmtId="0" xfId="0" applyAlignment="1" applyFont="1">
      <alignment readingOrder="0" shrinkToFit="0" vertical="bottom" wrapText="0"/>
    </xf>
    <xf borderId="0" fillId="15" fontId="9" numFmtId="0" xfId="0" applyAlignment="1" applyFill="1" applyFont="1">
      <alignment readingOrder="0" shrinkToFit="0" wrapText="0"/>
    </xf>
    <xf borderId="47" fillId="15" fontId="9" numFmtId="0" xfId="0" applyAlignment="1" applyBorder="1" applyFont="1">
      <alignment readingOrder="0" shrinkToFit="0" wrapText="0"/>
    </xf>
    <xf borderId="9" fillId="0" fontId="9" numFmtId="0" xfId="0" applyAlignment="1" applyBorder="1" applyFont="1">
      <alignment readingOrder="0"/>
    </xf>
    <xf borderId="48" fillId="15" fontId="9" numFmtId="0" xfId="0" applyAlignment="1" applyBorder="1" applyFont="1">
      <alignment readingOrder="0"/>
    </xf>
    <xf borderId="9" fillId="5" fontId="11" numFmtId="0" xfId="0" applyAlignment="1" applyBorder="1" applyFont="1">
      <alignment readingOrder="0" shrinkToFit="0" wrapText="0"/>
    </xf>
    <xf borderId="45" fillId="6" fontId="9" numFmtId="0" xfId="0" applyAlignment="1" applyBorder="1" applyFont="1">
      <alignment readingOrder="0" shrinkToFit="0" wrapText="0"/>
    </xf>
    <xf borderId="45" fillId="15" fontId="9" numFmtId="0" xfId="0" applyAlignment="1" applyBorder="1" applyFont="1">
      <alignment readingOrder="0" shrinkToFit="0" vertical="bottom" wrapText="0"/>
    </xf>
    <xf borderId="49" fillId="15" fontId="9" numFmtId="0" xfId="0" applyAlignment="1" applyBorder="1" applyFont="1">
      <alignment readingOrder="0" shrinkToFit="0" vertical="bottom" wrapText="1"/>
    </xf>
    <xf borderId="8" fillId="0" fontId="5" numFmtId="0" xfId="0" applyAlignment="1" applyBorder="1" applyFont="1">
      <alignment horizontal="right" shrinkToFit="0" vertical="bottom" wrapText="1"/>
    </xf>
    <xf borderId="0" fillId="5" fontId="22" numFmtId="0" xfId="0" applyAlignment="1" applyFont="1">
      <alignment readingOrder="0"/>
    </xf>
    <xf borderId="0" fillId="0" fontId="9" numFmtId="0" xfId="0" applyAlignment="1" applyFont="1">
      <alignment shrinkToFit="0" vertical="bottom" wrapText="0"/>
    </xf>
    <xf borderId="0" fillId="0" fontId="9" numFmtId="0" xfId="0" applyAlignment="1" applyFont="1">
      <alignment readingOrder="0" vertical="bottom"/>
    </xf>
    <xf borderId="0" fillId="13" fontId="11" numFmtId="0" xfId="0" applyAlignment="1" applyFont="1">
      <alignment readingOrder="0" shrinkToFit="0" wrapText="0"/>
    </xf>
    <xf borderId="44" fillId="15" fontId="9" numFmtId="0" xfId="0" applyAlignment="1" applyBorder="1" applyFont="1">
      <alignment readingOrder="0" shrinkToFit="0" vertical="bottom" wrapText="0"/>
    </xf>
    <xf borderId="9" fillId="0" fontId="4" numFmtId="0" xfId="0" applyAlignment="1" applyBorder="1" applyFont="1">
      <alignment readingOrder="0" shrinkToFit="0" wrapText="0"/>
    </xf>
    <xf borderId="50" fillId="0" fontId="9" numFmtId="0" xfId="0" applyAlignment="1" applyBorder="1" applyFont="1">
      <alignment readingOrder="0" vertical="bottom"/>
    </xf>
    <xf borderId="0" fillId="0" fontId="5" numFmtId="0" xfId="0" applyAlignment="1" applyFont="1">
      <alignment vertical="bottom"/>
    </xf>
    <xf borderId="50" fillId="0" fontId="9" numFmtId="0" xfId="0" applyAlignment="1" applyBorder="1" applyFont="1">
      <alignment readingOrder="0" shrinkToFit="0" vertical="bottom" wrapText="0"/>
    </xf>
    <xf borderId="10" fillId="15" fontId="9" numFmtId="0" xfId="0" applyAlignment="1" applyBorder="1" applyFont="1">
      <alignment readingOrder="0" shrinkToFit="0" vertical="bottom" wrapText="1"/>
    </xf>
    <xf borderId="50" fillId="15" fontId="9" numFmtId="0" xfId="0" applyAlignment="1" applyBorder="1" applyFont="1">
      <alignment readingOrder="0" vertical="bottom"/>
    </xf>
    <xf borderId="0" fillId="0" fontId="9" numFmtId="0" xfId="0" applyAlignment="1" applyFont="1">
      <alignment vertical="bottom"/>
    </xf>
    <xf borderId="48" fillId="15" fontId="9" numFmtId="0" xfId="0" applyAlignment="1" applyBorder="1" applyFont="1">
      <alignment readingOrder="0" shrinkToFit="0" wrapText="0"/>
    </xf>
    <xf borderId="51" fillId="6" fontId="9" numFmtId="0" xfId="0" applyAlignment="1" applyBorder="1" applyFont="1">
      <alignment readingOrder="0" shrinkToFit="0" wrapText="1"/>
    </xf>
    <xf borderId="52" fillId="6" fontId="9" numFmtId="0" xfId="0" applyAlignment="1" applyBorder="1" applyFont="1">
      <alignment readingOrder="0" vertical="bottom"/>
    </xf>
    <xf borderId="52" fillId="0" fontId="9" numFmtId="0" xfId="0" applyAlignment="1" applyBorder="1" applyFont="1">
      <alignment readingOrder="0" shrinkToFit="0" wrapText="0"/>
    </xf>
    <xf borderId="0" fillId="0" fontId="9" numFmtId="0" xfId="0" applyAlignment="1" applyFont="1">
      <alignment readingOrder="0" shrinkToFit="0" wrapText="0"/>
    </xf>
    <xf borderId="0" fillId="0" fontId="9" numFmtId="0" xfId="0" applyAlignment="1" applyFont="1">
      <alignment readingOrder="0" shrinkToFit="0" vertical="bottom" wrapText="1"/>
    </xf>
    <xf borderId="45" fillId="6" fontId="9" numFmtId="0" xfId="0" applyAlignment="1" applyBorder="1" applyFont="1">
      <alignment readingOrder="0" vertical="bottom"/>
    </xf>
    <xf borderId="44" fillId="6" fontId="9" numFmtId="0" xfId="0" applyAlignment="1" applyBorder="1" applyFont="1">
      <alignment readingOrder="0" shrinkToFit="0" wrapText="0"/>
    </xf>
    <xf borderId="0" fillId="8" fontId="4" numFmtId="0" xfId="0" applyAlignment="1" applyFont="1">
      <alignment readingOrder="0"/>
    </xf>
    <xf borderId="9" fillId="8" fontId="9" numFmtId="0" xfId="0" applyAlignment="1" applyBorder="1" applyFont="1">
      <alignment readingOrder="0"/>
    </xf>
    <xf borderId="0" fillId="0" fontId="9" numFmtId="0" xfId="0" applyAlignment="1" applyFont="1">
      <alignment readingOrder="0" shrinkToFit="0" wrapText="0"/>
    </xf>
    <xf borderId="0" fillId="8" fontId="9" numFmtId="0" xfId="0" applyAlignment="1" applyFont="1">
      <alignment readingOrder="0" shrinkToFit="0" wrapText="1"/>
    </xf>
    <xf borderId="53" fillId="14" fontId="9" numFmtId="0" xfId="0" applyAlignment="1" applyBorder="1" applyFont="1">
      <alignment readingOrder="0" shrinkToFit="0" wrapText="0"/>
    </xf>
    <xf borderId="52" fillId="15" fontId="9" numFmtId="0" xfId="0" applyAlignment="1" applyBorder="1" applyFont="1">
      <alignment readingOrder="0" shrinkToFit="0" vertical="bottom" wrapText="0"/>
    </xf>
    <xf borderId="8" fillId="0" fontId="5" numFmtId="0" xfId="0" applyAlignment="1" applyBorder="1" applyFont="1">
      <alignment horizontal="right" readingOrder="0" shrinkToFit="0" vertical="bottom" wrapText="1"/>
    </xf>
    <xf borderId="0" fillId="8" fontId="5" numFmtId="0" xfId="0" applyAlignment="1" applyFont="1">
      <alignment readingOrder="0" shrinkToFit="0" wrapText="0"/>
    </xf>
    <xf borderId="45" fillId="15" fontId="9" numFmtId="0" xfId="0" applyAlignment="1" applyBorder="1" applyFont="1">
      <alignment readingOrder="0" shrinkToFit="0" wrapText="0"/>
    </xf>
    <xf borderId="45" fillId="0" fontId="9" numFmtId="0" xfId="0" applyAlignment="1" applyBorder="1" applyFont="1">
      <alignment readingOrder="0" shrinkToFit="0" wrapText="0"/>
    </xf>
    <xf borderId="45" fillId="6" fontId="9" numFmtId="0" xfId="0" applyAlignment="1" applyBorder="1" applyFont="1">
      <alignment readingOrder="0" shrinkToFit="0" wrapText="0"/>
    </xf>
    <xf borderId="0" fillId="8" fontId="9" numFmtId="0" xfId="0" applyAlignment="1" applyFont="1">
      <alignment readingOrder="0" shrinkToFit="0" wrapText="0"/>
    </xf>
    <xf borderId="9" fillId="0" fontId="5" numFmtId="0" xfId="0" applyAlignment="1" applyBorder="1" applyFont="1">
      <alignment shrinkToFit="0" wrapText="0"/>
    </xf>
    <xf borderId="2" fillId="12" fontId="1" numFmtId="0" xfId="0" applyAlignment="1" applyBorder="1" applyFont="1">
      <alignment horizontal="center"/>
    </xf>
    <xf borderId="41" fillId="12" fontId="1" numFmtId="0" xfId="0" applyAlignment="1" applyBorder="1" applyFont="1">
      <alignment horizontal="center"/>
    </xf>
    <xf borderId="54" fillId="12" fontId="1" numFmtId="0" xfId="0" applyBorder="1" applyFont="1"/>
    <xf borderId="43" fillId="12" fontId="8" numFmtId="0" xfId="0" applyAlignment="1" applyBorder="1" applyFont="1">
      <alignment horizontal="center" readingOrder="0"/>
    </xf>
    <xf borderId="54" fillId="12" fontId="1" numFmtId="0" xfId="0" applyAlignment="1" applyBorder="1" applyFont="1">
      <alignment shrinkToFit="0" wrapText="0"/>
    </xf>
    <xf borderId="43" fillId="12" fontId="1" numFmtId="0" xfId="0" applyAlignment="1" applyBorder="1" applyFont="1">
      <alignment horizontal="center"/>
    </xf>
    <xf borderId="3" fillId="9" fontId="5" numFmtId="0" xfId="0" applyBorder="1" applyFont="1"/>
    <xf borderId="1" fillId="12" fontId="1" numFmtId="0" xfId="0" applyAlignment="1" applyBorder="1" applyFont="1">
      <alignment horizontal="center"/>
    </xf>
    <xf borderId="43" fillId="12" fontId="1" numFmtId="0" xfId="0" applyAlignment="1" applyBorder="1" applyFont="1">
      <alignment shrinkToFit="0" wrapText="1"/>
    </xf>
    <xf borderId="0" fillId="12" fontId="1" numFmtId="0" xfId="0" applyFont="1"/>
    <xf borderId="55" fillId="12" fontId="1" numFmtId="0" xfId="0" applyBorder="1" applyFont="1"/>
    <xf borderId="9" fillId="0" fontId="5" numFmtId="0" xfId="0" applyAlignment="1" applyBorder="1" applyFont="1">
      <alignment horizontal="left"/>
    </xf>
    <xf borderId="0" fillId="15" fontId="9" numFmtId="0" xfId="0" applyAlignment="1" applyFont="1">
      <alignment readingOrder="0" vertical="bottom"/>
    </xf>
    <xf borderId="0" fillId="15" fontId="9" numFmtId="0" xfId="0" applyAlignment="1" applyFont="1">
      <alignment readingOrder="0" shrinkToFit="0" vertical="bottom" wrapText="0"/>
    </xf>
    <xf borderId="0" fillId="15" fontId="9" numFmtId="0" xfId="0" applyAlignment="1" applyFont="1">
      <alignment readingOrder="0" shrinkToFit="0" vertical="bottom" wrapText="1"/>
    </xf>
    <xf borderId="41" fillId="9" fontId="5" numFmtId="0" xfId="0" applyAlignment="1" applyBorder="1" applyFont="1">
      <alignment horizontal="left"/>
    </xf>
    <xf borderId="8" fillId="15" fontId="5" numFmtId="0" xfId="0" applyAlignment="1" applyBorder="1" applyFont="1">
      <alignment horizontal="center"/>
    </xf>
    <xf borderId="9" fillId="15" fontId="5" numFmtId="0" xfId="0" applyAlignment="1" applyBorder="1" applyFont="1">
      <alignment horizontal="left"/>
    </xf>
    <xf borderId="9" fillId="0" fontId="5" numFmtId="0" xfId="0" applyAlignment="1" applyBorder="1" applyFont="1">
      <alignment vertical="bottom"/>
    </xf>
    <xf borderId="0" fillId="15" fontId="4" numFmtId="0" xfId="0" applyFont="1"/>
    <xf borderId="0" fillId="0" fontId="9" numFmtId="0" xfId="0" applyAlignment="1" applyFont="1">
      <alignment horizontal="right" readingOrder="0" shrinkToFit="0" vertical="bottom" wrapText="0"/>
    </xf>
    <xf borderId="0" fillId="0" fontId="9" numFmtId="0" xfId="0" applyAlignment="1" applyFont="1">
      <alignment readingOrder="0" shrinkToFit="0" vertical="bottom" wrapText="0"/>
    </xf>
    <xf borderId="9" fillId="13" fontId="9" numFmtId="0" xfId="0" applyAlignment="1" applyBorder="1" applyFont="1">
      <alignment readingOrder="0"/>
    </xf>
    <xf borderId="0" fillId="0" fontId="5" numFmtId="0" xfId="0" applyAlignment="1" applyFont="1">
      <alignment readingOrder="0" shrinkToFit="0" vertical="bottom" wrapText="0"/>
    </xf>
    <xf borderId="0" fillId="10" fontId="9" numFmtId="0" xfId="0" applyAlignment="1" applyFont="1">
      <alignment readingOrder="0" shrinkToFit="0" vertical="bottom" wrapText="0"/>
    </xf>
    <xf borderId="0" fillId="0" fontId="5" numFmtId="0" xfId="0" applyAlignment="1" applyFont="1">
      <alignment shrinkToFit="0" vertical="bottom" wrapText="1"/>
    </xf>
    <xf borderId="0" fillId="5" fontId="22" numFmtId="0" xfId="0" applyAlignment="1" applyFont="1">
      <alignment readingOrder="0" shrinkToFit="0" wrapText="0"/>
    </xf>
    <xf borderId="56" fillId="5" fontId="5" numFmtId="0" xfId="0" applyAlignment="1" applyBorder="1" applyFont="1">
      <alignment shrinkToFit="0" wrapText="0"/>
    </xf>
    <xf borderId="56" fillId="5" fontId="9" numFmtId="0" xfId="0" applyAlignment="1" applyBorder="1" applyFont="1">
      <alignment readingOrder="0" shrinkToFit="0" wrapText="0"/>
    </xf>
    <xf borderId="0" fillId="13" fontId="10" numFmtId="0" xfId="0" applyAlignment="1" applyFont="1">
      <alignment readingOrder="0" shrinkToFit="0" wrapText="0"/>
    </xf>
    <xf borderId="0" fillId="10" fontId="9" numFmtId="0" xfId="0" applyAlignment="1" applyFont="1">
      <alignment readingOrder="0" shrinkToFit="0" wrapText="0"/>
    </xf>
    <xf borderId="9" fillId="5" fontId="9" numFmtId="0" xfId="0" applyAlignment="1" applyBorder="1" applyFont="1">
      <alignment horizontal="right" readingOrder="0" shrinkToFit="0" vertical="bottom" wrapText="0"/>
    </xf>
    <xf borderId="0" fillId="0" fontId="5" numFmtId="0" xfId="0" applyAlignment="1" applyFont="1">
      <alignment horizontal="center" shrinkToFit="0" wrapText="0"/>
    </xf>
    <xf borderId="1" fillId="16" fontId="1" numFmtId="0" xfId="0" applyBorder="1" applyFill="1" applyFont="1"/>
    <xf borderId="3" fillId="16" fontId="1" numFmtId="0" xfId="0" applyBorder="1" applyFont="1"/>
    <xf borderId="2" fillId="16" fontId="1" numFmtId="0" xfId="0" applyAlignment="1" applyBorder="1" applyFont="1">
      <alignment horizontal="center"/>
    </xf>
    <xf borderId="9" fillId="16" fontId="8" numFmtId="0" xfId="0" applyAlignment="1" applyBorder="1" applyFont="1">
      <alignment horizontal="center" readingOrder="0"/>
    </xf>
    <xf borderId="0" fillId="16" fontId="8" numFmtId="0" xfId="0" applyAlignment="1" applyFont="1">
      <alignment horizontal="center" readingOrder="0"/>
    </xf>
    <xf borderId="0" fillId="16" fontId="1" numFmtId="0" xfId="0" applyAlignment="1" applyFont="1">
      <alignment shrinkToFit="0" wrapText="0"/>
    </xf>
    <xf borderId="0" fillId="16" fontId="1" numFmtId="0" xfId="0" applyAlignment="1" applyFont="1">
      <alignment horizontal="center" shrinkToFit="0" wrapText="0"/>
    </xf>
    <xf borderId="3" fillId="16" fontId="1" numFmtId="0" xfId="0" applyAlignment="1" applyBorder="1" applyFont="1">
      <alignment shrinkToFit="0" wrapText="0"/>
    </xf>
    <xf borderId="9" fillId="16" fontId="1" numFmtId="0" xfId="0" applyAlignment="1" applyBorder="1" applyFont="1">
      <alignment shrinkToFit="0" wrapText="0"/>
    </xf>
    <xf borderId="7" fillId="16" fontId="1" numFmtId="0" xfId="0" applyAlignment="1" applyBorder="1" applyFont="1">
      <alignment horizontal="center"/>
    </xf>
    <xf borderId="9" fillId="16" fontId="1" numFmtId="0" xfId="0" applyAlignment="1" applyBorder="1" applyFont="1">
      <alignment horizontal="center"/>
    </xf>
    <xf borderId="9" fillId="16" fontId="1" numFmtId="0" xfId="0" applyBorder="1" applyFont="1"/>
    <xf borderId="37" fillId="0" fontId="1" numFmtId="0" xfId="0" applyBorder="1" applyFont="1"/>
    <xf borderId="9" fillId="0" fontId="1" numFmtId="0" xfId="0" applyAlignment="1" applyBorder="1" applyFont="1">
      <alignment shrinkToFit="0" wrapText="0"/>
    </xf>
    <xf borderId="37" fillId="0" fontId="9" numFmtId="0" xfId="0" applyAlignment="1" applyBorder="1" applyFont="1">
      <alignment horizontal="right" readingOrder="0" shrinkToFit="0" vertical="bottom" wrapText="0"/>
    </xf>
    <xf borderId="0" fillId="13" fontId="23" numFmtId="0" xfId="0" applyAlignment="1" applyFont="1">
      <alignment readingOrder="0" shrinkToFit="0" wrapText="0"/>
    </xf>
    <xf borderId="0" fillId="12" fontId="9" numFmtId="0" xfId="0" applyAlignment="1" applyFont="1">
      <alignment readingOrder="0" shrinkToFit="0" vertical="bottom" wrapText="0"/>
    </xf>
    <xf borderId="8" fillId="0" fontId="4" numFmtId="0" xfId="0" applyAlignment="1" applyBorder="1" applyFont="1">
      <alignment horizontal="center" readingOrder="0"/>
    </xf>
    <xf borderId="37" fillId="0" fontId="5" numFmtId="0" xfId="0" applyAlignment="1" applyBorder="1" applyFont="1">
      <alignment horizontal="center"/>
    </xf>
    <xf borderId="1" fillId="0" fontId="9" numFmtId="0" xfId="0" applyAlignment="1" applyBorder="1" applyFont="1">
      <alignment horizontal="center" readingOrder="0"/>
    </xf>
    <xf borderId="3" fillId="0" fontId="9" numFmtId="0" xfId="0" applyAlignment="1" applyBorder="1" applyFont="1">
      <alignment readingOrder="0" shrinkToFit="0" wrapText="0"/>
    </xf>
    <xf borderId="8" fillId="0" fontId="1" numFmtId="0" xfId="0" applyAlignment="1" applyBorder="1" applyFont="1">
      <alignment horizontal="center"/>
    </xf>
    <xf borderId="9" fillId="0" fontId="1" numFmtId="0" xfId="0" applyAlignment="1" applyBorder="1" applyFont="1">
      <alignment horizontal="center"/>
    </xf>
    <xf borderId="0" fillId="0" fontId="1" numFmtId="0" xfId="0" applyAlignment="1" applyFont="1">
      <alignment horizontal="center"/>
    </xf>
    <xf borderId="0" fillId="0" fontId="1" numFmtId="0" xfId="0" applyAlignment="1" applyFont="1">
      <alignment shrinkToFit="0" wrapText="0"/>
    </xf>
    <xf borderId="9" fillId="0" fontId="1" numFmtId="0" xfId="0" applyBorder="1" applyFont="1"/>
    <xf borderId="8" fillId="5" fontId="1" numFmtId="0" xfId="0" applyAlignment="1" applyBorder="1" applyFont="1">
      <alignment horizontal="center"/>
    </xf>
    <xf borderId="0" fillId="5" fontId="1" numFmtId="0" xfId="0" applyFont="1"/>
    <xf borderId="9" fillId="5" fontId="1" numFmtId="0" xfId="0" applyAlignment="1" applyBorder="1" applyFont="1">
      <alignment horizontal="center"/>
    </xf>
    <xf borderId="37" fillId="0" fontId="1" numFmtId="0" xfId="0" applyAlignment="1" applyBorder="1" applyFont="1">
      <alignment horizontal="center"/>
    </xf>
    <xf borderId="0" fillId="0" fontId="1" numFmtId="0" xfId="0" applyAlignment="1" applyFont="1">
      <alignment horizontal="center" shrinkToFit="0" wrapText="0"/>
    </xf>
    <xf borderId="0" fillId="5" fontId="5" numFmtId="0" xfId="0" applyAlignment="1" applyFont="1">
      <alignment shrinkToFit="0" wrapText="0"/>
    </xf>
    <xf borderId="0" fillId="5" fontId="9" numFmtId="0" xfId="0" applyAlignment="1" applyFont="1">
      <alignment horizontal="center" readingOrder="0"/>
    </xf>
    <xf borderId="0" fillId="12" fontId="9" numFmtId="0" xfId="0" applyAlignment="1" applyFont="1">
      <alignment readingOrder="0" shrinkToFit="0" wrapText="0"/>
    </xf>
    <xf borderId="0" fillId="5" fontId="8" numFmtId="0" xfId="0" applyAlignment="1" applyFont="1">
      <alignment horizontal="center" readingOrder="0"/>
    </xf>
    <xf borderId="0" fillId="5" fontId="1" numFmtId="0" xfId="0" applyAlignment="1" applyFont="1">
      <alignment shrinkToFit="0" wrapText="0"/>
    </xf>
    <xf borderId="9" fillId="5" fontId="1" numFmtId="0" xfId="0" applyBorder="1" applyFont="1"/>
    <xf borderId="0" fillId="5" fontId="1" numFmtId="0" xfId="0" applyAlignment="1" applyFont="1">
      <alignment horizontal="center"/>
    </xf>
    <xf borderId="37" fillId="5" fontId="1" numFmtId="0" xfId="0" applyAlignment="1" applyBorder="1" applyFont="1">
      <alignment horizontal="center"/>
    </xf>
    <xf borderId="0" fillId="5" fontId="1" numFmtId="0" xfId="0" applyAlignment="1" applyFont="1">
      <alignment horizontal="center" shrinkToFit="0" wrapText="0"/>
    </xf>
    <xf borderId="1" fillId="16" fontId="1" numFmtId="0" xfId="0" applyAlignment="1" applyBorder="1" applyFont="1">
      <alignment horizontal="center"/>
    </xf>
    <xf borderId="9" fillId="0" fontId="4" numFmtId="0" xfId="0" applyBorder="1" applyFont="1"/>
    <xf borderId="9" fillId="8" fontId="9" numFmtId="0" xfId="0" applyAlignment="1" applyBorder="1" applyFont="1">
      <alignment horizontal="center" readingOrder="0"/>
    </xf>
    <xf borderId="0" fillId="16" fontId="1" numFmtId="0" xfId="0" applyAlignment="1" applyFont="1">
      <alignment horizontal="center"/>
    </xf>
    <xf borderId="57" fillId="16" fontId="1" numFmtId="0" xfId="0" applyAlignment="1" applyBorder="1" applyFont="1">
      <alignment horizontal="center"/>
    </xf>
    <xf borderId="58" fillId="16" fontId="1" numFmtId="0" xfId="0" applyAlignment="1" applyBorder="1" applyFont="1">
      <alignment horizontal="center" shrinkToFit="0" wrapText="0"/>
    </xf>
    <xf borderId="0" fillId="17" fontId="4" numFmtId="0" xfId="0" applyFill="1" applyFont="1"/>
    <xf borderId="0" fillId="16" fontId="5" numFmtId="0" xfId="0" applyAlignment="1" applyFont="1">
      <alignment shrinkToFit="0" wrapText="0"/>
    </xf>
    <xf borderId="7" fillId="16" fontId="8" numFmtId="0" xfId="0" applyAlignment="1" applyBorder="1" applyFont="1">
      <alignment horizontal="center" readingOrder="0"/>
    </xf>
    <xf borderId="0" fillId="8" fontId="9" numFmtId="0" xfId="0" applyAlignment="1" applyFont="1">
      <alignment horizontal="center" readingOrder="0"/>
    </xf>
    <xf borderId="0" fillId="8" fontId="4" numFmtId="0" xfId="0" applyAlignment="1" applyFont="1">
      <alignment shrinkToFit="0" wrapText="0"/>
    </xf>
    <xf borderId="9" fillId="8" fontId="4" numFmtId="0" xfId="0" applyBorder="1" applyFont="1"/>
    <xf borderId="37" fillId="0" fontId="9" numFmtId="0" xfId="0" applyAlignment="1" applyBorder="1" applyFont="1">
      <alignment horizontal="center" readingOrder="0"/>
    </xf>
    <xf borderId="0" fillId="0" fontId="9" numFmtId="0" xfId="0" applyAlignment="1" applyFont="1">
      <alignment horizontal="center" readingOrder="0" shrinkToFit="0" wrapText="0"/>
    </xf>
    <xf borderId="1" fillId="12" fontId="24" numFmtId="0" xfId="0" applyBorder="1" applyFont="1"/>
    <xf borderId="1" fillId="16" fontId="5" numFmtId="0" xfId="0" applyBorder="1" applyFont="1"/>
    <xf borderId="1" fillId="3" fontId="20" numFmtId="0" xfId="0" applyAlignment="1" applyBorder="1" applyFont="1">
      <alignment shrinkToFit="0" wrapText="1"/>
    </xf>
    <xf borderId="59" fillId="3" fontId="25" numFmtId="0" xfId="0" applyAlignment="1" applyBorder="1" applyFont="1">
      <alignment horizontal="center" textRotation="90"/>
    </xf>
    <xf borderId="0" fillId="0" fontId="26" numFmtId="0" xfId="0" applyAlignment="1" applyFont="1">
      <alignment horizontal="center"/>
    </xf>
    <xf borderId="37" fillId="0" fontId="27" numFmtId="0" xfId="0" applyAlignment="1" applyBorder="1" applyFont="1">
      <alignment horizontal="center"/>
    </xf>
    <xf borderId="1" fillId="12" fontId="28" numFmtId="0" xfId="0" applyBorder="1" applyFont="1"/>
    <xf borderId="0" fillId="0" fontId="29" numFmtId="0" xfId="0" applyAlignment="1" applyFont="1">
      <alignment horizontal="center" readingOrder="0"/>
    </xf>
    <xf borderId="0" fillId="0" fontId="26" numFmtId="0" xfId="0" applyFont="1"/>
    <xf borderId="0" fillId="0" fontId="30" numFmtId="0" xfId="0" applyAlignment="1" applyFont="1">
      <alignment readingOrder="0"/>
    </xf>
    <xf borderId="1" fillId="16" fontId="31" numFmtId="0" xfId="0" applyBorder="1" applyFont="1"/>
    <xf borderId="37" fillId="0" fontId="19" numFmtId="0" xfId="0" applyAlignment="1" applyBorder="1" applyFont="1">
      <alignment horizontal="center" readingOrder="0"/>
    </xf>
    <xf borderId="0" fillId="4" fontId="4" numFmtId="0" xfId="0" applyAlignment="1" applyFont="1">
      <alignment readingOrder="0"/>
    </xf>
    <xf borderId="19" fillId="0" fontId="5" numFmtId="0" xfId="0" applyAlignment="1" applyBorder="1" applyFont="1">
      <alignment horizontal="center"/>
    </xf>
    <xf borderId="24" fillId="7" fontId="5" numFmtId="0" xfId="0" applyAlignment="1" applyBorder="1" applyFont="1">
      <alignment horizontal="center"/>
    </xf>
    <xf borderId="60" fillId="18" fontId="8" numFmtId="0" xfId="0" applyAlignment="1" applyBorder="1" applyFill="1" applyFont="1">
      <alignment shrinkToFit="0" wrapText="1"/>
    </xf>
    <xf borderId="61" fillId="18" fontId="29" numFmtId="0" xfId="0" applyAlignment="1" applyBorder="1" applyFont="1">
      <alignment shrinkToFit="0" wrapText="1"/>
    </xf>
    <xf borderId="62" fillId="18" fontId="32" numFmtId="0" xfId="0" applyAlignment="1" applyBorder="1" applyFont="1">
      <alignment shrinkToFit="0" wrapText="1"/>
    </xf>
    <xf borderId="63" fillId="18" fontId="5" numFmtId="0" xfId="0" applyAlignment="1" applyBorder="1" applyFont="1">
      <alignment shrinkToFit="0" wrapText="1"/>
    </xf>
    <xf borderId="63" fillId="8" fontId="5" numFmtId="0" xfId="0" applyAlignment="1" applyBorder="1" applyFont="1">
      <alignment shrinkToFit="0" wrapText="1"/>
    </xf>
    <xf borderId="0" fillId="0" fontId="33" numFmtId="0" xfId="0" applyFont="1"/>
    <xf borderId="0" fillId="0" fontId="32" numFmtId="0" xfId="0" applyFont="1"/>
    <xf borderId="0" fillId="0" fontId="27" numFmtId="0" xfId="0" applyFont="1"/>
    <xf borderId="0" fillId="0" fontId="34" numFmtId="0" xfId="0" applyFont="1"/>
    <xf borderId="64" fillId="0" fontId="0" numFmtId="0" xfId="0" applyAlignment="1" applyBorder="1" applyFont="1">
      <alignment shrinkToFit="0" wrapText="1"/>
    </xf>
    <xf borderId="64" fillId="0" fontId="5" numFmtId="0" xfId="0" applyAlignment="1" applyBorder="1" applyFont="1">
      <alignment shrinkToFit="0" wrapText="1"/>
    </xf>
    <xf borderId="64" fillId="0" fontId="9" numFmtId="0" xfId="0" applyAlignment="1" applyBorder="1" applyFont="1">
      <alignment vertical="center"/>
    </xf>
    <xf borderId="64" fillId="0" fontId="35" numFmtId="0" xfId="0" applyAlignment="1" applyBorder="1" applyFont="1">
      <alignment vertical="center"/>
    </xf>
    <xf borderId="64" fillId="0" fontId="36" numFmtId="0" xfId="0" applyAlignment="1" applyBorder="1" applyFont="1">
      <alignment vertical="center"/>
    </xf>
    <xf borderId="64" fillId="0" fontId="5" numFmtId="0" xfId="0" applyAlignment="1" applyBorder="1" applyFont="1">
      <alignment vertical="center"/>
    </xf>
    <xf borderId="64" fillId="0" fontId="5" numFmtId="0" xfId="0" applyBorder="1" applyFont="1"/>
    <xf borderId="64" fillId="0" fontId="0" numFmtId="0" xfId="0" applyAlignment="1" applyBorder="1" applyFont="1">
      <alignment vertical="center"/>
    </xf>
    <xf borderId="0" fillId="0" fontId="37" numFmtId="0" xfId="0" applyAlignment="1" applyFont="1">
      <alignment readingOrder="0" shrinkToFit="0" wrapText="0"/>
    </xf>
    <xf borderId="0" fillId="0" fontId="9" numFmtId="0" xfId="0" applyAlignment="1" applyFont="1">
      <alignment shrinkToFit="0" vertical="bottom" wrapText="0"/>
    </xf>
    <xf borderId="0" fillId="0" fontId="38" numFmtId="0" xfId="0" applyAlignment="1" applyFont="1">
      <alignment readingOrder="0" shrinkToFit="0" vertical="bottom" wrapText="0"/>
    </xf>
    <xf borderId="0" fillId="12" fontId="4" numFmtId="0" xfId="0" applyFont="1"/>
    <xf borderId="0" fillId="16"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va.gov/altoona-health-care"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lebanon.va.gov/Services/VAEA.asp" TargetMode="External"/><Relationship Id="rId2" Type="http://schemas.openxmlformats.org/officeDocument/2006/relationships/hyperlink" Target="https://www.lebanon.va.gov/Services/Visor.asp" TargetMode="External"/><Relationship Id="rId3" Type="http://schemas.openxmlformats.org/officeDocument/2006/relationships/hyperlink" Target="https://www.lebanon.va.gov/Services/Agent_Orange_Clinic.asp" TargetMode="External"/><Relationship Id="rId4" Type="http://schemas.openxmlformats.org/officeDocument/2006/relationships/hyperlink" Target="https://www.lebanon.va.gov/Services/CommunityNursingHomeCare.asp" TargetMode="External"/><Relationship Id="rId5" Type="http://schemas.openxmlformats.org/officeDocument/2006/relationships/hyperlink" Target="https://www.lebanon.va.gov/Services/Residential_Recovery_Center_RRC.asp" TargetMode="External"/><Relationship Id="rId6" Type="http://schemas.openxmlformats.org/officeDocument/2006/relationships/hyperlink" Target="https://www.va.gov/health-care/about-va-health-benefits/long-term-care/" TargetMode="External"/><Relationship Id="rId7"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8"/>
    <col customWidth="1" min="2" max="2" width="15.5"/>
    <col customWidth="1" min="3" max="3" width="23.5"/>
    <col customWidth="1" min="4" max="4" width="39.5"/>
    <col customWidth="1" min="5" max="5" width="30.63"/>
    <col customWidth="1" min="6" max="6" width="16.0"/>
    <col customWidth="1" min="7" max="7" width="10.75"/>
    <col customWidth="1" min="8" max="8" width="5.88"/>
    <col customWidth="1" min="9" max="9" width="7.63"/>
    <col customWidth="1" min="10" max="10" width="6.38"/>
    <col customWidth="1" min="11" max="26" width="7.63"/>
  </cols>
  <sheetData>
    <row r="1" ht="14.25" customHeight="1">
      <c r="A1" s="2" t="s">
        <v>1</v>
      </c>
      <c r="B1" s="2" t="s">
        <v>2</v>
      </c>
      <c r="C1" s="2" t="s">
        <v>3</v>
      </c>
      <c r="D1" s="2" t="s">
        <v>4</v>
      </c>
      <c r="E1" s="2" t="s">
        <v>5</v>
      </c>
      <c r="F1" s="2" t="s">
        <v>6</v>
      </c>
      <c r="G1" s="4" t="s">
        <v>7</v>
      </c>
      <c r="H1" s="2" t="s">
        <v>8</v>
      </c>
      <c r="I1" s="2"/>
      <c r="J1" s="2" t="s">
        <v>10</v>
      </c>
      <c r="K1" s="2"/>
      <c r="L1" s="2"/>
      <c r="M1" s="2"/>
      <c r="N1" s="2"/>
      <c r="O1" s="2"/>
      <c r="P1" s="2"/>
      <c r="Q1" s="2"/>
      <c r="R1" s="2"/>
      <c r="S1" s="2"/>
      <c r="T1" s="2"/>
      <c r="U1" s="2"/>
      <c r="V1" s="2"/>
      <c r="W1" s="2"/>
      <c r="X1" s="2"/>
      <c r="Y1" s="2"/>
      <c r="Z1" s="2"/>
    </row>
    <row r="2" ht="14.25" customHeight="1">
      <c r="A2" s="8" t="s">
        <v>13</v>
      </c>
      <c r="B2" s="8" t="s">
        <v>15</v>
      </c>
      <c r="D2" s="8" t="s">
        <v>16</v>
      </c>
      <c r="E2" s="10" t="s">
        <v>17</v>
      </c>
      <c r="F2" s="8">
        <v>1.0</v>
      </c>
      <c r="J2" s="10"/>
    </row>
    <row r="3" ht="14.25" customHeight="1">
      <c r="A3" s="8" t="s">
        <v>15</v>
      </c>
      <c r="B3" s="8" t="s">
        <v>15</v>
      </c>
      <c r="C3" s="8" t="s">
        <v>19</v>
      </c>
      <c r="D3" s="8" t="s">
        <v>20</v>
      </c>
      <c r="E3" s="10" t="s">
        <v>21</v>
      </c>
      <c r="F3" s="8">
        <v>1.0</v>
      </c>
      <c r="G3" s="8" t="s">
        <v>22</v>
      </c>
      <c r="H3" s="8" t="s">
        <v>22</v>
      </c>
      <c r="J3" s="10"/>
    </row>
    <row r="4" ht="14.25" customHeight="1">
      <c r="A4" s="8" t="s">
        <v>23</v>
      </c>
      <c r="B4" s="8" t="s">
        <v>15</v>
      </c>
      <c r="E4" s="10" t="s">
        <v>24</v>
      </c>
      <c r="F4" s="8">
        <v>1.0</v>
      </c>
      <c r="J4" s="10"/>
    </row>
    <row r="5" ht="14.25" customHeight="1">
      <c r="A5" s="8" t="s">
        <v>25</v>
      </c>
      <c r="B5" s="8" t="s">
        <v>15</v>
      </c>
      <c r="E5" s="10" t="s">
        <v>26</v>
      </c>
      <c r="F5" s="8">
        <v>1.0</v>
      </c>
      <c r="J5" s="10"/>
    </row>
    <row r="6" ht="14.25" customHeight="1">
      <c r="A6" s="8" t="s">
        <v>28</v>
      </c>
      <c r="B6" s="8" t="s">
        <v>15</v>
      </c>
      <c r="E6" s="10" t="s">
        <v>29</v>
      </c>
      <c r="F6" s="8">
        <v>1.0</v>
      </c>
      <c r="J6" s="10"/>
    </row>
    <row r="7" ht="14.25" customHeight="1">
      <c r="A7" s="8" t="s">
        <v>31</v>
      </c>
      <c r="B7" s="8" t="s">
        <v>15</v>
      </c>
      <c r="E7" s="10" t="s">
        <v>33</v>
      </c>
      <c r="F7" s="8">
        <v>1.0</v>
      </c>
      <c r="J7" s="10"/>
    </row>
    <row r="8" ht="14.25" customHeight="1">
      <c r="A8" s="8" t="s">
        <v>35</v>
      </c>
      <c r="B8" s="8" t="s">
        <v>15</v>
      </c>
      <c r="D8" s="8" t="s">
        <v>37</v>
      </c>
      <c r="E8" s="10" t="s">
        <v>38</v>
      </c>
      <c r="F8" s="8">
        <v>1.0</v>
      </c>
      <c r="J8" s="10"/>
    </row>
    <row r="9" ht="14.25" customHeight="1">
      <c r="A9" s="8" t="s">
        <v>40</v>
      </c>
      <c r="B9" s="8" t="s">
        <v>42</v>
      </c>
      <c r="D9" s="8" t="s">
        <v>44</v>
      </c>
      <c r="E9" s="10" t="s">
        <v>45</v>
      </c>
      <c r="F9" s="8">
        <v>1.0</v>
      </c>
      <c r="J9" s="10"/>
    </row>
    <row r="10" ht="14.25" customHeight="1">
      <c r="A10" s="8" t="s">
        <v>47</v>
      </c>
      <c r="B10" s="8" t="s">
        <v>42</v>
      </c>
      <c r="D10" s="8" t="s">
        <v>49</v>
      </c>
      <c r="E10" s="10" t="s">
        <v>51</v>
      </c>
      <c r="F10" s="8">
        <v>1.0</v>
      </c>
      <c r="J10" s="10"/>
    </row>
    <row r="11" ht="14.25" customHeight="1">
      <c r="A11" s="8" t="s">
        <v>58</v>
      </c>
      <c r="B11" s="8" t="s">
        <v>42</v>
      </c>
      <c r="E11" s="10" t="s">
        <v>60</v>
      </c>
      <c r="F11" s="8">
        <v>1.0</v>
      </c>
      <c r="J11" s="10"/>
    </row>
    <row r="12" ht="14.25" customHeight="1">
      <c r="A12" s="8" t="s">
        <v>64</v>
      </c>
      <c r="B12" s="8" t="s">
        <v>42</v>
      </c>
      <c r="D12" s="8" t="s">
        <v>66</v>
      </c>
      <c r="E12" s="10" t="s">
        <v>67</v>
      </c>
      <c r="F12" s="8">
        <v>1.0</v>
      </c>
      <c r="J12" s="10"/>
    </row>
    <row r="13" ht="14.25" customHeight="1">
      <c r="A13" s="8" t="s">
        <v>39</v>
      </c>
      <c r="B13" s="8" t="s">
        <v>41</v>
      </c>
      <c r="E13" s="10" t="s">
        <v>43</v>
      </c>
      <c r="F13" s="8">
        <v>0.0</v>
      </c>
      <c r="J13" s="10"/>
    </row>
    <row r="14" ht="14.25" customHeight="1">
      <c r="A14" s="8" t="s">
        <v>73</v>
      </c>
      <c r="B14" s="8" t="s">
        <v>41</v>
      </c>
      <c r="D14" s="8" t="s">
        <v>75</v>
      </c>
      <c r="E14" s="10" t="s">
        <v>77</v>
      </c>
      <c r="F14" s="8">
        <v>0.0</v>
      </c>
      <c r="J14" s="10"/>
    </row>
    <row r="15" ht="14.25" customHeight="1">
      <c r="A15" s="8" t="s">
        <v>81</v>
      </c>
      <c r="B15" s="8" t="s">
        <v>41</v>
      </c>
      <c r="D15" s="8" t="s">
        <v>83</v>
      </c>
      <c r="E15" s="10" t="s">
        <v>85</v>
      </c>
      <c r="F15" s="8">
        <v>1.0</v>
      </c>
      <c r="J15" s="10"/>
    </row>
    <row r="16" ht="14.25" customHeight="1">
      <c r="A16" s="8" t="s">
        <v>88</v>
      </c>
      <c r="B16" s="8" t="s">
        <v>41</v>
      </c>
      <c r="C16" s="8" t="s">
        <v>89</v>
      </c>
      <c r="D16" s="8" t="s">
        <v>91</v>
      </c>
      <c r="E16" s="10" t="s">
        <v>92</v>
      </c>
      <c r="F16" s="8">
        <v>1.0</v>
      </c>
      <c r="J16" s="10"/>
    </row>
    <row r="17" ht="14.25" customHeight="1">
      <c r="A17" s="8" t="s">
        <v>94</v>
      </c>
      <c r="B17" s="8" t="s">
        <v>41</v>
      </c>
      <c r="D17" s="8" t="s">
        <v>96</v>
      </c>
      <c r="E17" s="10" t="s">
        <v>98</v>
      </c>
      <c r="F17" s="8">
        <v>1.0</v>
      </c>
      <c r="G17" s="8" t="s">
        <v>100</v>
      </c>
      <c r="H17" s="8" t="s">
        <v>100</v>
      </c>
      <c r="J17" s="10"/>
    </row>
    <row r="18" ht="14.25" customHeight="1">
      <c r="A18" s="8" t="s">
        <v>102</v>
      </c>
      <c r="B18" s="8" t="s">
        <v>41</v>
      </c>
      <c r="D18" s="8" t="s">
        <v>104</v>
      </c>
      <c r="E18" s="10" t="s">
        <v>105</v>
      </c>
      <c r="F18" s="8">
        <v>0.0</v>
      </c>
      <c r="J18" s="10"/>
    </row>
    <row r="19" ht="14.25" customHeight="1">
      <c r="A19" s="8" t="s">
        <v>106</v>
      </c>
      <c r="B19" s="8" t="s">
        <v>41</v>
      </c>
      <c r="D19" s="8" t="s">
        <v>107</v>
      </c>
      <c r="E19" s="10" t="s">
        <v>108</v>
      </c>
      <c r="F19" s="8">
        <v>1.0</v>
      </c>
      <c r="J19" s="10"/>
    </row>
    <row r="20" ht="14.25" customHeight="1">
      <c r="A20" s="8" t="s">
        <v>41</v>
      </c>
      <c r="B20" s="8" t="s">
        <v>41</v>
      </c>
      <c r="D20" s="8" t="s">
        <v>112</v>
      </c>
      <c r="E20" s="10" t="s">
        <v>114</v>
      </c>
      <c r="F20" s="8">
        <v>1.0</v>
      </c>
      <c r="G20" s="8" t="s">
        <v>116</v>
      </c>
      <c r="H20" s="8" t="s">
        <v>116</v>
      </c>
      <c r="J20" s="10"/>
    </row>
    <row r="21" ht="14.25" customHeight="1">
      <c r="A21" s="8" t="s">
        <v>119</v>
      </c>
      <c r="B21" s="8" t="s">
        <v>41</v>
      </c>
      <c r="C21" s="8" t="s">
        <v>120</v>
      </c>
      <c r="D21" s="8" t="s">
        <v>122</v>
      </c>
      <c r="E21" s="10" t="s">
        <v>123</v>
      </c>
      <c r="F21" s="8">
        <v>0.0</v>
      </c>
      <c r="J21" s="10"/>
    </row>
    <row r="22" ht="14.25" customHeight="1">
      <c r="A22" s="8" t="s">
        <v>14</v>
      </c>
      <c r="B22" s="8" t="s">
        <v>30</v>
      </c>
      <c r="E22" s="10" t="s">
        <v>32</v>
      </c>
      <c r="F22" s="8">
        <v>0.0</v>
      </c>
      <c r="J22" s="10"/>
    </row>
    <row r="23" ht="14.25" customHeight="1">
      <c r="A23" s="8" t="s">
        <v>90</v>
      </c>
      <c r="B23" s="8" t="s">
        <v>30</v>
      </c>
      <c r="E23" s="10" t="s">
        <v>93</v>
      </c>
      <c r="F23" s="8">
        <v>1.0</v>
      </c>
      <c r="J23" s="10"/>
    </row>
    <row r="24" ht="14.25" customHeight="1">
      <c r="A24" s="8" t="s">
        <v>130</v>
      </c>
      <c r="B24" s="8" t="s">
        <v>30</v>
      </c>
      <c r="D24" s="8" t="s">
        <v>133</v>
      </c>
      <c r="E24" s="10" t="s">
        <v>136</v>
      </c>
      <c r="F24" s="8">
        <v>1.0</v>
      </c>
      <c r="J24" s="10"/>
    </row>
    <row r="25" ht="14.25" customHeight="1">
      <c r="A25" s="8" t="s">
        <v>138</v>
      </c>
      <c r="B25" s="8" t="s">
        <v>30</v>
      </c>
      <c r="D25" s="8" t="s">
        <v>140</v>
      </c>
      <c r="E25" s="10" t="s">
        <v>141</v>
      </c>
      <c r="F25" s="8">
        <v>1.0</v>
      </c>
      <c r="J25" s="10"/>
    </row>
    <row r="26" ht="14.25" customHeight="1">
      <c r="A26" s="8" t="s">
        <v>144</v>
      </c>
      <c r="B26" s="8" t="s">
        <v>30</v>
      </c>
      <c r="D26" s="8" t="s">
        <v>147</v>
      </c>
      <c r="E26" s="10" t="s">
        <v>148</v>
      </c>
      <c r="F26" s="8">
        <v>1.0</v>
      </c>
      <c r="J26" s="10"/>
    </row>
    <row r="27" ht="14.25" customHeight="1">
      <c r="A27" s="8" t="s">
        <v>151</v>
      </c>
      <c r="B27" s="8" t="s">
        <v>30</v>
      </c>
      <c r="E27" s="10" t="s">
        <v>153</v>
      </c>
      <c r="F27" s="8">
        <v>1.0</v>
      </c>
      <c r="J27" s="10"/>
    </row>
    <row r="28" ht="14.25" customHeight="1">
      <c r="A28" s="8" t="s">
        <v>154</v>
      </c>
      <c r="B28" s="8" t="s">
        <v>30</v>
      </c>
      <c r="E28" s="10" t="s">
        <v>155</v>
      </c>
      <c r="F28" s="8">
        <v>1.0</v>
      </c>
      <c r="J28" s="10"/>
    </row>
    <row r="29" ht="14.25" customHeight="1">
      <c r="A29" s="8" t="s">
        <v>156</v>
      </c>
      <c r="B29" s="8" t="s">
        <v>30</v>
      </c>
      <c r="E29" s="10" t="s">
        <v>157</v>
      </c>
      <c r="F29" s="8">
        <v>1.0</v>
      </c>
      <c r="J29" s="10"/>
    </row>
    <row r="30" ht="14.25" customHeight="1">
      <c r="A30" s="8" t="s">
        <v>158</v>
      </c>
      <c r="B30" s="8" t="s">
        <v>30</v>
      </c>
      <c r="D30" s="8" t="s">
        <v>160</v>
      </c>
      <c r="E30" s="10" t="s">
        <v>161</v>
      </c>
      <c r="F30" s="8">
        <v>1.0</v>
      </c>
      <c r="J30" s="10"/>
    </row>
    <row r="31" ht="14.25" customHeight="1">
      <c r="A31" s="8" t="s">
        <v>164</v>
      </c>
      <c r="B31" s="8" t="s">
        <v>30</v>
      </c>
      <c r="D31" s="8" t="s">
        <v>166</v>
      </c>
      <c r="E31" s="10" t="s">
        <v>167</v>
      </c>
      <c r="F31" s="8">
        <v>1.0</v>
      </c>
      <c r="J31" s="10"/>
    </row>
    <row r="32" ht="14.25" customHeight="1">
      <c r="A32" s="8" t="s">
        <v>170</v>
      </c>
      <c r="B32" s="8" t="s">
        <v>30</v>
      </c>
      <c r="E32" s="10" t="s">
        <v>171</v>
      </c>
      <c r="F32" s="8">
        <v>0.0</v>
      </c>
      <c r="J32" s="10"/>
    </row>
    <row r="33" ht="14.25" customHeight="1">
      <c r="A33" s="8" t="s">
        <v>172</v>
      </c>
      <c r="B33" s="8" t="s">
        <v>30</v>
      </c>
      <c r="C33" s="8" t="s">
        <v>173</v>
      </c>
      <c r="E33" s="10" t="s">
        <v>174</v>
      </c>
      <c r="F33" s="8">
        <v>1.0</v>
      </c>
      <c r="J33" s="10"/>
    </row>
    <row r="34" ht="14.25" customHeight="1">
      <c r="A34" s="8" t="s">
        <v>46</v>
      </c>
      <c r="B34" s="8" t="s">
        <v>48</v>
      </c>
      <c r="E34" s="10" t="s">
        <v>50</v>
      </c>
      <c r="F34" s="8">
        <v>0.0</v>
      </c>
      <c r="J34" s="10"/>
    </row>
    <row r="35" ht="14.25" customHeight="1">
      <c r="A35" s="8" t="s">
        <v>52</v>
      </c>
      <c r="B35" s="8" t="s">
        <v>48</v>
      </c>
      <c r="E35" s="10" t="s">
        <v>53</v>
      </c>
      <c r="F35" s="8">
        <v>1.0</v>
      </c>
      <c r="J35" s="10"/>
    </row>
    <row r="36" ht="14.25" customHeight="1">
      <c r="A36" s="8" t="s">
        <v>55</v>
      </c>
      <c r="B36" s="8" t="s">
        <v>48</v>
      </c>
      <c r="E36" s="10" t="s">
        <v>56</v>
      </c>
      <c r="F36" s="8">
        <v>0.0</v>
      </c>
      <c r="J36" s="10"/>
    </row>
    <row r="37" ht="14.25" customHeight="1">
      <c r="A37" s="8" t="s">
        <v>59</v>
      </c>
      <c r="B37" s="8" t="s">
        <v>48</v>
      </c>
      <c r="C37" s="8" t="s">
        <v>61</v>
      </c>
      <c r="D37" s="8" t="s">
        <v>62</v>
      </c>
      <c r="E37" s="10" t="s">
        <v>63</v>
      </c>
      <c r="F37" s="8">
        <v>1.0</v>
      </c>
      <c r="G37" s="8" t="s">
        <v>65</v>
      </c>
      <c r="H37" s="8" t="s">
        <v>65</v>
      </c>
      <c r="J37" s="10"/>
    </row>
    <row r="38" ht="14.25" customHeight="1">
      <c r="A38" s="8" t="s">
        <v>68</v>
      </c>
      <c r="B38" s="8" t="s">
        <v>48</v>
      </c>
      <c r="D38" s="8" t="s">
        <v>69</v>
      </c>
      <c r="E38" s="10" t="s">
        <v>70</v>
      </c>
      <c r="F38" s="8">
        <v>0.0</v>
      </c>
      <c r="J38" s="10"/>
    </row>
    <row r="39" ht="14.25" customHeight="1">
      <c r="A39" s="8" t="s">
        <v>71</v>
      </c>
      <c r="B39" s="8" t="s">
        <v>48</v>
      </c>
      <c r="E39" s="10" t="s">
        <v>72</v>
      </c>
      <c r="F39" s="8">
        <v>0.0</v>
      </c>
      <c r="J39" s="10"/>
    </row>
    <row r="40" ht="14.25" customHeight="1">
      <c r="A40" s="8" t="s">
        <v>74</v>
      </c>
      <c r="B40" s="8" t="s">
        <v>48</v>
      </c>
      <c r="C40" s="8" t="s">
        <v>76</v>
      </c>
      <c r="D40" s="8" t="s">
        <v>78</v>
      </c>
      <c r="E40" s="10" t="s">
        <v>79</v>
      </c>
      <c r="F40" s="8">
        <v>1.0</v>
      </c>
      <c r="G40" s="8" t="s">
        <v>80</v>
      </c>
      <c r="H40" s="8" t="s">
        <v>80</v>
      </c>
      <c r="J40" s="10"/>
    </row>
    <row r="41" ht="14.25" customHeight="1">
      <c r="A41" s="8" t="s">
        <v>84</v>
      </c>
      <c r="B41" s="8" t="s">
        <v>48</v>
      </c>
      <c r="D41" s="8" t="s">
        <v>86</v>
      </c>
      <c r="E41" s="10" t="s">
        <v>87</v>
      </c>
      <c r="F41" s="8">
        <v>0.0</v>
      </c>
      <c r="J41" s="10"/>
    </row>
    <row r="42" ht="14.25" customHeight="1">
      <c r="A42" s="8" t="s">
        <v>95</v>
      </c>
      <c r="B42" s="8" t="s">
        <v>48</v>
      </c>
      <c r="E42" s="10" t="s">
        <v>97</v>
      </c>
      <c r="F42" s="8">
        <v>0.0</v>
      </c>
      <c r="J42" s="10"/>
    </row>
    <row r="43" ht="14.25" customHeight="1">
      <c r="A43" s="8" t="s">
        <v>101</v>
      </c>
      <c r="B43" s="8" t="s">
        <v>48</v>
      </c>
      <c r="E43" s="10" t="s">
        <v>103</v>
      </c>
      <c r="F43" s="8">
        <v>0.0</v>
      </c>
      <c r="J43" s="10"/>
    </row>
    <row r="44" ht="14.25" customHeight="1">
      <c r="A44" s="8" t="s">
        <v>109</v>
      </c>
      <c r="B44" s="8" t="s">
        <v>48</v>
      </c>
      <c r="E44" s="10" t="s">
        <v>110</v>
      </c>
      <c r="F44" s="8">
        <v>1.0</v>
      </c>
      <c r="J44" s="10"/>
    </row>
    <row r="45" ht="14.25" customHeight="1">
      <c r="A45" s="8" t="s">
        <v>113</v>
      </c>
      <c r="B45" s="8" t="s">
        <v>48</v>
      </c>
      <c r="C45" s="8" t="s">
        <v>115</v>
      </c>
      <c r="D45" s="8" t="s">
        <v>117</v>
      </c>
      <c r="E45" s="10" t="s">
        <v>118</v>
      </c>
      <c r="F45" s="8">
        <v>1.0</v>
      </c>
      <c r="J45" s="10"/>
    </row>
    <row r="46" ht="14.25" customHeight="1">
      <c r="A46" s="8" t="s">
        <v>121</v>
      </c>
      <c r="B46" s="8" t="s">
        <v>48</v>
      </c>
      <c r="C46" s="8" t="s">
        <v>124</v>
      </c>
      <c r="D46" s="8" t="s">
        <v>125</v>
      </c>
      <c r="E46" s="10" t="s">
        <v>126</v>
      </c>
      <c r="F46" s="8">
        <v>1.0</v>
      </c>
      <c r="G46" s="8" t="s">
        <v>127</v>
      </c>
      <c r="H46" s="8" t="s">
        <v>127</v>
      </c>
      <c r="J46" s="10"/>
    </row>
    <row r="47" ht="14.25" customHeight="1">
      <c r="A47" s="8" t="s">
        <v>128</v>
      </c>
      <c r="B47" s="8" t="s">
        <v>48</v>
      </c>
      <c r="E47" s="10" t="s">
        <v>129</v>
      </c>
      <c r="F47" s="8">
        <v>0.0</v>
      </c>
      <c r="J47" s="10"/>
    </row>
    <row r="48" ht="14.25" customHeight="1">
      <c r="A48" s="8" t="s">
        <v>131</v>
      </c>
      <c r="B48" s="8" t="s">
        <v>48</v>
      </c>
      <c r="C48" s="8" t="s">
        <v>132</v>
      </c>
      <c r="D48" s="8" t="s">
        <v>134</v>
      </c>
      <c r="E48" s="10" t="s">
        <v>135</v>
      </c>
      <c r="F48" s="8">
        <v>0.0</v>
      </c>
      <c r="J48" s="10"/>
    </row>
    <row r="49" ht="14.25" customHeight="1">
      <c r="A49" s="8" t="s">
        <v>137</v>
      </c>
      <c r="B49" s="8" t="s">
        <v>48</v>
      </c>
      <c r="E49" s="10" t="s">
        <v>139</v>
      </c>
      <c r="F49" s="8">
        <v>0.0</v>
      </c>
      <c r="J49" s="10"/>
    </row>
    <row r="50" ht="14.25" customHeight="1">
      <c r="A50" s="8" t="s">
        <v>142</v>
      </c>
      <c r="B50" s="8" t="s">
        <v>48</v>
      </c>
      <c r="C50" s="8" t="s">
        <v>143</v>
      </c>
      <c r="D50" s="8" t="s">
        <v>145</v>
      </c>
      <c r="E50" s="10" t="s">
        <v>146</v>
      </c>
      <c r="F50" s="8">
        <v>1.0</v>
      </c>
      <c r="G50" s="8" t="s">
        <v>149</v>
      </c>
      <c r="H50" s="8" t="s">
        <v>149</v>
      </c>
      <c r="J50" s="10"/>
    </row>
    <row r="51" ht="14.25" customHeight="1">
      <c r="A51" s="8" t="s">
        <v>150</v>
      </c>
      <c r="B51" s="8" t="s">
        <v>48</v>
      </c>
      <c r="E51" s="10" t="s">
        <v>152</v>
      </c>
      <c r="F51" s="8">
        <v>0.0</v>
      </c>
      <c r="J51" s="10"/>
    </row>
    <row r="52" ht="14.25" customHeight="1">
      <c r="A52" s="8" t="s">
        <v>159</v>
      </c>
      <c r="B52" s="8" t="s">
        <v>48</v>
      </c>
      <c r="D52" s="8" t="s">
        <v>162</v>
      </c>
      <c r="E52" s="10" t="s">
        <v>163</v>
      </c>
      <c r="F52" s="8">
        <v>0.0</v>
      </c>
      <c r="J52" s="10"/>
    </row>
    <row r="53" ht="14.25" customHeight="1">
      <c r="A53" s="8" t="s">
        <v>165</v>
      </c>
      <c r="B53" s="8" t="s">
        <v>48</v>
      </c>
      <c r="C53" s="8" t="s">
        <v>168</v>
      </c>
      <c r="E53" s="10" t="s">
        <v>169</v>
      </c>
      <c r="F53" s="8">
        <v>1.0</v>
      </c>
      <c r="J53" s="10"/>
    </row>
    <row r="54" ht="14.25" customHeight="1">
      <c r="A54" s="8" t="s">
        <v>175</v>
      </c>
      <c r="B54" s="8" t="s">
        <v>48</v>
      </c>
      <c r="E54" s="10" t="s">
        <v>176</v>
      </c>
      <c r="F54" s="8">
        <v>0.0</v>
      </c>
      <c r="J54" s="10"/>
    </row>
    <row r="55" ht="14.25" customHeight="1">
      <c r="A55" s="8" t="s">
        <v>177</v>
      </c>
      <c r="B55" s="8" t="s">
        <v>48</v>
      </c>
      <c r="D55" s="8" t="s">
        <v>178</v>
      </c>
      <c r="E55" s="10" t="s">
        <v>179</v>
      </c>
      <c r="F55" s="8">
        <v>0.0</v>
      </c>
      <c r="J55" s="10"/>
    </row>
    <row r="56" ht="14.25" customHeight="1">
      <c r="A56" s="8" t="s">
        <v>180</v>
      </c>
      <c r="B56" s="8" t="s">
        <v>48</v>
      </c>
      <c r="D56" s="8" t="s">
        <v>181</v>
      </c>
      <c r="E56" s="10" t="s">
        <v>182</v>
      </c>
      <c r="F56" s="8">
        <v>1.0</v>
      </c>
      <c r="J56" s="10"/>
    </row>
    <row r="57" ht="14.25" customHeight="1">
      <c r="A57" s="8" t="s">
        <v>183</v>
      </c>
      <c r="B57" s="8" t="s">
        <v>48</v>
      </c>
      <c r="C57" s="8" t="s">
        <v>184</v>
      </c>
      <c r="E57" s="10" t="s">
        <v>185</v>
      </c>
      <c r="F57" s="8">
        <v>1.0</v>
      </c>
      <c r="J57" s="10"/>
    </row>
    <row r="58" ht="14.25" customHeight="1">
      <c r="A58" s="8" t="s">
        <v>186</v>
      </c>
      <c r="B58" s="8" t="s">
        <v>48</v>
      </c>
      <c r="C58" s="8" t="s">
        <v>187</v>
      </c>
      <c r="E58" s="10" t="s">
        <v>188</v>
      </c>
      <c r="F58" s="8">
        <v>1.0</v>
      </c>
      <c r="J58" s="10"/>
    </row>
    <row r="59" ht="14.25" customHeight="1">
      <c r="A59" s="8" t="s">
        <v>189</v>
      </c>
      <c r="B59" s="8" t="s">
        <v>48</v>
      </c>
      <c r="C59" s="8" t="s">
        <v>190</v>
      </c>
      <c r="D59" s="8" t="s">
        <v>191</v>
      </c>
      <c r="E59" s="10" t="s">
        <v>192</v>
      </c>
      <c r="F59" s="8">
        <v>1.0</v>
      </c>
      <c r="J59" s="10"/>
    </row>
    <row r="60" ht="14.25" customHeight="1">
      <c r="A60" s="8" t="s">
        <v>193</v>
      </c>
      <c r="B60" s="8" t="s">
        <v>48</v>
      </c>
      <c r="C60" s="8" t="s">
        <v>194</v>
      </c>
      <c r="D60" s="8" t="s">
        <v>195</v>
      </c>
      <c r="E60" s="10" t="s">
        <v>196</v>
      </c>
      <c r="F60" s="8">
        <v>0.0</v>
      </c>
      <c r="J60" s="10"/>
    </row>
    <row r="61" ht="14.25" customHeight="1">
      <c r="A61" s="8" t="s">
        <v>197</v>
      </c>
      <c r="B61" s="8" t="s">
        <v>48</v>
      </c>
      <c r="D61" s="8" t="s">
        <v>198</v>
      </c>
      <c r="E61" s="10" t="s">
        <v>199</v>
      </c>
      <c r="F61" s="8">
        <v>0.0</v>
      </c>
      <c r="J61" s="10"/>
    </row>
    <row r="62" ht="14.25" customHeight="1">
      <c r="A62" s="8" t="s">
        <v>200</v>
      </c>
      <c r="B62" s="8" t="s">
        <v>48</v>
      </c>
      <c r="E62" s="10" t="s">
        <v>201</v>
      </c>
      <c r="F62" s="8">
        <v>1.0</v>
      </c>
      <c r="J62" s="10"/>
    </row>
    <row r="63" ht="14.25" customHeight="1">
      <c r="A63" s="8" t="s">
        <v>202</v>
      </c>
      <c r="B63" s="8" t="s">
        <v>48</v>
      </c>
      <c r="C63" s="8" t="s">
        <v>203</v>
      </c>
      <c r="D63" s="8" t="s">
        <v>204</v>
      </c>
      <c r="E63" s="10" t="s">
        <v>205</v>
      </c>
      <c r="F63" s="8">
        <v>1.0</v>
      </c>
      <c r="G63" s="8" t="s">
        <v>206</v>
      </c>
      <c r="H63" s="8" t="s">
        <v>206</v>
      </c>
      <c r="J63" s="10"/>
    </row>
    <row r="64" ht="14.25" customHeight="1">
      <c r="A64" s="8" t="s">
        <v>207</v>
      </c>
      <c r="B64" s="8" t="s">
        <v>48</v>
      </c>
      <c r="C64" s="8" t="s">
        <v>208</v>
      </c>
      <c r="D64" s="8" t="s">
        <v>209</v>
      </c>
      <c r="E64" s="10" t="s">
        <v>210</v>
      </c>
      <c r="F64" s="8">
        <v>1.0</v>
      </c>
      <c r="G64" s="8" t="s">
        <v>211</v>
      </c>
      <c r="H64" s="8" t="s">
        <v>211</v>
      </c>
      <c r="J64" s="10"/>
    </row>
    <row r="65" ht="14.25" customHeight="1">
      <c r="A65" s="8" t="s">
        <v>212</v>
      </c>
      <c r="B65" s="8" t="s">
        <v>48</v>
      </c>
      <c r="C65" s="8" t="s">
        <v>213</v>
      </c>
      <c r="D65" s="8" t="s">
        <v>214</v>
      </c>
      <c r="E65" s="10" t="s">
        <v>215</v>
      </c>
      <c r="F65" s="8">
        <v>1.0</v>
      </c>
      <c r="G65" s="8" t="s">
        <v>216</v>
      </c>
      <c r="H65" s="8" t="s">
        <v>216</v>
      </c>
      <c r="J65" s="10"/>
    </row>
    <row r="66" ht="14.25" customHeight="1">
      <c r="A66" s="8" t="s">
        <v>217</v>
      </c>
      <c r="B66" s="8" t="s">
        <v>48</v>
      </c>
      <c r="C66" s="8" t="s">
        <v>218</v>
      </c>
      <c r="D66" s="8" t="s">
        <v>219</v>
      </c>
      <c r="E66" s="10" t="s">
        <v>220</v>
      </c>
      <c r="F66" s="8">
        <v>0.0</v>
      </c>
      <c r="J66" s="10"/>
    </row>
    <row r="67" ht="14.25" customHeight="1">
      <c r="A67" s="8" t="s">
        <v>221</v>
      </c>
      <c r="B67" s="8" t="s">
        <v>48</v>
      </c>
      <c r="D67" s="8" t="s">
        <v>222</v>
      </c>
      <c r="E67" s="10" t="s">
        <v>223</v>
      </c>
      <c r="F67" s="8">
        <v>0.0</v>
      </c>
      <c r="J67" s="10"/>
    </row>
    <row r="68" ht="14.25" customHeight="1">
      <c r="A68" s="8" t="s">
        <v>224</v>
      </c>
      <c r="B68" s="8" t="s">
        <v>48</v>
      </c>
      <c r="E68" s="10" t="s">
        <v>225</v>
      </c>
      <c r="F68" s="8">
        <v>0.0</v>
      </c>
      <c r="J68" s="10"/>
    </row>
    <row r="69" ht="14.25" customHeight="1">
      <c r="A69" s="8" t="s">
        <v>226</v>
      </c>
      <c r="B69" s="8" t="s">
        <v>48</v>
      </c>
      <c r="D69" s="8" t="s">
        <v>227</v>
      </c>
      <c r="E69" s="10" t="s">
        <v>228</v>
      </c>
      <c r="F69" s="8">
        <v>0.0</v>
      </c>
      <c r="J69" s="10"/>
    </row>
    <row r="70" ht="14.25" customHeight="1">
      <c r="A70" s="8" t="s">
        <v>229</v>
      </c>
      <c r="B70" s="8" t="s">
        <v>48</v>
      </c>
      <c r="C70" s="8" t="s">
        <v>230</v>
      </c>
      <c r="E70" s="10" t="s">
        <v>231</v>
      </c>
      <c r="F70" s="8">
        <v>1.0</v>
      </c>
      <c r="J70" s="10"/>
    </row>
    <row r="71" ht="14.25" customHeight="1">
      <c r="A71" s="8" t="s">
        <v>232</v>
      </c>
      <c r="B71" s="8" t="s">
        <v>48</v>
      </c>
      <c r="D71" s="8" t="s">
        <v>233</v>
      </c>
      <c r="E71" s="10" t="s">
        <v>234</v>
      </c>
      <c r="F71" s="8">
        <v>0.0</v>
      </c>
      <c r="J71" s="10"/>
    </row>
    <row r="72" ht="14.25" customHeight="1">
      <c r="A72" s="8" t="s">
        <v>235</v>
      </c>
      <c r="B72" s="8" t="s">
        <v>48</v>
      </c>
      <c r="E72" s="10" t="s">
        <v>236</v>
      </c>
      <c r="F72" s="8">
        <v>0.0</v>
      </c>
      <c r="J72" s="10"/>
    </row>
    <row r="73" ht="14.25" customHeight="1">
      <c r="A73" s="8" t="s">
        <v>237</v>
      </c>
      <c r="B73" s="8" t="s">
        <v>48</v>
      </c>
      <c r="C73" s="8" t="s">
        <v>238</v>
      </c>
      <c r="D73" s="8" t="s">
        <v>239</v>
      </c>
      <c r="E73" s="10" t="s">
        <v>240</v>
      </c>
      <c r="F73" s="8">
        <v>1.0</v>
      </c>
      <c r="J73" s="10"/>
    </row>
    <row r="74" ht="14.25" customHeight="1">
      <c r="A74" s="8" t="s">
        <v>241</v>
      </c>
      <c r="B74" s="8" t="s">
        <v>48</v>
      </c>
      <c r="D74" s="8" t="s">
        <v>242</v>
      </c>
      <c r="E74" s="10" t="s">
        <v>243</v>
      </c>
      <c r="F74" s="8">
        <v>0.0</v>
      </c>
      <c r="J74" s="10"/>
    </row>
    <row r="75" ht="14.25" customHeight="1">
      <c r="A75" s="8" t="s">
        <v>245</v>
      </c>
      <c r="B75" s="8" t="s">
        <v>48</v>
      </c>
      <c r="C75" s="8" t="s">
        <v>246</v>
      </c>
      <c r="D75" s="8" t="s">
        <v>247</v>
      </c>
      <c r="E75" s="10" t="s">
        <v>248</v>
      </c>
      <c r="F75" s="8">
        <v>0.0</v>
      </c>
      <c r="J75" s="10"/>
    </row>
    <row r="76" ht="14.25" customHeight="1">
      <c r="A76" s="8" t="s">
        <v>249</v>
      </c>
      <c r="B76" s="8" t="s">
        <v>48</v>
      </c>
      <c r="E76" s="10" t="s">
        <v>250</v>
      </c>
      <c r="F76" s="8">
        <v>0.0</v>
      </c>
      <c r="J76" s="10"/>
    </row>
    <row r="77" ht="14.25" customHeight="1">
      <c r="A77" s="8" t="s">
        <v>251</v>
      </c>
      <c r="B77" s="8" t="s">
        <v>48</v>
      </c>
      <c r="E77" s="10" t="s">
        <v>252</v>
      </c>
      <c r="F77" s="8">
        <v>1.0</v>
      </c>
      <c r="J77" s="10"/>
    </row>
    <row r="78" ht="14.25" customHeight="1">
      <c r="A78" s="8" t="s">
        <v>253</v>
      </c>
      <c r="B78" s="8" t="s">
        <v>48</v>
      </c>
      <c r="D78" s="8" t="s">
        <v>254</v>
      </c>
      <c r="E78" s="10" t="s">
        <v>255</v>
      </c>
      <c r="F78" s="8">
        <v>1.0</v>
      </c>
      <c r="J78" s="10"/>
    </row>
    <row r="79" ht="14.25" customHeight="1">
      <c r="A79" s="8" t="s">
        <v>257</v>
      </c>
      <c r="B79" s="8" t="s">
        <v>48</v>
      </c>
      <c r="C79" s="8" t="s">
        <v>258</v>
      </c>
      <c r="D79" s="8" t="s">
        <v>259</v>
      </c>
      <c r="E79" s="10" t="s">
        <v>260</v>
      </c>
      <c r="F79" s="8">
        <v>0.0</v>
      </c>
      <c r="J79" s="10"/>
    </row>
    <row r="80" ht="14.25" customHeight="1">
      <c r="A80" s="8" t="s">
        <v>261</v>
      </c>
      <c r="B80" s="8" t="s">
        <v>48</v>
      </c>
      <c r="C80" s="8" t="s">
        <v>262</v>
      </c>
      <c r="D80" s="8" t="s">
        <v>263</v>
      </c>
      <c r="E80" s="10" t="s">
        <v>264</v>
      </c>
      <c r="F80" s="8">
        <v>0.0</v>
      </c>
      <c r="J80" s="10"/>
    </row>
    <row r="81" ht="14.25" customHeight="1">
      <c r="A81" s="8" t="s">
        <v>265</v>
      </c>
      <c r="B81" s="8" t="s">
        <v>48</v>
      </c>
      <c r="D81" s="8" t="s">
        <v>266</v>
      </c>
      <c r="E81" s="10" t="s">
        <v>267</v>
      </c>
      <c r="F81" s="8">
        <v>0.0</v>
      </c>
      <c r="J81" s="10"/>
    </row>
    <row r="82" ht="14.25" customHeight="1">
      <c r="A82" s="8" t="s">
        <v>268</v>
      </c>
      <c r="B82" s="8" t="s">
        <v>48</v>
      </c>
      <c r="E82" s="10" t="s">
        <v>269</v>
      </c>
      <c r="F82" s="8">
        <v>1.0</v>
      </c>
      <c r="J82" s="10"/>
    </row>
    <row r="83" ht="14.25" customHeight="1">
      <c r="A83" s="8" t="s">
        <v>270</v>
      </c>
      <c r="B83" s="8" t="s">
        <v>48</v>
      </c>
      <c r="E83" s="10" t="s">
        <v>271</v>
      </c>
      <c r="F83" s="8">
        <v>1.0</v>
      </c>
      <c r="J83" s="10"/>
    </row>
    <row r="84" ht="14.25" customHeight="1">
      <c r="A84" s="8" t="s">
        <v>272</v>
      </c>
      <c r="B84" s="8" t="s">
        <v>48</v>
      </c>
      <c r="D84" s="8" t="s">
        <v>273</v>
      </c>
      <c r="E84" s="10" t="s">
        <v>274</v>
      </c>
      <c r="F84" s="8">
        <v>0.0</v>
      </c>
      <c r="J84" s="10"/>
    </row>
    <row r="85" ht="14.25" customHeight="1">
      <c r="A85" s="8" t="s">
        <v>275</v>
      </c>
      <c r="B85" s="8" t="s">
        <v>48</v>
      </c>
      <c r="C85" s="8" t="s">
        <v>276</v>
      </c>
      <c r="D85" s="8" t="s">
        <v>277</v>
      </c>
      <c r="E85" s="10" t="s">
        <v>278</v>
      </c>
      <c r="F85" s="8">
        <v>0.0</v>
      </c>
      <c r="J85" s="10"/>
    </row>
    <row r="86" ht="14.25" customHeight="1">
      <c r="A86" s="8" t="s">
        <v>279</v>
      </c>
      <c r="B86" s="8" t="s">
        <v>48</v>
      </c>
      <c r="E86" s="10" t="s">
        <v>280</v>
      </c>
      <c r="F86" s="8">
        <v>1.0</v>
      </c>
      <c r="J86" s="10"/>
    </row>
    <row r="87" ht="14.25" customHeight="1">
      <c r="A87" s="8" t="s">
        <v>281</v>
      </c>
      <c r="B87" s="8" t="s">
        <v>48</v>
      </c>
      <c r="C87" s="8" t="s">
        <v>282</v>
      </c>
      <c r="D87" s="8" t="s">
        <v>283</v>
      </c>
      <c r="E87" s="10" t="s">
        <v>284</v>
      </c>
      <c r="F87" s="8">
        <v>1.0</v>
      </c>
      <c r="G87" s="8" t="s">
        <v>285</v>
      </c>
      <c r="H87" s="8" t="s">
        <v>285</v>
      </c>
      <c r="J87" s="10"/>
    </row>
    <row r="88" ht="14.25" customHeight="1">
      <c r="A88" s="8" t="s">
        <v>286</v>
      </c>
      <c r="B88" s="8" t="s">
        <v>48</v>
      </c>
      <c r="C88" s="8" t="s">
        <v>287</v>
      </c>
      <c r="D88" s="8" t="s">
        <v>288</v>
      </c>
      <c r="E88" s="10" t="s">
        <v>289</v>
      </c>
      <c r="F88" s="8">
        <v>0.0</v>
      </c>
      <c r="J88" s="10"/>
    </row>
    <row r="89" ht="14.25" customHeight="1">
      <c r="A89" s="8" t="s">
        <v>290</v>
      </c>
      <c r="B89" s="8" t="s">
        <v>48</v>
      </c>
      <c r="C89" s="8" t="s">
        <v>291</v>
      </c>
      <c r="D89" s="8" t="s">
        <v>292</v>
      </c>
      <c r="E89" s="10" t="s">
        <v>293</v>
      </c>
      <c r="F89" s="8">
        <v>1.0</v>
      </c>
      <c r="J89" s="10"/>
    </row>
    <row r="90" ht="14.25" customHeight="1">
      <c r="A90" s="8" t="s">
        <v>294</v>
      </c>
      <c r="B90" s="8" t="s">
        <v>48</v>
      </c>
      <c r="D90" s="8" t="s">
        <v>295</v>
      </c>
      <c r="E90" s="10" t="s">
        <v>296</v>
      </c>
      <c r="F90" s="8">
        <v>0.0</v>
      </c>
      <c r="J90" s="10"/>
    </row>
    <row r="91" ht="14.25" customHeight="1">
      <c r="A91" s="8" t="s">
        <v>297</v>
      </c>
      <c r="B91" s="8" t="s">
        <v>48</v>
      </c>
      <c r="E91" s="10" t="s">
        <v>298</v>
      </c>
      <c r="F91" s="8">
        <v>0.0</v>
      </c>
      <c r="J91" s="10"/>
    </row>
    <row r="92" ht="14.25" customHeight="1">
      <c r="E92" s="10"/>
      <c r="J92" s="10"/>
    </row>
    <row r="93" ht="14.25" customHeight="1">
      <c r="E93" s="10"/>
      <c r="J93" s="10"/>
    </row>
    <row r="94" ht="14.25" customHeight="1">
      <c r="H94" s="10"/>
      <c r="J94" s="10"/>
    </row>
    <row r="95" ht="14.25" customHeight="1">
      <c r="A95" s="32" t="s">
        <v>299</v>
      </c>
      <c r="B95" s="34"/>
      <c r="C95" s="34"/>
      <c r="D95" s="36" t="s">
        <v>301</v>
      </c>
      <c r="E95" s="36" t="s">
        <v>5</v>
      </c>
      <c r="F95" s="39" t="s">
        <v>302</v>
      </c>
      <c r="H95" s="10"/>
      <c r="J95" s="10"/>
    </row>
    <row r="96" ht="14.25" customHeight="1">
      <c r="A96" s="40" t="s">
        <v>41</v>
      </c>
      <c r="B96" s="10"/>
      <c r="C96" s="10"/>
      <c r="D96" s="10"/>
      <c r="E96" s="10"/>
      <c r="F96" s="41">
        <v>9.0</v>
      </c>
      <c r="H96" s="10"/>
      <c r="J96" s="10"/>
    </row>
    <row r="97" ht="14.25" customHeight="1">
      <c r="A97" s="40" t="s">
        <v>15</v>
      </c>
      <c r="B97" s="10"/>
      <c r="C97" s="10"/>
      <c r="D97" s="10" t="s">
        <v>20</v>
      </c>
      <c r="E97" s="10"/>
      <c r="F97" s="41">
        <v>7.0</v>
      </c>
      <c r="H97" s="10"/>
      <c r="J97" s="10"/>
    </row>
    <row r="98" ht="14.25" customHeight="1">
      <c r="A98" s="40" t="s">
        <v>48</v>
      </c>
      <c r="B98" s="10"/>
      <c r="C98" s="10"/>
      <c r="D98" s="10"/>
      <c r="E98" s="10"/>
      <c r="F98" s="41">
        <v>58.0</v>
      </c>
      <c r="H98" s="10"/>
      <c r="J98" s="10"/>
    </row>
    <row r="99" ht="14.25" customHeight="1">
      <c r="A99" s="40" t="s">
        <v>30</v>
      </c>
      <c r="B99" s="10"/>
      <c r="C99" s="10"/>
      <c r="D99" s="10"/>
      <c r="E99" s="10"/>
      <c r="F99" s="41">
        <v>12.0</v>
      </c>
      <c r="H99" s="10"/>
      <c r="J99" s="10"/>
    </row>
    <row r="100" ht="14.25" customHeight="1">
      <c r="A100" s="40" t="s">
        <v>42</v>
      </c>
      <c r="B100" s="10"/>
      <c r="C100" s="10"/>
      <c r="D100" s="10"/>
      <c r="E100" s="10"/>
      <c r="F100" s="41">
        <v>4.0</v>
      </c>
      <c r="H100" s="10"/>
      <c r="J100" s="10"/>
    </row>
    <row r="101" ht="14.25" customHeight="1">
      <c r="A101" s="40"/>
      <c r="B101" s="10"/>
      <c r="C101" s="10"/>
      <c r="D101" s="10"/>
      <c r="E101" s="10"/>
      <c r="F101" s="41"/>
      <c r="H101" s="10"/>
      <c r="J101" s="10"/>
    </row>
    <row r="102" ht="14.25" customHeight="1">
      <c r="A102" s="45" t="s">
        <v>302</v>
      </c>
      <c r="B102" s="48"/>
      <c r="C102" s="48"/>
      <c r="D102" s="48"/>
      <c r="E102" s="48"/>
      <c r="F102" s="49">
        <f>SUM(F96:F101)</f>
        <v>90</v>
      </c>
      <c r="H102" s="10"/>
      <c r="J102" s="10"/>
    </row>
    <row r="103" ht="14.25" customHeight="1">
      <c r="A103" s="43"/>
      <c r="B103" s="44"/>
      <c r="C103" s="44"/>
      <c r="D103" s="44"/>
      <c r="E103" s="44"/>
      <c r="F103" s="46"/>
      <c r="H103" s="10"/>
      <c r="J103" s="10"/>
    </row>
    <row r="104" ht="14.25" customHeight="1">
      <c r="E104" s="10"/>
      <c r="J104" s="10"/>
    </row>
    <row r="105" ht="14.25" customHeight="1">
      <c r="E105" s="10"/>
      <c r="J105" s="10"/>
    </row>
    <row r="106" ht="14.25" customHeight="1">
      <c r="E106" s="10"/>
      <c r="J106" s="10"/>
    </row>
    <row r="107" ht="14.25" customHeight="1">
      <c r="E107" s="10"/>
      <c r="J107" s="10"/>
    </row>
    <row r="108" ht="14.25" customHeight="1">
      <c r="E108" s="10"/>
      <c r="J108" s="10"/>
    </row>
    <row r="109" ht="14.25" customHeight="1">
      <c r="E109" s="10"/>
      <c r="J109" s="10"/>
    </row>
    <row r="110" ht="14.25" customHeight="1">
      <c r="E110" s="10"/>
      <c r="J110" s="10"/>
    </row>
    <row r="111" ht="14.25" customHeight="1">
      <c r="E111" s="10"/>
      <c r="J111" s="10"/>
    </row>
    <row r="112" ht="14.25" customHeight="1">
      <c r="E112" s="10"/>
      <c r="J112" s="10"/>
    </row>
    <row r="113" ht="14.25" customHeight="1">
      <c r="E113" s="10"/>
      <c r="J113" s="10"/>
    </row>
    <row r="114" ht="14.25" customHeight="1">
      <c r="E114" s="10"/>
      <c r="J114" s="10"/>
    </row>
    <row r="115" ht="14.25" customHeight="1">
      <c r="E115" s="10"/>
      <c r="J115" s="10"/>
    </row>
    <row r="116" ht="14.25" customHeight="1">
      <c r="E116" s="10"/>
      <c r="J116" s="10"/>
    </row>
    <row r="117" ht="14.25" customHeight="1">
      <c r="E117" s="10"/>
      <c r="J117" s="10"/>
    </row>
    <row r="118" ht="14.25" customHeight="1">
      <c r="E118" s="10"/>
      <c r="J118" s="10"/>
    </row>
    <row r="119" ht="14.25" customHeight="1">
      <c r="E119" s="10"/>
      <c r="J119" s="10"/>
    </row>
    <row r="120" ht="14.25" customHeight="1">
      <c r="E120" s="10"/>
      <c r="J120" s="10"/>
    </row>
    <row r="121" ht="14.25" customHeight="1">
      <c r="E121" s="10"/>
      <c r="J121" s="10"/>
    </row>
    <row r="122" ht="14.25" customHeight="1">
      <c r="E122" s="10"/>
      <c r="J122" s="10"/>
    </row>
    <row r="123" ht="14.25" customHeight="1">
      <c r="E123" s="10"/>
      <c r="J123" s="10"/>
    </row>
    <row r="124" ht="14.25" customHeight="1">
      <c r="E124" s="10"/>
      <c r="J124" s="10"/>
    </row>
    <row r="125" ht="14.25" customHeight="1">
      <c r="E125" s="10"/>
      <c r="J125" s="10"/>
    </row>
    <row r="126" ht="14.25" customHeight="1">
      <c r="E126" s="10"/>
      <c r="J126" s="10"/>
    </row>
    <row r="127" ht="14.25" customHeight="1">
      <c r="E127" s="10"/>
      <c r="J127" s="10"/>
    </row>
    <row r="128" ht="14.25" customHeight="1">
      <c r="E128" s="10"/>
      <c r="J128" s="10"/>
    </row>
    <row r="129" ht="14.25" customHeight="1">
      <c r="E129" s="10"/>
      <c r="J129" s="10"/>
    </row>
    <row r="130" ht="14.25" customHeight="1">
      <c r="E130" s="10"/>
      <c r="J130" s="10"/>
    </row>
    <row r="131" ht="14.25" customHeight="1">
      <c r="E131" s="10"/>
      <c r="J131" s="10"/>
    </row>
    <row r="132" ht="14.25" customHeight="1">
      <c r="E132" s="10"/>
      <c r="J132" s="10"/>
    </row>
    <row r="133" ht="14.25" customHeight="1">
      <c r="E133" s="10"/>
      <c r="J133" s="10"/>
    </row>
    <row r="134" ht="14.25" customHeight="1">
      <c r="E134" s="10"/>
      <c r="J134" s="10"/>
    </row>
    <row r="135" ht="14.25" customHeight="1">
      <c r="E135" s="10"/>
      <c r="J135" s="10"/>
    </row>
    <row r="136" ht="14.25" customHeight="1">
      <c r="E136" s="10"/>
      <c r="J136" s="10"/>
    </row>
    <row r="137" ht="14.25" customHeight="1">
      <c r="E137" s="10"/>
      <c r="J137" s="10"/>
    </row>
    <row r="138" ht="14.25" customHeight="1">
      <c r="E138" s="10"/>
      <c r="J138" s="10"/>
    </row>
    <row r="139" ht="14.25" customHeight="1">
      <c r="E139" s="10"/>
      <c r="J139" s="10"/>
    </row>
    <row r="140" ht="14.25" customHeight="1">
      <c r="E140" s="10"/>
      <c r="J140" s="10"/>
    </row>
    <row r="141" ht="14.25" customHeight="1">
      <c r="E141" s="10"/>
      <c r="J141" s="10"/>
    </row>
    <row r="142" ht="14.25" customHeight="1">
      <c r="E142" s="10"/>
      <c r="J142" s="10"/>
    </row>
    <row r="143" ht="14.25" customHeight="1">
      <c r="E143" s="10"/>
      <c r="J143" s="10"/>
    </row>
    <row r="144" ht="14.25" customHeight="1">
      <c r="E144" s="10"/>
      <c r="J144" s="10"/>
    </row>
    <row r="145" ht="14.25" customHeight="1">
      <c r="E145" s="10"/>
      <c r="J145" s="10"/>
    </row>
    <row r="146" ht="14.25" customHeight="1">
      <c r="E146" s="10"/>
      <c r="J146" s="10"/>
    </row>
    <row r="147" ht="14.25" customHeight="1">
      <c r="E147" s="10"/>
      <c r="J147" s="10"/>
    </row>
    <row r="148" ht="14.25" customHeight="1">
      <c r="E148" s="10"/>
      <c r="J148" s="10"/>
    </row>
    <row r="149" ht="14.25" customHeight="1">
      <c r="E149" s="10"/>
      <c r="J149" s="10"/>
    </row>
    <row r="150" ht="14.25" customHeight="1">
      <c r="E150" s="10"/>
      <c r="J150" s="10"/>
    </row>
    <row r="151" ht="14.25" customHeight="1">
      <c r="E151" s="10"/>
      <c r="J151" s="10"/>
    </row>
    <row r="152" ht="14.25" customHeight="1">
      <c r="E152" s="10"/>
      <c r="J152" s="10"/>
    </row>
    <row r="153" ht="14.25" customHeight="1">
      <c r="E153" s="10"/>
      <c r="J153" s="10"/>
    </row>
    <row r="154" ht="14.25" customHeight="1">
      <c r="E154" s="10"/>
      <c r="J154" s="10"/>
    </row>
    <row r="155" ht="14.25" customHeight="1">
      <c r="E155" s="10"/>
      <c r="J155" s="10"/>
    </row>
    <row r="156" ht="14.25" customHeight="1">
      <c r="E156" s="10"/>
      <c r="J156" s="10"/>
    </row>
    <row r="157" ht="14.25" customHeight="1">
      <c r="E157" s="10"/>
      <c r="J157" s="10"/>
    </row>
    <row r="158" ht="14.25" customHeight="1">
      <c r="E158" s="10"/>
      <c r="J158" s="10"/>
    </row>
    <row r="159" ht="14.25" customHeight="1">
      <c r="E159" s="10"/>
      <c r="J159" s="10"/>
    </row>
    <row r="160" ht="14.25" customHeight="1">
      <c r="E160" s="10"/>
      <c r="J160" s="10"/>
    </row>
    <row r="161" ht="14.25" customHeight="1">
      <c r="E161" s="10"/>
      <c r="J161" s="10"/>
    </row>
    <row r="162" ht="14.25" customHeight="1">
      <c r="E162" s="10"/>
      <c r="J162" s="10"/>
    </row>
    <row r="163" ht="14.25" customHeight="1">
      <c r="E163" s="10"/>
      <c r="J163" s="10"/>
    </row>
    <row r="164" ht="14.25" customHeight="1">
      <c r="E164" s="10"/>
      <c r="J164" s="10"/>
    </row>
    <row r="165" ht="14.25" customHeight="1">
      <c r="E165" s="10"/>
      <c r="J165" s="10"/>
    </row>
    <row r="166" ht="14.25" customHeight="1">
      <c r="E166" s="10"/>
      <c r="J166" s="10"/>
    </row>
    <row r="167" ht="14.25" customHeight="1">
      <c r="E167" s="10"/>
      <c r="J167" s="10"/>
    </row>
    <row r="168" ht="14.25" customHeight="1">
      <c r="E168" s="10"/>
      <c r="J168" s="10"/>
    </row>
    <row r="169" ht="14.25" customHeight="1">
      <c r="E169" s="10"/>
      <c r="J169" s="10"/>
    </row>
    <row r="170" ht="14.25" customHeight="1">
      <c r="E170" s="10"/>
      <c r="J170" s="10"/>
    </row>
    <row r="171" ht="14.25" customHeight="1">
      <c r="E171" s="10"/>
      <c r="J171" s="10"/>
    </row>
    <row r="172" ht="14.25" customHeight="1">
      <c r="E172" s="10"/>
      <c r="J172" s="10"/>
    </row>
    <row r="173" ht="14.25" customHeight="1">
      <c r="E173" s="10"/>
      <c r="J173" s="10"/>
    </row>
    <row r="174" ht="14.25" customHeight="1">
      <c r="E174" s="10"/>
      <c r="J174" s="10"/>
    </row>
    <row r="175" ht="14.25" customHeight="1">
      <c r="E175" s="10"/>
      <c r="J175" s="10"/>
    </row>
    <row r="176" ht="14.25" customHeight="1">
      <c r="E176" s="10"/>
      <c r="J176" s="10"/>
    </row>
    <row r="177" ht="14.25" customHeight="1">
      <c r="E177" s="10"/>
      <c r="J177" s="10"/>
    </row>
    <row r="178" ht="14.25" customHeight="1">
      <c r="E178" s="10"/>
      <c r="J178" s="10"/>
    </row>
    <row r="179" ht="14.25" customHeight="1">
      <c r="E179" s="10"/>
      <c r="J179" s="10"/>
    </row>
    <row r="180" ht="14.25" customHeight="1">
      <c r="E180" s="10"/>
      <c r="J180" s="10"/>
    </row>
    <row r="181" ht="14.25" customHeight="1">
      <c r="E181" s="10"/>
      <c r="J181" s="10"/>
    </row>
    <row r="182" ht="14.25" customHeight="1">
      <c r="E182" s="10"/>
      <c r="J182" s="10"/>
    </row>
    <row r="183" ht="14.25" customHeight="1">
      <c r="E183" s="10"/>
      <c r="J183" s="10"/>
    </row>
    <row r="184" ht="14.25" customHeight="1">
      <c r="E184" s="10"/>
      <c r="J184" s="10"/>
    </row>
    <row r="185" ht="14.25" customHeight="1">
      <c r="E185" s="10"/>
      <c r="J185" s="10"/>
    </row>
    <row r="186" ht="14.25" customHeight="1">
      <c r="E186" s="10"/>
      <c r="J186" s="10"/>
    </row>
    <row r="187" ht="14.25" customHeight="1">
      <c r="E187" s="10"/>
      <c r="J187" s="10"/>
    </row>
    <row r="188" ht="14.25" customHeight="1">
      <c r="E188" s="10"/>
      <c r="J188" s="10"/>
    </row>
    <row r="189" ht="14.25" customHeight="1">
      <c r="E189" s="10"/>
      <c r="J189" s="10"/>
    </row>
    <row r="190" ht="14.25" customHeight="1">
      <c r="E190" s="10"/>
      <c r="J190" s="10"/>
    </row>
    <row r="191" ht="14.25" customHeight="1">
      <c r="E191" s="10"/>
      <c r="J191" s="10"/>
    </row>
    <row r="192" ht="14.25" customHeight="1">
      <c r="E192" s="10"/>
      <c r="J192" s="10"/>
    </row>
    <row r="193" ht="14.25" customHeight="1">
      <c r="E193" s="10"/>
      <c r="J193" s="10"/>
    </row>
    <row r="194" ht="14.25" customHeight="1">
      <c r="E194" s="10"/>
      <c r="J194" s="10"/>
    </row>
    <row r="195" ht="14.25" customHeight="1">
      <c r="E195" s="10"/>
      <c r="J195" s="10"/>
    </row>
    <row r="196" ht="14.25" customHeight="1">
      <c r="E196" s="10"/>
      <c r="J196" s="10"/>
    </row>
    <row r="197" ht="14.25" customHeight="1">
      <c r="E197" s="10"/>
      <c r="J197" s="10"/>
    </row>
    <row r="198" ht="14.25" customHeight="1">
      <c r="E198" s="10"/>
      <c r="J198" s="10"/>
    </row>
    <row r="199" ht="14.25" customHeight="1">
      <c r="E199" s="10"/>
      <c r="J199" s="10"/>
    </row>
    <row r="200" ht="14.25" customHeight="1">
      <c r="E200" s="10"/>
      <c r="J200" s="10"/>
    </row>
    <row r="201" ht="14.25" customHeight="1">
      <c r="E201" s="10"/>
      <c r="J201" s="10"/>
    </row>
    <row r="202" ht="14.25" customHeight="1">
      <c r="E202" s="10"/>
      <c r="J202" s="10"/>
    </row>
    <row r="203" ht="14.25" customHeight="1">
      <c r="E203" s="10"/>
      <c r="J203" s="10"/>
    </row>
    <row r="204" ht="14.25" customHeight="1">
      <c r="E204" s="10"/>
      <c r="J204" s="10"/>
    </row>
    <row r="205" ht="14.25" customHeight="1">
      <c r="E205" s="10"/>
      <c r="J205" s="10"/>
    </row>
    <row r="206" ht="14.25" customHeight="1">
      <c r="E206" s="10"/>
      <c r="J206" s="10"/>
    </row>
    <row r="207" ht="14.25" customHeight="1">
      <c r="E207" s="10"/>
      <c r="J207" s="10"/>
    </row>
    <row r="208" ht="14.25" customHeight="1">
      <c r="E208" s="10"/>
      <c r="J208" s="10"/>
    </row>
    <row r="209" ht="14.25" customHeight="1">
      <c r="E209" s="10"/>
      <c r="J209" s="10"/>
    </row>
    <row r="210" ht="14.25" customHeight="1">
      <c r="E210" s="10"/>
      <c r="J210" s="10"/>
    </row>
    <row r="211" ht="14.25" customHeight="1">
      <c r="E211" s="10"/>
      <c r="J211" s="10"/>
    </row>
    <row r="212" ht="14.25" customHeight="1">
      <c r="E212" s="10"/>
      <c r="J212" s="10"/>
    </row>
    <row r="213" ht="14.25" customHeight="1">
      <c r="E213" s="10"/>
      <c r="J213" s="10"/>
    </row>
    <row r="214" ht="14.25" customHeight="1">
      <c r="E214" s="10"/>
      <c r="J214" s="10"/>
    </row>
    <row r="215" ht="14.25" customHeight="1">
      <c r="E215" s="10"/>
      <c r="J215" s="10"/>
    </row>
    <row r="216" ht="14.25" customHeight="1">
      <c r="E216" s="10"/>
      <c r="J216" s="10"/>
    </row>
    <row r="217" ht="14.25" customHeight="1">
      <c r="E217" s="10"/>
      <c r="J217" s="10"/>
    </row>
    <row r="218" ht="14.25" customHeight="1">
      <c r="E218" s="10"/>
      <c r="J218" s="10"/>
    </row>
    <row r="219" ht="14.25" customHeight="1">
      <c r="E219" s="10"/>
      <c r="J219" s="10"/>
    </row>
    <row r="220" ht="14.25" customHeight="1">
      <c r="E220" s="10"/>
      <c r="J220" s="10"/>
    </row>
    <row r="221" ht="14.25" customHeight="1">
      <c r="E221" s="10"/>
      <c r="J221" s="10"/>
    </row>
    <row r="222" ht="14.25" customHeight="1">
      <c r="E222" s="10"/>
      <c r="J222" s="10"/>
    </row>
    <row r="223" ht="14.25" customHeight="1">
      <c r="E223" s="10"/>
      <c r="J223" s="10"/>
    </row>
    <row r="224" ht="14.25" customHeight="1">
      <c r="E224" s="10"/>
      <c r="J224" s="10"/>
    </row>
    <row r="225" ht="14.25" customHeight="1">
      <c r="E225" s="10"/>
      <c r="J225" s="10"/>
    </row>
    <row r="226" ht="14.25" customHeight="1">
      <c r="E226" s="10"/>
      <c r="J226" s="10"/>
    </row>
    <row r="227" ht="14.25" customHeight="1">
      <c r="E227" s="10"/>
      <c r="J227" s="10"/>
    </row>
    <row r="228" ht="14.25" customHeight="1">
      <c r="E228" s="10"/>
      <c r="J228" s="10"/>
    </row>
    <row r="229" ht="14.25" customHeight="1">
      <c r="E229" s="10"/>
      <c r="J229" s="10"/>
    </row>
    <row r="230" ht="14.25" customHeight="1">
      <c r="E230" s="10"/>
      <c r="J230" s="10"/>
    </row>
    <row r="231" ht="14.25" customHeight="1">
      <c r="E231" s="10"/>
      <c r="J231" s="10"/>
    </row>
    <row r="232" ht="14.25" customHeight="1">
      <c r="E232" s="10"/>
      <c r="J232" s="10"/>
    </row>
    <row r="233" ht="14.25" customHeight="1">
      <c r="E233" s="10"/>
      <c r="J233" s="10"/>
    </row>
    <row r="234" ht="14.25" customHeight="1">
      <c r="E234" s="10"/>
      <c r="J234" s="10"/>
    </row>
    <row r="235" ht="14.25" customHeight="1">
      <c r="E235" s="10"/>
      <c r="J235" s="10"/>
    </row>
    <row r="236" ht="14.25" customHeight="1">
      <c r="E236" s="10"/>
      <c r="J236" s="10"/>
    </row>
    <row r="237" ht="14.25" customHeight="1">
      <c r="E237" s="10"/>
      <c r="J237" s="10"/>
    </row>
    <row r="238" ht="14.25" customHeight="1">
      <c r="E238" s="10"/>
      <c r="J238" s="10"/>
    </row>
    <row r="239" ht="14.25" customHeight="1">
      <c r="E239" s="10"/>
      <c r="J239" s="10"/>
    </row>
    <row r="240" ht="14.25" customHeight="1">
      <c r="E240" s="10"/>
      <c r="J240" s="10"/>
    </row>
    <row r="241" ht="14.25" customHeight="1">
      <c r="E241" s="10"/>
      <c r="J241" s="10"/>
    </row>
    <row r="242" ht="14.25" customHeight="1">
      <c r="E242" s="10"/>
      <c r="J242" s="10"/>
    </row>
    <row r="243" ht="14.25" customHeight="1">
      <c r="E243" s="10"/>
      <c r="J243" s="10"/>
    </row>
    <row r="244" ht="14.25" customHeight="1">
      <c r="E244" s="10"/>
      <c r="J244" s="10"/>
    </row>
    <row r="245" ht="14.25" customHeight="1">
      <c r="E245" s="10"/>
      <c r="J245" s="10"/>
    </row>
    <row r="246" ht="14.25" customHeight="1">
      <c r="E246" s="10"/>
      <c r="J246" s="10"/>
    </row>
    <row r="247" ht="14.25" customHeight="1">
      <c r="E247" s="10"/>
      <c r="J247" s="10"/>
    </row>
    <row r="248" ht="14.25" customHeight="1">
      <c r="E248" s="10"/>
      <c r="J248" s="10"/>
    </row>
    <row r="249" ht="14.25" customHeight="1">
      <c r="E249" s="10"/>
      <c r="J249" s="10"/>
    </row>
    <row r="250" ht="14.25" customHeight="1">
      <c r="E250" s="10"/>
      <c r="J250" s="10"/>
    </row>
    <row r="251" ht="14.25" customHeight="1">
      <c r="E251" s="10"/>
      <c r="J251" s="10"/>
    </row>
    <row r="252" ht="14.25" customHeight="1">
      <c r="E252" s="10"/>
      <c r="J252" s="10"/>
    </row>
    <row r="253" ht="14.25" customHeight="1">
      <c r="E253" s="10"/>
      <c r="J253" s="10"/>
    </row>
    <row r="254" ht="14.25" customHeight="1">
      <c r="E254" s="10"/>
      <c r="J254" s="10"/>
    </row>
    <row r="255" ht="14.25" customHeight="1">
      <c r="E255" s="10"/>
      <c r="J255" s="10"/>
    </row>
    <row r="256" ht="14.25" customHeight="1">
      <c r="E256" s="10"/>
      <c r="J256" s="10"/>
    </row>
    <row r="257" ht="14.25" customHeight="1">
      <c r="E257" s="10"/>
      <c r="J257" s="10"/>
    </row>
    <row r="258" ht="14.25" customHeight="1">
      <c r="E258" s="10"/>
      <c r="J258" s="10"/>
    </row>
    <row r="259" ht="14.25" customHeight="1">
      <c r="E259" s="10"/>
      <c r="J259" s="10"/>
    </row>
    <row r="260" ht="14.25" customHeight="1">
      <c r="E260" s="10"/>
      <c r="J260" s="10"/>
    </row>
    <row r="261" ht="14.25" customHeight="1">
      <c r="E261" s="10"/>
      <c r="J261" s="10"/>
    </row>
    <row r="262" ht="14.25" customHeight="1">
      <c r="E262" s="10"/>
      <c r="J262" s="10"/>
    </row>
    <row r="263" ht="14.25" customHeight="1">
      <c r="E263" s="10"/>
      <c r="J263" s="10"/>
    </row>
    <row r="264" ht="14.25" customHeight="1">
      <c r="E264" s="10"/>
      <c r="J264" s="10"/>
    </row>
    <row r="265" ht="14.25" customHeight="1">
      <c r="E265" s="10"/>
      <c r="J265" s="10"/>
    </row>
    <row r="266" ht="14.25" customHeight="1">
      <c r="E266" s="10"/>
      <c r="J266" s="10"/>
    </row>
    <row r="267" ht="14.25" customHeight="1">
      <c r="E267" s="10"/>
      <c r="J267" s="10"/>
    </row>
    <row r="268" ht="14.25" customHeight="1">
      <c r="E268" s="10"/>
      <c r="J268" s="10"/>
    </row>
    <row r="269" ht="14.25" customHeight="1">
      <c r="E269" s="10"/>
      <c r="J269" s="10"/>
    </row>
    <row r="270" ht="14.25" customHeight="1">
      <c r="E270" s="10"/>
      <c r="J270" s="10"/>
    </row>
    <row r="271" ht="14.25" customHeight="1">
      <c r="E271" s="10"/>
      <c r="J271" s="10"/>
    </row>
    <row r="272" ht="14.25" customHeight="1">
      <c r="E272" s="10"/>
      <c r="J272" s="10"/>
    </row>
    <row r="273" ht="14.25" customHeight="1">
      <c r="E273" s="10"/>
      <c r="J273" s="10"/>
    </row>
    <row r="274" ht="14.25" customHeight="1">
      <c r="E274" s="10"/>
      <c r="J274" s="10"/>
    </row>
    <row r="275" ht="14.25" customHeight="1">
      <c r="E275" s="10"/>
      <c r="J275" s="10"/>
    </row>
    <row r="276" ht="14.25" customHeight="1">
      <c r="E276" s="10"/>
      <c r="J276" s="10"/>
    </row>
    <row r="277" ht="14.25" customHeight="1">
      <c r="E277" s="10"/>
      <c r="J277" s="10"/>
    </row>
    <row r="278" ht="14.25" customHeight="1">
      <c r="E278" s="10"/>
      <c r="J278" s="10"/>
    </row>
    <row r="279" ht="14.25" customHeight="1">
      <c r="E279" s="10"/>
      <c r="J279" s="10"/>
    </row>
    <row r="280" ht="14.25" customHeight="1">
      <c r="E280" s="10"/>
      <c r="J280" s="10"/>
    </row>
    <row r="281" ht="14.25" customHeight="1">
      <c r="E281" s="10"/>
      <c r="J281" s="10"/>
    </row>
    <row r="282" ht="14.25" customHeight="1">
      <c r="E282" s="10"/>
      <c r="J282" s="10"/>
    </row>
    <row r="283" ht="14.25" customHeight="1">
      <c r="E283" s="10"/>
      <c r="J283" s="10"/>
    </row>
    <row r="284" ht="14.25" customHeight="1">
      <c r="E284" s="10"/>
      <c r="J284" s="10"/>
    </row>
    <row r="285" ht="14.25" customHeight="1">
      <c r="E285" s="10"/>
      <c r="J285" s="10"/>
    </row>
    <row r="286" ht="14.25" customHeight="1">
      <c r="E286" s="10"/>
      <c r="J286" s="10"/>
    </row>
    <row r="287" ht="14.25" customHeight="1">
      <c r="E287" s="10"/>
      <c r="J287" s="10"/>
    </row>
    <row r="288" ht="14.25" customHeight="1">
      <c r="E288" s="10"/>
      <c r="J288" s="10"/>
    </row>
    <row r="289" ht="14.25" customHeight="1">
      <c r="E289" s="10"/>
      <c r="J289" s="10"/>
    </row>
    <row r="290" ht="14.25" customHeight="1">
      <c r="E290" s="10"/>
      <c r="J290" s="10"/>
    </row>
    <row r="291" ht="14.25" customHeight="1">
      <c r="E291" s="10"/>
      <c r="J291" s="10"/>
    </row>
    <row r="292" ht="14.25" customHeight="1">
      <c r="E292" s="10"/>
      <c r="J292" s="10"/>
    </row>
    <row r="293" ht="14.25" customHeight="1">
      <c r="E293" s="10"/>
      <c r="J293" s="10"/>
    </row>
    <row r="294" ht="14.25" customHeight="1">
      <c r="E294" s="10"/>
      <c r="J294" s="10"/>
    </row>
    <row r="295" ht="14.25" customHeight="1">
      <c r="E295" s="10"/>
      <c r="J295" s="10"/>
    </row>
    <row r="296" ht="14.25" customHeight="1">
      <c r="E296" s="10"/>
      <c r="J296" s="10"/>
    </row>
    <row r="297" ht="14.25" customHeight="1">
      <c r="E297" s="10"/>
      <c r="J297" s="10"/>
    </row>
    <row r="298" ht="14.25" customHeight="1">
      <c r="E298" s="10"/>
      <c r="J298" s="10"/>
    </row>
    <row r="299" ht="14.25" customHeight="1">
      <c r="E299" s="10"/>
      <c r="J299" s="10"/>
    </row>
    <row r="300" ht="14.25" customHeight="1">
      <c r="E300" s="10"/>
      <c r="J300" s="10"/>
    </row>
    <row r="301" ht="14.25" customHeight="1">
      <c r="E301" s="10"/>
      <c r="J301" s="10"/>
    </row>
    <row r="302" ht="14.25" customHeight="1">
      <c r="E302" s="10"/>
      <c r="J302" s="10"/>
    </row>
    <row r="303" ht="14.25" customHeight="1">
      <c r="E303" s="10"/>
      <c r="J303" s="10"/>
    </row>
    <row r="304" ht="14.25" customHeight="1">
      <c r="E304" s="10"/>
      <c r="J304" s="10"/>
    </row>
    <row r="305" ht="14.25" customHeight="1">
      <c r="E305" s="10"/>
      <c r="J305" s="10"/>
    </row>
    <row r="306" ht="14.25" customHeight="1">
      <c r="E306" s="10"/>
      <c r="J306" s="10"/>
    </row>
    <row r="307" ht="14.25" customHeight="1">
      <c r="E307" s="10"/>
      <c r="J307" s="10"/>
    </row>
    <row r="308" ht="14.25" customHeight="1">
      <c r="E308" s="10"/>
      <c r="J308" s="10"/>
    </row>
    <row r="309" ht="14.25" customHeight="1">
      <c r="E309" s="10"/>
      <c r="J309" s="10"/>
    </row>
    <row r="310" ht="14.25" customHeight="1">
      <c r="E310" s="10"/>
      <c r="J310" s="10"/>
    </row>
    <row r="311" ht="14.25" customHeight="1">
      <c r="E311" s="10"/>
      <c r="J311" s="10"/>
    </row>
    <row r="312" ht="14.25" customHeight="1">
      <c r="E312" s="10"/>
      <c r="J312" s="10"/>
    </row>
    <row r="313" ht="14.25" customHeight="1">
      <c r="E313" s="10"/>
      <c r="J313" s="10"/>
    </row>
    <row r="314" ht="14.25" customHeight="1">
      <c r="E314" s="10"/>
      <c r="J314" s="10"/>
    </row>
    <row r="315" ht="14.25" customHeight="1">
      <c r="E315" s="10"/>
      <c r="J315" s="10"/>
    </row>
    <row r="316" ht="14.25" customHeight="1">
      <c r="E316" s="10"/>
      <c r="J316" s="10"/>
    </row>
    <row r="317" ht="14.25" customHeight="1">
      <c r="E317" s="10"/>
      <c r="J317" s="10"/>
    </row>
    <row r="318" ht="14.25" customHeight="1">
      <c r="E318" s="10"/>
      <c r="J318" s="10"/>
    </row>
    <row r="319" ht="14.25" customHeight="1">
      <c r="E319" s="10"/>
      <c r="J319" s="10"/>
    </row>
    <row r="320" ht="14.25" customHeight="1">
      <c r="E320" s="10"/>
      <c r="J320" s="10"/>
    </row>
    <row r="321" ht="14.25" customHeight="1">
      <c r="E321" s="10"/>
      <c r="J321" s="10"/>
    </row>
    <row r="322" ht="14.25" customHeight="1">
      <c r="E322" s="10"/>
      <c r="J322" s="10"/>
    </row>
    <row r="323" ht="14.25" customHeight="1">
      <c r="E323" s="10"/>
      <c r="J323" s="10"/>
    </row>
    <row r="324" ht="14.25" customHeight="1">
      <c r="E324" s="10"/>
      <c r="J324" s="10"/>
    </row>
    <row r="325" ht="14.25" customHeight="1">
      <c r="E325" s="10"/>
      <c r="J325" s="10"/>
    </row>
    <row r="326" ht="14.25" customHeight="1">
      <c r="E326" s="10"/>
      <c r="J326" s="10"/>
    </row>
    <row r="327" ht="14.25" customHeight="1">
      <c r="E327" s="10"/>
      <c r="J327" s="10"/>
    </row>
    <row r="328" ht="14.25" customHeight="1">
      <c r="E328" s="10"/>
      <c r="J328" s="10"/>
    </row>
    <row r="329" ht="14.25" customHeight="1">
      <c r="E329" s="10"/>
      <c r="J329" s="10"/>
    </row>
    <row r="330" ht="14.25" customHeight="1">
      <c r="E330" s="10"/>
      <c r="J330" s="10"/>
    </row>
    <row r="331" ht="14.25" customHeight="1">
      <c r="E331" s="10"/>
      <c r="J331" s="10"/>
    </row>
    <row r="332" ht="14.25" customHeight="1">
      <c r="E332" s="10"/>
      <c r="J332" s="10"/>
    </row>
    <row r="333" ht="14.25" customHeight="1">
      <c r="E333" s="10"/>
      <c r="J333" s="10"/>
    </row>
    <row r="334" ht="14.25" customHeight="1">
      <c r="E334" s="10"/>
      <c r="J334" s="10"/>
    </row>
    <row r="335" ht="14.25" customHeight="1">
      <c r="E335" s="10"/>
      <c r="J335" s="10"/>
    </row>
    <row r="336" ht="14.25" customHeight="1">
      <c r="E336" s="10"/>
      <c r="J336" s="10"/>
    </row>
    <row r="337" ht="14.25" customHeight="1">
      <c r="E337" s="10"/>
      <c r="J337" s="10"/>
    </row>
    <row r="338" ht="14.25" customHeight="1">
      <c r="E338" s="10"/>
      <c r="J338" s="10"/>
    </row>
    <row r="339" ht="14.25" customHeight="1">
      <c r="E339" s="10"/>
      <c r="J339" s="10"/>
    </row>
    <row r="340" ht="14.25" customHeight="1">
      <c r="E340" s="10"/>
      <c r="J340" s="10"/>
    </row>
    <row r="341" ht="14.25" customHeight="1">
      <c r="E341" s="10"/>
      <c r="J341" s="10"/>
    </row>
    <row r="342" ht="14.25" customHeight="1">
      <c r="E342" s="10"/>
      <c r="J342" s="10"/>
    </row>
    <row r="343" ht="14.25" customHeight="1">
      <c r="E343" s="10"/>
      <c r="J343" s="10"/>
    </row>
    <row r="344" ht="14.25" customHeight="1">
      <c r="E344" s="10"/>
      <c r="J344" s="10"/>
    </row>
    <row r="345" ht="14.25" customHeight="1">
      <c r="E345" s="10"/>
      <c r="J345" s="10"/>
    </row>
    <row r="346" ht="14.25" customHeight="1">
      <c r="E346" s="10"/>
      <c r="J346" s="10"/>
    </row>
    <row r="347" ht="14.25" customHeight="1">
      <c r="E347" s="10"/>
      <c r="J347" s="10"/>
    </row>
    <row r="348" ht="14.25" customHeight="1">
      <c r="E348" s="10"/>
      <c r="J348" s="10"/>
    </row>
    <row r="349" ht="14.25" customHeight="1">
      <c r="E349" s="10"/>
      <c r="J349" s="10"/>
    </row>
    <row r="350" ht="14.25" customHeight="1">
      <c r="E350" s="10"/>
      <c r="J350" s="10"/>
    </row>
    <row r="351" ht="14.25" customHeight="1">
      <c r="E351" s="10"/>
      <c r="J351" s="10"/>
    </row>
    <row r="352" ht="14.25" customHeight="1">
      <c r="E352" s="10"/>
      <c r="J352" s="10"/>
    </row>
    <row r="353" ht="14.25" customHeight="1">
      <c r="E353" s="10"/>
      <c r="J353" s="10"/>
    </row>
    <row r="354" ht="14.25" customHeight="1">
      <c r="E354" s="10"/>
      <c r="J354" s="10"/>
    </row>
    <row r="355" ht="14.25" customHeight="1">
      <c r="E355" s="10"/>
      <c r="J355" s="10"/>
    </row>
    <row r="356" ht="14.25" customHeight="1">
      <c r="E356" s="10"/>
      <c r="J356" s="10"/>
    </row>
    <row r="357" ht="14.25" customHeight="1">
      <c r="E357" s="10"/>
      <c r="J357" s="10"/>
    </row>
    <row r="358" ht="14.25" customHeight="1">
      <c r="E358" s="10"/>
      <c r="J358" s="10"/>
    </row>
    <row r="359" ht="14.25" customHeight="1">
      <c r="E359" s="10"/>
      <c r="J359" s="10"/>
    </row>
    <row r="360" ht="14.25" customHeight="1">
      <c r="E360" s="10"/>
      <c r="J360" s="10"/>
    </row>
    <row r="361" ht="14.25" customHeight="1">
      <c r="E361" s="10"/>
      <c r="J361" s="10"/>
    </row>
    <row r="362" ht="14.25" customHeight="1">
      <c r="E362" s="10"/>
      <c r="J362" s="10"/>
    </row>
    <row r="363" ht="14.25" customHeight="1">
      <c r="E363" s="10"/>
      <c r="J363" s="10"/>
    </row>
    <row r="364" ht="14.25" customHeight="1">
      <c r="E364" s="10"/>
      <c r="J364" s="10"/>
    </row>
    <row r="365" ht="14.25" customHeight="1">
      <c r="E365" s="10"/>
      <c r="J365" s="10"/>
    </row>
    <row r="366" ht="14.25" customHeight="1">
      <c r="E366" s="10"/>
      <c r="J366" s="10"/>
    </row>
    <row r="367" ht="14.25" customHeight="1">
      <c r="E367" s="10"/>
      <c r="J367" s="10"/>
    </row>
    <row r="368" ht="14.25" customHeight="1">
      <c r="E368" s="10"/>
      <c r="J368" s="10"/>
    </row>
    <row r="369" ht="14.25" customHeight="1">
      <c r="E369" s="10"/>
      <c r="J369" s="10"/>
    </row>
    <row r="370" ht="14.25" customHeight="1">
      <c r="E370" s="10"/>
      <c r="J370" s="10"/>
    </row>
    <row r="371" ht="14.25" customHeight="1">
      <c r="E371" s="10"/>
      <c r="J371" s="10"/>
    </row>
    <row r="372" ht="14.25" customHeight="1">
      <c r="E372" s="10"/>
      <c r="J372" s="10"/>
    </row>
    <row r="373" ht="14.25" customHeight="1">
      <c r="E373" s="10"/>
      <c r="J373" s="10"/>
    </row>
    <row r="374" ht="14.25" customHeight="1">
      <c r="E374" s="10"/>
      <c r="J374" s="10"/>
    </row>
    <row r="375" ht="14.25" customHeight="1">
      <c r="E375" s="10"/>
      <c r="J375" s="10"/>
    </row>
    <row r="376" ht="14.25" customHeight="1">
      <c r="E376" s="10"/>
      <c r="J376" s="10"/>
    </row>
    <row r="377" ht="14.25" customHeight="1">
      <c r="E377" s="10"/>
      <c r="J377" s="10"/>
    </row>
    <row r="378" ht="14.25" customHeight="1">
      <c r="E378" s="10"/>
      <c r="J378" s="10"/>
    </row>
    <row r="379" ht="14.25" customHeight="1">
      <c r="E379" s="10"/>
      <c r="J379" s="10"/>
    </row>
    <row r="380" ht="14.25" customHeight="1">
      <c r="E380" s="10"/>
      <c r="J380" s="10"/>
    </row>
    <row r="381" ht="14.25" customHeight="1">
      <c r="E381" s="10"/>
      <c r="J381" s="10"/>
    </row>
    <row r="382" ht="14.25" customHeight="1">
      <c r="E382" s="10"/>
      <c r="J382" s="10"/>
    </row>
    <row r="383" ht="14.25" customHeight="1">
      <c r="E383" s="10"/>
      <c r="J383" s="10"/>
    </row>
    <row r="384" ht="14.25" customHeight="1">
      <c r="E384" s="10"/>
      <c r="J384" s="10"/>
    </row>
    <row r="385" ht="14.25" customHeight="1">
      <c r="E385" s="10"/>
      <c r="J385" s="10"/>
    </row>
    <row r="386" ht="14.25" customHeight="1">
      <c r="E386" s="10"/>
      <c r="J386" s="10"/>
    </row>
    <row r="387" ht="14.25" customHeight="1">
      <c r="E387" s="10"/>
      <c r="J387" s="10"/>
    </row>
    <row r="388" ht="14.25" customHeight="1">
      <c r="E388" s="10"/>
      <c r="J388" s="10"/>
    </row>
    <row r="389" ht="14.25" customHeight="1">
      <c r="E389" s="10"/>
      <c r="J389" s="10"/>
    </row>
    <row r="390" ht="14.25" customHeight="1">
      <c r="E390" s="10"/>
      <c r="J390" s="10"/>
    </row>
    <row r="391" ht="14.25" customHeight="1">
      <c r="E391" s="10"/>
      <c r="J391" s="10"/>
    </row>
    <row r="392" ht="14.25" customHeight="1">
      <c r="E392" s="10"/>
      <c r="J392" s="10"/>
    </row>
    <row r="393" ht="14.25" customHeight="1">
      <c r="E393" s="10"/>
      <c r="J393" s="10"/>
    </row>
    <row r="394" ht="14.25" customHeight="1">
      <c r="E394" s="10"/>
      <c r="J394" s="10"/>
    </row>
    <row r="395" ht="14.25" customHeight="1">
      <c r="E395" s="10"/>
      <c r="J395" s="10"/>
    </row>
    <row r="396" ht="14.25" customHeight="1">
      <c r="E396" s="10"/>
      <c r="J396" s="10"/>
    </row>
    <row r="397" ht="14.25" customHeight="1">
      <c r="E397" s="10"/>
      <c r="J397" s="10"/>
    </row>
    <row r="398" ht="14.25" customHeight="1">
      <c r="E398" s="10"/>
      <c r="J398" s="10"/>
    </row>
    <row r="399" ht="14.25" customHeight="1">
      <c r="E399" s="10"/>
      <c r="J399" s="10"/>
    </row>
    <row r="400" ht="14.25" customHeight="1">
      <c r="E400" s="10"/>
      <c r="J400" s="10"/>
    </row>
    <row r="401" ht="14.25" customHeight="1">
      <c r="E401" s="10"/>
      <c r="J401" s="10"/>
    </row>
    <row r="402" ht="14.25" customHeight="1">
      <c r="E402" s="10"/>
      <c r="J402" s="10"/>
    </row>
    <row r="403" ht="14.25" customHeight="1">
      <c r="E403" s="10"/>
      <c r="J403" s="10"/>
    </row>
    <row r="404" ht="14.25" customHeight="1">
      <c r="E404" s="10"/>
      <c r="J404" s="10"/>
    </row>
    <row r="405" ht="14.25" customHeight="1">
      <c r="E405" s="10"/>
      <c r="J405" s="10"/>
    </row>
    <row r="406" ht="14.25" customHeight="1">
      <c r="E406" s="10"/>
      <c r="J406" s="10"/>
    </row>
    <row r="407" ht="14.25" customHeight="1">
      <c r="E407" s="10"/>
      <c r="J407" s="10"/>
    </row>
    <row r="408" ht="14.25" customHeight="1">
      <c r="E408" s="10"/>
      <c r="J408" s="10"/>
    </row>
    <row r="409" ht="14.25" customHeight="1">
      <c r="E409" s="10"/>
      <c r="J409" s="10"/>
    </row>
    <row r="410" ht="14.25" customHeight="1">
      <c r="E410" s="10"/>
      <c r="J410" s="10"/>
    </row>
    <row r="411" ht="14.25" customHeight="1">
      <c r="E411" s="10"/>
      <c r="J411" s="10"/>
    </row>
    <row r="412" ht="14.25" customHeight="1">
      <c r="E412" s="10"/>
      <c r="J412" s="10"/>
    </row>
    <row r="413" ht="14.25" customHeight="1">
      <c r="E413" s="10"/>
      <c r="J413" s="10"/>
    </row>
    <row r="414" ht="14.25" customHeight="1">
      <c r="E414" s="10"/>
      <c r="J414" s="10"/>
    </row>
    <row r="415" ht="14.25" customHeight="1">
      <c r="E415" s="10"/>
      <c r="J415" s="10"/>
    </row>
    <row r="416" ht="14.25" customHeight="1">
      <c r="E416" s="10"/>
      <c r="J416" s="10"/>
    </row>
    <row r="417" ht="14.25" customHeight="1">
      <c r="E417" s="10"/>
      <c r="J417" s="10"/>
    </row>
    <row r="418" ht="14.25" customHeight="1">
      <c r="E418" s="10"/>
      <c r="J418" s="10"/>
    </row>
    <row r="419" ht="14.25" customHeight="1">
      <c r="E419" s="10"/>
      <c r="J419" s="10"/>
    </row>
    <row r="420" ht="14.25" customHeight="1">
      <c r="E420" s="10"/>
      <c r="J420" s="10"/>
    </row>
    <row r="421" ht="14.25" customHeight="1">
      <c r="E421" s="10"/>
      <c r="J421" s="10"/>
    </row>
    <row r="422" ht="14.25" customHeight="1">
      <c r="E422" s="10"/>
      <c r="J422" s="10"/>
    </row>
    <row r="423" ht="14.25" customHeight="1">
      <c r="E423" s="10"/>
      <c r="J423" s="10"/>
    </row>
    <row r="424" ht="14.25" customHeight="1">
      <c r="E424" s="10"/>
      <c r="J424" s="10"/>
    </row>
    <row r="425" ht="14.25" customHeight="1">
      <c r="E425" s="10"/>
      <c r="J425" s="10"/>
    </row>
    <row r="426" ht="14.25" customHeight="1">
      <c r="E426" s="10"/>
      <c r="J426" s="10"/>
    </row>
    <row r="427" ht="14.25" customHeight="1">
      <c r="E427" s="10"/>
      <c r="J427" s="10"/>
    </row>
    <row r="428" ht="14.25" customHeight="1">
      <c r="E428" s="10"/>
      <c r="J428" s="10"/>
    </row>
    <row r="429" ht="14.25" customHeight="1">
      <c r="E429" s="10"/>
      <c r="J429" s="10"/>
    </row>
    <row r="430" ht="14.25" customHeight="1">
      <c r="E430" s="10"/>
      <c r="J430" s="10"/>
    </row>
    <row r="431" ht="14.25" customHeight="1">
      <c r="E431" s="10"/>
      <c r="J431" s="10"/>
    </row>
    <row r="432" ht="14.25" customHeight="1">
      <c r="E432" s="10"/>
      <c r="J432" s="10"/>
    </row>
    <row r="433" ht="14.25" customHeight="1">
      <c r="E433" s="10"/>
      <c r="J433" s="10"/>
    </row>
    <row r="434" ht="14.25" customHeight="1">
      <c r="E434" s="10"/>
      <c r="J434" s="10"/>
    </row>
    <row r="435" ht="14.25" customHeight="1">
      <c r="E435" s="10"/>
      <c r="J435" s="10"/>
    </row>
    <row r="436" ht="14.25" customHeight="1">
      <c r="E436" s="10"/>
      <c r="J436" s="10"/>
    </row>
    <row r="437" ht="14.25" customHeight="1">
      <c r="E437" s="10"/>
      <c r="J437" s="10"/>
    </row>
    <row r="438" ht="14.25" customHeight="1">
      <c r="E438" s="10"/>
      <c r="J438" s="10"/>
    </row>
    <row r="439" ht="14.25" customHeight="1">
      <c r="E439" s="10"/>
      <c r="J439" s="10"/>
    </row>
    <row r="440" ht="14.25" customHeight="1">
      <c r="E440" s="10"/>
      <c r="J440" s="10"/>
    </row>
    <row r="441" ht="14.25" customHeight="1">
      <c r="E441" s="10"/>
      <c r="J441" s="10"/>
    </row>
    <row r="442" ht="14.25" customHeight="1">
      <c r="E442" s="10"/>
      <c r="J442" s="10"/>
    </row>
    <row r="443" ht="14.25" customHeight="1">
      <c r="E443" s="10"/>
      <c r="J443" s="10"/>
    </row>
    <row r="444" ht="14.25" customHeight="1">
      <c r="E444" s="10"/>
      <c r="J444" s="10"/>
    </row>
    <row r="445" ht="14.25" customHeight="1">
      <c r="E445" s="10"/>
      <c r="J445" s="10"/>
    </row>
    <row r="446" ht="14.25" customHeight="1">
      <c r="E446" s="10"/>
      <c r="J446" s="10"/>
    </row>
    <row r="447" ht="14.25" customHeight="1">
      <c r="E447" s="10"/>
      <c r="J447" s="10"/>
    </row>
    <row r="448" ht="14.25" customHeight="1">
      <c r="E448" s="10"/>
      <c r="J448" s="10"/>
    </row>
    <row r="449" ht="14.25" customHeight="1">
      <c r="E449" s="10"/>
      <c r="J449" s="10"/>
    </row>
    <row r="450" ht="14.25" customHeight="1">
      <c r="E450" s="10"/>
      <c r="J450" s="10"/>
    </row>
    <row r="451" ht="14.25" customHeight="1">
      <c r="E451" s="10"/>
      <c r="J451" s="10"/>
    </row>
    <row r="452" ht="14.25" customHeight="1">
      <c r="E452" s="10"/>
      <c r="J452" s="10"/>
    </row>
    <row r="453" ht="14.25" customHeight="1">
      <c r="E453" s="10"/>
      <c r="J453" s="10"/>
    </row>
    <row r="454" ht="14.25" customHeight="1">
      <c r="E454" s="10"/>
      <c r="J454" s="10"/>
    </row>
    <row r="455" ht="14.25" customHeight="1">
      <c r="E455" s="10"/>
      <c r="J455" s="10"/>
    </row>
    <row r="456" ht="14.25" customHeight="1">
      <c r="E456" s="10"/>
      <c r="J456" s="10"/>
    </row>
    <row r="457" ht="14.25" customHeight="1">
      <c r="E457" s="10"/>
      <c r="J457" s="10"/>
    </row>
    <row r="458" ht="14.25" customHeight="1">
      <c r="E458" s="10"/>
      <c r="J458" s="10"/>
    </row>
    <row r="459" ht="14.25" customHeight="1">
      <c r="E459" s="10"/>
      <c r="J459" s="10"/>
    </row>
    <row r="460" ht="14.25" customHeight="1">
      <c r="E460" s="10"/>
      <c r="J460" s="10"/>
    </row>
    <row r="461" ht="14.25" customHeight="1">
      <c r="E461" s="10"/>
      <c r="J461" s="10"/>
    </row>
    <row r="462" ht="14.25" customHeight="1">
      <c r="E462" s="10"/>
      <c r="J462" s="10"/>
    </row>
    <row r="463" ht="14.25" customHeight="1">
      <c r="E463" s="10"/>
      <c r="J463" s="10"/>
    </row>
    <row r="464" ht="14.25" customHeight="1">
      <c r="E464" s="10"/>
      <c r="J464" s="10"/>
    </row>
    <row r="465" ht="14.25" customHeight="1">
      <c r="E465" s="10"/>
      <c r="J465" s="10"/>
    </row>
    <row r="466" ht="14.25" customHeight="1">
      <c r="E466" s="10"/>
      <c r="J466" s="10"/>
    </row>
    <row r="467" ht="14.25" customHeight="1">
      <c r="E467" s="10"/>
      <c r="J467" s="10"/>
    </row>
    <row r="468" ht="14.25" customHeight="1">
      <c r="E468" s="10"/>
      <c r="J468" s="10"/>
    </row>
    <row r="469" ht="14.25" customHeight="1">
      <c r="E469" s="10"/>
      <c r="J469" s="10"/>
    </row>
    <row r="470" ht="14.25" customHeight="1">
      <c r="E470" s="10"/>
      <c r="J470" s="10"/>
    </row>
    <row r="471" ht="14.25" customHeight="1">
      <c r="E471" s="10"/>
      <c r="J471" s="10"/>
    </row>
    <row r="472" ht="14.25" customHeight="1">
      <c r="E472" s="10"/>
      <c r="J472" s="10"/>
    </row>
    <row r="473" ht="14.25" customHeight="1">
      <c r="E473" s="10"/>
      <c r="J473" s="10"/>
    </row>
    <row r="474" ht="14.25" customHeight="1">
      <c r="E474" s="10"/>
      <c r="J474" s="10"/>
    </row>
    <row r="475" ht="14.25" customHeight="1">
      <c r="E475" s="10"/>
      <c r="J475" s="10"/>
    </row>
    <row r="476" ht="14.25" customHeight="1">
      <c r="E476" s="10"/>
      <c r="J476" s="10"/>
    </row>
    <row r="477" ht="14.25" customHeight="1">
      <c r="E477" s="10"/>
      <c r="J477" s="10"/>
    </row>
    <row r="478" ht="14.25" customHeight="1">
      <c r="E478" s="10"/>
      <c r="J478" s="10"/>
    </row>
    <row r="479" ht="14.25" customHeight="1">
      <c r="E479" s="10"/>
      <c r="J479" s="10"/>
    </row>
    <row r="480" ht="14.25" customHeight="1">
      <c r="E480" s="10"/>
      <c r="J480" s="10"/>
    </row>
    <row r="481" ht="14.25" customHeight="1">
      <c r="E481" s="10"/>
      <c r="J481" s="10"/>
    </row>
    <row r="482" ht="14.25" customHeight="1">
      <c r="E482" s="10"/>
      <c r="J482" s="10"/>
    </row>
    <row r="483" ht="14.25" customHeight="1">
      <c r="E483" s="10"/>
      <c r="J483" s="10"/>
    </row>
    <row r="484" ht="14.25" customHeight="1">
      <c r="E484" s="10"/>
      <c r="J484" s="10"/>
    </row>
    <row r="485" ht="14.25" customHeight="1">
      <c r="E485" s="10"/>
      <c r="J485" s="10"/>
    </row>
    <row r="486" ht="14.25" customHeight="1">
      <c r="E486" s="10"/>
      <c r="J486" s="10"/>
    </row>
    <row r="487" ht="14.25" customHeight="1">
      <c r="E487" s="10"/>
      <c r="J487" s="10"/>
    </row>
    <row r="488" ht="14.25" customHeight="1">
      <c r="E488" s="10"/>
      <c r="J488" s="10"/>
    </row>
    <row r="489" ht="14.25" customHeight="1">
      <c r="E489" s="10"/>
      <c r="J489" s="10"/>
    </row>
    <row r="490" ht="14.25" customHeight="1">
      <c r="E490" s="10"/>
      <c r="J490" s="10"/>
    </row>
    <row r="491" ht="14.25" customHeight="1">
      <c r="E491" s="10"/>
      <c r="J491" s="10"/>
    </row>
    <row r="492" ht="14.25" customHeight="1">
      <c r="E492" s="10"/>
      <c r="J492" s="10"/>
    </row>
    <row r="493" ht="14.25" customHeight="1">
      <c r="E493" s="10"/>
      <c r="J493" s="10"/>
    </row>
    <row r="494" ht="14.25" customHeight="1">
      <c r="E494" s="10"/>
      <c r="J494" s="10"/>
    </row>
    <row r="495" ht="14.25" customHeight="1">
      <c r="E495" s="10"/>
      <c r="J495" s="10"/>
    </row>
    <row r="496" ht="14.25" customHeight="1">
      <c r="E496" s="10"/>
      <c r="J496" s="10"/>
    </row>
    <row r="497" ht="14.25" customHeight="1">
      <c r="E497" s="10"/>
      <c r="J497" s="10"/>
    </row>
    <row r="498" ht="14.25" customHeight="1">
      <c r="E498" s="10"/>
      <c r="J498" s="10"/>
    </row>
    <row r="499" ht="14.25" customHeight="1">
      <c r="E499" s="10"/>
      <c r="J499" s="10"/>
    </row>
    <row r="500" ht="14.25" customHeight="1">
      <c r="E500" s="10"/>
      <c r="J500" s="10"/>
    </row>
    <row r="501" ht="14.25" customHeight="1">
      <c r="E501" s="10"/>
      <c r="J501" s="10"/>
    </row>
    <row r="502" ht="14.25" customHeight="1">
      <c r="E502" s="10"/>
      <c r="J502" s="10"/>
    </row>
    <row r="503" ht="14.25" customHeight="1">
      <c r="E503" s="10"/>
      <c r="J503" s="10"/>
    </row>
    <row r="504" ht="14.25" customHeight="1">
      <c r="E504" s="10"/>
      <c r="J504" s="10"/>
    </row>
    <row r="505" ht="14.25" customHeight="1">
      <c r="E505" s="10"/>
      <c r="J505" s="10"/>
    </row>
    <row r="506" ht="14.25" customHeight="1">
      <c r="E506" s="10"/>
      <c r="J506" s="10"/>
    </row>
    <row r="507" ht="14.25" customHeight="1">
      <c r="E507" s="10"/>
      <c r="J507" s="10"/>
    </row>
    <row r="508" ht="14.25" customHeight="1">
      <c r="E508" s="10"/>
      <c r="J508" s="10"/>
    </row>
    <row r="509" ht="14.25" customHeight="1">
      <c r="E509" s="10"/>
      <c r="J509" s="10"/>
    </row>
    <row r="510" ht="14.25" customHeight="1">
      <c r="E510" s="10"/>
      <c r="J510" s="10"/>
    </row>
    <row r="511" ht="14.25" customHeight="1">
      <c r="E511" s="10"/>
      <c r="J511" s="10"/>
    </row>
    <row r="512" ht="14.25" customHeight="1">
      <c r="E512" s="10"/>
      <c r="J512" s="10"/>
    </row>
    <row r="513" ht="14.25" customHeight="1">
      <c r="E513" s="10"/>
      <c r="J513" s="10"/>
    </row>
    <row r="514" ht="14.25" customHeight="1">
      <c r="E514" s="10"/>
      <c r="J514" s="10"/>
    </row>
    <row r="515" ht="14.25" customHeight="1">
      <c r="E515" s="10"/>
      <c r="J515" s="10"/>
    </row>
    <row r="516" ht="14.25" customHeight="1">
      <c r="E516" s="10"/>
      <c r="J516" s="10"/>
    </row>
    <row r="517" ht="14.25" customHeight="1">
      <c r="E517" s="10"/>
      <c r="J517" s="10"/>
    </row>
    <row r="518" ht="14.25" customHeight="1">
      <c r="E518" s="10"/>
      <c r="J518" s="10"/>
    </row>
    <row r="519" ht="14.25" customHeight="1">
      <c r="E519" s="10"/>
      <c r="J519" s="10"/>
    </row>
    <row r="520" ht="14.25" customHeight="1">
      <c r="E520" s="10"/>
      <c r="J520" s="10"/>
    </row>
    <row r="521" ht="14.25" customHeight="1">
      <c r="E521" s="10"/>
      <c r="J521" s="10"/>
    </row>
    <row r="522" ht="14.25" customHeight="1">
      <c r="E522" s="10"/>
      <c r="J522" s="10"/>
    </row>
    <row r="523" ht="14.25" customHeight="1">
      <c r="E523" s="10"/>
      <c r="J523" s="10"/>
    </row>
    <row r="524" ht="14.25" customHeight="1">
      <c r="E524" s="10"/>
      <c r="J524" s="10"/>
    </row>
    <row r="525" ht="14.25" customHeight="1">
      <c r="E525" s="10"/>
      <c r="J525" s="10"/>
    </row>
    <row r="526" ht="14.25" customHeight="1">
      <c r="E526" s="10"/>
      <c r="J526" s="10"/>
    </row>
    <row r="527" ht="14.25" customHeight="1">
      <c r="E527" s="10"/>
      <c r="J527" s="10"/>
    </row>
    <row r="528" ht="14.25" customHeight="1">
      <c r="E528" s="10"/>
      <c r="J528" s="10"/>
    </row>
    <row r="529" ht="14.25" customHeight="1">
      <c r="E529" s="10"/>
      <c r="J529" s="10"/>
    </row>
    <row r="530" ht="14.25" customHeight="1">
      <c r="E530" s="10"/>
      <c r="J530" s="10"/>
    </row>
    <row r="531" ht="14.25" customHeight="1">
      <c r="E531" s="10"/>
      <c r="J531" s="10"/>
    </row>
    <row r="532" ht="14.25" customHeight="1">
      <c r="E532" s="10"/>
      <c r="J532" s="10"/>
    </row>
    <row r="533" ht="14.25" customHeight="1">
      <c r="E533" s="10"/>
      <c r="J533" s="10"/>
    </row>
    <row r="534" ht="14.25" customHeight="1">
      <c r="E534" s="10"/>
      <c r="J534" s="10"/>
    </row>
    <row r="535" ht="14.25" customHeight="1">
      <c r="E535" s="10"/>
      <c r="J535" s="10"/>
    </row>
    <row r="536" ht="14.25" customHeight="1">
      <c r="E536" s="10"/>
      <c r="J536" s="10"/>
    </row>
    <row r="537" ht="14.25" customHeight="1">
      <c r="E537" s="10"/>
      <c r="J537" s="10"/>
    </row>
    <row r="538" ht="14.25" customHeight="1">
      <c r="E538" s="10"/>
      <c r="J538" s="10"/>
    </row>
    <row r="539" ht="14.25" customHeight="1">
      <c r="E539" s="10"/>
      <c r="J539" s="10"/>
    </row>
    <row r="540" ht="14.25" customHeight="1">
      <c r="E540" s="10"/>
      <c r="J540" s="10"/>
    </row>
    <row r="541" ht="14.25" customHeight="1">
      <c r="E541" s="10"/>
      <c r="J541" s="10"/>
    </row>
    <row r="542" ht="14.25" customHeight="1">
      <c r="E542" s="10"/>
      <c r="J542" s="10"/>
    </row>
    <row r="543" ht="14.25" customHeight="1">
      <c r="E543" s="10"/>
      <c r="J543" s="10"/>
    </row>
    <row r="544" ht="14.25" customHeight="1">
      <c r="E544" s="10"/>
      <c r="J544" s="10"/>
    </row>
    <row r="545" ht="14.25" customHeight="1">
      <c r="E545" s="10"/>
      <c r="J545" s="10"/>
    </row>
    <row r="546" ht="14.25" customHeight="1">
      <c r="E546" s="10"/>
      <c r="J546" s="10"/>
    </row>
    <row r="547" ht="14.25" customHeight="1">
      <c r="E547" s="10"/>
      <c r="J547" s="10"/>
    </row>
    <row r="548" ht="14.25" customHeight="1">
      <c r="E548" s="10"/>
      <c r="J548" s="10"/>
    </row>
    <row r="549" ht="14.25" customHeight="1">
      <c r="E549" s="10"/>
      <c r="J549" s="10"/>
    </row>
    <row r="550" ht="14.25" customHeight="1">
      <c r="E550" s="10"/>
      <c r="J550" s="10"/>
    </row>
    <row r="551" ht="14.25" customHeight="1">
      <c r="E551" s="10"/>
      <c r="J551" s="10"/>
    </row>
    <row r="552" ht="14.25" customHeight="1">
      <c r="E552" s="10"/>
      <c r="J552" s="10"/>
    </row>
    <row r="553" ht="14.25" customHeight="1">
      <c r="E553" s="10"/>
      <c r="J553" s="10"/>
    </row>
    <row r="554" ht="14.25" customHeight="1">
      <c r="E554" s="10"/>
      <c r="J554" s="10"/>
    </row>
    <row r="555" ht="14.25" customHeight="1">
      <c r="E555" s="10"/>
      <c r="J555" s="10"/>
    </row>
    <row r="556" ht="14.25" customHeight="1">
      <c r="E556" s="10"/>
      <c r="J556" s="10"/>
    </row>
    <row r="557" ht="14.25" customHeight="1">
      <c r="E557" s="10"/>
      <c r="J557" s="10"/>
    </row>
    <row r="558" ht="14.25" customHeight="1">
      <c r="E558" s="10"/>
      <c r="J558" s="10"/>
    </row>
    <row r="559" ht="14.25" customHeight="1">
      <c r="E559" s="10"/>
      <c r="J559" s="10"/>
    </row>
    <row r="560" ht="14.25" customHeight="1">
      <c r="E560" s="10"/>
      <c r="J560" s="10"/>
    </row>
    <row r="561" ht="14.25" customHeight="1">
      <c r="E561" s="10"/>
      <c r="J561" s="10"/>
    </row>
    <row r="562" ht="14.25" customHeight="1">
      <c r="E562" s="10"/>
      <c r="J562" s="10"/>
    </row>
    <row r="563" ht="14.25" customHeight="1">
      <c r="E563" s="10"/>
      <c r="J563" s="10"/>
    </row>
    <row r="564" ht="14.25" customHeight="1">
      <c r="E564" s="10"/>
      <c r="J564" s="10"/>
    </row>
    <row r="565" ht="14.25" customHeight="1">
      <c r="E565" s="10"/>
      <c r="J565" s="10"/>
    </row>
    <row r="566" ht="14.25" customHeight="1">
      <c r="E566" s="10"/>
      <c r="J566" s="10"/>
    </row>
    <row r="567" ht="14.25" customHeight="1">
      <c r="E567" s="10"/>
      <c r="J567" s="10"/>
    </row>
    <row r="568" ht="14.25" customHeight="1">
      <c r="E568" s="10"/>
      <c r="J568" s="10"/>
    </row>
    <row r="569" ht="14.25" customHeight="1">
      <c r="E569" s="10"/>
      <c r="J569" s="10"/>
    </row>
    <row r="570" ht="14.25" customHeight="1">
      <c r="E570" s="10"/>
      <c r="J570" s="10"/>
    </row>
    <row r="571" ht="14.25" customHeight="1">
      <c r="E571" s="10"/>
      <c r="J571" s="10"/>
    </row>
    <row r="572" ht="14.25" customHeight="1">
      <c r="E572" s="10"/>
      <c r="J572" s="10"/>
    </row>
    <row r="573" ht="14.25" customHeight="1">
      <c r="E573" s="10"/>
      <c r="J573" s="10"/>
    </row>
    <row r="574" ht="14.25" customHeight="1">
      <c r="E574" s="10"/>
      <c r="J574" s="10"/>
    </row>
    <row r="575" ht="14.25" customHeight="1">
      <c r="E575" s="10"/>
      <c r="J575" s="10"/>
    </row>
    <row r="576" ht="14.25" customHeight="1">
      <c r="E576" s="10"/>
      <c r="J576" s="10"/>
    </row>
    <row r="577" ht="14.25" customHeight="1">
      <c r="E577" s="10"/>
      <c r="J577" s="10"/>
    </row>
    <row r="578" ht="14.25" customHeight="1">
      <c r="E578" s="10"/>
      <c r="J578" s="10"/>
    </row>
    <row r="579" ht="14.25" customHeight="1">
      <c r="E579" s="10"/>
      <c r="J579" s="10"/>
    </row>
    <row r="580" ht="14.25" customHeight="1">
      <c r="E580" s="10"/>
      <c r="J580" s="10"/>
    </row>
    <row r="581" ht="14.25" customHeight="1">
      <c r="E581" s="10"/>
      <c r="J581" s="10"/>
    </row>
    <row r="582" ht="14.25" customHeight="1">
      <c r="E582" s="10"/>
      <c r="J582" s="10"/>
    </row>
    <row r="583" ht="14.25" customHeight="1">
      <c r="E583" s="10"/>
      <c r="J583" s="10"/>
    </row>
    <row r="584" ht="14.25" customHeight="1">
      <c r="E584" s="10"/>
      <c r="J584" s="10"/>
    </row>
    <row r="585" ht="14.25" customHeight="1">
      <c r="E585" s="10"/>
      <c r="J585" s="10"/>
    </row>
    <row r="586" ht="14.25" customHeight="1">
      <c r="E586" s="10"/>
      <c r="J586" s="10"/>
    </row>
    <row r="587" ht="14.25" customHeight="1">
      <c r="E587" s="10"/>
      <c r="J587" s="10"/>
    </row>
    <row r="588" ht="14.25" customHeight="1">
      <c r="E588" s="10"/>
      <c r="J588" s="10"/>
    </row>
    <row r="589" ht="14.25" customHeight="1">
      <c r="E589" s="10"/>
      <c r="J589" s="10"/>
    </row>
    <row r="590" ht="14.25" customHeight="1">
      <c r="E590" s="10"/>
      <c r="J590" s="10"/>
    </row>
    <row r="591" ht="14.25" customHeight="1">
      <c r="E591" s="10"/>
      <c r="J591" s="10"/>
    </row>
    <row r="592" ht="14.25" customHeight="1">
      <c r="E592" s="10"/>
      <c r="J592" s="10"/>
    </row>
    <row r="593" ht="14.25" customHeight="1">
      <c r="E593" s="10"/>
      <c r="J593" s="10"/>
    </row>
    <row r="594" ht="14.25" customHeight="1">
      <c r="E594" s="10"/>
      <c r="J594" s="10"/>
    </row>
    <row r="595" ht="14.25" customHeight="1">
      <c r="E595" s="10"/>
      <c r="J595" s="10"/>
    </row>
    <row r="596" ht="14.25" customHeight="1">
      <c r="E596" s="10"/>
      <c r="J596" s="10"/>
    </row>
    <row r="597" ht="14.25" customHeight="1">
      <c r="E597" s="10"/>
      <c r="J597" s="10"/>
    </row>
    <row r="598" ht="14.25" customHeight="1">
      <c r="E598" s="10"/>
      <c r="J598" s="10"/>
    </row>
    <row r="599" ht="14.25" customHeight="1">
      <c r="E599" s="10"/>
      <c r="J599" s="10"/>
    </row>
    <row r="600" ht="14.25" customHeight="1">
      <c r="E600" s="10"/>
      <c r="J600" s="10"/>
    </row>
    <row r="601" ht="14.25" customHeight="1">
      <c r="E601" s="10"/>
      <c r="J601" s="10"/>
    </row>
    <row r="602" ht="14.25" customHeight="1">
      <c r="E602" s="10"/>
      <c r="J602" s="10"/>
    </row>
    <row r="603" ht="14.25" customHeight="1">
      <c r="E603" s="10"/>
      <c r="J603" s="10"/>
    </row>
    <row r="604" ht="14.25" customHeight="1">
      <c r="E604" s="10"/>
      <c r="J604" s="10"/>
    </row>
    <row r="605" ht="14.25" customHeight="1">
      <c r="E605" s="10"/>
      <c r="J605" s="10"/>
    </row>
    <row r="606" ht="14.25" customHeight="1">
      <c r="E606" s="10"/>
      <c r="J606" s="10"/>
    </row>
    <row r="607" ht="14.25" customHeight="1">
      <c r="E607" s="10"/>
      <c r="J607" s="10"/>
    </row>
    <row r="608" ht="14.25" customHeight="1">
      <c r="E608" s="10"/>
      <c r="J608" s="10"/>
    </row>
    <row r="609" ht="14.25" customHeight="1">
      <c r="E609" s="10"/>
      <c r="J609" s="10"/>
    </row>
    <row r="610" ht="14.25" customHeight="1">
      <c r="E610" s="10"/>
      <c r="J610" s="10"/>
    </row>
    <row r="611" ht="14.25" customHeight="1">
      <c r="E611" s="10"/>
      <c r="J611" s="10"/>
    </row>
    <row r="612" ht="14.25" customHeight="1">
      <c r="E612" s="10"/>
      <c r="J612" s="10"/>
    </row>
    <row r="613" ht="14.25" customHeight="1">
      <c r="E613" s="10"/>
      <c r="J613" s="10"/>
    </row>
    <row r="614" ht="14.25" customHeight="1">
      <c r="E614" s="10"/>
      <c r="J614" s="10"/>
    </row>
    <row r="615" ht="14.25" customHeight="1">
      <c r="E615" s="10"/>
      <c r="J615" s="10"/>
    </row>
    <row r="616" ht="14.25" customHeight="1">
      <c r="E616" s="10"/>
      <c r="J616" s="10"/>
    </row>
    <row r="617" ht="14.25" customHeight="1">
      <c r="E617" s="10"/>
      <c r="J617" s="10"/>
    </row>
    <row r="618" ht="14.25" customHeight="1">
      <c r="E618" s="10"/>
      <c r="J618" s="10"/>
    </row>
    <row r="619" ht="14.25" customHeight="1">
      <c r="E619" s="10"/>
      <c r="J619" s="10"/>
    </row>
    <row r="620" ht="14.25" customHeight="1">
      <c r="E620" s="10"/>
      <c r="J620" s="10"/>
    </row>
    <row r="621" ht="14.25" customHeight="1">
      <c r="E621" s="10"/>
      <c r="J621" s="10"/>
    </row>
    <row r="622" ht="14.25" customHeight="1">
      <c r="E622" s="10"/>
      <c r="J622" s="10"/>
    </row>
    <row r="623" ht="14.25" customHeight="1">
      <c r="E623" s="10"/>
      <c r="J623" s="10"/>
    </row>
    <row r="624" ht="14.25" customHeight="1">
      <c r="E624" s="10"/>
      <c r="J624" s="10"/>
    </row>
    <row r="625" ht="14.25" customHeight="1">
      <c r="E625" s="10"/>
      <c r="J625" s="10"/>
    </row>
    <row r="626" ht="14.25" customHeight="1">
      <c r="E626" s="10"/>
      <c r="J626" s="10"/>
    </row>
    <row r="627" ht="14.25" customHeight="1">
      <c r="E627" s="10"/>
      <c r="J627" s="10"/>
    </row>
    <row r="628" ht="14.25" customHeight="1">
      <c r="E628" s="10"/>
      <c r="J628" s="10"/>
    </row>
    <row r="629" ht="14.25" customHeight="1">
      <c r="E629" s="10"/>
      <c r="J629" s="10"/>
    </row>
    <row r="630" ht="14.25" customHeight="1">
      <c r="E630" s="10"/>
      <c r="J630" s="10"/>
    </row>
    <row r="631" ht="14.25" customHeight="1">
      <c r="E631" s="10"/>
      <c r="J631" s="10"/>
    </row>
    <row r="632" ht="14.25" customHeight="1">
      <c r="E632" s="10"/>
      <c r="J632" s="10"/>
    </row>
    <row r="633" ht="14.25" customHeight="1">
      <c r="E633" s="10"/>
      <c r="J633" s="10"/>
    </row>
    <row r="634" ht="14.25" customHeight="1">
      <c r="E634" s="10"/>
      <c r="J634" s="10"/>
    </row>
    <row r="635" ht="14.25" customHeight="1">
      <c r="E635" s="10"/>
      <c r="J635" s="10"/>
    </row>
    <row r="636" ht="14.25" customHeight="1">
      <c r="E636" s="10"/>
      <c r="J636" s="10"/>
    </row>
    <row r="637" ht="14.25" customHeight="1">
      <c r="E637" s="10"/>
      <c r="J637" s="10"/>
    </row>
    <row r="638" ht="14.25" customHeight="1">
      <c r="E638" s="10"/>
      <c r="J638" s="10"/>
    </row>
    <row r="639" ht="14.25" customHeight="1">
      <c r="E639" s="10"/>
      <c r="J639" s="10"/>
    </row>
    <row r="640" ht="14.25" customHeight="1">
      <c r="E640" s="10"/>
      <c r="J640" s="10"/>
    </row>
    <row r="641" ht="14.25" customHeight="1">
      <c r="E641" s="10"/>
      <c r="J641" s="10"/>
    </row>
    <row r="642" ht="14.25" customHeight="1">
      <c r="E642" s="10"/>
      <c r="J642" s="10"/>
    </row>
    <row r="643" ht="14.25" customHeight="1">
      <c r="E643" s="10"/>
      <c r="J643" s="10"/>
    </row>
    <row r="644" ht="14.25" customHeight="1">
      <c r="E644" s="10"/>
      <c r="J644" s="10"/>
    </row>
    <row r="645" ht="14.25" customHeight="1">
      <c r="E645" s="10"/>
      <c r="J645" s="10"/>
    </row>
    <row r="646" ht="14.25" customHeight="1">
      <c r="E646" s="10"/>
      <c r="J646" s="10"/>
    </row>
    <row r="647" ht="14.25" customHeight="1">
      <c r="E647" s="10"/>
      <c r="J647" s="10"/>
    </row>
    <row r="648" ht="14.25" customHeight="1">
      <c r="E648" s="10"/>
      <c r="J648" s="10"/>
    </row>
    <row r="649" ht="14.25" customHeight="1">
      <c r="E649" s="10"/>
      <c r="J649" s="10"/>
    </row>
    <row r="650" ht="14.25" customHeight="1">
      <c r="E650" s="10"/>
      <c r="J650" s="10"/>
    </row>
    <row r="651" ht="14.25" customHeight="1">
      <c r="E651" s="10"/>
      <c r="J651" s="10"/>
    </row>
    <row r="652" ht="14.25" customHeight="1">
      <c r="E652" s="10"/>
      <c r="J652" s="10"/>
    </row>
    <row r="653" ht="14.25" customHeight="1">
      <c r="E653" s="10"/>
      <c r="J653" s="10"/>
    </row>
    <row r="654" ht="14.25" customHeight="1">
      <c r="E654" s="10"/>
      <c r="J654" s="10"/>
    </row>
    <row r="655" ht="14.25" customHeight="1">
      <c r="E655" s="10"/>
      <c r="J655" s="10"/>
    </row>
    <row r="656" ht="14.25" customHeight="1">
      <c r="E656" s="10"/>
      <c r="J656" s="10"/>
    </row>
    <row r="657" ht="14.25" customHeight="1">
      <c r="E657" s="10"/>
      <c r="J657" s="10"/>
    </row>
    <row r="658" ht="14.25" customHeight="1">
      <c r="E658" s="10"/>
      <c r="J658" s="10"/>
    </row>
    <row r="659" ht="14.25" customHeight="1">
      <c r="E659" s="10"/>
      <c r="J659" s="10"/>
    </row>
    <row r="660" ht="14.25" customHeight="1">
      <c r="E660" s="10"/>
      <c r="J660" s="10"/>
    </row>
    <row r="661" ht="14.25" customHeight="1">
      <c r="E661" s="10"/>
      <c r="J661" s="10"/>
    </row>
    <row r="662" ht="14.25" customHeight="1">
      <c r="E662" s="10"/>
      <c r="J662" s="10"/>
    </row>
    <row r="663" ht="14.25" customHeight="1">
      <c r="E663" s="10"/>
      <c r="J663" s="10"/>
    </row>
    <row r="664" ht="14.25" customHeight="1">
      <c r="E664" s="10"/>
      <c r="J664" s="10"/>
    </row>
    <row r="665" ht="14.25" customHeight="1">
      <c r="E665" s="10"/>
      <c r="J665" s="10"/>
    </row>
    <row r="666" ht="14.25" customHeight="1">
      <c r="E666" s="10"/>
      <c r="J666" s="10"/>
    </row>
    <row r="667" ht="14.25" customHeight="1">
      <c r="E667" s="10"/>
      <c r="J667" s="10"/>
    </row>
    <row r="668" ht="14.25" customHeight="1">
      <c r="E668" s="10"/>
      <c r="J668" s="10"/>
    </row>
    <row r="669" ht="14.25" customHeight="1">
      <c r="E669" s="10"/>
      <c r="J669" s="10"/>
    </row>
    <row r="670" ht="14.25" customHeight="1">
      <c r="E670" s="10"/>
      <c r="J670" s="10"/>
    </row>
    <row r="671" ht="14.25" customHeight="1">
      <c r="E671" s="10"/>
      <c r="J671" s="10"/>
    </row>
    <row r="672" ht="14.25" customHeight="1">
      <c r="E672" s="10"/>
      <c r="J672" s="10"/>
    </row>
    <row r="673" ht="14.25" customHeight="1">
      <c r="E673" s="10"/>
      <c r="J673" s="10"/>
    </row>
    <row r="674" ht="14.25" customHeight="1">
      <c r="E674" s="10"/>
      <c r="J674" s="10"/>
    </row>
    <row r="675" ht="14.25" customHeight="1">
      <c r="E675" s="10"/>
      <c r="J675" s="10"/>
    </row>
    <row r="676" ht="14.25" customHeight="1">
      <c r="E676" s="10"/>
      <c r="J676" s="10"/>
    </row>
    <row r="677" ht="14.25" customHeight="1">
      <c r="E677" s="10"/>
      <c r="J677" s="10"/>
    </row>
    <row r="678" ht="14.25" customHeight="1">
      <c r="E678" s="10"/>
      <c r="J678" s="10"/>
    </row>
    <row r="679" ht="14.25" customHeight="1">
      <c r="E679" s="10"/>
      <c r="J679" s="10"/>
    </row>
    <row r="680" ht="14.25" customHeight="1">
      <c r="E680" s="10"/>
      <c r="J680" s="10"/>
    </row>
    <row r="681" ht="14.25" customHeight="1">
      <c r="E681" s="10"/>
      <c r="J681" s="10"/>
    </row>
    <row r="682" ht="14.25" customHeight="1">
      <c r="E682" s="10"/>
      <c r="J682" s="10"/>
    </row>
    <row r="683" ht="14.25" customHeight="1">
      <c r="E683" s="10"/>
      <c r="J683" s="10"/>
    </row>
    <row r="684" ht="14.25" customHeight="1">
      <c r="E684" s="10"/>
      <c r="J684" s="10"/>
    </row>
    <row r="685" ht="14.25" customHeight="1">
      <c r="E685" s="10"/>
      <c r="J685" s="10"/>
    </row>
    <row r="686" ht="14.25" customHeight="1">
      <c r="E686" s="10"/>
      <c r="J686" s="10"/>
    </row>
    <row r="687" ht="14.25" customHeight="1">
      <c r="E687" s="10"/>
      <c r="J687" s="10"/>
    </row>
    <row r="688" ht="14.25" customHeight="1">
      <c r="E688" s="10"/>
      <c r="J688" s="10"/>
    </row>
    <row r="689" ht="14.25" customHeight="1">
      <c r="E689" s="10"/>
      <c r="J689" s="10"/>
    </row>
    <row r="690" ht="14.25" customHeight="1">
      <c r="E690" s="10"/>
      <c r="J690" s="10"/>
    </row>
    <row r="691" ht="14.25" customHeight="1">
      <c r="E691" s="10"/>
      <c r="J691" s="10"/>
    </row>
    <row r="692" ht="14.25" customHeight="1">
      <c r="E692" s="10"/>
      <c r="J692" s="10"/>
    </row>
    <row r="693" ht="14.25" customHeight="1">
      <c r="E693" s="10"/>
      <c r="J693" s="10"/>
    </row>
    <row r="694" ht="14.25" customHeight="1">
      <c r="E694" s="10"/>
      <c r="J694" s="10"/>
    </row>
    <row r="695" ht="14.25" customHeight="1">
      <c r="E695" s="10"/>
      <c r="J695" s="10"/>
    </row>
    <row r="696" ht="14.25" customHeight="1">
      <c r="E696" s="10"/>
      <c r="J696" s="10"/>
    </row>
    <row r="697" ht="14.25" customHeight="1">
      <c r="E697" s="10"/>
      <c r="J697" s="10"/>
    </row>
    <row r="698" ht="14.25" customHeight="1">
      <c r="E698" s="10"/>
      <c r="J698" s="10"/>
    </row>
    <row r="699" ht="14.25" customHeight="1">
      <c r="E699" s="10"/>
      <c r="J699" s="10"/>
    </row>
    <row r="700" ht="14.25" customHeight="1">
      <c r="E700" s="10"/>
      <c r="J700" s="10"/>
    </row>
    <row r="701" ht="14.25" customHeight="1">
      <c r="E701" s="10"/>
      <c r="J701" s="10"/>
    </row>
    <row r="702" ht="14.25" customHeight="1">
      <c r="E702" s="10"/>
      <c r="J702" s="10"/>
    </row>
    <row r="703" ht="14.25" customHeight="1">
      <c r="E703" s="10"/>
      <c r="J703" s="10"/>
    </row>
    <row r="704" ht="14.25" customHeight="1">
      <c r="E704" s="10"/>
      <c r="J704" s="10"/>
    </row>
    <row r="705" ht="14.25" customHeight="1">
      <c r="E705" s="10"/>
      <c r="J705" s="10"/>
    </row>
    <row r="706" ht="14.25" customHeight="1">
      <c r="E706" s="10"/>
      <c r="J706" s="10"/>
    </row>
    <row r="707" ht="14.25" customHeight="1">
      <c r="E707" s="10"/>
      <c r="J707" s="10"/>
    </row>
    <row r="708" ht="14.25" customHeight="1">
      <c r="E708" s="10"/>
      <c r="J708" s="10"/>
    </row>
    <row r="709" ht="14.25" customHeight="1">
      <c r="E709" s="10"/>
      <c r="J709" s="10"/>
    </row>
    <row r="710" ht="14.25" customHeight="1">
      <c r="E710" s="10"/>
      <c r="J710" s="10"/>
    </row>
    <row r="711" ht="14.25" customHeight="1">
      <c r="E711" s="10"/>
      <c r="J711" s="10"/>
    </row>
    <row r="712" ht="14.25" customHeight="1">
      <c r="E712" s="10"/>
      <c r="J712" s="10"/>
    </row>
    <row r="713" ht="14.25" customHeight="1">
      <c r="E713" s="10"/>
      <c r="J713" s="10"/>
    </row>
    <row r="714" ht="14.25" customHeight="1">
      <c r="E714" s="10"/>
      <c r="J714" s="10"/>
    </row>
    <row r="715" ht="14.25" customHeight="1">
      <c r="E715" s="10"/>
      <c r="J715" s="10"/>
    </row>
    <row r="716" ht="14.25" customHeight="1">
      <c r="E716" s="10"/>
      <c r="J716" s="10"/>
    </row>
    <row r="717" ht="14.25" customHeight="1">
      <c r="E717" s="10"/>
      <c r="J717" s="10"/>
    </row>
    <row r="718" ht="14.25" customHeight="1">
      <c r="E718" s="10"/>
      <c r="J718" s="10"/>
    </row>
    <row r="719" ht="14.25" customHeight="1">
      <c r="E719" s="10"/>
      <c r="J719" s="10"/>
    </row>
    <row r="720" ht="14.25" customHeight="1">
      <c r="E720" s="10"/>
      <c r="J720" s="10"/>
    </row>
    <row r="721" ht="14.25" customHeight="1">
      <c r="E721" s="10"/>
      <c r="J721" s="10"/>
    </row>
    <row r="722" ht="14.25" customHeight="1">
      <c r="E722" s="10"/>
      <c r="J722" s="10"/>
    </row>
    <row r="723" ht="14.25" customHeight="1">
      <c r="E723" s="10"/>
      <c r="J723" s="10"/>
    </row>
    <row r="724" ht="14.25" customHeight="1">
      <c r="E724" s="10"/>
      <c r="J724" s="10"/>
    </row>
    <row r="725" ht="14.25" customHeight="1">
      <c r="E725" s="10"/>
      <c r="J725" s="10"/>
    </row>
    <row r="726" ht="14.25" customHeight="1">
      <c r="E726" s="10"/>
      <c r="J726" s="10"/>
    </row>
    <row r="727" ht="14.25" customHeight="1">
      <c r="E727" s="10"/>
      <c r="J727" s="10"/>
    </row>
    <row r="728" ht="14.25" customHeight="1">
      <c r="E728" s="10"/>
      <c r="J728" s="10"/>
    </row>
    <row r="729" ht="14.25" customHeight="1">
      <c r="E729" s="10"/>
      <c r="J729" s="10"/>
    </row>
    <row r="730" ht="14.25" customHeight="1">
      <c r="E730" s="10"/>
      <c r="J730" s="10"/>
    </row>
    <row r="731" ht="14.25" customHeight="1">
      <c r="E731" s="10"/>
      <c r="J731" s="10"/>
    </row>
    <row r="732" ht="14.25" customHeight="1">
      <c r="E732" s="10"/>
      <c r="J732" s="10"/>
    </row>
    <row r="733" ht="14.25" customHeight="1">
      <c r="E733" s="10"/>
      <c r="J733" s="10"/>
    </row>
    <row r="734" ht="14.25" customHeight="1">
      <c r="E734" s="10"/>
      <c r="J734" s="10"/>
    </row>
    <row r="735" ht="14.25" customHeight="1">
      <c r="E735" s="10"/>
      <c r="J735" s="10"/>
    </row>
    <row r="736" ht="14.25" customHeight="1">
      <c r="E736" s="10"/>
      <c r="J736" s="10"/>
    </row>
    <row r="737" ht="14.25" customHeight="1">
      <c r="E737" s="10"/>
      <c r="J737" s="10"/>
    </row>
    <row r="738" ht="14.25" customHeight="1">
      <c r="E738" s="10"/>
      <c r="J738" s="10"/>
    </row>
    <row r="739" ht="14.25" customHeight="1">
      <c r="E739" s="10"/>
      <c r="J739" s="10"/>
    </row>
    <row r="740" ht="14.25" customHeight="1">
      <c r="E740" s="10"/>
      <c r="J740" s="10"/>
    </row>
    <row r="741" ht="14.25" customHeight="1">
      <c r="E741" s="10"/>
      <c r="J741" s="10"/>
    </row>
    <row r="742" ht="14.25" customHeight="1">
      <c r="E742" s="10"/>
      <c r="J742" s="10"/>
    </row>
    <row r="743" ht="14.25" customHeight="1">
      <c r="E743" s="10"/>
      <c r="J743" s="10"/>
    </row>
    <row r="744" ht="14.25" customHeight="1">
      <c r="E744" s="10"/>
      <c r="J744" s="10"/>
    </row>
    <row r="745" ht="14.25" customHeight="1">
      <c r="E745" s="10"/>
      <c r="J745" s="10"/>
    </row>
    <row r="746" ht="14.25" customHeight="1">
      <c r="E746" s="10"/>
      <c r="J746" s="10"/>
    </row>
    <row r="747" ht="14.25" customHeight="1">
      <c r="E747" s="10"/>
      <c r="J747" s="10"/>
    </row>
    <row r="748" ht="14.25" customHeight="1">
      <c r="E748" s="10"/>
      <c r="J748" s="10"/>
    </row>
    <row r="749" ht="14.25" customHeight="1">
      <c r="E749" s="10"/>
      <c r="J749" s="10"/>
    </row>
    <row r="750" ht="14.25" customHeight="1">
      <c r="E750" s="10"/>
      <c r="J750" s="10"/>
    </row>
    <row r="751" ht="14.25" customHeight="1">
      <c r="E751" s="10"/>
      <c r="J751" s="10"/>
    </row>
    <row r="752" ht="14.25" customHeight="1">
      <c r="E752" s="10"/>
      <c r="J752" s="10"/>
    </row>
    <row r="753" ht="14.25" customHeight="1">
      <c r="E753" s="10"/>
      <c r="J753" s="10"/>
    </row>
    <row r="754" ht="14.25" customHeight="1">
      <c r="E754" s="10"/>
      <c r="J754" s="10"/>
    </row>
    <row r="755" ht="14.25" customHeight="1">
      <c r="E755" s="10"/>
      <c r="J755" s="10"/>
    </row>
    <row r="756" ht="14.25" customHeight="1">
      <c r="E756" s="10"/>
      <c r="J756" s="10"/>
    </row>
    <row r="757" ht="14.25" customHeight="1">
      <c r="E757" s="10"/>
      <c r="J757" s="10"/>
    </row>
    <row r="758" ht="14.25" customHeight="1">
      <c r="E758" s="10"/>
      <c r="J758" s="10"/>
    </row>
    <row r="759" ht="14.25" customHeight="1">
      <c r="E759" s="10"/>
      <c r="J759" s="10"/>
    </row>
    <row r="760" ht="14.25" customHeight="1">
      <c r="E760" s="10"/>
      <c r="J760" s="10"/>
    </row>
    <row r="761" ht="14.25" customHeight="1">
      <c r="E761" s="10"/>
      <c r="J761" s="10"/>
    </row>
    <row r="762" ht="14.25" customHeight="1">
      <c r="E762" s="10"/>
      <c r="J762" s="10"/>
    </row>
    <row r="763" ht="14.25" customHeight="1">
      <c r="E763" s="10"/>
      <c r="J763" s="10"/>
    </row>
    <row r="764" ht="14.25" customHeight="1">
      <c r="E764" s="10"/>
      <c r="J764" s="10"/>
    </row>
    <row r="765" ht="14.25" customHeight="1">
      <c r="E765" s="10"/>
      <c r="J765" s="10"/>
    </row>
    <row r="766" ht="14.25" customHeight="1">
      <c r="E766" s="10"/>
      <c r="J766" s="10"/>
    </row>
    <row r="767" ht="14.25" customHeight="1">
      <c r="E767" s="10"/>
      <c r="J767" s="10"/>
    </row>
    <row r="768" ht="14.25" customHeight="1">
      <c r="E768" s="10"/>
      <c r="J768" s="10"/>
    </row>
    <row r="769" ht="14.25" customHeight="1">
      <c r="E769" s="10"/>
      <c r="J769" s="10"/>
    </row>
    <row r="770" ht="14.25" customHeight="1">
      <c r="E770" s="10"/>
      <c r="J770" s="10"/>
    </row>
    <row r="771" ht="14.25" customHeight="1">
      <c r="E771" s="10"/>
      <c r="J771" s="10"/>
    </row>
    <row r="772" ht="14.25" customHeight="1">
      <c r="E772" s="10"/>
      <c r="J772" s="10"/>
    </row>
    <row r="773" ht="14.25" customHeight="1">
      <c r="E773" s="10"/>
      <c r="J773" s="10"/>
    </row>
    <row r="774" ht="14.25" customHeight="1">
      <c r="E774" s="10"/>
      <c r="J774" s="10"/>
    </row>
    <row r="775" ht="14.25" customHeight="1">
      <c r="E775" s="10"/>
      <c r="J775" s="10"/>
    </row>
    <row r="776" ht="14.25" customHeight="1">
      <c r="E776" s="10"/>
      <c r="J776" s="10"/>
    </row>
    <row r="777" ht="14.25" customHeight="1">
      <c r="E777" s="10"/>
      <c r="J777" s="10"/>
    </row>
    <row r="778" ht="14.25" customHeight="1">
      <c r="E778" s="10"/>
      <c r="J778" s="10"/>
    </row>
    <row r="779" ht="14.25" customHeight="1">
      <c r="E779" s="10"/>
      <c r="J779" s="10"/>
    </row>
    <row r="780" ht="14.25" customHeight="1">
      <c r="E780" s="10"/>
      <c r="J780" s="10"/>
    </row>
    <row r="781" ht="14.25" customHeight="1">
      <c r="E781" s="10"/>
      <c r="J781" s="10"/>
    </row>
    <row r="782" ht="14.25" customHeight="1">
      <c r="E782" s="10"/>
      <c r="J782" s="10"/>
    </row>
    <row r="783" ht="14.25" customHeight="1">
      <c r="E783" s="10"/>
      <c r="J783" s="10"/>
    </row>
    <row r="784" ht="14.25" customHeight="1">
      <c r="E784" s="10"/>
      <c r="J784" s="10"/>
    </row>
    <row r="785" ht="14.25" customHeight="1">
      <c r="E785" s="10"/>
      <c r="J785" s="10"/>
    </row>
    <row r="786" ht="14.25" customHeight="1">
      <c r="E786" s="10"/>
      <c r="J786" s="10"/>
    </row>
    <row r="787" ht="14.25" customHeight="1">
      <c r="E787" s="10"/>
      <c r="J787" s="10"/>
    </row>
    <row r="788" ht="14.25" customHeight="1">
      <c r="E788" s="10"/>
      <c r="J788" s="10"/>
    </row>
    <row r="789" ht="14.25" customHeight="1">
      <c r="E789" s="10"/>
      <c r="J789" s="10"/>
    </row>
    <row r="790" ht="14.25" customHeight="1">
      <c r="E790" s="10"/>
      <c r="J790" s="10"/>
    </row>
    <row r="791" ht="14.25" customHeight="1">
      <c r="E791" s="10"/>
      <c r="J791" s="10"/>
    </row>
    <row r="792" ht="14.25" customHeight="1">
      <c r="E792" s="10"/>
      <c r="J792" s="10"/>
    </row>
    <row r="793" ht="14.25" customHeight="1">
      <c r="E793" s="10"/>
      <c r="J793" s="10"/>
    </row>
    <row r="794" ht="14.25" customHeight="1">
      <c r="E794" s="10"/>
      <c r="J794" s="10"/>
    </row>
    <row r="795" ht="14.25" customHeight="1">
      <c r="E795" s="10"/>
      <c r="J795" s="10"/>
    </row>
    <row r="796" ht="14.25" customHeight="1">
      <c r="E796" s="10"/>
      <c r="J796" s="10"/>
    </row>
    <row r="797" ht="14.25" customHeight="1">
      <c r="E797" s="10"/>
      <c r="J797" s="10"/>
    </row>
    <row r="798" ht="14.25" customHeight="1">
      <c r="E798" s="10"/>
      <c r="J798" s="10"/>
    </row>
    <row r="799" ht="14.25" customHeight="1">
      <c r="E799" s="10"/>
      <c r="J799" s="10"/>
    </row>
    <row r="800" ht="14.25" customHeight="1">
      <c r="E800" s="10"/>
      <c r="J800" s="10"/>
    </row>
    <row r="801" ht="14.25" customHeight="1">
      <c r="E801" s="10"/>
      <c r="J801" s="10"/>
    </row>
    <row r="802" ht="14.25" customHeight="1">
      <c r="E802" s="10"/>
      <c r="J802" s="10"/>
    </row>
    <row r="803" ht="14.25" customHeight="1">
      <c r="E803" s="10"/>
      <c r="J803" s="10"/>
    </row>
    <row r="804" ht="14.25" customHeight="1">
      <c r="E804" s="10"/>
      <c r="J804" s="10"/>
    </row>
    <row r="805" ht="14.25" customHeight="1">
      <c r="E805" s="10"/>
      <c r="J805" s="10"/>
    </row>
    <row r="806" ht="14.25" customHeight="1">
      <c r="E806" s="10"/>
      <c r="J806" s="10"/>
    </row>
    <row r="807" ht="14.25" customHeight="1">
      <c r="E807" s="10"/>
      <c r="J807" s="10"/>
    </row>
    <row r="808" ht="14.25" customHeight="1">
      <c r="E808" s="10"/>
      <c r="J808" s="10"/>
    </row>
    <row r="809" ht="14.25" customHeight="1">
      <c r="E809" s="10"/>
      <c r="J809" s="10"/>
    </row>
    <row r="810" ht="14.25" customHeight="1">
      <c r="E810" s="10"/>
      <c r="J810" s="10"/>
    </row>
    <row r="811" ht="14.25" customHeight="1">
      <c r="E811" s="10"/>
      <c r="J811" s="10"/>
    </row>
    <row r="812" ht="14.25" customHeight="1">
      <c r="E812" s="10"/>
      <c r="J812" s="10"/>
    </row>
    <row r="813" ht="14.25" customHeight="1">
      <c r="E813" s="10"/>
      <c r="J813" s="10"/>
    </row>
    <row r="814" ht="14.25" customHeight="1">
      <c r="E814" s="10"/>
      <c r="J814" s="10"/>
    </row>
    <row r="815" ht="14.25" customHeight="1">
      <c r="E815" s="10"/>
      <c r="J815" s="10"/>
    </row>
    <row r="816" ht="14.25" customHeight="1">
      <c r="E816" s="10"/>
      <c r="J816" s="10"/>
    </row>
    <row r="817" ht="14.25" customHeight="1">
      <c r="E817" s="10"/>
      <c r="J817" s="10"/>
    </row>
    <row r="818" ht="14.25" customHeight="1">
      <c r="E818" s="10"/>
      <c r="J818" s="10"/>
    </row>
    <row r="819" ht="14.25" customHeight="1">
      <c r="E819" s="10"/>
      <c r="J819" s="10"/>
    </row>
    <row r="820" ht="14.25" customHeight="1">
      <c r="E820" s="10"/>
      <c r="J820" s="10"/>
    </row>
    <row r="821" ht="14.25" customHeight="1">
      <c r="E821" s="10"/>
      <c r="J821" s="10"/>
    </row>
    <row r="822" ht="14.25" customHeight="1">
      <c r="E822" s="10"/>
      <c r="J822" s="10"/>
    </row>
    <row r="823" ht="14.25" customHeight="1">
      <c r="E823" s="10"/>
      <c r="J823" s="10"/>
    </row>
    <row r="824" ht="14.25" customHeight="1">
      <c r="E824" s="10"/>
      <c r="J824" s="10"/>
    </row>
    <row r="825" ht="14.25" customHeight="1">
      <c r="E825" s="10"/>
      <c r="J825" s="10"/>
    </row>
    <row r="826" ht="14.25" customHeight="1">
      <c r="E826" s="10"/>
      <c r="J826" s="10"/>
    </row>
    <row r="827" ht="14.25" customHeight="1">
      <c r="E827" s="10"/>
      <c r="J827" s="10"/>
    </row>
    <row r="828" ht="14.25" customHeight="1">
      <c r="E828" s="10"/>
      <c r="J828" s="10"/>
    </row>
    <row r="829" ht="14.25" customHeight="1">
      <c r="E829" s="10"/>
      <c r="J829" s="10"/>
    </row>
    <row r="830" ht="14.25" customHeight="1">
      <c r="E830" s="10"/>
      <c r="J830" s="10"/>
    </row>
    <row r="831" ht="14.25" customHeight="1">
      <c r="E831" s="10"/>
      <c r="J831" s="10"/>
    </row>
    <row r="832" ht="14.25" customHeight="1">
      <c r="E832" s="10"/>
      <c r="J832" s="10"/>
    </row>
    <row r="833" ht="14.25" customHeight="1">
      <c r="E833" s="10"/>
      <c r="J833" s="10"/>
    </row>
    <row r="834" ht="14.25" customHeight="1">
      <c r="E834" s="10"/>
      <c r="J834" s="10"/>
    </row>
    <row r="835" ht="14.25" customHeight="1">
      <c r="E835" s="10"/>
      <c r="J835" s="10"/>
    </row>
    <row r="836" ht="14.25" customHeight="1">
      <c r="E836" s="10"/>
      <c r="J836" s="10"/>
    </row>
    <row r="837" ht="14.25" customHeight="1">
      <c r="E837" s="10"/>
      <c r="J837" s="10"/>
    </row>
    <row r="838" ht="14.25" customHeight="1">
      <c r="E838" s="10"/>
      <c r="J838" s="10"/>
    </row>
    <row r="839" ht="14.25" customHeight="1">
      <c r="E839" s="10"/>
      <c r="J839" s="10"/>
    </row>
    <row r="840" ht="14.25" customHeight="1">
      <c r="E840" s="10"/>
      <c r="J840" s="10"/>
    </row>
    <row r="841" ht="14.25" customHeight="1">
      <c r="E841" s="10"/>
      <c r="J841" s="10"/>
    </row>
    <row r="842" ht="14.25" customHeight="1">
      <c r="E842" s="10"/>
      <c r="J842" s="10"/>
    </row>
    <row r="843" ht="14.25" customHeight="1">
      <c r="E843" s="10"/>
      <c r="J843" s="10"/>
    </row>
    <row r="844" ht="14.25" customHeight="1">
      <c r="E844" s="10"/>
      <c r="J844" s="10"/>
    </row>
    <row r="845" ht="14.25" customHeight="1">
      <c r="E845" s="10"/>
      <c r="J845" s="10"/>
    </row>
    <row r="846" ht="14.25" customHeight="1">
      <c r="E846" s="10"/>
      <c r="J846" s="10"/>
    </row>
    <row r="847" ht="14.25" customHeight="1">
      <c r="E847" s="10"/>
      <c r="J847" s="10"/>
    </row>
    <row r="848" ht="14.25" customHeight="1">
      <c r="E848" s="10"/>
      <c r="J848" s="10"/>
    </row>
    <row r="849" ht="14.25" customHeight="1">
      <c r="E849" s="10"/>
      <c r="J849" s="10"/>
    </row>
    <row r="850" ht="14.25" customHeight="1">
      <c r="E850" s="10"/>
      <c r="J850" s="10"/>
    </row>
    <row r="851" ht="14.25" customHeight="1">
      <c r="E851" s="10"/>
      <c r="J851" s="10"/>
    </row>
    <row r="852" ht="14.25" customHeight="1">
      <c r="E852" s="10"/>
      <c r="J852" s="10"/>
    </row>
    <row r="853" ht="14.25" customHeight="1">
      <c r="E853" s="10"/>
      <c r="J853" s="10"/>
    </row>
    <row r="854" ht="14.25" customHeight="1">
      <c r="E854" s="10"/>
      <c r="J854" s="10"/>
    </row>
    <row r="855" ht="14.25" customHeight="1">
      <c r="E855" s="10"/>
      <c r="J855" s="10"/>
    </row>
    <row r="856" ht="14.25" customHeight="1">
      <c r="E856" s="10"/>
      <c r="J856" s="10"/>
    </row>
    <row r="857" ht="14.25" customHeight="1">
      <c r="E857" s="10"/>
      <c r="J857" s="10"/>
    </row>
    <row r="858" ht="14.25" customHeight="1">
      <c r="E858" s="10"/>
      <c r="J858" s="10"/>
    </row>
    <row r="859" ht="14.25" customHeight="1">
      <c r="E859" s="10"/>
      <c r="J859" s="10"/>
    </row>
    <row r="860" ht="14.25" customHeight="1">
      <c r="E860" s="10"/>
      <c r="J860" s="10"/>
    </row>
    <row r="861" ht="14.25" customHeight="1">
      <c r="E861" s="10"/>
      <c r="J861" s="10"/>
    </row>
    <row r="862" ht="14.25" customHeight="1">
      <c r="E862" s="10"/>
      <c r="J862" s="10"/>
    </row>
    <row r="863" ht="14.25" customHeight="1">
      <c r="E863" s="10"/>
      <c r="J863" s="10"/>
    </row>
    <row r="864" ht="14.25" customHeight="1">
      <c r="E864" s="10"/>
      <c r="J864" s="10"/>
    </row>
    <row r="865" ht="14.25" customHeight="1">
      <c r="E865" s="10"/>
      <c r="J865" s="10"/>
    </row>
    <row r="866" ht="14.25" customHeight="1">
      <c r="E866" s="10"/>
      <c r="J866" s="10"/>
    </row>
    <row r="867" ht="14.25" customHeight="1">
      <c r="E867" s="10"/>
      <c r="J867" s="10"/>
    </row>
    <row r="868" ht="14.25" customHeight="1">
      <c r="E868" s="10"/>
      <c r="J868" s="10"/>
    </row>
    <row r="869" ht="14.25" customHeight="1">
      <c r="E869" s="10"/>
      <c r="J869" s="10"/>
    </row>
    <row r="870" ht="14.25" customHeight="1">
      <c r="E870" s="10"/>
      <c r="J870" s="10"/>
    </row>
    <row r="871" ht="14.25" customHeight="1">
      <c r="E871" s="10"/>
      <c r="J871" s="10"/>
    </row>
    <row r="872" ht="14.25" customHeight="1">
      <c r="E872" s="10"/>
      <c r="J872" s="10"/>
    </row>
    <row r="873" ht="14.25" customHeight="1">
      <c r="E873" s="10"/>
      <c r="J873" s="10"/>
    </row>
    <row r="874" ht="14.25" customHeight="1">
      <c r="E874" s="10"/>
      <c r="J874" s="10"/>
    </row>
    <row r="875" ht="14.25" customHeight="1">
      <c r="E875" s="10"/>
      <c r="J875" s="10"/>
    </row>
    <row r="876" ht="14.25" customHeight="1">
      <c r="E876" s="10"/>
      <c r="J876" s="10"/>
    </row>
    <row r="877" ht="14.25" customHeight="1">
      <c r="E877" s="10"/>
      <c r="J877" s="10"/>
    </row>
    <row r="878" ht="14.25" customHeight="1">
      <c r="E878" s="10"/>
      <c r="J878" s="10"/>
    </row>
    <row r="879" ht="14.25" customHeight="1">
      <c r="E879" s="10"/>
      <c r="J879" s="10"/>
    </row>
    <row r="880" ht="14.25" customHeight="1">
      <c r="E880" s="10"/>
      <c r="J880" s="10"/>
    </row>
    <row r="881" ht="14.25" customHeight="1">
      <c r="E881" s="10"/>
      <c r="J881" s="10"/>
    </row>
    <row r="882" ht="14.25" customHeight="1">
      <c r="E882" s="10"/>
      <c r="J882" s="10"/>
    </row>
    <row r="883" ht="14.25" customHeight="1">
      <c r="E883" s="10"/>
      <c r="J883" s="10"/>
    </row>
    <row r="884" ht="14.25" customHeight="1">
      <c r="E884" s="10"/>
      <c r="J884" s="10"/>
    </row>
    <row r="885" ht="14.25" customHeight="1">
      <c r="E885" s="10"/>
      <c r="J885" s="10"/>
    </row>
    <row r="886" ht="14.25" customHeight="1">
      <c r="E886" s="10"/>
      <c r="J886" s="10"/>
    </row>
    <row r="887" ht="14.25" customHeight="1">
      <c r="E887" s="10"/>
      <c r="J887" s="10"/>
    </row>
    <row r="888" ht="14.25" customHeight="1">
      <c r="E888" s="10"/>
      <c r="J888" s="10"/>
    </row>
    <row r="889" ht="14.25" customHeight="1">
      <c r="E889" s="10"/>
      <c r="J889" s="10"/>
    </row>
    <row r="890" ht="14.25" customHeight="1">
      <c r="E890" s="10"/>
      <c r="J890" s="10"/>
    </row>
    <row r="891" ht="14.25" customHeight="1">
      <c r="E891" s="10"/>
      <c r="J891" s="10"/>
    </row>
    <row r="892" ht="14.25" customHeight="1">
      <c r="E892" s="10"/>
      <c r="J892" s="10"/>
    </row>
    <row r="893" ht="14.25" customHeight="1">
      <c r="E893" s="10"/>
      <c r="J893" s="10"/>
    </row>
    <row r="894" ht="14.25" customHeight="1">
      <c r="E894" s="10"/>
      <c r="J894" s="10"/>
    </row>
    <row r="895" ht="14.25" customHeight="1">
      <c r="E895" s="10"/>
      <c r="J895" s="10"/>
    </row>
    <row r="896" ht="14.25" customHeight="1">
      <c r="E896" s="10"/>
      <c r="J896" s="10"/>
    </row>
    <row r="897" ht="14.25" customHeight="1">
      <c r="E897" s="10"/>
      <c r="J897" s="10"/>
    </row>
    <row r="898" ht="14.25" customHeight="1">
      <c r="E898" s="10"/>
      <c r="J898" s="10"/>
    </row>
    <row r="899" ht="14.25" customHeight="1">
      <c r="E899" s="10"/>
      <c r="J899" s="10"/>
    </row>
    <row r="900" ht="14.25" customHeight="1">
      <c r="E900" s="10"/>
      <c r="J900" s="10"/>
    </row>
    <row r="901" ht="14.25" customHeight="1">
      <c r="E901" s="10"/>
      <c r="J901" s="10"/>
    </row>
    <row r="902" ht="14.25" customHeight="1">
      <c r="E902" s="10"/>
      <c r="J902" s="10"/>
    </row>
    <row r="903" ht="14.25" customHeight="1">
      <c r="E903" s="10"/>
      <c r="J903" s="10"/>
    </row>
    <row r="904" ht="14.25" customHeight="1">
      <c r="E904" s="10"/>
      <c r="J904" s="10"/>
    </row>
    <row r="905" ht="14.25" customHeight="1">
      <c r="E905" s="10"/>
      <c r="J905" s="10"/>
    </row>
    <row r="906" ht="14.25" customHeight="1">
      <c r="E906" s="10"/>
      <c r="J906" s="10"/>
    </row>
    <row r="907" ht="14.25" customHeight="1">
      <c r="E907" s="10"/>
      <c r="J907" s="10"/>
    </row>
    <row r="908" ht="14.25" customHeight="1">
      <c r="E908" s="10"/>
      <c r="J908" s="10"/>
    </row>
    <row r="909" ht="14.25" customHeight="1">
      <c r="E909" s="10"/>
      <c r="J909" s="10"/>
    </row>
    <row r="910" ht="14.25" customHeight="1">
      <c r="E910" s="10"/>
      <c r="J910" s="10"/>
    </row>
    <row r="911" ht="14.25" customHeight="1">
      <c r="E911" s="10"/>
      <c r="J911" s="10"/>
    </row>
    <row r="912" ht="14.25" customHeight="1">
      <c r="E912" s="10"/>
      <c r="J912" s="10"/>
    </row>
    <row r="913" ht="14.25" customHeight="1">
      <c r="E913" s="10"/>
      <c r="J913" s="10"/>
    </row>
    <row r="914" ht="14.25" customHeight="1">
      <c r="E914" s="10"/>
      <c r="J914" s="10"/>
    </row>
    <row r="915" ht="14.25" customHeight="1">
      <c r="E915" s="10"/>
      <c r="J915" s="10"/>
    </row>
    <row r="916" ht="14.25" customHeight="1">
      <c r="E916" s="10"/>
      <c r="J916" s="10"/>
    </row>
    <row r="917" ht="14.25" customHeight="1">
      <c r="E917" s="10"/>
      <c r="J917" s="10"/>
    </row>
    <row r="918" ht="14.25" customHeight="1">
      <c r="E918" s="10"/>
      <c r="J918" s="10"/>
    </row>
    <row r="919" ht="14.25" customHeight="1">
      <c r="E919" s="10"/>
      <c r="J919" s="10"/>
    </row>
    <row r="920" ht="14.25" customHeight="1">
      <c r="E920" s="10"/>
      <c r="J920" s="10"/>
    </row>
    <row r="921" ht="14.25" customHeight="1">
      <c r="E921" s="10"/>
      <c r="J921" s="10"/>
    </row>
    <row r="922" ht="14.25" customHeight="1">
      <c r="E922" s="10"/>
      <c r="J922" s="10"/>
    </row>
    <row r="923" ht="14.25" customHeight="1">
      <c r="E923" s="10"/>
      <c r="J923" s="10"/>
    </row>
    <row r="924" ht="14.25" customHeight="1">
      <c r="E924" s="10"/>
      <c r="J924" s="10"/>
    </row>
    <row r="925" ht="14.25" customHeight="1">
      <c r="E925" s="10"/>
      <c r="J925" s="10"/>
    </row>
    <row r="926" ht="14.25" customHeight="1">
      <c r="E926" s="10"/>
      <c r="J926" s="10"/>
    </row>
    <row r="927" ht="14.25" customHeight="1">
      <c r="E927" s="10"/>
      <c r="J927" s="10"/>
    </row>
    <row r="928" ht="14.25" customHeight="1">
      <c r="E928" s="10"/>
      <c r="J928" s="10"/>
    </row>
    <row r="929" ht="14.25" customHeight="1">
      <c r="E929" s="10"/>
      <c r="J929" s="10"/>
    </row>
    <row r="930" ht="14.25" customHeight="1">
      <c r="E930" s="10"/>
      <c r="J930" s="10"/>
    </row>
    <row r="931" ht="14.25" customHeight="1">
      <c r="E931" s="10"/>
      <c r="J931" s="10"/>
    </row>
    <row r="932" ht="14.25" customHeight="1">
      <c r="E932" s="10"/>
      <c r="J932" s="10"/>
    </row>
    <row r="933" ht="14.25" customHeight="1">
      <c r="E933" s="10"/>
      <c r="J933" s="10"/>
    </row>
    <row r="934" ht="14.25" customHeight="1">
      <c r="E934" s="10"/>
      <c r="J934" s="10"/>
    </row>
    <row r="935" ht="14.25" customHeight="1">
      <c r="E935" s="10"/>
      <c r="J935" s="10"/>
    </row>
    <row r="936" ht="14.25" customHeight="1">
      <c r="E936" s="10"/>
      <c r="J936" s="10"/>
    </row>
    <row r="937" ht="14.25" customHeight="1">
      <c r="E937" s="10"/>
      <c r="J937" s="10"/>
    </row>
    <row r="938" ht="14.25" customHeight="1">
      <c r="E938" s="10"/>
      <c r="J938" s="10"/>
    </row>
    <row r="939" ht="14.25" customHeight="1">
      <c r="E939" s="10"/>
      <c r="J939" s="10"/>
    </row>
    <row r="940" ht="14.25" customHeight="1">
      <c r="E940" s="10"/>
      <c r="J940" s="10"/>
    </row>
    <row r="941" ht="14.25" customHeight="1">
      <c r="E941" s="10"/>
      <c r="J941" s="10"/>
    </row>
    <row r="942" ht="14.25" customHeight="1">
      <c r="E942" s="10"/>
      <c r="J942" s="10"/>
    </row>
    <row r="943" ht="14.25" customHeight="1">
      <c r="E943" s="10"/>
      <c r="J943" s="10"/>
    </row>
    <row r="944" ht="14.25" customHeight="1">
      <c r="E944" s="10"/>
      <c r="J944" s="10"/>
    </row>
    <row r="945" ht="14.25" customHeight="1">
      <c r="E945" s="10"/>
      <c r="J945" s="10"/>
    </row>
    <row r="946" ht="14.25" customHeight="1">
      <c r="E946" s="10"/>
      <c r="J946" s="10"/>
    </row>
    <row r="947" ht="14.25" customHeight="1">
      <c r="E947" s="10"/>
      <c r="J947" s="10"/>
    </row>
    <row r="948" ht="14.25" customHeight="1">
      <c r="E948" s="10"/>
      <c r="J948" s="10"/>
    </row>
    <row r="949" ht="14.25" customHeight="1">
      <c r="E949" s="10"/>
      <c r="J949" s="10"/>
    </row>
    <row r="950" ht="14.25" customHeight="1">
      <c r="E950" s="10"/>
      <c r="J950" s="10"/>
    </row>
    <row r="951" ht="14.25" customHeight="1">
      <c r="E951" s="10"/>
      <c r="J951" s="10"/>
    </row>
    <row r="952" ht="14.25" customHeight="1">
      <c r="E952" s="10"/>
      <c r="J952" s="10"/>
    </row>
    <row r="953" ht="14.25" customHeight="1">
      <c r="E953" s="10"/>
      <c r="J953" s="10"/>
    </row>
    <row r="954" ht="14.25" customHeight="1">
      <c r="E954" s="10"/>
      <c r="J954" s="10"/>
    </row>
    <row r="955" ht="14.25" customHeight="1">
      <c r="E955" s="10"/>
      <c r="J955" s="10"/>
    </row>
    <row r="956" ht="14.25" customHeight="1">
      <c r="E956" s="10"/>
      <c r="J956" s="10"/>
    </row>
    <row r="957" ht="14.25" customHeight="1">
      <c r="E957" s="10"/>
      <c r="J957" s="10"/>
    </row>
    <row r="958" ht="14.25" customHeight="1">
      <c r="E958" s="10"/>
      <c r="J958" s="10"/>
    </row>
    <row r="959" ht="14.25" customHeight="1">
      <c r="E959" s="10"/>
      <c r="J959" s="10"/>
    </row>
    <row r="960" ht="14.25" customHeight="1">
      <c r="E960" s="10"/>
      <c r="J960" s="10"/>
    </row>
    <row r="961" ht="14.25" customHeight="1">
      <c r="E961" s="10"/>
      <c r="J961" s="10"/>
    </row>
    <row r="962" ht="14.25" customHeight="1">
      <c r="E962" s="10"/>
      <c r="J962" s="10"/>
    </row>
    <row r="963" ht="14.25" customHeight="1">
      <c r="E963" s="10"/>
      <c r="J963" s="10"/>
    </row>
    <row r="964" ht="14.25" customHeight="1">
      <c r="E964" s="10"/>
      <c r="J964" s="10"/>
    </row>
    <row r="965" ht="14.25" customHeight="1">
      <c r="E965" s="10"/>
      <c r="J965" s="10"/>
    </row>
    <row r="966" ht="14.25" customHeight="1">
      <c r="E966" s="10"/>
      <c r="J966" s="10"/>
    </row>
    <row r="967" ht="14.25" customHeight="1">
      <c r="E967" s="10"/>
      <c r="J967" s="10"/>
    </row>
    <row r="968" ht="14.25" customHeight="1">
      <c r="E968" s="10"/>
      <c r="J968" s="10"/>
    </row>
    <row r="969" ht="14.25" customHeight="1">
      <c r="E969" s="10"/>
      <c r="J969" s="10"/>
    </row>
    <row r="970" ht="14.25" customHeight="1">
      <c r="E970" s="10"/>
      <c r="J970" s="10"/>
    </row>
    <row r="971" ht="14.25" customHeight="1">
      <c r="E971" s="10"/>
      <c r="J971" s="10"/>
    </row>
    <row r="972" ht="14.25" customHeight="1">
      <c r="E972" s="10"/>
      <c r="J972" s="10"/>
    </row>
    <row r="973" ht="14.25" customHeight="1">
      <c r="E973" s="10"/>
      <c r="J973" s="10"/>
    </row>
    <row r="974" ht="14.25" customHeight="1">
      <c r="E974" s="10"/>
      <c r="J974" s="10"/>
    </row>
    <row r="975" ht="14.25" customHeight="1">
      <c r="E975" s="10"/>
      <c r="J975" s="10"/>
    </row>
    <row r="976" ht="14.25" customHeight="1">
      <c r="E976" s="10"/>
      <c r="J976" s="10"/>
    </row>
    <row r="977" ht="14.25" customHeight="1">
      <c r="E977" s="10"/>
      <c r="J977" s="10"/>
    </row>
    <row r="978" ht="14.25" customHeight="1">
      <c r="E978" s="10"/>
      <c r="J978" s="10"/>
    </row>
    <row r="979" ht="14.25" customHeight="1">
      <c r="E979" s="10"/>
      <c r="J979" s="10"/>
    </row>
    <row r="980" ht="14.25" customHeight="1">
      <c r="E980" s="10"/>
      <c r="J980" s="10"/>
    </row>
    <row r="981" ht="14.25" customHeight="1">
      <c r="E981" s="10"/>
      <c r="J981" s="10"/>
    </row>
    <row r="982" ht="14.25" customHeight="1">
      <c r="E982" s="10"/>
      <c r="J982" s="10"/>
    </row>
    <row r="983" ht="14.25" customHeight="1">
      <c r="E983" s="10"/>
      <c r="J983" s="10"/>
    </row>
    <row r="984" ht="14.25" customHeight="1">
      <c r="E984" s="10"/>
      <c r="J984" s="10"/>
    </row>
    <row r="985" ht="14.25" customHeight="1">
      <c r="E985" s="10"/>
      <c r="J985" s="10"/>
    </row>
    <row r="986" ht="14.25" customHeight="1">
      <c r="E986" s="10"/>
      <c r="J986" s="10"/>
    </row>
    <row r="987" ht="14.25" customHeight="1">
      <c r="E987" s="10"/>
      <c r="J987" s="10"/>
    </row>
    <row r="988" ht="14.25" customHeight="1">
      <c r="E988" s="10"/>
      <c r="J988" s="10"/>
    </row>
    <row r="989" ht="14.25" customHeight="1">
      <c r="E989" s="10"/>
      <c r="J989" s="10"/>
    </row>
    <row r="990" ht="14.25" customHeight="1">
      <c r="E990" s="10"/>
      <c r="J990" s="10"/>
    </row>
    <row r="991" ht="14.25" customHeight="1">
      <c r="E991" s="10"/>
      <c r="J991" s="10"/>
    </row>
    <row r="992" ht="14.25" customHeight="1">
      <c r="E992" s="10"/>
      <c r="J992" s="10"/>
    </row>
    <row r="993" ht="14.25" customHeight="1">
      <c r="E993" s="10"/>
      <c r="J993" s="10"/>
    </row>
    <row r="994" ht="14.25" customHeight="1">
      <c r="E994" s="10"/>
      <c r="J994" s="10"/>
    </row>
    <row r="995" ht="14.25" customHeight="1">
      <c r="E995" s="10"/>
      <c r="J995" s="10"/>
    </row>
    <row r="996" ht="14.25" customHeight="1">
      <c r="E996" s="10"/>
      <c r="J996" s="10"/>
    </row>
    <row r="997" ht="14.25" customHeight="1">
      <c r="E997" s="10"/>
      <c r="J997" s="10"/>
    </row>
    <row r="998" ht="14.25" customHeight="1">
      <c r="E998" s="10"/>
      <c r="J998" s="10"/>
    </row>
    <row r="999" ht="14.25" customHeight="1">
      <c r="E999" s="10"/>
      <c r="J999" s="10"/>
    </row>
    <row r="1000" ht="14.25" customHeight="1">
      <c r="E1000" s="10"/>
      <c r="J1000" s="10"/>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8"/>
    <col customWidth="1" min="2" max="2" width="15.5"/>
    <col customWidth="1" min="3" max="3" width="23.5"/>
    <col customWidth="1" min="4" max="4" width="39.5"/>
    <col customWidth="1" min="5" max="5" width="30.63"/>
    <col customWidth="1" min="6" max="6" width="10.88"/>
    <col customWidth="1" min="7" max="7" width="10.75"/>
    <col customWidth="1" min="8" max="8" width="7.63"/>
    <col customWidth="1" min="9" max="9" width="6.38"/>
    <col customWidth="1" min="10" max="26" width="7.63"/>
  </cols>
  <sheetData>
    <row r="1" ht="14.25" customHeight="1">
      <c r="A1" s="2" t="s">
        <v>1</v>
      </c>
      <c r="B1" s="2" t="s">
        <v>2</v>
      </c>
      <c r="C1" s="2" t="s">
        <v>3</v>
      </c>
      <c r="D1" s="2" t="s">
        <v>4</v>
      </c>
      <c r="E1" s="2" t="s">
        <v>5</v>
      </c>
      <c r="F1" s="2" t="s">
        <v>6</v>
      </c>
      <c r="G1" s="4" t="s">
        <v>7</v>
      </c>
      <c r="H1" s="2"/>
      <c r="I1" s="2" t="s">
        <v>10</v>
      </c>
      <c r="J1" s="2"/>
      <c r="K1" s="2"/>
      <c r="L1" s="2"/>
      <c r="M1" s="2"/>
      <c r="N1" s="2"/>
      <c r="O1" s="2"/>
      <c r="P1" s="2"/>
      <c r="Q1" s="2"/>
      <c r="R1" s="2"/>
      <c r="S1" s="2"/>
      <c r="T1" s="2"/>
      <c r="U1" s="2"/>
      <c r="V1" s="2"/>
      <c r="W1" s="2"/>
      <c r="X1" s="2"/>
      <c r="Y1" s="2"/>
      <c r="Z1" s="2"/>
    </row>
    <row r="2" ht="14.25" customHeight="1">
      <c r="A2" s="8" t="s">
        <v>14</v>
      </c>
      <c r="B2" s="8" t="s">
        <v>30</v>
      </c>
      <c r="E2" s="10" t="s">
        <v>32</v>
      </c>
      <c r="F2" s="8">
        <v>0.0</v>
      </c>
      <c r="I2" s="10"/>
    </row>
    <row r="3" ht="14.25" customHeight="1">
      <c r="A3" s="8" t="s">
        <v>13</v>
      </c>
      <c r="B3" s="8" t="s">
        <v>15</v>
      </c>
      <c r="D3" s="8" t="s">
        <v>16</v>
      </c>
      <c r="E3" s="10" t="s">
        <v>17</v>
      </c>
      <c r="F3" s="8">
        <v>1.0</v>
      </c>
      <c r="I3" s="10"/>
    </row>
    <row r="4" ht="14.25" customHeight="1">
      <c r="A4" s="8" t="s">
        <v>39</v>
      </c>
      <c r="B4" s="8" t="s">
        <v>41</v>
      </c>
      <c r="E4" s="10" t="s">
        <v>43</v>
      </c>
      <c r="F4" s="8">
        <v>0.0</v>
      </c>
      <c r="I4" s="10"/>
    </row>
    <row r="5" ht="14.25" customHeight="1">
      <c r="A5" s="8" t="s">
        <v>46</v>
      </c>
      <c r="B5" s="8" t="s">
        <v>48</v>
      </c>
      <c r="E5" s="10" t="s">
        <v>50</v>
      </c>
      <c r="F5" s="8">
        <v>0.0</v>
      </c>
      <c r="I5" s="10"/>
    </row>
    <row r="6" ht="14.25" customHeight="1">
      <c r="A6" s="8" t="s">
        <v>52</v>
      </c>
      <c r="B6" s="8" t="s">
        <v>48</v>
      </c>
      <c r="E6" s="10" t="s">
        <v>53</v>
      </c>
      <c r="F6" s="8">
        <v>1.0</v>
      </c>
      <c r="I6" s="10"/>
    </row>
    <row r="7" ht="14.25" customHeight="1">
      <c r="A7" s="8" t="s">
        <v>55</v>
      </c>
      <c r="B7" s="8" t="s">
        <v>48</v>
      </c>
      <c r="E7" s="10" t="s">
        <v>56</v>
      </c>
      <c r="F7" s="8">
        <v>0.0</v>
      </c>
      <c r="I7" s="10"/>
    </row>
    <row r="8" ht="14.25" customHeight="1">
      <c r="A8" s="8" t="s">
        <v>59</v>
      </c>
      <c r="B8" s="8" t="s">
        <v>48</v>
      </c>
      <c r="C8" s="8" t="s">
        <v>61</v>
      </c>
      <c r="D8" s="8" t="s">
        <v>62</v>
      </c>
      <c r="E8" s="10" t="s">
        <v>63</v>
      </c>
      <c r="F8" s="8">
        <v>1.0</v>
      </c>
      <c r="G8" s="8" t="s">
        <v>65</v>
      </c>
      <c r="I8" s="10"/>
    </row>
    <row r="9" ht="14.25" customHeight="1">
      <c r="A9" s="8" t="s">
        <v>68</v>
      </c>
      <c r="B9" s="8" t="s">
        <v>48</v>
      </c>
      <c r="D9" s="8" t="s">
        <v>69</v>
      </c>
      <c r="E9" s="10" t="s">
        <v>70</v>
      </c>
      <c r="F9" s="8">
        <v>0.0</v>
      </c>
      <c r="I9" s="10"/>
    </row>
    <row r="10" ht="14.25" customHeight="1">
      <c r="A10" s="8" t="s">
        <v>71</v>
      </c>
      <c r="B10" s="8" t="s">
        <v>48</v>
      </c>
      <c r="E10" s="10" t="s">
        <v>72</v>
      </c>
      <c r="F10" s="8">
        <v>0.0</v>
      </c>
      <c r="I10" s="10"/>
    </row>
    <row r="11" ht="14.25" customHeight="1">
      <c r="A11" s="8" t="s">
        <v>74</v>
      </c>
      <c r="B11" s="8" t="s">
        <v>48</v>
      </c>
      <c r="C11" s="8" t="s">
        <v>76</v>
      </c>
      <c r="D11" s="8" t="s">
        <v>78</v>
      </c>
      <c r="E11" s="10" t="s">
        <v>79</v>
      </c>
      <c r="F11" s="8">
        <v>1.0</v>
      </c>
      <c r="G11" s="8" t="s">
        <v>80</v>
      </c>
      <c r="I11" s="10"/>
    </row>
    <row r="12" ht="14.25" customHeight="1">
      <c r="A12" s="8" t="s">
        <v>84</v>
      </c>
      <c r="B12" s="8" t="s">
        <v>48</v>
      </c>
      <c r="D12" s="8" t="s">
        <v>86</v>
      </c>
      <c r="E12" s="10" t="s">
        <v>87</v>
      </c>
      <c r="F12" s="8">
        <v>0.0</v>
      </c>
      <c r="I12" s="10"/>
    </row>
    <row r="13" ht="14.25" customHeight="1">
      <c r="A13" s="8" t="s">
        <v>90</v>
      </c>
      <c r="B13" s="8" t="s">
        <v>30</v>
      </c>
      <c r="E13" s="10" t="s">
        <v>93</v>
      </c>
      <c r="F13" s="8">
        <v>1.0</v>
      </c>
      <c r="I13" s="10"/>
    </row>
    <row r="14" ht="14.25" customHeight="1">
      <c r="A14" s="8" t="s">
        <v>95</v>
      </c>
      <c r="B14" s="8" t="s">
        <v>48</v>
      </c>
      <c r="E14" s="10" t="s">
        <v>97</v>
      </c>
      <c r="F14" s="8">
        <v>0.0</v>
      </c>
      <c r="I14" s="10"/>
    </row>
    <row r="15" ht="14.25" customHeight="1">
      <c r="A15" s="8" t="s">
        <v>101</v>
      </c>
      <c r="B15" s="8" t="s">
        <v>48</v>
      </c>
      <c r="E15" s="10" t="s">
        <v>103</v>
      </c>
      <c r="F15" s="8">
        <v>0.0</v>
      </c>
      <c r="I15" s="10"/>
    </row>
    <row r="16" ht="14.25" customHeight="1">
      <c r="A16" s="8" t="s">
        <v>73</v>
      </c>
      <c r="B16" s="8" t="s">
        <v>41</v>
      </c>
      <c r="D16" s="8" t="s">
        <v>75</v>
      </c>
      <c r="E16" s="10" t="s">
        <v>77</v>
      </c>
      <c r="F16" s="8">
        <v>0.0</v>
      </c>
      <c r="I16" s="10"/>
    </row>
    <row r="17" ht="14.25" customHeight="1">
      <c r="A17" s="8" t="s">
        <v>109</v>
      </c>
      <c r="B17" s="8" t="s">
        <v>48</v>
      </c>
      <c r="E17" s="10" t="s">
        <v>110</v>
      </c>
      <c r="F17" s="8">
        <v>1.0</v>
      </c>
      <c r="I17" s="10"/>
    </row>
    <row r="18" ht="14.25" customHeight="1">
      <c r="A18" s="8" t="s">
        <v>113</v>
      </c>
      <c r="B18" s="8" t="s">
        <v>48</v>
      </c>
      <c r="C18" s="8" t="s">
        <v>115</v>
      </c>
      <c r="D18" s="8" t="s">
        <v>117</v>
      </c>
      <c r="E18" s="10" t="s">
        <v>118</v>
      </c>
      <c r="F18" s="8">
        <v>1.0</v>
      </c>
      <c r="I18" s="10"/>
    </row>
    <row r="19" ht="14.25" customHeight="1">
      <c r="A19" s="8" t="s">
        <v>121</v>
      </c>
      <c r="B19" s="8" t="s">
        <v>48</v>
      </c>
      <c r="C19" s="8" t="s">
        <v>124</v>
      </c>
      <c r="D19" s="8" t="s">
        <v>125</v>
      </c>
      <c r="E19" s="10" t="s">
        <v>126</v>
      </c>
      <c r="F19" s="8">
        <v>1.0</v>
      </c>
      <c r="G19" s="8" t="s">
        <v>127</v>
      </c>
      <c r="I19" s="10"/>
    </row>
    <row r="20" ht="14.25" customHeight="1">
      <c r="A20" s="8" t="s">
        <v>128</v>
      </c>
      <c r="B20" s="8" t="s">
        <v>48</v>
      </c>
      <c r="E20" s="10" t="s">
        <v>129</v>
      </c>
      <c r="F20" s="8">
        <v>0.0</v>
      </c>
      <c r="I20" s="10"/>
    </row>
    <row r="21" ht="14.25" customHeight="1">
      <c r="A21" s="8" t="s">
        <v>81</v>
      </c>
      <c r="B21" s="8" t="s">
        <v>41</v>
      </c>
      <c r="D21" s="8" t="s">
        <v>83</v>
      </c>
      <c r="E21" s="10" t="s">
        <v>85</v>
      </c>
      <c r="F21" s="8">
        <v>1.0</v>
      </c>
      <c r="I21" s="10"/>
    </row>
    <row r="22" ht="14.25" customHeight="1">
      <c r="A22" s="8" t="s">
        <v>131</v>
      </c>
      <c r="B22" s="8" t="s">
        <v>48</v>
      </c>
      <c r="C22" s="8" t="s">
        <v>132</v>
      </c>
      <c r="D22" s="8" t="s">
        <v>134</v>
      </c>
      <c r="E22" s="10" t="s">
        <v>135</v>
      </c>
      <c r="F22" s="8">
        <v>0.0</v>
      </c>
      <c r="I22" s="10"/>
    </row>
    <row r="23" ht="14.25" customHeight="1">
      <c r="A23" s="8" t="s">
        <v>137</v>
      </c>
      <c r="B23" s="8" t="s">
        <v>48</v>
      </c>
      <c r="E23" s="10" t="s">
        <v>139</v>
      </c>
      <c r="F23" s="8">
        <v>0.0</v>
      </c>
      <c r="I23" s="10"/>
    </row>
    <row r="24" ht="14.25" customHeight="1">
      <c r="A24" s="8" t="s">
        <v>142</v>
      </c>
      <c r="B24" s="8" t="s">
        <v>48</v>
      </c>
      <c r="C24" s="8" t="s">
        <v>143</v>
      </c>
      <c r="D24" s="8" t="s">
        <v>145</v>
      </c>
      <c r="E24" s="10" t="s">
        <v>146</v>
      </c>
      <c r="F24" s="8">
        <v>1.0</v>
      </c>
      <c r="G24" s="8" t="s">
        <v>149</v>
      </c>
      <c r="I24" s="10"/>
    </row>
    <row r="25" ht="14.25" customHeight="1">
      <c r="A25" s="8" t="s">
        <v>150</v>
      </c>
      <c r="B25" s="8" t="s">
        <v>48</v>
      </c>
      <c r="E25" s="10" t="s">
        <v>152</v>
      </c>
      <c r="F25" s="8">
        <v>0.0</v>
      </c>
      <c r="I25" s="10"/>
    </row>
    <row r="26" ht="14.25" customHeight="1">
      <c r="A26" s="8" t="s">
        <v>88</v>
      </c>
      <c r="B26" s="8" t="s">
        <v>41</v>
      </c>
      <c r="C26" s="8" t="s">
        <v>89</v>
      </c>
      <c r="D26" s="8" t="s">
        <v>91</v>
      </c>
      <c r="E26" s="10" t="s">
        <v>92</v>
      </c>
      <c r="F26" s="8">
        <v>1.0</v>
      </c>
      <c r="I26" s="10"/>
    </row>
    <row r="27" ht="14.25" customHeight="1">
      <c r="A27" s="8" t="s">
        <v>94</v>
      </c>
      <c r="B27" s="8" t="s">
        <v>41</v>
      </c>
      <c r="D27" s="8" t="s">
        <v>96</v>
      </c>
      <c r="E27" s="10" t="s">
        <v>98</v>
      </c>
      <c r="F27" s="8">
        <v>1.0</v>
      </c>
      <c r="G27" s="8" t="s">
        <v>100</v>
      </c>
      <c r="I27" s="10"/>
    </row>
    <row r="28" ht="14.25" customHeight="1">
      <c r="A28" s="8" t="s">
        <v>159</v>
      </c>
      <c r="B28" s="8" t="s">
        <v>48</v>
      </c>
      <c r="D28" s="8" t="s">
        <v>162</v>
      </c>
      <c r="E28" s="10" t="s">
        <v>163</v>
      </c>
      <c r="F28" s="8">
        <v>0.0</v>
      </c>
      <c r="I28" s="10"/>
    </row>
    <row r="29" ht="14.25" customHeight="1">
      <c r="A29" s="8" t="s">
        <v>165</v>
      </c>
      <c r="B29" s="8" t="s">
        <v>48</v>
      </c>
      <c r="C29" s="8" t="s">
        <v>168</v>
      </c>
      <c r="E29" s="10" t="s">
        <v>169</v>
      </c>
      <c r="F29" s="8">
        <v>1.0</v>
      </c>
      <c r="I29" s="10"/>
    </row>
    <row r="30" ht="14.25" customHeight="1">
      <c r="A30" s="8" t="s">
        <v>130</v>
      </c>
      <c r="B30" s="8" t="s">
        <v>30</v>
      </c>
      <c r="D30" s="8" t="s">
        <v>133</v>
      </c>
      <c r="E30" s="10" t="s">
        <v>136</v>
      </c>
      <c r="F30" s="8">
        <v>1.0</v>
      </c>
      <c r="I30" s="10"/>
    </row>
    <row r="31" ht="14.25" customHeight="1">
      <c r="A31" s="8" t="s">
        <v>175</v>
      </c>
      <c r="B31" s="8" t="s">
        <v>48</v>
      </c>
      <c r="E31" s="10" t="s">
        <v>176</v>
      </c>
      <c r="F31" s="8">
        <v>0.0</v>
      </c>
      <c r="I31" s="10"/>
    </row>
    <row r="32" ht="14.25" customHeight="1">
      <c r="A32" s="8" t="s">
        <v>177</v>
      </c>
      <c r="B32" s="8" t="s">
        <v>48</v>
      </c>
      <c r="D32" s="8" t="s">
        <v>178</v>
      </c>
      <c r="E32" s="10" t="s">
        <v>179</v>
      </c>
      <c r="F32" s="8">
        <v>0.0</v>
      </c>
      <c r="I32" s="10"/>
    </row>
    <row r="33" ht="14.25" customHeight="1">
      <c r="A33" s="8" t="s">
        <v>102</v>
      </c>
      <c r="B33" s="8" t="s">
        <v>41</v>
      </c>
      <c r="D33" s="8" t="s">
        <v>104</v>
      </c>
      <c r="E33" s="10" t="s">
        <v>105</v>
      </c>
      <c r="F33" s="8">
        <v>0.0</v>
      </c>
      <c r="I33" s="10"/>
    </row>
    <row r="34" ht="14.25" customHeight="1">
      <c r="A34" s="8" t="s">
        <v>138</v>
      </c>
      <c r="B34" s="8" t="s">
        <v>30</v>
      </c>
      <c r="D34" s="8" t="s">
        <v>140</v>
      </c>
      <c r="E34" s="10" t="s">
        <v>141</v>
      </c>
      <c r="F34" s="8">
        <v>1.0</v>
      </c>
      <c r="I34" s="10"/>
    </row>
    <row r="35" ht="14.25" customHeight="1">
      <c r="A35" s="8" t="s">
        <v>180</v>
      </c>
      <c r="B35" s="8" t="s">
        <v>48</v>
      </c>
      <c r="D35" s="8" t="s">
        <v>181</v>
      </c>
      <c r="E35" s="10" t="s">
        <v>182</v>
      </c>
      <c r="F35" s="8">
        <v>1.0</v>
      </c>
      <c r="I35" s="10"/>
    </row>
    <row r="36" ht="14.25" customHeight="1">
      <c r="A36" s="8" t="s">
        <v>144</v>
      </c>
      <c r="B36" s="8" t="s">
        <v>30</v>
      </c>
      <c r="D36" s="8" t="s">
        <v>147</v>
      </c>
      <c r="E36" s="10" t="s">
        <v>148</v>
      </c>
      <c r="F36" s="8">
        <v>1.0</v>
      </c>
      <c r="I36" s="10"/>
    </row>
    <row r="37" ht="14.25" customHeight="1">
      <c r="A37" s="8" t="s">
        <v>183</v>
      </c>
      <c r="B37" s="8" t="s">
        <v>48</v>
      </c>
      <c r="C37" s="8" t="s">
        <v>184</v>
      </c>
      <c r="E37" s="10" t="s">
        <v>185</v>
      </c>
      <c r="F37" s="8">
        <v>1.0</v>
      </c>
      <c r="I37" s="10"/>
    </row>
    <row r="38" ht="14.25" customHeight="1">
      <c r="A38" s="8" t="s">
        <v>15</v>
      </c>
      <c r="B38" s="8" t="s">
        <v>15</v>
      </c>
      <c r="C38" s="8" t="s">
        <v>19</v>
      </c>
      <c r="D38" s="8" t="s">
        <v>20</v>
      </c>
      <c r="E38" s="10" t="s">
        <v>21</v>
      </c>
      <c r="F38" s="8">
        <v>1.0</v>
      </c>
      <c r="G38" s="8" t="s">
        <v>22</v>
      </c>
      <c r="I38" s="10"/>
    </row>
    <row r="39" ht="14.25" customHeight="1">
      <c r="A39" s="10" t="s">
        <v>15</v>
      </c>
      <c r="B39" s="10"/>
      <c r="C39" s="10"/>
      <c r="D39" s="10" t="s">
        <v>20</v>
      </c>
      <c r="E39" s="10"/>
      <c r="F39" s="10">
        <v>7.0</v>
      </c>
      <c r="I39" s="10"/>
    </row>
    <row r="40" ht="14.25" customHeight="1">
      <c r="A40" s="8" t="s">
        <v>23</v>
      </c>
      <c r="B40" s="8" t="s">
        <v>15</v>
      </c>
      <c r="E40" s="10" t="s">
        <v>24</v>
      </c>
      <c r="F40" s="8">
        <v>1.0</v>
      </c>
      <c r="I40" s="10"/>
    </row>
    <row r="41" ht="14.25" customHeight="1">
      <c r="A41" s="8" t="s">
        <v>151</v>
      </c>
      <c r="B41" s="8" t="s">
        <v>30</v>
      </c>
      <c r="E41" s="10" t="s">
        <v>153</v>
      </c>
      <c r="F41" s="8">
        <v>1.0</v>
      </c>
      <c r="I41" s="10"/>
    </row>
    <row r="42" ht="14.25" customHeight="1">
      <c r="A42" s="8" t="s">
        <v>186</v>
      </c>
      <c r="B42" s="8" t="s">
        <v>48</v>
      </c>
      <c r="C42" s="8" t="s">
        <v>187</v>
      </c>
      <c r="E42" s="10" t="s">
        <v>188</v>
      </c>
      <c r="F42" s="8">
        <v>1.0</v>
      </c>
      <c r="I42" s="10"/>
    </row>
    <row r="43" ht="14.25" customHeight="1">
      <c r="A43" s="8" t="s">
        <v>40</v>
      </c>
      <c r="B43" s="8" t="s">
        <v>42</v>
      </c>
      <c r="D43" s="8" t="s">
        <v>44</v>
      </c>
      <c r="E43" s="10" t="s">
        <v>45</v>
      </c>
      <c r="F43" s="8">
        <v>1.0</v>
      </c>
      <c r="I43" s="10"/>
    </row>
    <row r="44" ht="14.25" customHeight="1">
      <c r="A44" s="8" t="s">
        <v>189</v>
      </c>
      <c r="B44" s="8" t="s">
        <v>48</v>
      </c>
      <c r="C44" s="8" t="s">
        <v>190</v>
      </c>
      <c r="D44" s="8" t="s">
        <v>191</v>
      </c>
      <c r="E44" s="10" t="s">
        <v>192</v>
      </c>
      <c r="F44" s="8">
        <v>1.0</v>
      </c>
      <c r="I44" s="10"/>
    </row>
    <row r="45" ht="14.25" customHeight="1">
      <c r="A45" s="8" t="s">
        <v>193</v>
      </c>
      <c r="B45" s="8" t="s">
        <v>48</v>
      </c>
      <c r="C45" s="8" t="s">
        <v>194</v>
      </c>
      <c r="D45" s="8" t="s">
        <v>195</v>
      </c>
      <c r="E45" s="10" t="s">
        <v>196</v>
      </c>
      <c r="F45" s="8">
        <v>0.0</v>
      </c>
      <c r="I45" s="10"/>
    </row>
    <row r="46" ht="14.25" customHeight="1">
      <c r="A46" s="8" t="s">
        <v>197</v>
      </c>
      <c r="B46" s="8" t="s">
        <v>48</v>
      </c>
      <c r="D46" s="8" t="s">
        <v>198</v>
      </c>
      <c r="E46" s="10" t="s">
        <v>199</v>
      </c>
      <c r="F46" s="8">
        <v>0.0</v>
      </c>
      <c r="I46" s="10"/>
    </row>
    <row r="47" ht="14.25" customHeight="1">
      <c r="A47" s="8" t="s">
        <v>200</v>
      </c>
      <c r="B47" s="8" t="s">
        <v>48</v>
      </c>
      <c r="E47" s="10" t="s">
        <v>201</v>
      </c>
      <c r="F47" s="8">
        <v>1.0</v>
      </c>
      <c r="I47" s="10"/>
    </row>
    <row r="48" ht="14.25" customHeight="1">
      <c r="A48" s="8" t="s">
        <v>202</v>
      </c>
      <c r="B48" s="8" t="s">
        <v>48</v>
      </c>
      <c r="C48" s="8" t="s">
        <v>203</v>
      </c>
      <c r="D48" s="8" t="s">
        <v>204</v>
      </c>
      <c r="E48" s="10" t="s">
        <v>205</v>
      </c>
      <c r="F48" s="8">
        <v>1.0</v>
      </c>
      <c r="G48" s="8" t="s">
        <v>206</v>
      </c>
      <c r="I48" s="10"/>
    </row>
    <row r="49" ht="14.25" customHeight="1">
      <c r="A49" s="8" t="s">
        <v>207</v>
      </c>
      <c r="B49" s="8" t="s">
        <v>48</v>
      </c>
      <c r="C49" s="8" t="s">
        <v>208</v>
      </c>
      <c r="D49" s="8" t="s">
        <v>209</v>
      </c>
      <c r="E49" s="10" t="s">
        <v>210</v>
      </c>
      <c r="F49" s="8">
        <v>1.0</v>
      </c>
      <c r="G49" s="8" t="s">
        <v>211</v>
      </c>
      <c r="I49" s="10"/>
    </row>
    <row r="50" ht="14.25" customHeight="1">
      <c r="A50" s="8" t="s">
        <v>212</v>
      </c>
      <c r="B50" s="8" t="s">
        <v>48</v>
      </c>
      <c r="C50" s="8" t="s">
        <v>213</v>
      </c>
      <c r="D50" s="8" t="s">
        <v>214</v>
      </c>
      <c r="E50" s="10" t="s">
        <v>215</v>
      </c>
      <c r="F50" s="8">
        <v>1.0</v>
      </c>
      <c r="G50" s="8" t="s">
        <v>216</v>
      </c>
      <c r="I50" s="10"/>
    </row>
    <row r="51" ht="14.25" customHeight="1">
      <c r="A51" s="10" t="s">
        <v>42</v>
      </c>
      <c r="B51" s="10"/>
      <c r="C51" s="10"/>
      <c r="D51" s="10"/>
      <c r="E51" s="10"/>
      <c r="F51" s="10">
        <v>4.0</v>
      </c>
      <c r="I51" s="10"/>
    </row>
    <row r="52" ht="14.25" customHeight="1">
      <c r="A52" s="8" t="s">
        <v>217</v>
      </c>
      <c r="B52" s="8" t="s">
        <v>48</v>
      </c>
      <c r="C52" s="8" t="s">
        <v>218</v>
      </c>
      <c r="D52" s="8" t="s">
        <v>219</v>
      </c>
      <c r="E52" s="10" t="s">
        <v>220</v>
      </c>
      <c r="F52" s="8">
        <v>0.0</v>
      </c>
      <c r="I52" s="10"/>
    </row>
    <row r="53" ht="14.25" customHeight="1">
      <c r="A53" s="8" t="s">
        <v>221</v>
      </c>
      <c r="B53" s="8" t="s">
        <v>48</v>
      </c>
      <c r="D53" s="8" t="s">
        <v>222</v>
      </c>
      <c r="E53" s="10" t="s">
        <v>223</v>
      </c>
      <c r="F53" s="8">
        <v>0.0</v>
      </c>
      <c r="I53" s="10"/>
    </row>
    <row r="54" ht="14.25" customHeight="1">
      <c r="A54" s="8" t="s">
        <v>224</v>
      </c>
      <c r="B54" s="8" t="s">
        <v>48</v>
      </c>
      <c r="E54" s="10" t="s">
        <v>225</v>
      </c>
      <c r="F54" s="8">
        <v>0.0</v>
      </c>
      <c r="I54" s="10"/>
    </row>
    <row r="55" ht="14.25" customHeight="1">
      <c r="A55" s="8" t="s">
        <v>226</v>
      </c>
      <c r="B55" s="8" t="s">
        <v>48</v>
      </c>
      <c r="D55" s="8" t="s">
        <v>227</v>
      </c>
      <c r="E55" s="10" t="s">
        <v>228</v>
      </c>
      <c r="F55" s="8">
        <v>0.0</v>
      </c>
      <c r="I55" s="10"/>
    </row>
    <row r="56" ht="14.25" customHeight="1">
      <c r="A56" s="8" t="s">
        <v>154</v>
      </c>
      <c r="B56" s="8" t="s">
        <v>30</v>
      </c>
      <c r="E56" s="10" t="s">
        <v>155</v>
      </c>
      <c r="F56" s="8">
        <v>1.0</v>
      </c>
      <c r="I56" s="10"/>
    </row>
    <row r="57" ht="14.25" customHeight="1">
      <c r="A57" s="8" t="s">
        <v>106</v>
      </c>
      <c r="B57" s="8" t="s">
        <v>41</v>
      </c>
      <c r="D57" s="8" t="s">
        <v>107</v>
      </c>
      <c r="E57" s="10" t="s">
        <v>108</v>
      </c>
      <c r="F57" s="8">
        <v>1.0</v>
      </c>
      <c r="I57" s="10"/>
    </row>
    <row r="58" ht="14.25" customHeight="1">
      <c r="A58" s="8" t="s">
        <v>229</v>
      </c>
      <c r="B58" s="8" t="s">
        <v>48</v>
      </c>
      <c r="C58" s="8" t="s">
        <v>230</v>
      </c>
      <c r="E58" s="10" t="s">
        <v>231</v>
      </c>
      <c r="F58" s="8">
        <v>1.0</v>
      </c>
      <c r="I58" s="10"/>
    </row>
    <row r="59" ht="14.25" customHeight="1">
      <c r="A59" s="8" t="s">
        <v>232</v>
      </c>
      <c r="B59" s="8" t="s">
        <v>48</v>
      </c>
      <c r="D59" s="8" t="s">
        <v>233</v>
      </c>
      <c r="E59" s="10" t="s">
        <v>234</v>
      </c>
      <c r="F59" s="8">
        <v>0.0</v>
      </c>
      <c r="I59" s="10"/>
    </row>
    <row r="60" ht="14.25" customHeight="1">
      <c r="A60" s="8" t="s">
        <v>235</v>
      </c>
      <c r="B60" s="8" t="s">
        <v>48</v>
      </c>
      <c r="E60" s="10" t="s">
        <v>236</v>
      </c>
      <c r="F60" s="8">
        <v>0.0</v>
      </c>
      <c r="I60" s="10"/>
    </row>
    <row r="61" ht="14.25" customHeight="1">
      <c r="A61" s="8" t="s">
        <v>237</v>
      </c>
      <c r="B61" s="8" t="s">
        <v>48</v>
      </c>
      <c r="C61" s="8" t="s">
        <v>238</v>
      </c>
      <c r="D61" s="8" t="s">
        <v>239</v>
      </c>
      <c r="E61" s="10" t="s">
        <v>240</v>
      </c>
      <c r="F61" s="8">
        <v>1.0</v>
      </c>
      <c r="I61" s="10"/>
    </row>
    <row r="62" ht="14.25" customHeight="1">
      <c r="A62" s="8" t="s">
        <v>241</v>
      </c>
      <c r="B62" s="8" t="s">
        <v>48</v>
      </c>
      <c r="D62" s="8" t="s">
        <v>242</v>
      </c>
      <c r="E62" s="10" t="s">
        <v>243</v>
      </c>
      <c r="F62" s="8">
        <v>0.0</v>
      </c>
      <c r="I62" s="10"/>
    </row>
    <row r="63" ht="14.25" customHeight="1">
      <c r="A63" s="8" t="s">
        <v>41</v>
      </c>
      <c r="B63" s="8" t="s">
        <v>41</v>
      </c>
      <c r="D63" s="8" t="s">
        <v>112</v>
      </c>
      <c r="E63" s="10" t="s">
        <v>114</v>
      </c>
      <c r="F63" s="8">
        <v>1.0</v>
      </c>
      <c r="G63" s="8" t="s">
        <v>116</v>
      </c>
      <c r="I63" s="10"/>
    </row>
    <row r="64" ht="14.25" customHeight="1">
      <c r="A64" s="10" t="s">
        <v>41</v>
      </c>
      <c r="B64" s="10"/>
      <c r="C64" s="10"/>
      <c r="D64" s="10"/>
      <c r="E64" s="10"/>
      <c r="F64" s="10">
        <v>9.0</v>
      </c>
      <c r="I64" s="10"/>
    </row>
    <row r="65" ht="14.25" customHeight="1">
      <c r="A65" s="8" t="s">
        <v>25</v>
      </c>
      <c r="B65" s="8" t="s">
        <v>15</v>
      </c>
      <c r="E65" s="10" t="s">
        <v>26</v>
      </c>
      <c r="F65" s="8">
        <v>1.0</v>
      </c>
      <c r="I65" s="10"/>
    </row>
    <row r="66" ht="14.25" customHeight="1">
      <c r="A66" s="8" t="s">
        <v>28</v>
      </c>
      <c r="B66" s="8" t="s">
        <v>15</v>
      </c>
      <c r="E66" s="10" t="s">
        <v>29</v>
      </c>
      <c r="F66" s="8">
        <v>1.0</v>
      </c>
      <c r="I66" s="10"/>
    </row>
    <row r="67" ht="14.25" customHeight="1">
      <c r="A67" s="8" t="s">
        <v>31</v>
      </c>
      <c r="B67" s="8" t="s">
        <v>15</v>
      </c>
      <c r="E67" s="10" t="s">
        <v>33</v>
      </c>
      <c r="F67" s="8">
        <v>1.0</v>
      </c>
      <c r="I67" s="10"/>
    </row>
    <row r="68" ht="14.25" customHeight="1">
      <c r="A68" s="8" t="s">
        <v>245</v>
      </c>
      <c r="B68" s="8" t="s">
        <v>48</v>
      </c>
      <c r="C68" s="8" t="s">
        <v>246</v>
      </c>
      <c r="D68" s="8" t="s">
        <v>247</v>
      </c>
      <c r="E68" s="10" t="s">
        <v>248</v>
      </c>
      <c r="F68" s="8">
        <v>0.0</v>
      </c>
      <c r="I68" s="10"/>
    </row>
    <row r="69" ht="14.25" customHeight="1">
      <c r="A69" s="8" t="s">
        <v>249</v>
      </c>
      <c r="B69" s="8" t="s">
        <v>48</v>
      </c>
      <c r="E69" s="10" t="s">
        <v>250</v>
      </c>
      <c r="F69" s="8">
        <v>0.0</v>
      </c>
      <c r="I69" s="10"/>
    </row>
    <row r="70" ht="14.25" customHeight="1">
      <c r="A70" s="8" t="s">
        <v>251</v>
      </c>
      <c r="B70" s="8" t="s">
        <v>48</v>
      </c>
      <c r="E70" s="10" t="s">
        <v>252</v>
      </c>
      <c r="F70" s="8">
        <v>1.0</v>
      </c>
      <c r="I70" s="10"/>
    </row>
    <row r="71" ht="14.25" customHeight="1">
      <c r="A71" s="8" t="s">
        <v>156</v>
      </c>
      <c r="B71" s="8" t="s">
        <v>30</v>
      </c>
      <c r="E71" s="10" t="s">
        <v>157</v>
      </c>
      <c r="F71" s="8">
        <v>1.0</v>
      </c>
      <c r="I71" s="10"/>
    </row>
    <row r="72" ht="14.25" customHeight="1">
      <c r="A72" s="8" t="s">
        <v>158</v>
      </c>
      <c r="B72" s="8" t="s">
        <v>30</v>
      </c>
      <c r="D72" s="8" t="s">
        <v>160</v>
      </c>
      <c r="E72" s="10" t="s">
        <v>161</v>
      </c>
      <c r="F72" s="8">
        <v>1.0</v>
      </c>
      <c r="I72" s="10"/>
    </row>
    <row r="73" ht="14.25" customHeight="1">
      <c r="A73" s="8" t="s">
        <v>253</v>
      </c>
      <c r="B73" s="8" t="s">
        <v>48</v>
      </c>
      <c r="D73" s="8" t="s">
        <v>254</v>
      </c>
      <c r="E73" s="10" t="s">
        <v>255</v>
      </c>
      <c r="F73" s="8">
        <v>1.0</v>
      </c>
      <c r="I73" s="10"/>
    </row>
    <row r="74" ht="14.25" customHeight="1">
      <c r="A74" s="8" t="s">
        <v>164</v>
      </c>
      <c r="B74" s="8" t="s">
        <v>30</v>
      </c>
      <c r="D74" s="8" t="s">
        <v>166</v>
      </c>
      <c r="E74" s="10" t="s">
        <v>167</v>
      </c>
      <c r="F74" s="8">
        <v>1.0</v>
      </c>
      <c r="I74" s="10"/>
    </row>
    <row r="75" ht="14.25" customHeight="1">
      <c r="A75" s="8" t="s">
        <v>257</v>
      </c>
      <c r="B75" s="8" t="s">
        <v>48</v>
      </c>
      <c r="C75" s="8" t="s">
        <v>258</v>
      </c>
      <c r="D75" s="8" t="s">
        <v>259</v>
      </c>
      <c r="E75" s="10" t="s">
        <v>260</v>
      </c>
      <c r="F75" s="8">
        <v>0.0</v>
      </c>
      <c r="I75" s="10"/>
    </row>
    <row r="76" ht="14.25" customHeight="1">
      <c r="A76" s="8" t="s">
        <v>261</v>
      </c>
      <c r="B76" s="8" t="s">
        <v>48</v>
      </c>
      <c r="C76" s="8" t="s">
        <v>262</v>
      </c>
      <c r="D76" s="8" t="s">
        <v>263</v>
      </c>
      <c r="E76" s="10" t="s">
        <v>264</v>
      </c>
      <c r="F76" s="8">
        <v>0.0</v>
      </c>
      <c r="I76" s="10"/>
    </row>
    <row r="77" ht="14.25" customHeight="1">
      <c r="A77" s="8" t="s">
        <v>265</v>
      </c>
      <c r="B77" s="8" t="s">
        <v>48</v>
      </c>
      <c r="D77" s="8" t="s">
        <v>266</v>
      </c>
      <c r="E77" s="10" t="s">
        <v>267</v>
      </c>
      <c r="F77" s="8">
        <v>0.0</v>
      </c>
      <c r="I77" s="10"/>
    </row>
    <row r="78" ht="14.25" customHeight="1">
      <c r="A78" s="10" t="s">
        <v>30</v>
      </c>
      <c r="B78" s="10"/>
      <c r="C78" s="10"/>
      <c r="D78" s="10"/>
      <c r="E78" s="10"/>
      <c r="F78" s="10">
        <v>12.0</v>
      </c>
      <c r="I78" s="10"/>
    </row>
    <row r="79" ht="14.25" customHeight="1">
      <c r="A79" s="8" t="s">
        <v>170</v>
      </c>
      <c r="B79" s="8" t="s">
        <v>30</v>
      </c>
      <c r="E79" s="10" t="s">
        <v>171</v>
      </c>
      <c r="F79" s="8">
        <v>0.0</v>
      </c>
      <c r="I79" s="10"/>
    </row>
    <row r="80" ht="14.25" customHeight="1">
      <c r="A80" s="10" t="s">
        <v>48</v>
      </c>
      <c r="B80" s="10"/>
      <c r="C80" s="10"/>
      <c r="D80" s="10"/>
      <c r="E80" s="10"/>
      <c r="F80" s="10">
        <v>58.0</v>
      </c>
      <c r="I80" s="10"/>
    </row>
    <row r="81" ht="14.25" customHeight="1">
      <c r="A81" s="8" t="s">
        <v>268</v>
      </c>
      <c r="B81" s="8" t="s">
        <v>48</v>
      </c>
      <c r="E81" s="10" t="s">
        <v>269</v>
      </c>
      <c r="F81" s="8">
        <v>1.0</v>
      </c>
      <c r="I81" s="10"/>
    </row>
    <row r="82" ht="14.25" customHeight="1">
      <c r="A82" s="8" t="s">
        <v>35</v>
      </c>
      <c r="B82" s="8" t="s">
        <v>15</v>
      </c>
      <c r="D82" s="8" t="s">
        <v>37</v>
      </c>
      <c r="E82" s="10" t="s">
        <v>38</v>
      </c>
      <c r="F82" s="8">
        <v>1.0</v>
      </c>
      <c r="I82" s="10"/>
    </row>
    <row r="83" ht="14.25" customHeight="1">
      <c r="A83" s="8" t="s">
        <v>270</v>
      </c>
      <c r="B83" s="8" t="s">
        <v>48</v>
      </c>
      <c r="E83" s="10" t="s">
        <v>271</v>
      </c>
      <c r="F83" s="8">
        <v>1.0</v>
      </c>
      <c r="I83" s="10"/>
    </row>
    <row r="84" ht="14.25" customHeight="1">
      <c r="A84" s="8" t="s">
        <v>272</v>
      </c>
      <c r="B84" s="8" t="s">
        <v>48</v>
      </c>
      <c r="D84" s="8" t="s">
        <v>273</v>
      </c>
      <c r="E84" s="10" t="s">
        <v>274</v>
      </c>
      <c r="F84" s="8">
        <v>0.0</v>
      </c>
      <c r="I84" s="10"/>
    </row>
    <row r="85" ht="14.25" customHeight="1">
      <c r="A85" s="8" t="s">
        <v>47</v>
      </c>
      <c r="B85" s="8" t="s">
        <v>42</v>
      </c>
      <c r="D85" s="8" t="s">
        <v>49</v>
      </c>
      <c r="E85" s="10" t="s">
        <v>51</v>
      </c>
      <c r="F85" s="8">
        <v>1.0</v>
      </c>
      <c r="I85" s="10"/>
    </row>
    <row r="86" ht="14.25" customHeight="1">
      <c r="A86" s="8" t="s">
        <v>275</v>
      </c>
      <c r="B86" s="8" t="s">
        <v>48</v>
      </c>
      <c r="C86" s="8" t="s">
        <v>276</v>
      </c>
      <c r="D86" s="8" t="s">
        <v>277</v>
      </c>
      <c r="E86" s="10" t="s">
        <v>278</v>
      </c>
      <c r="F86" s="8">
        <v>0.0</v>
      </c>
      <c r="I86" s="10"/>
    </row>
    <row r="87" ht="14.25" customHeight="1">
      <c r="A87" s="8" t="s">
        <v>279</v>
      </c>
      <c r="B87" s="8" t="s">
        <v>48</v>
      </c>
      <c r="E87" s="10" t="s">
        <v>280</v>
      </c>
      <c r="F87" s="8">
        <v>1.0</v>
      </c>
      <c r="I87" s="10"/>
    </row>
    <row r="88" ht="14.25" customHeight="1">
      <c r="A88" s="8" t="s">
        <v>58</v>
      </c>
      <c r="B88" s="8" t="s">
        <v>42</v>
      </c>
      <c r="E88" s="30" t="s">
        <v>60</v>
      </c>
      <c r="F88" s="8">
        <v>1.0</v>
      </c>
      <c r="I88" s="10"/>
    </row>
    <row r="89" ht="14.25" customHeight="1">
      <c r="A89" s="8" t="s">
        <v>119</v>
      </c>
      <c r="B89" s="8" t="s">
        <v>41</v>
      </c>
      <c r="C89" s="8" t="s">
        <v>120</v>
      </c>
      <c r="D89" s="8" t="s">
        <v>122</v>
      </c>
      <c r="E89" s="10" t="s">
        <v>123</v>
      </c>
      <c r="F89" s="8">
        <v>0.0</v>
      </c>
      <c r="I89" s="10"/>
    </row>
    <row r="90" ht="14.25" customHeight="1">
      <c r="A90" s="8" t="s">
        <v>281</v>
      </c>
      <c r="B90" s="8" t="s">
        <v>48</v>
      </c>
      <c r="C90" s="8" t="s">
        <v>282</v>
      </c>
      <c r="D90" s="8" t="s">
        <v>283</v>
      </c>
      <c r="E90" s="10" t="s">
        <v>284</v>
      </c>
      <c r="F90" s="8">
        <v>1.0</v>
      </c>
      <c r="G90" s="8" t="s">
        <v>285</v>
      </c>
      <c r="I90" s="10"/>
    </row>
    <row r="91" ht="14.25" customHeight="1">
      <c r="A91" s="8" t="s">
        <v>286</v>
      </c>
      <c r="B91" s="8" t="s">
        <v>48</v>
      </c>
      <c r="C91" s="8" t="s">
        <v>287</v>
      </c>
      <c r="D91" s="8" t="s">
        <v>288</v>
      </c>
      <c r="E91" s="10" t="s">
        <v>289</v>
      </c>
      <c r="F91" s="8">
        <v>0.0</v>
      </c>
      <c r="I91" s="10"/>
    </row>
    <row r="92" ht="14.25" customHeight="1">
      <c r="A92" s="8" t="s">
        <v>64</v>
      </c>
      <c r="B92" s="8" t="s">
        <v>42</v>
      </c>
      <c r="D92" s="8" t="s">
        <v>66</v>
      </c>
      <c r="E92" s="10" t="s">
        <v>67</v>
      </c>
      <c r="F92" s="8">
        <v>1.0</v>
      </c>
      <c r="I92" s="10"/>
    </row>
    <row r="93" ht="14.25" customHeight="1">
      <c r="A93" s="31" t="s">
        <v>290</v>
      </c>
      <c r="B93" s="37" t="s">
        <v>48</v>
      </c>
      <c r="C93" s="37" t="s">
        <v>291</v>
      </c>
      <c r="D93" s="37" t="s">
        <v>292</v>
      </c>
      <c r="E93" s="37" t="s">
        <v>293</v>
      </c>
      <c r="F93" s="38">
        <v>1.0</v>
      </c>
      <c r="I93" s="10"/>
    </row>
    <row r="94" ht="14.25" customHeight="1">
      <c r="A94" s="40" t="s">
        <v>294</v>
      </c>
      <c r="B94" s="8" t="s">
        <v>48</v>
      </c>
      <c r="D94" s="8" t="s">
        <v>295</v>
      </c>
      <c r="E94" s="10" t="s">
        <v>296</v>
      </c>
      <c r="F94" s="41">
        <v>0.0</v>
      </c>
      <c r="I94" s="10"/>
    </row>
    <row r="95" ht="14.25" customHeight="1">
      <c r="A95" s="40" t="s">
        <v>172</v>
      </c>
      <c r="B95" s="8" t="s">
        <v>30</v>
      </c>
      <c r="C95" s="8" t="s">
        <v>173</v>
      </c>
      <c r="E95" s="10" t="s">
        <v>174</v>
      </c>
      <c r="F95" s="41">
        <v>1.0</v>
      </c>
      <c r="I95" s="10"/>
    </row>
    <row r="96" ht="14.25" customHeight="1">
      <c r="A96" s="40" t="s">
        <v>297</v>
      </c>
      <c r="B96" s="8" t="s">
        <v>48</v>
      </c>
      <c r="E96" s="10" t="s">
        <v>298</v>
      </c>
      <c r="F96" s="41">
        <v>0.0</v>
      </c>
      <c r="I96" s="10"/>
    </row>
    <row r="97" ht="14.25" customHeight="1">
      <c r="A97" s="40"/>
      <c r="E97" s="10"/>
      <c r="F97" s="41"/>
      <c r="I97" s="10"/>
    </row>
    <row r="98" ht="14.25" customHeight="1">
      <c r="A98" s="40"/>
      <c r="E98" s="10"/>
      <c r="F98" s="41"/>
      <c r="I98" s="10"/>
    </row>
    <row r="99" ht="14.25" customHeight="1">
      <c r="A99" s="40"/>
      <c r="F99" s="41"/>
      <c r="I99" s="10"/>
    </row>
    <row r="100" ht="14.25" customHeight="1">
      <c r="A100" s="40"/>
      <c r="B100" s="10"/>
      <c r="C100" s="10"/>
      <c r="D100" s="10"/>
      <c r="E100" s="10"/>
      <c r="F100" s="41"/>
      <c r="I100" s="10"/>
    </row>
    <row r="101" ht="14.25" customHeight="1">
      <c r="A101" s="43"/>
      <c r="B101" s="44"/>
      <c r="C101" s="44"/>
      <c r="D101" s="44"/>
      <c r="E101" s="44"/>
      <c r="F101" s="46"/>
      <c r="I101" s="10"/>
    </row>
    <row r="102" ht="14.25" customHeight="1">
      <c r="E102" s="10"/>
      <c r="I102" s="10"/>
    </row>
    <row r="103" ht="14.25" customHeight="1">
      <c r="E103" s="10"/>
      <c r="I103" s="10"/>
    </row>
    <row r="104" ht="14.25" customHeight="1">
      <c r="E104" s="10"/>
      <c r="I104" s="10"/>
    </row>
    <row r="105" ht="14.25" customHeight="1">
      <c r="E105" s="10"/>
      <c r="I105" s="10"/>
    </row>
    <row r="106" ht="14.25" customHeight="1">
      <c r="E106" s="10"/>
      <c r="I106" s="10"/>
    </row>
    <row r="107" ht="14.25" customHeight="1">
      <c r="E107" s="10"/>
      <c r="I107" s="10"/>
    </row>
    <row r="108" ht="14.25" customHeight="1">
      <c r="E108" s="10"/>
      <c r="I108" s="10"/>
    </row>
    <row r="109" ht="14.25" customHeight="1">
      <c r="E109" s="10"/>
      <c r="I109" s="10"/>
    </row>
    <row r="110" ht="14.25" customHeight="1">
      <c r="E110" s="10"/>
      <c r="I110" s="10"/>
    </row>
    <row r="111" ht="14.25" customHeight="1">
      <c r="E111" s="10"/>
      <c r="I111" s="10"/>
    </row>
    <row r="112" ht="14.25" customHeight="1">
      <c r="E112" s="10"/>
      <c r="I112" s="10"/>
    </row>
    <row r="113" ht="14.25" customHeight="1">
      <c r="E113" s="10"/>
      <c r="I113" s="10"/>
    </row>
    <row r="114" ht="14.25" customHeight="1">
      <c r="E114" s="10"/>
      <c r="I114" s="10"/>
    </row>
    <row r="115" ht="14.25" customHeight="1">
      <c r="E115" s="10"/>
      <c r="I115" s="10"/>
    </row>
    <row r="116" ht="14.25" customHeight="1">
      <c r="E116" s="10"/>
      <c r="I116" s="10"/>
    </row>
    <row r="117" ht="14.25" customHeight="1">
      <c r="E117" s="10"/>
      <c r="I117" s="10"/>
    </row>
    <row r="118" ht="14.25" customHeight="1">
      <c r="E118" s="10"/>
      <c r="I118" s="10"/>
    </row>
    <row r="119" ht="14.25" customHeight="1">
      <c r="E119" s="10"/>
      <c r="I119" s="10"/>
    </row>
    <row r="120" ht="14.25" customHeight="1">
      <c r="E120" s="10"/>
      <c r="I120" s="10"/>
    </row>
    <row r="121" ht="14.25" customHeight="1">
      <c r="E121" s="10"/>
      <c r="I121" s="10"/>
    </row>
    <row r="122" ht="14.25" customHeight="1">
      <c r="E122" s="10"/>
      <c r="I122" s="10"/>
    </row>
    <row r="123" ht="14.25" customHeight="1">
      <c r="E123" s="10"/>
      <c r="I123" s="10"/>
    </row>
    <row r="124" ht="14.25" customHeight="1">
      <c r="E124" s="10"/>
      <c r="I124" s="10"/>
    </row>
    <row r="125" ht="14.25" customHeight="1">
      <c r="E125" s="10"/>
      <c r="I125" s="10"/>
    </row>
    <row r="126" ht="14.25" customHeight="1">
      <c r="E126" s="10"/>
      <c r="I126" s="10"/>
    </row>
    <row r="127" ht="14.25" customHeight="1">
      <c r="E127" s="10"/>
      <c r="I127" s="10"/>
    </row>
    <row r="128" ht="14.25" customHeight="1">
      <c r="E128" s="10"/>
      <c r="I128" s="10"/>
    </row>
    <row r="129" ht="14.25" customHeight="1">
      <c r="E129" s="10"/>
      <c r="I129" s="10"/>
    </row>
    <row r="130" ht="14.25" customHeight="1">
      <c r="E130" s="10"/>
      <c r="I130" s="10"/>
    </row>
    <row r="131" ht="14.25" customHeight="1">
      <c r="E131" s="10"/>
      <c r="I131" s="10"/>
    </row>
    <row r="132" ht="14.25" customHeight="1">
      <c r="E132" s="10"/>
      <c r="I132" s="10"/>
    </row>
    <row r="133" ht="14.25" customHeight="1">
      <c r="E133" s="10"/>
      <c r="I133" s="10"/>
    </row>
    <row r="134" ht="14.25" customHeight="1">
      <c r="E134" s="10"/>
      <c r="I134" s="10"/>
    </row>
    <row r="135" ht="14.25" customHeight="1">
      <c r="E135" s="10"/>
      <c r="I135" s="10"/>
    </row>
    <row r="136" ht="14.25" customHeight="1">
      <c r="E136" s="10"/>
      <c r="I136" s="10"/>
    </row>
    <row r="137" ht="14.25" customHeight="1">
      <c r="E137" s="10"/>
      <c r="I137" s="10"/>
    </row>
    <row r="138" ht="14.25" customHeight="1">
      <c r="E138" s="10"/>
      <c r="I138" s="10"/>
    </row>
    <row r="139" ht="14.25" customHeight="1">
      <c r="E139" s="10"/>
      <c r="I139" s="10"/>
    </row>
    <row r="140" ht="14.25" customHeight="1">
      <c r="E140" s="10"/>
      <c r="I140" s="10"/>
    </row>
    <row r="141" ht="14.25" customHeight="1">
      <c r="E141" s="10"/>
      <c r="I141" s="10"/>
    </row>
    <row r="142" ht="14.25" customHeight="1">
      <c r="E142" s="10"/>
      <c r="I142" s="10"/>
    </row>
    <row r="143" ht="14.25" customHeight="1">
      <c r="E143" s="10"/>
      <c r="I143" s="10"/>
    </row>
    <row r="144" ht="14.25" customHeight="1">
      <c r="E144" s="10"/>
      <c r="I144" s="10"/>
    </row>
    <row r="145" ht="14.25" customHeight="1">
      <c r="E145" s="10"/>
      <c r="I145" s="10"/>
    </row>
    <row r="146" ht="14.25" customHeight="1">
      <c r="E146" s="10"/>
      <c r="I146" s="10"/>
    </row>
    <row r="147" ht="14.25" customHeight="1">
      <c r="E147" s="10"/>
      <c r="I147" s="10"/>
    </row>
    <row r="148" ht="14.25" customHeight="1">
      <c r="E148" s="10"/>
      <c r="I148" s="10"/>
    </row>
    <row r="149" ht="14.25" customHeight="1">
      <c r="E149" s="10"/>
      <c r="I149" s="10"/>
    </row>
    <row r="150" ht="14.25" customHeight="1">
      <c r="E150" s="10"/>
      <c r="I150" s="10"/>
    </row>
    <row r="151" ht="14.25" customHeight="1">
      <c r="E151" s="10"/>
      <c r="I151" s="10"/>
    </row>
    <row r="152" ht="14.25" customHeight="1">
      <c r="E152" s="10"/>
      <c r="I152" s="10"/>
    </row>
    <row r="153" ht="14.25" customHeight="1">
      <c r="E153" s="10"/>
      <c r="I153" s="10"/>
    </row>
    <row r="154" ht="14.25" customHeight="1">
      <c r="E154" s="10"/>
      <c r="I154" s="10"/>
    </row>
    <row r="155" ht="14.25" customHeight="1">
      <c r="E155" s="10"/>
      <c r="I155" s="10"/>
    </row>
    <row r="156" ht="14.25" customHeight="1">
      <c r="E156" s="10"/>
      <c r="I156" s="10"/>
    </row>
    <row r="157" ht="14.25" customHeight="1">
      <c r="E157" s="10"/>
      <c r="I157" s="10"/>
    </row>
    <row r="158" ht="14.25" customHeight="1">
      <c r="E158" s="10"/>
      <c r="I158" s="10"/>
    </row>
    <row r="159" ht="14.25" customHeight="1">
      <c r="E159" s="10"/>
      <c r="I159" s="10"/>
    </row>
    <row r="160" ht="14.25" customHeight="1">
      <c r="E160" s="10"/>
      <c r="I160" s="10"/>
    </row>
    <row r="161" ht="14.25" customHeight="1">
      <c r="E161" s="10"/>
      <c r="I161" s="10"/>
    </row>
    <row r="162" ht="14.25" customHeight="1">
      <c r="E162" s="10"/>
      <c r="I162" s="10"/>
    </row>
    <row r="163" ht="14.25" customHeight="1">
      <c r="E163" s="10"/>
      <c r="I163" s="10"/>
    </row>
    <row r="164" ht="14.25" customHeight="1">
      <c r="E164" s="10"/>
      <c r="I164" s="10"/>
    </row>
    <row r="165" ht="14.25" customHeight="1">
      <c r="E165" s="10"/>
      <c r="I165" s="10"/>
    </row>
    <row r="166" ht="14.25" customHeight="1">
      <c r="E166" s="10"/>
      <c r="I166" s="10"/>
    </row>
    <row r="167" ht="14.25" customHeight="1">
      <c r="E167" s="10"/>
      <c r="I167" s="10"/>
    </row>
    <row r="168" ht="14.25" customHeight="1">
      <c r="E168" s="10"/>
      <c r="I168" s="10"/>
    </row>
    <row r="169" ht="14.25" customHeight="1">
      <c r="E169" s="10"/>
      <c r="I169" s="10"/>
    </row>
    <row r="170" ht="14.25" customHeight="1">
      <c r="E170" s="10"/>
      <c r="I170" s="10"/>
    </row>
    <row r="171" ht="14.25" customHeight="1">
      <c r="E171" s="10"/>
      <c r="I171" s="10"/>
    </row>
    <row r="172" ht="14.25" customHeight="1">
      <c r="E172" s="10"/>
      <c r="I172" s="10"/>
    </row>
    <row r="173" ht="14.25" customHeight="1">
      <c r="E173" s="10"/>
      <c r="I173" s="10"/>
    </row>
    <row r="174" ht="14.25" customHeight="1">
      <c r="E174" s="10"/>
      <c r="I174" s="10"/>
    </row>
    <row r="175" ht="14.25" customHeight="1">
      <c r="E175" s="10"/>
      <c r="I175" s="10"/>
    </row>
    <row r="176" ht="14.25" customHeight="1">
      <c r="E176" s="10"/>
      <c r="I176" s="10"/>
    </row>
    <row r="177" ht="14.25" customHeight="1">
      <c r="E177" s="10"/>
      <c r="I177" s="10"/>
    </row>
    <row r="178" ht="14.25" customHeight="1">
      <c r="E178" s="10"/>
      <c r="I178" s="10"/>
    </row>
    <row r="179" ht="14.25" customHeight="1">
      <c r="E179" s="10"/>
      <c r="I179" s="10"/>
    </row>
    <row r="180" ht="14.25" customHeight="1">
      <c r="E180" s="10"/>
      <c r="I180" s="10"/>
    </row>
    <row r="181" ht="14.25" customHeight="1">
      <c r="E181" s="10"/>
      <c r="I181" s="10"/>
    </row>
    <row r="182" ht="14.25" customHeight="1">
      <c r="E182" s="10"/>
      <c r="I182" s="10"/>
    </row>
    <row r="183" ht="14.25" customHeight="1">
      <c r="E183" s="10"/>
      <c r="I183" s="10"/>
    </row>
    <row r="184" ht="14.25" customHeight="1">
      <c r="E184" s="10"/>
      <c r="I184" s="10"/>
    </row>
    <row r="185" ht="14.25" customHeight="1">
      <c r="E185" s="10"/>
      <c r="I185" s="10"/>
    </row>
    <row r="186" ht="14.25" customHeight="1">
      <c r="E186" s="10"/>
      <c r="I186" s="10"/>
    </row>
    <row r="187" ht="14.25" customHeight="1">
      <c r="E187" s="10"/>
      <c r="I187" s="10"/>
    </row>
    <row r="188" ht="14.25" customHeight="1">
      <c r="E188" s="10"/>
      <c r="I188" s="10"/>
    </row>
    <row r="189" ht="14.25" customHeight="1">
      <c r="E189" s="10"/>
      <c r="I189" s="10"/>
    </row>
    <row r="190" ht="14.25" customHeight="1">
      <c r="E190" s="10"/>
      <c r="I190" s="10"/>
    </row>
    <row r="191" ht="14.25" customHeight="1">
      <c r="E191" s="10"/>
      <c r="I191" s="10"/>
    </row>
    <row r="192" ht="14.25" customHeight="1">
      <c r="E192" s="10"/>
      <c r="I192" s="10"/>
    </row>
    <row r="193" ht="14.25" customHeight="1">
      <c r="E193" s="10"/>
      <c r="I193" s="10"/>
    </row>
    <row r="194" ht="14.25" customHeight="1">
      <c r="E194" s="10"/>
      <c r="I194" s="10"/>
    </row>
    <row r="195" ht="14.25" customHeight="1">
      <c r="E195" s="10"/>
      <c r="I195" s="10"/>
    </row>
    <row r="196" ht="14.25" customHeight="1">
      <c r="E196" s="10"/>
      <c r="I196" s="10"/>
    </row>
    <row r="197" ht="14.25" customHeight="1">
      <c r="E197" s="10"/>
      <c r="I197" s="10"/>
    </row>
    <row r="198" ht="14.25" customHeight="1">
      <c r="E198" s="10"/>
      <c r="I198" s="10"/>
    </row>
    <row r="199" ht="14.25" customHeight="1">
      <c r="E199" s="10"/>
      <c r="I199" s="10"/>
    </row>
    <row r="200" ht="14.25" customHeight="1">
      <c r="E200" s="10"/>
      <c r="I200" s="10"/>
    </row>
    <row r="201" ht="14.25" customHeight="1">
      <c r="E201" s="10"/>
      <c r="I201" s="10"/>
    </row>
    <row r="202" ht="14.25" customHeight="1">
      <c r="E202" s="10"/>
      <c r="I202" s="10"/>
    </row>
    <row r="203" ht="14.25" customHeight="1">
      <c r="E203" s="10"/>
      <c r="I203" s="10"/>
    </row>
    <row r="204" ht="14.25" customHeight="1">
      <c r="E204" s="10"/>
      <c r="I204" s="10"/>
    </row>
    <row r="205" ht="14.25" customHeight="1">
      <c r="E205" s="10"/>
      <c r="I205" s="10"/>
    </row>
    <row r="206" ht="14.25" customHeight="1">
      <c r="E206" s="10"/>
      <c r="I206" s="10"/>
    </row>
    <row r="207" ht="14.25" customHeight="1">
      <c r="E207" s="10"/>
      <c r="I207" s="10"/>
    </row>
    <row r="208" ht="14.25" customHeight="1">
      <c r="E208" s="10"/>
      <c r="I208" s="10"/>
    </row>
    <row r="209" ht="14.25" customHeight="1">
      <c r="E209" s="10"/>
      <c r="I209" s="10"/>
    </row>
    <row r="210" ht="14.25" customHeight="1">
      <c r="E210" s="10"/>
      <c r="I210" s="10"/>
    </row>
    <row r="211" ht="14.25" customHeight="1">
      <c r="E211" s="10"/>
      <c r="I211" s="10"/>
    </row>
    <row r="212" ht="14.25" customHeight="1">
      <c r="E212" s="10"/>
      <c r="I212" s="10"/>
    </row>
    <row r="213" ht="14.25" customHeight="1">
      <c r="E213" s="10"/>
      <c r="I213" s="10"/>
    </row>
    <row r="214" ht="14.25" customHeight="1">
      <c r="E214" s="10"/>
      <c r="I214" s="10"/>
    </row>
    <row r="215" ht="14.25" customHeight="1">
      <c r="E215" s="10"/>
      <c r="I215" s="10"/>
    </row>
    <row r="216" ht="14.25" customHeight="1">
      <c r="E216" s="10"/>
      <c r="I216" s="10"/>
    </row>
    <row r="217" ht="14.25" customHeight="1">
      <c r="E217" s="10"/>
      <c r="I217" s="10"/>
    </row>
    <row r="218" ht="14.25" customHeight="1">
      <c r="E218" s="10"/>
      <c r="I218" s="10"/>
    </row>
    <row r="219" ht="14.25" customHeight="1">
      <c r="E219" s="10"/>
      <c r="I219" s="10"/>
    </row>
    <row r="220" ht="14.25" customHeight="1">
      <c r="E220" s="10"/>
      <c r="I220" s="10"/>
    </row>
    <row r="221" ht="14.25" customHeight="1">
      <c r="E221" s="10"/>
      <c r="I221" s="10"/>
    </row>
    <row r="222" ht="14.25" customHeight="1">
      <c r="E222" s="10"/>
      <c r="I222" s="10"/>
    </row>
    <row r="223" ht="14.25" customHeight="1">
      <c r="E223" s="10"/>
      <c r="I223" s="10"/>
    </row>
    <row r="224" ht="14.25" customHeight="1">
      <c r="E224" s="10"/>
      <c r="I224" s="10"/>
    </row>
    <row r="225" ht="14.25" customHeight="1">
      <c r="E225" s="10"/>
      <c r="I225" s="10"/>
    </row>
    <row r="226" ht="14.25" customHeight="1">
      <c r="E226" s="10"/>
      <c r="I226" s="10"/>
    </row>
    <row r="227" ht="14.25" customHeight="1">
      <c r="E227" s="10"/>
      <c r="I227" s="10"/>
    </row>
    <row r="228" ht="14.25" customHeight="1">
      <c r="E228" s="10"/>
      <c r="I228" s="10"/>
    </row>
    <row r="229" ht="14.25" customHeight="1">
      <c r="E229" s="10"/>
      <c r="I229" s="10"/>
    </row>
    <row r="230" ht="14.25" customHeight="1">
      <c r="E230" s="10"/>
      <c r="I230" s="10"/>
    </row>
    <row r="231" ht="14.25" customHeight="1">
      <c r="E231" s="10"/>
      <c r="I231" s="10"/>
    </row>
    <row r="232" ht="14.25" customHeight="1">
      <c r="E232" s="10"/>
      <c r="I232" s="10"/>
    </row>
    <row r="233" ht="14.25" customHeight="1">
      <c r="E233" s="10"/>
      <c r="I233" s="10"/>
    </row>
    <row r="234" ht="14.25" customHeight="1">
      <c r="E234" s="10"/>
      <c r="I234" s="10"/>
    </row>
    <row r="235" ht="14.25" customHeight="1">
      <c r="E235" s="10"/>
      <c r="I235" s="10"/>
    </row>
    <row r="236" ht="14.25" customHeight="1">
      <c r="E236" s="10"/>
      <c r="I236" s="10"/>
    </row>
    <row r="237" ht="14.25" customHeight="1">
      <c r="E237" s="10"/>
      <c r="I237" s="10"/>
    </row>
    <row r="238" ht="14.25" customHeight="1">
      <c r="E238" s="10"/>
      <c r="I238" s="10"/>
    </row>
    <row r="239" ht="14.25" customHeight="1">
      <c r="E239" s="10"/>
      <c r="I239" s="10"/>
    </row>
    <row r="240" ht="14.25" customHeight="1">
      <c r="E240" s="10"/>
      <c r="I240" s="10"/>
    </row>
    <row r="241" ht="14.25" customHeight="1">
      <c r="E241" s="10"/>
      <c r="I241" s="10"/>
    </row>
    <row r="242" ht="14.25" customHeight="1">
      <c r="E242" s="10"/>
      <c r="I242" s="10"/>
    </row>
    <row r="243" ht="14.25" customHeight="1">
      <c r="E243" s="10"/>
      <c r="I243" s="10"/>
    </row>
    <row r="244" ht="14.25" customHeight="1">
      <c r="E244" s="10"/>
      <c r="I244" s="10"/>
    </row>
    <row r="245" ht="14.25" customHeight="1">
      <c r="E245" s="10"/>
      <c r="I245" s="10"/>
    </row>
    <row r="246" ht="14.25" customHeight="1">
      <c r="E246" s="10"/>
      <c r="I246" s="10"/>
    </row>
    <row r="247" ht="14.25" customHeight="1">
      <c r="E247" s="10"/>
      <c r="I247" s="10"/>
    </row>
    <row r="248" ht="14.25" customHeight="1">
      <c r="E248" s="10"/>
      <c r="I248" s="10"/>
    </row>
    <row r="249" ht="14.25" customHeight="1">
      <c r="E249" s="10"/>
      <c r="I249" s="10"/>
    </row>
    <row r="250" ht="14.25" customHeight="1">
      <c r="E250" s="10"/>
      <c r="I250" s="10"/>
    </row>
    <row r="251" ht="14.25" customHeight="1">
      <c r="E251" s="10"/>
      <c r="I251" s="10"/>
    </row>
    <row r="252" ht="14.25" customHeight="1">
      <c r="E252" s="10"/>
      <c r="I252" s="10"/>
    </row>
    <row r="253" ht="14.25" customHeight="1">
      <c r="E253" s="10"/>
      <c r="I253" s="10"/>
    </row>
    <row r="254" ht="14.25" customHeight="1">
      <c r="E254" s="10"/>
      <c r="I254" s="10"/>
    </row>
    <row r="255" ht="14.25" customHeight="1">
      <c r="E255" s="10"/>
      <c r="I255" s="10"/>
    </row>
    <row r="256" ht="14.25" customHeight="1">
      <c r="E256" s="10"/>
      <c r="I256" s="10"/>
    </row>
    <row r="257" ht="14.25" customHeight="1">
      <c r="E257" s="10"/>
      <c r="I257" s="10"/>
    </row>
    <row r="258" ht="14.25" customHeight="1">
      <c r="E258" s="10"/>
      <c r="I258" s="10"/>
    </row>
    <row r="259" ht="14.25" customHeight="1">
      <c r="E259" s="10"/>
      <c r="I259" s="10"/>
    </row>
    <row r="260" ht="14.25" customHeight="1">
      <c r="E260" s="10"/>
      <c r="I260" s="10"/>
    </row>
    <row r="261" ht="14.25" customHeight="1">
      <c r="E261" s="10"/>
      <c r="I261" s="10"/>
    </row>
    <row r="262" ht="14.25" customHeight="1">
      <c r="E262" s="10"/>
      <c r="I262" s="10"/>
    </row>
    <row r="263" ht="14.25" customHeight="1">
      <c r="E263" s="10"/>
      <c r="I263" s="10"/>
    </row>
    <row r="264" ht="14.25" customHeight="1">
      <c r="E264" s="10"/>
      <c r="I264" s="10"/>
    </row>
    <row r="265" ht="14.25" customHeight="1">
      <c r="E265" s="10"/>
      <c r="I265" s="10"/>
    </row>
    <row r="266" ht="14.25" customHeight="1">
      <c r="E266" s="10"/>
      <c r="I266" s="10"/>
    </row>
    <row r="267" ht="14.25" customHeight="1">
      <c r="E267" s="10"/>
      <c r="I267" s="10"/>
    </row>
    <row r="268" ht="14.25" customHeight="1">
      <c r="E268" s="10"/>
      <c r="I268" s="10"/>
    </row>
    <row r="269" ht="14.25" customHeight="1">
      <c r="E269" s="10"/>
      <c r="I269" s="10"/>
    </row>
    <row r="270" ht="14.25" customHeight="1">
      <c r="E270" s="10"/>
      <c r="I270" s="10"/>
    </row>
    <row r="271" ht="14.25" customHeight="1">
      <c r="E271" s="10"/>
      <c r="I271" s="10"/>
    </row>
    <row r="272" ht="14.25" customHeight="1">
      <c r="E272" s="10"/>
      <c r="I272" s="10"/>
    </row>
    <row r="273" ht="14.25" customHeight="1">
      <c r="E273" s="10"/>
      <c r="I273" s="10"/>
    </row>
    <row r="274" ht="14.25" customHeight="1">
      <c r="E274" s="10"/>
      <c r="I274" s="10"/>
    </row>
    <row r="275" ht="14.25" customHeight="1">
      <c r="E275" s="10"/>
      <c r="I275" s="10"/>
    </row>
    <row r="276" ht="14.25" customHeight="1">
      <c r="E276" s="10"/>
      <c r="I276" s="10"/>
    </row>
    <row r="277" ht="14.25" customHeight="1">
      <c r="E277" s="10"/>
      <c r="I277" s="10"/>
    </row>
    <row r="278" ht="14.25" customHeight="1">
      <c r="E278" s="10"/>
      <c r="I278" s="10"/>
    </row>
    <row r="279" ht="14.25" customHeight="1">
      <c r="E279" s="10"/>
      <c r="I279" s="10"/>
    </row>
    <row r="280" ht="14.25" customHeight="1">
      <c r="E280" s="10"/>
      <c r="I280" s="10"/>
    </row>
    <row r="281" ht="14.25" customHeight="1">
      <c r="E281" s="10"/>
      <c r="I281" s="10"/>
    </row>
    <row r="282" ht="14.25" customHeight="1">
      <c r="E282" s="10"/>
      <c r="I282" s="10"/>
    </row>
    <row r="283" ht="14.25" customHeight="1">
      <c r="E283" s="10"/>
      <c r="I283" s="10"/>
    </row>
    <row r="284" ht="14.25" customHeight="1">
      <c r="E284" s="10"/>
      <c r="I284" s="10"/>
    </row>
    <row r="285" ht="14.25" customHeight="1">
      <c r="E285" s="10"/>
      <c r="I285" s="10"/>
    </row>
    <row r="286" ht="14.25" customHeight="1">
      <c r="E286" s="10"/>
      <c r="I286" s="10"/>
    </row>
    <row r="287" ht="14.25" customHeight="1">
      <c r="E287" s="10"/>
      <c r="I287" s="10"/>
    </row>
    <row r="288" ht="14.25" customHeight="1">
      <c r="E288" s="10"/>
      <c r="I288" s="10"/>
    </row>
    <row r="289" ht="14.25" customHeight="1">
      <c r="E289" s="10"/>
      <c r="I289" s="10"/>
    </row>
    <row r="290" ht="14.25" customHeight="1">
      <c r="E290" s="10"/>
      <c r="I290" s="10"/>
    </row>
    <row r="291" ht="14.25" customHeight="1">
      <c r="E291" s="10"/>
      <c r="I291" s="10"/>
    </row>
    <row r="292" ht="14.25" customHeight="1">
      <c r="E292" s="10"/>
      <c r="I292" s="10"/>
    </row>
    <row r="293" ht="14.25" customHeight="1">
      <c r="E293" s="10"/>
      <c r="I293" s="10"/>
    </row>
    <row r="294" ht="14.25" customHeight="1">
      <c r="E294" s="10"/>
      <c r="I294" s="10"/>
    </row>
    <row r="295" ht="14.25" customHeight="1">
      <c r="E295" s="10"/>
      <c r="I295" s="10"/>
    </row>
    <row r="296" ht="14.25" customHeight="1">
      <c r="E296" s="10"/>
      <c r="I296" s="10"/>
    </row>
    <row r="297" ht="14.25" customHeight="1">
      <c r="E297" s="10"/>
      <c r="I297" s="10"/>
    </row>
    <row r="298" ht="14.25" customHeight="1">
      <c r="E298" s="10"/>
      <c r="I298" s="10"/>
    </row>
    <row r="299" ht="14.25" customHeight="1">
      <c r="E299" s="10"/>
      <c r="I299" s="10"/>
    </row>
    <row r="300" ht="14.25" customHeight="1">
      <c r="E300" s="10"/>
      <c r="I300" s="10"/>
    </row>
    <row r="301" ht="14.25" customHeight="1">
      <c r="E301" s="10"/>
      <c r="I301" s="10"/>
    </row>
    <row r="302" ht="14.25" customHeight="1">
      <c r="E302" s="10"/>
      <c r="I302" s="10"/>
    </row>
    <row r="303" ht="14.25" customHeight="1">
      <c r="E303" s="10"/>
      <c r="I303" s="10"/>
    </row>
    <row r="304" ht="14.25" customHeight="1">
      <c r="E304" s="10"/>
      <c r="I304" s="10"/>
    </row>
    <row r="305" ht="14.25" customHeight="1">
      <c r="E305" s="10"/>
      <c r="I305" s="10"/>
    </row>
    <row r="306" ht="14.25" customHeight="1">
      <c r="E306" s="10"/>
      <c r="I306" s="10"/>
    </row>
    <row r="307" ht="14.25" customHeight="1">
      <c r="E307" s="10"/>
      <c r="I307" s="10"/>
    </row>
    <row r="308" ht="14.25" customHeight="1">
      <c r="E308" s="10"/>
      <c r="I308" s="10"/>
    </row>
    <row r="309" ht="14.25" customHeight="1">
      <c r="E309" s="10"/>
      <c r="I309" s="10"/>
    </row>
    <row r="310" ht="14.25" customHeight="1">
      <c r="E310" s="10"/>
      <c r="I310" s="10"/>
    </row>
    <row r="311" ht="14.25" customHeight="1">
      <c r="E311" s="10"/>
      <c r="I311" s="10"/>
    </row>
    <row r="312" ht="14.25" customHeight="1">
      <c r="E312" s="10"/>
      <c r="I312" s="10"/>
    </row>
    <row r="313" ht="14.25" customHeight="1">
      <c r="E313" s="10"/>
      <c r="I313" s="10"/>
    </row>
    <row r="314" ht="14.25" customHeight="1">
      <c r="E314" s="10"/>
      <c r="I314" s="10"/>
    </row>
    <row r="315" ht="14.25" customHeight="1">
      <c r="E315" s="10"/>
      <c r="I315" s="10"/>
    </row>
    <row r="316" ht="14.25" customHeight="1">
      <c r="E316" s="10"/>
      <c r="I316" s="10"/>
    </row>
    <row r="317" ht="14.25" customHeight="1">
      <c r="E317" s="10"/>
      <c r="I317" s="10"/>
    </row>
    <row r="318" ht="14.25" customHeight="1">
      <c r="E318" s="10"/>
      <c r="I318" s="10"/>
    </row>
    <row r="319" ht="14.25" customHeight="1">
      <c r="E319" s="10"/>
      <c r="I319" s="10"/>
    </row>
    <row r="320" ht="14.25" customHeight="1">
      <c r="E320" s="10"/>
      <c r="I320" s="10"/>
    </row>
    <row r="321" ht="14.25" customHeight="1">
      <c r="E321" s="10"/>
      <c r="I321" s="10"/>
    </row>
    <row r="322" ht="14.25" customHeight="1">
      <c r="E322" s="10"/>
      <c r="I322" s="10"/>
    </row>
    <row r="323" ht="14.25" customHeight="1">
      <c r="E323" s="10"/>
      <c r="I323" s="10"/>
    </row>
    <row r="324" ht="14.25" customHeight="1">
      <c r="E324" s="10"/>
      <c r="I324" s="10"/>
    </row>
    <row r="325" ht="14.25" customHeight="1">
      <c r="E325" s="10"/>
      <c r="I325" s="10"/>
    </row>
    <row r="326" ht="14.25" customHeight="1">
      <c r="E326" s="10"/>
      <c r="I326" s="10"/>
    </row>
    <row r="327" ht="14.25" customHeight="1">
      <c r="E327" s="10"/>
      <c r="I327" s="10"/>
    </row>
    <row r="328" ht="14.25" customHeight="1">
      <c r="E328" s="10"/>
      <c r="I328" s="10"/>
    </row>
    <row r="329" ht="14.25" customHeight="1">
      <c r="E329" s="10"/>
      <c r="I329" s="10"/>
    </row>
    <row r="330" ht="14.25" customHeight="1">
      <c r="E330" s="10"/>
      <c r="I330" s="10"/>
    </row>
    <row r="331" ht="14.25" customHeight="1">
      <c r="E331" s="10"/>
      <c r="I331" s="10"/>
    </row>
    <row r="332" ht="14.25" customHeight="1">
      <c r="E332" s="10"/>
      <c r="I332" s="10"/>
    </row>
    <row r="333" ht="14.25" customHeight="1">
      <c r="E333" s="10"/>
      <c r="I333" s="10"/>
    </row>
    <row r="334" ht="14.25" customHeight="1">
      <c r="E334" s="10"/>
      <c r="I334" s="10"/>
    </row>
    <row r="335" ht="14.25" customHeight="1">
      <c r="E335" s="10"/>
      <c r="I335" s="10"/>
    </row>
    <row r="336" ht="14.25" customHeight="1">
      <c r="E336" s="10"/>
      <c r="I336" s="10"/>
    </row>
    <row r="337" ht="14.25" customHeight="1">
      <c r="E337" s="10"/>
      <c r="I337" s="10"/>
    </row>
    <row r="338" ht="14.25" customHeight="1">
      <c r="E338" s="10"/>
      <c r="I338" s="10"/>
    </row>
    <row r="339" ht="14.25" customHeight="1">
      <c r="E339" s="10"/>
      <c r="I339" s="10"/>
    </row>
    <row r="340" ht="14.25" customHeight="1">
      <c r="E340" s="10"/>
      <c r="I340" s="10"/>
    </row>
    <row r="341" ht="14.25" customHeight="1">
      <c r="E341" s="10"/>
      <c r="I341" s="10"/>
    </row>
    <row r="342" ht="14.25" customHeight="1">
      <c r="E342" s="10"/>
      <c r="I342" s="10"/>
    </row>
    <row r="343" ht="14.25" customHeight="1">
      <c r="E343" s="10"/>
      <c r="I343" s="10"/>
    </row>
    <row r="344" ht="14.25" customHeight="1">
      <c r="E344" s="10"/>
      <c r="I344" s="10"/>
    </row>
    <row r="345" ht="14.25" customHeight="1">
      <c r="E345" s="10"/>
      <c r="I345" s="10"/>
    </row>
    <row r="346" ht="14.25" customHeight="1">
      <c r="E346" s="10"/>
      <c r="I346" s="10"/>
    </row>
    <row r="347" ht="14.25" customHeight="1">
      <c r="E347" s="10"/>
      <c r="I347" s="10"/>
    </row>
    <row r="348" ht="14.25" customHeight="1">
      <c r="E348" s="10"/>
      <c r="I348" s="10"/>
    </row>
    <row r="349" ht="14.25" customHeight="1">
      <c r="E349" s="10"/>
      <c r="I349" s="10"/>
    </row>
    <row r="350" ht="14.25" customHeight="1">
      <c r="E350" s="10"/>
      <c r="I350" s="10"/>
    </row>
    <row r="351" ht="14.25" customHeight="1">
      <c r="E351" s="10"/>
      <c r="I351" s="10"/>
    </row>
    <row r="352" ht="14.25" customHeight="1">
      <c r="E352" s="10"/>
      <c r="I352" s="10"/>
    </row>
    <row r="353" ht="14.25" customHeight="1">
      <c r="E353" s="10"/>
      <c r="I353" s="10"/>
    </row>
    <row r="354" ht="14.25" customHeight="1">
      <c r="E354" s="10"/>
      <c r="I354" s="10"/>
    </row>
    <row r="355" ht="14.25" customHeight="1">
      <c r="E355" s="10"/>
      <c r="I355" s="10"/>
    </row>
    <row r="356" ht="14.25" customHeight="1">
      <c r="E356" s="10"/>
      <c r="I356" s="10"/>
    </row>
    <row r="357" ht="14.25" customHeight="1">
      <c r="E357" s="10"/>
      <c r="I357" s="10"/>
    </row>
    <row r="358" ht="14.25" customHeight="1">
      <c r="E358" s="10"/>
      <c r="I358" s="10"/>
    </row>
    <row r="359" ht="14.25" customHeight="1">
      <c r="E359" s="10"/>
      <c r="I359" s="10"/>
    </row>
    <row r="360" ht="14.25" customHeight="1">
      <c r="E360" s="10"/>
      <c r="I360" s="10"/>
    </row>
    <row r="361" ht="14.25" customHeight="1">
      <c r="E361" s="10"/>
      <c r="I361" s="10"/>
    </row>
    <row r="362" ht="14.25" customHeight="1">
      <c r="E362" s="10"/>
      <c r="I362" s="10"/>
    </row>
    <row r="363" ht="14.25" customHeight="1">
      <c r="E363" s="10"/>
      <c r="I363" s="10"/>
    </row>
    <row r="364" ht="14.25" customHeight="1">
      <c r="E364" s="10"/>
      <c r="I364" s="10"/>
    </row>
    <row r="365" ht="14.25" customHeight="1">
      <c r="E365" s="10"/>
      <c r="I365" s="10"/>
    </row>
    <row r="366" ht="14.25" customHeight="1">
      <c r="E366" s="10"/>
      <c r="I366" s="10"/>
    </row>
    <row r="367" ht="14.25" customHeight="1">
      <c r="E367" s="10"/>
      <c r="I367" s="10"/>
    </row>
    <row r="368" ht="14.25" customHeight="1">
      <c r="E368" s="10"/>
      <c r="I368" s="10"/>
    </row>
    <row r="369" ht="14.25" customHeight="1">
      <c r="E369" s="10"/>
      <c r="I369" s="10"/>
    </row>
    <row r="370" ht="14.25" customHeight="1">
      <c r="E370" s="10"/>
      <c r="I370" s="10"/>
    </row>
    <row r="371" ht="14.25" customHeight="1">
      <c r="E371" s="10"/>
      <c r="I371" s="10"/>
    </row>
    <row r="372" ht="14.25" customHeight="1">
      <c r="E372" s="10"/>
      <c r="I372" s="10"/>
    </row>
    <row r="373" ht="14.25" customHeight="1">
      <c r="E373" s="10"/>
      <c r="I373" s="10"/>
    </row>
    <row r="374" ht="14.25" customHeight="1">
      <c r="E374" s="10"/>
      <c r="I374" s="10"/>
    </row>
    <row r="375" ht="14.25" customHeight="1">
      <c r="E375" s="10"/>
      <c r="I375" s="10"/>
    </row>
    <row r="376" ht="14.25" customHeight="1">
      <c r="E376" s="10"/>
      <c r="I376" s="10"/>
    </row>
    <row r="377" ht="14.25" customHeight="1">
      <c r="E377" s="10"/>
      <c r="I377" s="10"/>
    </row>
    <row r="378" ht="14.25" customHeight="1">
      <c r="E378" s="10"/>
      <c r="I378" s="10"/>
    </row>
    <row r="379" ht="14.25" customHeight="1">
      <c r="E379" s="10"/>
      <c r="I379" s="10"/>
    </row>
    <row r="380" ht="14.25" customHeight="1">
      <c r="E380" s="10"/>
      <c r="I380" s="10"/>
    </row>
    <row r="381" ht="14.25" customHeight="1">
      <c r="E381" s="10"/>
      <c r="I381" s="10"/>
    </row>
    <row r="382" ht="14.25" customHeight="1">
      <c r="E382" s="10"/>
      <c r="I382" s="10"/>
    </row>
    <row r="383" ht="14.25" customHeight="1">
      <c r="E383" s="10"/>
      <c r="I383" s="10"/>
    </row>
    <row r="384" ht="14.25" customHeight="1">
      <c r="E384" s="10"/>
      <c r="I384" s="10"/>
    </row>
    <row r="385" ht="14.25" customHeight="1">
      <c r="E385" s="10"/>
      <c r="I385" s="10"/>
    </row>
    <row r="386" ht="14.25" customHeight="1">
      <c r="E386" s="10"/>
      <c r="I386" s="10"/>
    </row>
    <row r="387" ht="14.25" customHeight="1">
      <c r="E387" s="10"/>
      <c r="I387" s="10"/>
    </row>
    <row r="388" ht="14.25" customHeight="1">
      <c r="E388" s="10"/>
      <c r="I388" s="10"/>
    </row>
    <row r="389" ht="14.25" customHeight="1">
      <c r="E389" s="10"/>
      <c r="I389" s="10"/>
    </row>
    <row r="390" ht="14.25" customHeight="1">
      <c r="E390" s="10"/>
      <c r="I390" s="10"/>
    </row>
    <row r="391" ht="14.25" customHeight="1">
      <c r="E391" s="10"/>
      <c r="I391" s="10"/>
    </row>
    <row r="392" ht="14.25" customHeight="1">
      <c r="E392" s="10"/>
      <c r="I392" s="10"/>
    </row>
    <row r="393" ht="14.25" customHeight="1">
      <c r="E393" s="10"/>
      <c r="I393" s="10"/>
    </row>
    <row r="394" ht="14.25" customHeight="1">
      <c r="E394" s="10"/>
      <c r="I394" s="10"/>
    </row>
    <row r="395" ht="14.25" customHeight="1">
      <c r="E395" s="10"/>
      <c r="I395" s="10"/>
    </row>
    <row r="396" ht="14.25" customHeight="1">
      <c r="E396" s="10"/>
      <c r="I396" s="10"/>
    </row>
    <row r="397" ht="14.25" customHeight="1">
      <c r="E397" s="10"/>
      <c r="I397" s="10"/>
    </row>
    <row r="398" ht="14.25" customHeight="1">
      <c r="E398" s="10"/>
      <c r="I398" s="10"/>
    </row>
    <row r="399" ht="14.25" customHeight="1">
      <c r="E399" s="10"/>
      <c r="I399" s="10"/>
    </row>
    <row r="400" ht="14.25" customHeight="1">
      <c r="E400" s="10"/>
      <c r="I400" s="10"/>
    </row>
    <row r="401" ht="14.25" customHeight="1">
      <c r="E401" s="10"/>
      <c r="I401" s="10"/>
    </row>
    <row r="402" ht="14.25" customHeight="1">
      <c r="E402" s="10"/>
      <c r="I402" s="10"/>
    </row>
    <row r="403" ht="14.25" customHeight="1">
      <c r="E403" s="10"/>
      <c r="I403" s="10"/>
    </row>
    <row r="404" ht="14.25" customHeight="1">
      <c r="E404" s="10"/>
      <c r="I404" s="10"/>
    </row>
    <row r="405" ht="14.25" customHeight="1">
      <c r="E405" s="10"/>
      <c r="I405" s="10"/>
    </row>
    <row r="406" ht="14.25" customHeight="1">
      <c r="E406" s="10"/>
      <c r="I406" s="10"/>
    </row>
    <row r="407" ht="14.25" customHeight="1">
      <c r="E407" s="10"/>
      <c r="I407" s="10"/>
    </row>
    <row r="408" ht="14.25" customHeight="1">
      <c r="E408" s="10"/>
      <c r="I408" s="10"/>
    </row>
    <row r="409" ht="14.25" customHeight="1">
      <c r="E409" s="10"/>
      <c r="I409" s="10"/>
    </row>
    <row r="410" ht="14.25" customHeight="1">
      <c r="E410" s="10"/>
      <c r="I410" s="10"/>
    </row>
    <row r="411" ht="14.25" customHeight="1">
      <c r="E411" s="10"/>
      <c r="I411" s="10"/>
    </row>
    <row r="412" ht="14.25" customHeight="1">
      <c r="E412" s="10"/>
      <c r="I412" s="10"/>
    </row>
    <row r="413" ht="14.25" customHeight="1">
      <c r="E413" s="10"/>
      <c r="I413" s="10"/>
    </row>
    <row r="414" ht="14.25" customHeight="1">
      <c r="E414" s="10"/>
      <c r="I414" s="10"/>
    </row>
    <row r="415" ht="14.25" customHeight="1">
      <c r="E415" s="10"/>
      <c r="I415" s="10"/>
    </row>
    <row r="416" ht="14.25" customHeight="1">
      <c r="E416" s="10"/>
      <c r="I416" s="10"/>
    </row>
    <row r="417" ht="14.25" customHeight="1">
      <c r="E417" s="10"/>
      <c r="I417" s="10"/>
    </row>
    <row r="418" ht="14.25" customHeight="1">
      <c r="E418" s="10"/>
      <c r="I418" s="10"/>
    </row>
    <row r="419" ht="14.25" customHeight="1">
      <c r="E419" s="10"/>
      <c r="I419" s="10"/>
    </row>
    <row r="420" ht="14.25" customHeight="1">
      <c r="E420" s="10"/>
      <c r="I420" s="10"/>
    </row>
    <row r="421" ht="14.25" customHeight="1">
      <c r="E421" s="10"/>
      <c r="I421" s="10"/>
    </row>
    <row r="422" ht="14.25" customHeight="1">
      <c r="E422" s="10"/>
      <c r="I422" s="10"/>
    </row>
    <row r="423" ht="14.25" customHeight="1">
      <c r="E423" s="10"/>
      <c r="I423" s="10"/>
    </row>
    <row r="424" ht="14.25" customHeight="1">
      <c r="E424" s="10"/>
      <c r="I424" s="10"/>
    </row>
    <row r="425" ht="14.25" customHeight="1">
      <c r="E425" s="10"/>
      <c r="I425" s="10"/>
    </row>
    <row r="426" ht="14.25" customHeight="1">
      <c r="E426" s="10"/>
      <c r="I426" s="10"/>
    </row>
    <row r="427" ht="14.25" customHeight="1">
      <c r="E427" s="10"/>
      <c r="I427" s="10"/>
    </row>
    <row r="428" ht="14.25" customHeight="1">
      <c r="E428" s="10"/>
      <c r="I428" s="10"/>
    </row>
    <row r="429" ht="14.25" customHeight="1">
      <c r="E429" s="10"/>
      <c r="I429" s="10"/>
    </row>
    <row r="430" ht="14.25" customHeight="1">
      <c r="E430" s="10"/>
      <c r="I430" s="10"/>
    </row>
    <row r="431" ht="14.25" customHeight="1">
      <c r="E431" s="10"/>
      <c r="I431" s="10"/>
    </row>
    <row r="432" ht="14.25" customHeight="1">
      <c r="E432" s="10"/>
      <c r="I432" s="10"/>
    </row>
    <row r="433" ht="14.25" customHeight="1">
      <c r="E433" s="10"/>
      <c r="I433" s="10"/>
    </row>
    <row r="434" ht="14.25" customHeight="1">
      <c r="E434" s="10"/>
      <c r="I434" s="10"/>
    </row>
    <row r="435" ht="14.25" customHeight="1">
      <c r="E435" s="10"/>
      <c r="I435" s="10"/>
    </row>
    <row r="436" ht="14.25" customHeight="1">
      <c r="E436" s="10"/>
      <c r="I436" s="10"/>
    </row>
    <row r="437" ht="14.25" customHeight="1">
      <c r="E437" s="10"/>
      <c r="I437" s="10"/>
    </row>
    <row r="438" ht="14.25" customHeight="1">
      <c r="E438" s="10"/>
      <c r="I438" s="10"/>
    </row>
    <row r="439" ht="14.25" customHeight="1">
      <c r="E439" s="10"/>
      <c r="I439" s="10"/>
    </row>
    <row r="440" ht="14.25" customHeight="1">
      <c r="E440" s="10"/>
      <c r="I440" s="10"/>
    </row>
    <row r="441" ht="14.25" customHeight="1">
      <c r="E441" s="10"/>
      <c r="I441" s="10"/>
    </row>
    <row r="442" ht="14.25" customHeight="1">
      <c r="E442" s="10"/>
      <c r="I442" s="10"/>
    </row>
    <row r="443" ht="14.25" customHeight="1">
      <c r="E443" s="10"/>
      <c r="I443" s="10"/>
    </row>
    <row r="444" ht="14.25" customHeight="1">
      <c r="E444" s="10"/>
      <c r="I444" s="10"/>
    </row>
    <row r="445" ht="14.25" customHeight="1">
      <c r="E445" s="10"/>
      <c r="I445" s="10"/>
    </row>
    <row r="446" ht="14.25" customHeight="1">
      <c r="E446" s="10"/>
      <c r="I446" s="10"/>
    </row>
    <row r="447" ht="14.25" customHeight="1">
      <c r="E447" s="10"/>
      <c r="I447" s="10"/>
    </row>
    <row r="448" ht="14.25" customHeight="1">
      <c r="E448" s="10"/>
      <c r="I448" s="10"/>
    </row>
    <row r="449" ht="14.25" customHeight="1">
      <c r="E449" s="10"/>
      <c r="I449" s="10"/>
    </row>
    <row r="450" ht="14.25" customHeight="1">
      <c r="E450" s="10"/>
      <c r="I450" s="10"/>
    </row>
    <row r="451" ht="14.25" customHeight="1">
      <c r="E451" s="10"/>
      <c r="I451" s="10"/>
    </row>
    <row r="452" ht="14.25" customHeight="1">
      <c r="E452" s="10"/>
      <c r="I452" s="10"/>
    </row>
    <row r="453" ht="14.25" customHeight="1">
      <c r="E453" s="10"/>
      <c r="I453" s="10"/>
    </row>
    <row r="454" ht="14.25" customHeight="1">
      <c r="E454" s="10"/>
      <c r="I454" s="10"/>
    </row>
    <row r="455" ht="14.25" customHeight="1">
      <c r="E455" s="10"/>
      <c r="I455" s="10"/>
    </row>
    <row r="456" ht="14.25" customHeight="1">
      <c r="E456" s="10"/>
      <c r="I456" s="10"/>
    </row>
    <row r="457" ht="14.25" customHeight="1">
      <c r="E457" s="10"/>
      <c r="I457" s="10"/>
    </row>
    <row r="458" ht="14.25" customHeight="1">
      <c r="E458" s="10"/>
      <c r="I458" s="10"/>
    </row>
    <row r="459" ht="14.25" customHeight="1">
      <c r="E459" s="10"/>
      <c r="I459" s="10"/>
    </row>
    <row r="460" ht="14.25" customHeight="1">
      <c r="E460" s="10"/>
      <c r="I460" s="10"/>
    </row>
    <row r="461" ht="14.25" customHeight="1">
      <c r="E461" s="10"/>
      <c r="I461" s="10"/>
    </row>
    <row r="462" ht="14.25" customHeight="1">
      <c r="E462" s="10"/>
      <c r="I462" s="10"/>
    </row>
    <row r="463" ht="14.25" customHeight="1">
      <c r="E463" s="10"/>
      <c r="I463" s="10"/>
    </row>
    <row r="464" ht="14.25" customHeight="1">
      <c r="E464" s="10"/>
      <c r="I464" s="10"/>
    </row>
    <row r="465" ht="14.25" customHeight="1">
      <c r="E465" s="10"/>
      <c r="I465" s="10"/>
    </row>
    <row r="466" ht="14.25" customHeight="1">
      <c r="E466" s="10"/>
      <c r="I466" s="10"/>
    </row>
    <row r="467" ht="14.25" customHeight="1">
      <c r="E467" s="10"/>
      <c r="I467" s="10"/>
    </row>
    <row r="468" ht="14.25" customHeight="1">
      <c r="E468" s="10"/>
      <c r="I468" s="10"/>
    </row>
    <row r="469" ht="14.25" customHeight="1">
      <c r="E469" s="10"/>
      <c r="I469" s="10"/>
    </row>
    <row r="470" ht="14.25" customHeight="1">
      <c r="E470" s="10"/>
      <c r="I470" s="10"/>
    </row>
    <row r="471" ht="14.25" customHeight="1">
      <c r="E471" s="10"/>
      <c r="I471" s="10"/>
    </row>
    <row r="472" ht="14.25" customHeight="1">
      <c r="E472" s="10"/>
      <c r="I472" s="10"/>
    </row>
    <row r="473" ht="14.25" customHeight="1">
      <c r="E473" s="10"/>
      <c r="I473" s="10"/>
    </row>
    <row r="474" ht="14.25" customHeight="1">
      <c r="E474" s="10"/>
      <c r="I474" s="10"/>
    </row>
    <row r="475" ht="14.25" customHeight="1">
      <c r="E475" s="10"/>
      <c r="I475" s="10"/>
    </row>
    <row r="476" ht="14.25" customHeight="1">
      <c r="E476" s="10"/>
      <c r="I476" s="10"/>
    </row>
    <row r="477" ht="14.25" customHeight="1">
      <c r="E477" s="10"/>
      <c r="I477" s="10"/>
    </row>
    <row r="478" ht="14.25" customHeight="1">
      <c r="E478" s="10"/>
      <c r="I478" s="10"/>
    </row>
    <row r="479" ht="14.25" customHeight="1">
      <c r="E479" s="10"/>
      <c r="I479" s="10"/>
    </row>
    <row r="480" ht="14.25" customHeight="1">
      <c r="E480" s="10"/>
      <c r="I480" s="10"/>
    </row>
    <row r="481" ht="14.25" customHeight="1">
      <c r="E481" s="10"/>
      <c r="I481" s="10"/>
    </row>
    <row r="482" ht="14.25" customHeight="1">
      <c r="E482" s="10"/>
      <c r="I482" s="10"/>
    </row>
    <row r="483" ht="14.25" customHeight="1">
      <c r="E483" s="10"/>
      <c r="I483" s="10"/>
    </row>
    <row r="484" ht="14.25" customHeight="1">
      <c r="E484" s="10"/>
      <c r="I484" s="10"/>
    </row>
    <row r="485" ht="14.25" customHeight="1">
      <c r="E485" s="10"/>
      <c r="I485" s="10"/>
    </row>
    <row r="486" ht="14.25" customHeight="1">
      <c r="E486" s="10"/>
      <c r="I486" s="10"/>
    </row>
    <row r="487" ht="14.25" customHeight="1">
      <c r="E487" s="10"/>
      <c r="I487" s="10"/>
    </row>
    <row r="488" ht="14.25" customHeight="1">
      <c r="E488" s="10"/>
      <c r="I488" s="10"/>
    </row>
    <row r="489" ht="14.25" customHeight="1">
      <c r="E489" s="10"/>
      <c r="I489" s="10"/>
    </row>
    <row r="490" ht="14.25" customHeight="1">
      <c r="E490" s="10"/>
      <c r="I490" s="10"/>
    </row>
    <row r="491" ht="14.25" customHeight="1">
      <c r="E491" s="10"/>
      <c r="I491" s="10"/>
    </row>
    <row r="492" ht="14.25" customHeight="1">
      <c r="E492" s="10"/>
      <c r="I492" s="10"/>
    </row>
    <row r="493" ht="14.25" customHeight="1">
      <c r="E493" s="10"/>
      <c r="I493" s="10"/>
    </row>
    <row r="494" ht="14.25" customHeight="1">
      <c r="E494" s="10"/>
      <c r="I494" s="10"/>
    </row>
    <row r="495" ht="14.25" customHeight="1">
      <c r="E495" s="10"/>
      <c r="I495" s="10"/>
    </row>
    <row r="496" ht="14.25" customHeight="1">
      <c r="E496" s="10"/>
      <c r="I496" s="10"/>
    </row>
    <row r="497" ht="14.25" customHeight="1">
      <c r="E497" s="10"/>
      <c r="I497" s="10"/>
    </row>
    <row r="498" ht="14.25" customHeight="1">
      <c r="E498" s="10"/>
      <c r="I498" s="10"/>
    </row>
    <row r="499" ht="14.25" customHeight="1">
      <c r="E499" s="10"/>
      <c r="I499" s="10"/>
    </row>
    <row r="500" ht="14.25" customHeight="1">
      <c r="E500" s="10"/>
      <c r="I500" s="10"/>
    </row>
    <row r="501" ht="14.25" customHeight="1">
      <c r="E501" s="10"/>
      <c r="I501" s="10"/>
    </row>
    <row r="502" ht="14.25" customHeight="1">
      <c r="E502" s="10"/>
      <c r="I502" s="10"/>
    </row>
    <row r="503" ht="14.25" customHeight="1">
      <c r="E503" s="10"/>
      <c r="I503" s="10"/>
    </row>
    <row r="504" ht="14.25" customHeight="1">
      <c r="E504" s="10"/>
      <c r="I504" s="10"/>
    </row>
    <row r="505" ht="14.25" customHeight="1">
      <c r="E505" s="10"/>
      <c r="I505" s="10"/>
    </row>
    <row r="506" ht="14.25" customHeight="1">
      <c r="E506" s="10"/>
      <c r="I506" s="10"/>
    </row>
    <row r="507" ht="14.25" customHeight="1">
      <c r="E507" s="10"/>
      <c r="I507" s="10"/>
    </row>
    <row r="508" ht="14.25" customHeight="1">
      <c r="E508" s="10"/>
      <c r="I508" s="10"/>
    </row>
    <row r="509" ht="14.25" customHeight="1">
      <c r="E509" s="10"/>
      <c r="I509" s="10"/>
    </row>
    <row r="510" ht="14.25" customHeight="1">
      <c r="E510" s="10"/>
      <c r="I510" s="10"/>
    </row>
    <row r="511" ht="14.25" customHeight="1">
      <c r="E511" s="10"/>
      <c r="I511" s="10"/>
    </row>
    <row r="512" ht="14.25" customHeight="1">
      <c r="E512" s="10"/>
      <c r="I512" s="10"/>
    </row>
    <row r="513" ht="14.25" customHeight="1">
      <c r="E513" s="10"/>
      <c r="I513" s="10"/>
    </row>
    <row r="514" ht="14.25" customHeight="1">
      <c r="E514" s="10"/>
      <c r="I514" s="10"/>
    </row>
    <row r="515" ht="14.25" customHeight="1">
      <c r="E515" s="10"/>
      <c r="I515" s="10"/>
    </row>
    <row r="516" ht="14.25" customHeight="1">
      <c r="E516" s="10"/>
      <c r="I516" s="10"/>
    </row>
    <row r="517" ht="14.25" customHeight="1">
      <c r="E517" s="10"/>
      <c r="I517" s="10"/>
    </row>
    <row r="518" ht="14.25" customHeight="1">
      <c r="E518" s="10"/>
      <c r="I518" s="10"/>
    </row>
    <row r="519" ht="14.25" customHeight="1">
      <c r="E519" s="10"/>
      <c r="I519" s="10"/>
    </row>
    <row r="520" ht="14.25" customHeight="1">
      <c r="E520" s="10"/>
      <c r="I520" s="10"/>
    </row>
    <row r="521" ht="14.25" customHeight="1">
      <c r="E521" s="10"/>
      <c r="I521" s="10"/>
    </row>
    <row r="522" ht="14.25" customHeight="1">
      <c r="E522" s="10"/>
      <c r="I522" s="10"/>
    </row>
    <row r="523" ht="14.25" customHeight="1">
      <c r="E523" s="10"/>
      <c r="I523" s="10"/>
    </row>
    <row r="524" ht="14.25" customHeight="1">
      <c r="E524" s="10"/>
      <c r="I524" s="10"/>
    </row>
    <row r="525" ht="14.25" customHeight="1">
      <c r="E525" s="10"/>
      <c r="I525" s="10"/>
    </row>
    <row r="526" ht="14.25" customHeight="1">
      <c r="E526" s="10"/>
      <c r="I526" s="10"/>
    </row>
    <row r="527" ht="14.25" customHeight="1">
      <c r="E527" s="10"/>
      <c r="I527" s="10"/>
    </row>
    <row r="528" ht="14.25" customHeight="1">
      <c r="E528" s="10"/>
      <c r="I528" s="10"/>
    </row>
    <row r="529" ht="14.25" customHeight="1">
      <c r="E529" s="10"/>
      <c r="I529" s="10"/>
    </row>
    <row r="530" ht="14.25" customHeight="1">
      <c r="E530" s="10"/>
      <c r="I530" s="10"/>
    </row>
    <row r="531" ht="14.25" customHeight="1">
      <c r="E531" s="10"/>
      <c r="I531" s="10"/>
    </row>
    <row r="532" ht="14.25" customHeight="1">
      <c r="E532" s="10"/>
      <c r="I532" s="10"/>
    </row>
    <row r="533" ht="14.25" customHeight="1">
      <c r="E533" s="10"/>
      <c r="I533" s="10"/>
    </row>
    <row r="534" ht="14.25" customHeight="1">
      <c r="E534" s="10"/>
      <c r="I534" s="10"/>
    </row>
    <row r="535" ht="14.25" customHeight="1">
      <c r="E535" s="10"/>
      <c r="I535" s="10"/>
    </row>
    <row r="536" ht="14.25" customHeight="1">
      <c r="E536" s="10"/>
      <c r="I536" s="10"/>
    </row>
    <row r="537" ht="14.25" customHeight="1">
      <c r="E537" s="10"/>
      <c r="I537" s="10"/>
    </row>
    <row r="538" ht="14.25" customHeight="1">
      <c r="E538" s="10"/>
      <c r="I538" s="10"/>
    </row>
    <row r="539" ht="14.25" customHeight="1">
      <c r="E539" s="10"/>
      <c r="I539" s="10"/>
    </row>
    <row r="540" ht="14.25" customHeight="1">
      <c r="E540" s="10"/>
      <c r="I540" s="10"/>
    </row>
    <row r="541" ht="14.25" customHeight="1">
      <c r="E541" s="10"/>
      <c r="I541" s="10"/>
    </row>
    <row r="542" ht="14.25" customHeight="1">
      <c r="E542" s="10"/>
      <c r="I542" s="10"/>
    </row>
    <row r="543" ht="14.25" customHeight="1">
      <c r="E543" s="10"/>
      <c r="I543" s="10"/>
    </row>
    <row r="544" ht="14.25" customHeight="1">
      <c r="E544" s="10"/>
      <c r="I544" s="10"/>
    </row>
    <row r="545" ht="14.25" customHeight="1">
      <c r="E545" s="10"/>
      <c r="I545" s="10"/>
    </row>
    <row r="546" ht="14.25" customHeight="1">
      <c r="E546" s="10"/>
      <c r="I546" s="10"/>
    </row>
    <row r="547" ht="14.25" customHeight="1">
      <c r="E547" s="10"/>
      <c r="I547" s="10"/>
    </row>
    <row r="548" ht="14.25" customHeight="1">
      <c r="E548" s="10"/>
      <c r="I548" s="10"/>
    </row>
    <row r="549" ht="14.25" customHeight="1">
      <c r="E549" s="10"/>
      <c r="I549" s="10"/>
    </row>
    <row r="550" ht="14.25" customHeight="1">
      <c r="E550" s="10"/>
      <c r="I550" s="10"/>
    </row>
    <row r="551" ht="14.25" customHeight="1">
      <c r="E551" s="10"/>
      <c r="I551" s="10"/>
    </row>
    <row r="552" ht="14.25" customHeight="1">
      <c r="E552" s="10"/>
      <c r="I552" s="10"/>
    </row>
    <row r="553" ht="14.25" customHeight="1">
      <c r="E553" s="10"/>
      <c r="I553" s="10"/>
    </row>
    <row r="554" ht="14.25" customHeight="1">
      <c r="E554" s="10"/>
      <c r="I554" s="10"/>
    </row>
    <row r="555" ht="14.25" customHeight="1">
      <c r="E555" s="10"/>
      <c r="I555" s="10"/>
    </row>
    <row r="556" ht="14.25" customHeight="1">
      <c r="E556" s="10"/>
      <c r="I556" s="10"/>
    </row>
    <row r="557" ht="14.25" customHeight="1">
      <c r="E557" s="10"/>
      <c r="I557" s="10"/>
    </row>
    <row r="558" ht="14.25" customHeight="1">
      <c r="E558" s="10"/>
      <c r="I558" s="10"/>
    </row>
    <row r="559" ht="14.25" customHeight="1">
      <c r="E559" s="10"/>
      <c r="I559" s="10"/>
    </row>
    <row r="560" ht="14.25" customHeight="1">
      <c r="E560" s="10"/>
      <c r="I560" s="10"/>
    </row>
    <row r="561" ht="14.25" customHeight="1">
      <c r="E561" s="10"/>
      <c r="I561" s="10"/>
    </row>
    <row r="562" ht="14.25" customHeight="1">
      <c r="E562" s="10"/>
      <c r="I562" s="10"/>
    </row>
    <row r="563" ht="14.25" customHeight="1">
      <c r="E563" s="10"/>
      <c r="I563" s="10"/>
    </row>
    <row r="564" ht="14.25" customHeight="1">
      <c r="E564" s="10"/>
      <c r="I564" s="10"/>
    </row>
    <row r="565" ht="14.25" customHeight="1">
      <c r="E565" s="10"/>
      <c r="I565" s="10"/>
    </row>
    <row r="566" ht="14.25" customHeight="1">
      <c r="E566" s="10"/>
      <c r="I566" s="10"/>
    </row>
    <row r="567" ht="14.25" customHeight="1">
      <c r="E567" s="10"/>
      <c r="I567" s="10"/>
    </row>
    <row r="568" ht="14.25" customHeight="1">
      <c r="E568" s="10"/>
      <c r="I568" s="10"/>
    </row>
    <row r="569" ht="14.25" customHeight="1">
      <c r="E569" s="10"/>
      <c r="I569" s="10"/>
    </row>
    <row r="570" ht="14.25" customHeight="1">
      <c r="E570" s="10"/>
      <c r="I570" s="10"/>
    </row>
    <row r="571" ht="14.25" customHeight="1">
      <c r="E571" s="10"/>
      <c r="I571" s="10"/>
    </row>
    <row r="572" ht="14.25" customHeight="1">
      <c r="E572" s="10"/>
      <c r="I572" s="10"/>
    </row>
    <row r="573" ht="14.25" customHeight="1">
      <c r="E573" s="10"/>
      <c r="I573" s="10"/>
    </row>
    <row r="574" ht="14.25" customHeight="1">
      <c r="E574" s="10"/>
      <c r="I574" s="10"/>
    </row>
    <row r="575" ht="14.25" customHeight="1">
      <c r="E575" s="10"/>
      <c r="I575" s="10"/>
    </row>
    <row r="576" ht="14.25" customHeight="1">
      <c r="E576" s="10"/>
      <c r="I576" s="10"/>
    </row>
    <row r="577" ht="14.25" customHeight="1">
      <c r="E577" s="10"/>
      <c r="I577" s="10"/>
    </row>
    <row r="578" ht="14.25" customHeight="1">
      <c r="E578" s="10"/>
      <c r="I578" s="10"/>
    </row>
    <row r="579" ht="14.25" customHeight="1">
      <c r="E579" s="10"/>
      <c r="I579" s="10"/>
    </row>
    <row r="580" ht="14.25" customHeight="1">
      <c r="E580" s="10"/>
      <c r="I580" s="10"/>
    </row>
    <row r="581" ht="14.25" customHeight="1">
      <c r="E581" s="10"/>
      <c r="I581" s="10"/>
    </row>
    <row r="582" ht="14.25" customHeight="1">
      <c r="E582" s="10"/>
      <c r="I582" s="10"/>
    </row>
    <row r="583" ht="14.25" customHeight="1">
      <c r="E583" s="10"/>
      <c r="I583" s="10"/>
    </row>
    <row r="584" ht="14.25" customHeight="1">
      <c r="E584" s="10"/>
      <c r="I584" s="10"/>
    </row>
    <row r="585" ht="14.25" customHeight="1">
      <c r="E585" s="10"/>
      <c r="I585" s="10"/>
    </row>
    <row r="586" ht="14.25" customHeight="1">
      <c r="E586" s="10"/>
      <c r="I586" s="10"/>
    </row>
    <row r="587" ht="14.25" customHeight="1">
      <c r="E587" s="10"/>
      <c r="I587" s="10"/>
    </row>
    <row r="588" ht="14.25" customHeight="1">
      <c r="E588" s="10"/>
      <c r="I588" s="10"/>
    </row>
    <row r="589" ht="14.25" customHeight="1">
      <c r="E589" s="10"/>
      <c r="I589" s="10"/>
    </row>
    <row r="590" ht="14.25" customHeight="1">
      <c r="E590" s="10"/>
      <c r="I590" s="10"/>
    </row>
    <row r="591" ht="14.25" customHeight="1">
      <c r="E591" s="10"/>
      <c r="I591" s="10"/>
    </row>
    <row r="592" ht="14.25" customHeight="1">
      <c r="E592" s="10"/>
      <c r="I592" s="10"/>
    </row>
    <row r="593" ht="14.25" customHeight="1">
      <c r="E593" s="10"/>
      <c r="I593" s="10"/>
    </row>
    <row r="594" ht="14.25" customHeight="1">
      <c r="E594" s="10"/>
      <c r="I594" s="10"/>
    </row>
    <row r="595" ht="14.25" customHeight="1">
      <c r="E595" s="10"/>
      <c r="I595" s="10"/>
    </row>
    <row r="596" ht="14.25" customHeight="1">
      <c r="E596" s="10"/>
      <c r="I596" s="10"/>
    </row>
    <row r="597" ht="14.25" customHeight="1">
      <c r="E597" s="10"/>
      <c r="I597" s="10"/>
    </row>
    <row r="598" ht="14.25" customHeight="1">
      <c r="E598" s="10"/>
      <c r="I598" s="10"/>
    </row>
    <row r="599" ht="14.25" customHeight="1">
      <c r="E599" s="10"/>
      <c r="I599" s="10"/>
    </row>
    <row r="600" ht="14.25" customHeight="1">
      <c r="E600" s="10"/>
      <c r="I600" s="10"/>
    </row>
    <row r="601" ht="14.25" customHeight="1">
      <c r="E601" s="10"/>
      <c r="I601" s="10"/>
    </row>
    <row r="602" ht="14.25" customHeight="1">
      <c r="E602" s="10"/>
      <c r="I602" s="10"/>
    </row>
    <row r="603" ht="14.25" customHeight="1">
      <c r="E603" s="10"/>
      <c r="I603" s="10"/>
    </row>
    <row r="604" ht="14.25" customHeight="1">
      <c r="E604" s="10"/>
      <c r="I604" s="10"/>
    </row>
    <row r="605" ht="14.25" customHeight="1">
      <c r="E605" s="10"/>
      <c r="I605" s="10"/>
    </row>
    <row r="606" ht="14.25" customHeight="1">
      <c r="E606" s="10"/>
      <c r="I606" s="10"/>
    </row>
    <row r="607" ht="14.25" customHeight="1">
      <c r="E607" s="10"/>
      <c r="I607" s="10"/>
    </row>
    <row r="608" ht="14.25" customHeight="1">
      <c r="E608" s="10"/>
      <c r="I608" s="10"/>
    </row>
    <row r="609" ht="14.25" customHeight="1">
      <c r="E609" s="10"/>
      <c r="I609" s="10"/>
    </row>
    <row r="610" ht="14.25" customHeight="1">
      <c r="E610" s="10"/>
      <c r="I610" s="10"/>
    </row>
    <row r="611" ht="14.25" customHeight="1">
      <c r="E611" s="10"/>
      <c r="I611" s="10"/>
    </row>
    <row r="612" ht="14.25" customHeight="1">
      <c r="E612" s="10"/>
      <c r="I612" s="10"/>
    </row>
    <row r="613" ht="14.25" customHeight="1">
      <c r="E613" s="10"/>
      <c r="I613" s="10"/>
    </row>
    <row r="614" ht="14.25" customHeight="1">
      <c r="E614" s="10"/>
      <c r="I614" s="10"/>
    </row>
    <row r="615" ht="14.25" customHeight="1">
      <c r="E615" s="10"/>
      <c r="I615" s="10"/>
    </row>
    <row r="616" ht="14.25" customHeight="1">
      <c r="E616" s="10"/>
      <c r="I616" s="10"/>
    </row>
    <row r="617" ht="14.25" customHeight="1">
      <c r="E617" s="10"/>
      <c r="I617" s="10"/>
    </row>
    <row r="618" ht="14.25" customHeight="1">
      <c r="E618" s="10"/>
      <c r="I618" s="10"/>
    </row>
    <row r="619" ht="14.25" customHeight="1">
      <c r="E619" s="10"/>
      <c r="I619" s="10"/>
    </row>
    <row r="620" ht="14.25" customHeight="1">
      <c r="E620" s="10"/>
      <c r="I620" s="10"/>
    </row>
    <row r="621" ht="14.25" customHeight="1">
      <c r="E621" s="10"/>
      <c r="I621" s="10"/>
    </row>
    <row r="622" ht="14.25" customHeight="1">
      <c r="E622" s="10"/>
      <c r="I622" s="10"/>
    </row>
    <row r="623" ht="14.25" customHeight="1">
      <c r="E623" s="10"/>
      <c r="I623" s="10"/>
    </row>
    <row r="624" ht="14.25" customHeight="1">
      <c r="E624" s="10"/>
      <c r="I624" s="10"/>
    </row>
    <row r="625" ht="14.25" customHeight="1">
      <c r="E625" s="10"/>
      <c r="I625" s="10"/>
    </row>
    <row r="626" ht="14.25" customHeight="1">
      <c r="E626" s="10"/>
      <c r="I626" s="10"/>
    </row>
    <row r="627" ht="14.25" customHeight="1">
      <c r="E627" s="10"/>
      <c r="I627" s="10"/>
    </row>
    <row r="628" ht="14.25" customHeight="1">
      <c r="E628" s="10"/>
      <c r="I628" s="10"/>
    </row>
    <row r="629" ht="14.25" customHeight="1">
      <c r="E629" s="10"/>
      <c r="I629" s="10"/>
    </row>
    <row r="630" ht="14.25" customHeight="1">
      <c r="E630" s="10"/>
      <c r="I630" s="10"/>
    </row>
    <row r="631" ht="14.25" customHeight="1">
      <c r="E631" s="10"/>
      <c r="I631" s="10"/>
    </row>
    <row r="632" ht="14.25" customHeight="1">
      <c r="E632" s="10"/>
      <c r="I632" s="10"/>
    </row>
    <row r="633" ht="14.25" customHeight="1">
      <c r="E633" s="10"/>
      <c r="I633" s="10"/>
    </row>
    <row r="634" ht="14.25" customHeight="1">
      <c r="E634" s="10"/>
      <c r="I634" s="10"/>
    </row>
    <row r="635" ht="14.25" customHeight="1">
      <c r="E635" s="10"/>
      <c r="I635" s="10"/>
    </row>
    <row r="636" ht="14.25" customHeight="1">
      <c r="E636" s="10"/>
      <c r="I636" s="10"/>
    </row>
    <row r="637" ht="14.25" customHeight="1">
      <c r="E637" s="10"/>
      <c r="I637" s="10"/>
    </row>
    <row r="638" ht="14.25" customHeight="1">
      <c r="E638" s="10"/>
      <c r="I638" s="10"/>
    </row>
    <row r="639" ht="14.25" customHeight="1">
      <c r="E639" s="10"/>
      <c r="I639" s="10"/>
    </row>
    <row r="640" ht="14.25" customHeight="1">
      <c r="E640" s="10"/>
      <c r="I640" s="10"/>
    </row>
    <row r="641" ht="14.25" customHeight="1">
      <c r="E641" s="10"/>
      <c r="I641" s="10"/>
    </row>
    <row r="642" ht="14.25" customHeight="1">
      <c r="E642" s="10"/>
      <c r="I642" s="10"/>
    </row>
    <row r="643" ht="14.25" customHeight="1">
      <c r="E643" s="10"/>
      <c r="I643" s="10"/>
    </row>
    <row r="644" ht="14.25" customHeight="1">
      <c r="E644" s="10"/>
      <c r="I644" s="10"/>
    </row>
    <row r="645" ht="14.25" customHeight="1">
      <c r="E645" s="10"/>
      <c r="I645" s="10"/>
    </row>
    <row r="646" ht="14.25" customHeight="1">
      <c r="E646" s="10"/>
      <c r="I646" s="10"/>
    </row>
    <row r="647" ht="14.25" customHeight="1">
      <c r="E647" s="10"/>
      <c r="I647" s="10"/>
    </row>
    <row r="648" ht="14.25" customHeight="1">
      <c r="E648" s="10"/>
      <c r="I648" s="10"/>
    </row>
    <row r="649" ht="14.25" customHeight="1">
      <c r="E649" s="10"/>
      <c r="I649" s="10"/>
    </row>
    <row r="650" ht="14.25" customHeight="1">
      <c r="E650" s="10"/>
      <c r="I650" s="10"/>
    </row>
    <row r="651" ht="14.25" customHeight="1">
      <c r="E651" s="10"/>
      <c r="I651" s="10"/>
    </row>
    <row r="652" ht="14.25" customHeight="1">
      <c r="E652" s="10"/>
      <c r="I652" s="10"/>
    </row>
    <row r="653" ht="14.25" customHeight="1">
      <c r="E653" s="10"/>
      <c r="I653" s="10"/>
    </row>
    <row r="654" ht="14.25" customHeight="1">
      <c r="E654" s="10"/>
      <c r="I654" s="10"/>
    </row>
    <row r="655" ht="14.25" customHeight="1">
      <c r="E655" s="10"/>
      <c r="I655" s="10"/>
    </row>
    <row r="656" ht="14.25" customHeight="1">
      <c r="E656" s="10"/>
      <c r="I656" s="10"/>
    </row>
    <row r="657" ht="14.25" customHeight="1">
      <c r="E657" s="10"/>
      <c r="I657" s="10"/>
    </row>
    <row r="658" ht="14.25" customHeight="1">
      <c r="E658" s="10"/>
      <c r="I658" s="10"/>
    </row>
    <row r="659" ht="14.25" customHeight="1">
      <c r="E659" s="10"/>
      <c r="I659" s="10"/>
    </row>
    <row r="660" ht="14.25" customHeight="1">
      <c r="E660" s="10"/>
      <c r="I660" s="10"/>
    </row>
    <row r="661" ht="14.25" customHeight="1">
      <c r="E661" s="10"/>
      <c r="I661" s="10"/>
    </row>
    <row r="662" ht="14.25" customHeight="1">
      <c r="E662" s="10"/>
      <c r="I662" s="10"/>
    </row>
    <row r="663" ht="14.25" customHeight="1">
      <c r="E663" s="10"/>
      <c r="I663" s="10"/>
    </row>
    <row r="664" ht="14.25" customHeight="1">
      <c r="E664" s="10"/>
      <c r="I664" s="10"/>
    </row>
    <row r="665" ht="14.25" customHeight="1">
      <c r="E665" s="10"/>
      <c r="I665" s="10"/>
    </row>
    <row r="666" ht="14.25" customHeight="1">
      <c r="E666" s="10"/>
      <c r="I666" s="10"/>
    </row>
    <row r="667" ht="14.25" customHeight="1">
      <c r="E667" s="10"/>
      <c r="I667" s="10"/>
    </row>
    <row r="668" ht="14.25" customHeight="1">
      <c r="E668" s="10"/>
      <c r="I668" s="10"/>
    </row>
    <row r="669" ht="14.25" customHeight="1">
      <c r="E669" s="10"/>
      <c r="I669" s="10"/>
    </row>
    <row r="670" ht="14.25" customHeight="1">
      <c r="E670" s="10"/>
      <c r="I670" s="10"/>
    </row>
    <row r="671" ht="14.25" customHeight="1">
      <c r="E671" s="10"/>
      <c r="I671" s="10"/>
    </row>
    <row r="672" ht="14.25" customHeight="1">
      <c r="E672" s="10"/>
      <c r="I672" s="10"/>
    </row>
    <row r="673" ht="14.25" customHeight="1">
      <c r="E673" s="10"/>
      <c r="I673" s="10"/>
    </row>
    <row r="674" ht="14.25" customHeight="1">
      <c r="E674" s="10"/>
      <c r="I674" s="10"/>
    </row>
    <row r="675" ht="14.25" customHeight="1">
      <c r="E675" s="10"/>
      <c r="I675" s="10"/>
    </row>
    <row r="676" ht="14.25" customHeight="1">
      <c r="E676" s="10"/>
      <c r="I676" s="10"/>
    </row>
    <row r="677" ht="14.25" customHeight="1">
      <c r="E677" s="10"/>
      <c r="I677" s="10"/>
    </row>
    <row r="678" ht="14.25" customHeight="1">
      <c r="E678" s="10"/>
      <c r="I678" s="10"/>
    </row>
    <row r="679" ht="14.25" customHeight="1">
      <c r="E679" s="10"/>
      <c r="I679" s="10"/>
    </row>
    <row r="680" ht="14.25" customHeight="1">
      <c r="E680" s="10"/>
      <c r="I680" s="10"/>
    </row>
    <row r="681" ht="14.25" customHeight="1">
      <c r="E681" s="10"/>
      <c r="I681" s="10"/>
    </row>
    <row r="682" ht="14.25" customHeight="1">
      <c r="E682" s="10"/>
      <c r="I682" s="10"/>
    </row>
    <row r="683" ht="14.25" customHeight="1">
      <c r="E683" s="10"/>
      <c r="I683" s="10"/>
    </row>
    <row r="684" ht="14.25" customHeight="1">
      <c r="E684" s="10"/>
      <c r="I684" s="10"/>
    </row>
    <row r="685" ht="14.25" customHeight="1">
      <c r="E685" s="10"/>
      <c r="I685" s="10"/>
    </row>
    <row r="686" ht="14.25" customHeight="1">
      <c r="E686" s="10"/>
      <c r="I686" s="10"/>
    </row>
    <row r="687" ht="14.25" customHeight="1">
      <c r="E687" s="10"/>
      <c r="I687" s="10"/>
    </row>
    <row r="688" ht="14.25" customHeight="1">
      <c r="E688" s="10"/>
      <c r="I688" s="10"/>
    </row>
    <row r="689" ht="14.25" customHeight="1">
      <c r="E689" s="10"/>
      <c r="I689" s="10"/>
    </row>
    <row r="690" ht="14.25" customHeight="1">
      <c r="E690" s="10"/>
      <c r="I690" s="10"/>
    </row>
    <row r="691" ht="14.25" customHeight="1">
      <c r="E691" s="10"/>
      <c r="I691" s="10"/>
    </row>
    <row r="692" ht="14.25" customHeight="1">
      <c r="E692" s="10"/>
      <c r="I692" s="10"/>
    </row>
    <row r="693" ht="14.25" customHeight="1">
      <c r="E693" s="10"/>
      <c r="I693" s="10"/>
    </row>
    <row r="694" ht="14.25" customHeight="1">
      <c r="E694" s="10"/>
      <c r="I694" s="10"/>
    </row>
    <row r="695" ht="14.25" customHeight="1">
      <c r="E695" s="10"/>
      <c r="I695" s="10"/>
    </row>
    <row r="696" ht="14.25" customHeight="1">
      <c r="E696" s="10"/>
      <c r="I696" s="10"/>
    </row>
    <row r="697" ht="14.25" customHeight="1">
      <c r="E697" s="10"/>
      <c r="I697" s="10"/>
    </row>
    <row r="698" ht="14.25" customHeight="1">
      <c r="E698" s="10"/>
      <c r="I698" s="10"/>
    </row>
    <row r="699" ht="14.25" customHeight="1">
      <c r="E699" s="10"/>
      <c r="I699" s="10"/>
    </row>
    <row r="700" ht="14.25" customHeight="1">
      <c r="E700" s="10"/>
      <c r="I700" s="10"/>
    </row>
    <row r="701" ht="14.25" customHeight="1">
      <c r="E701" s="10"/>
      <c r="I701" s="10"/>
    </row>
    <row r="702" ht="14.25" customHeight="1">
      <c r="E702" s="10"/>
      <c r="I702" s="10"/>
    </row>
    <row r="703" ht="14.25" customHeight="1">
      <c r="E703" s="10"/>
      <c r="I703" s="10"/>
    </row>
    <row r="704" ht="14.25" customHeight="1">
      <c r="E704" s="10"/>
      <c r="I704" s="10"/>
    </row>
    <row r="705" ht="14.25" customHeight="1">
      <c r="E705" s="10"/>
      <c r="I705" s="10"/>
    </row>
    <row r="706" ht="14.25" customHeight="1">
      <c r="E706" s="10"/>
      <c r="I706" s="10"/>
    </row>
    <row r="707" ht="14.25" customHeight="1">
      <c r="E707" s="10"/>
      <c r="I707" s="10"/>
    </row>
    <row r="708" ht="14.25" customHeight="1">
      <c r="E708" s="10"/>
      <c r="I708" s="10"/>
    </row>
    <row r="709" ht="14.25" customHeight="1">
      <c r="E709" s="10"/>
      <c r="I709" s="10"/>
    </row>
    <row r="710" ht="14.25" customHeight="1">
      <c r="E710" s="10"/>
      <c r="I710" s="10"/>
    </row>
    <row r="711" ht="14.25" customHeight="1">
      <c r="E711" s="10"/>
      <c r="I711" s="10"/>
    </row>
    <row r="712" ht="14.25" customHeight="1">
      <c r="E712" s="10"/>
      <c r="I712" s="10"/>
    </row>
    <row r="713" ht="14.25" customHeight="1">
      <c r="E713" s="10"/>
      <c r="I713" s="10"/>
    </row>
    <row r="714" ht="14.25" customHeight="1">
      <c r="E714" s="10"/>
      <c r="I714" s="10"/>
    </row>
    <row r="715" ht="14.25" customHeight="1">
      <c r="E715" s="10"/>
      <c r="I715" s="10"/>
    </row>
    <row r="716" ht="14.25" customHeight="1">
      <c r="E716" s="10"/>
      <c r="I716" s="10"/>
    </row>
    <row r="717" ht="14.25" customHeight="1">
      <c r="E717" s="10"/>
      <c r="I717" s="10"/>
    </row>
    <row r="718" ht="14.25" customHeight="1">
      <c r="E718" s="10"/>
      <c r="I718" s="10"/>
    </row>
    <row r="719" ht="14.25" customHeight="1">
      <c r="E719" s="10"/>
      <c r="I719" s="10"/>
    </row>
    <row r="720" ht="14.25" customHeight="1">
      <c r="E720" s="10"/>
      <c r="I720" s="10"/>
    </row>
    <row r="721" ht="14.25" customHeight="1">
      <c r="E721" s="10"/>
      <c r="I721" s="10"/>
    </row>
    <row r="722" ht="14.25" customHeight="1">
      <c r="E722" s="10"/>
      <c r="I722" s="10"/>
    </row>
    <row r="723" ht="14.25" customHeight="1">
      <c r="E723" s="10"/>
      <c r="I723" s="10"/>
    </row>
    <row r="724" ht="14.25" customHeight="1">
      <c r="E724" s="10"/>
      <c r="I724" s="10"/>
    </row>
    <row r="725" ht="14.25" customHeight="1">
      <c r="E725" s="10"/>
      <c r="I725" s="10"/>
    </row>
    <row r="726" ht="14.25" customHeight="1">
      <c r="E726" s="10"/>
      <c r="I726" s="10"/>
    </row>
    <row r="727" ht="14.25" customHeight="1">
      <c r="E727" s="10"/>
      <c r="I727" s="10"/>
    </row>
    <row r="728" ht="14.25" customHeight="1">
      <c r="E728" s="10"/>
      <c r="I728" s="10"/>
    </row>
    <row r="729" ht="14.25" customHeight="1">
      <c r="E729" s="10"/>
      <c r="I729" s="10"/>
    </row>
    <row r="730" ht="14.25" customHeight="1">
      <c r="E730" s="10"/>
      <c r="I730" s="10"/>
    </row>
    <row r="731" ht="14.25" customHeight="1">
      <c r="E731" s="10"/>
      <c r="I731" s="10"/>
    </row>
    <row r="732" ht="14.25" customHeight="1">
      <c r="E732" s="10"/>
      <c r="I732" s="10"/>
    </row>
    <row r="733" ht="14.25" customHeight="1">
      <c r="E733" s="10"/>
      <c r="I733" s="10"/>
    </row>
    <row r="734" ht="14.25" customHeight="1">
      <c r="E734" s="10"/>
      <c r="I734" s="10"/>
    </row>
    <row r="735" ht="14.25" customHeight="1">
      <c r="E735" s="10"/>
      <c r="I735" s="10"/>
    </row>
    <row r="736" ht="14.25" customHeight="1">
      <c r="E736" s="10"/>
      <c r="I736" s="10"/>
    </row>
    <row r="737" ht="14.25" customHeight="1">
      <c r="E737" s="10"/>
      <c r="I737" s="10"/>
    </row>
    <row r="738" ht="14.25" customHeight="1">
      <c r="E738" s="10"/>
      <c r="I738" s="10"/>
    </row>
    <row r="739" ht="14.25" customHeight="1">
      <c r="E739" s="10"/>
      <c r="I739" s="10"/>
    </row>
    <row r="740" ht="14.25" customHeight="1">
      <c r="E740" s="10"/>
      <c r="I740" s="10"/>
    </row>
    <row r="741" ht="14.25" customHeight="1">
      <c r="E741" s="10"/>
      <c r="I741" s="10"/>
    </row>
    <row r="742" ht="14.25" customHeight="1">
      <c r="E742" s="10"/>
      <c r="I742" s="10"/>
    </row>
    <row r="743" ht="14.25" customHeight="1">
      <c r="E743" s="10"/>
      <c r="I743" s="10"/>
    </row>
    <row r="744" ht="14.25" customHeight="1">
      <c r="E744" s="10"/>
      <c r="I744" s="10"/>
    </row>
    <row r="745" ht="14.25" customHeight="1">
      <c r="E745" s="10"/>
      <c r="I745" s="10"/>
    </row>
    <row r="746" ht="14.25" customHeight="1">
      <c r="E746" s="10"/>
      <c r="I746" s="10"/>
    </row>
    <row r="747" ht="14.25" customHeight="1">
      <c r="E747" s="10"/>
      <c r="I747" s="10"/>
    </row>
    <row r="748" ht="14.25" customHeight="1">
      <c r="E748" s="10"/>
      <c r="I748" s="10"/>
    </row>
    <row r="749" ht="14.25" customHeight="1">
      <c r="E749" s="10"/>
      <c r="I749" s="10"/>
    </row>
    <row r="750" ht="14.25" customHeight="1">
      <c r="E750" s="10"/>
      <c r="I750" s="10"/>
    </row>
    <row r="751" ht="14.25" customHeight="1">
      <c r="E751" s="10"/>
      <c r="I751" s="10"/>
    </row>
    <row r="752" ht="14.25" customHeight="1">
      <c r="E752" s="10"/>
      <c r="I752" s="10"/>
    </row>
    <row r="753" ht="14.25" customHeight="1">
      <c r="E753" s="10"/>
      <c r="I753" s="10"/>
    </row>
    <row r="754" ht="14.25" customHeight="1">
      <c r="E754" s="10"/>
      <c r="I754" s="10"/>
    </row>
    <row r="755" ht="14.25" customHeight="1">
      <c r="E755" s="10"/>
      <c r="I755" s="10"/>
    </row>
    <row r="756" ht="14.25" customHeight="1">
      <c r="E756" s="10"/>
      <c r="I756" s="10"/>
    </row>
    <row r="757" ht="14.25" customHeight="1">
      <c r="E757" s="10"/>
      <c r="I757" s="10"/>
    </row>
    <row r="758" ht="14.25" customHeight="1">
      <c r="E758" s="10"/>
      <c r="I758" s="10"/>
    </row>
    <row r="759" ht="14.25" customHeight="1">
      <c r="E759" s="10"/>
      <c r="I759" s="10"/>
    </row>
    <row r="760" ht="14.25" customHeight="1">
      <c r="E760" s="10"/>
      <c r="I760" s="10"/>
    </row>
    <row r="761" ht="14.25" customHeight="1">
      <c r="E761" s="10"/>
      <c r="I761" s="10"/>
    </row>
    <row r="762" ht="14.25" customHeight="1">
      <c r="E762" s="10"/>
      <c r="I762" s="10"/>
    </row>
    <row r="763" ht="14.25" customHeight="1">
      <c r="E763" s="10"/>
      <c r="I763" s="10"/>
    </row>
    <row r="764" ht="14.25" customHeight="1">
      <c r="E764" s="10"/>
      <c r="I764" s="10"/>
    </row>
    <row r="765" ht="14.25" customHeight="1">
      <c r="E765" s="10"/>
      <c r="I765" s="10"/>
    </row>
    <row r="766" ht="14.25" customHeight="1">
      <c r="E766" s="10"/>
      <c r="I766" s="10"/>
    </row>
    <row r="767" ht="14.25" customHeight="1">
      <c r="E767" s="10"/>
      <c r="I767" s="10"/>
    </row>
    <row r="768" ht="14.25" customHeight="1">
      <c r="E768" s="10"/>
      <c r="I768" s="10"/>
    </row>
    <row r="769" ht="14.25" customHeight="1">
      <c r="E769" s="10"/>
      <c r="I769" s="10"/>
    </row>
    <row r="770" ht="14.25" customHeight="1">
      <c r="E770" s="10"/>
      <c r="I770" s="10"/>
    </row>
    <row r="771" ht="14.25" customHeight="1">
      <c r="E771" s="10"/>
      <c r="I771" s="10"/>
    </row>
    <row r="772" ht="14.25" customHeight="1">
      <c r="E772" s="10"/>
      <c r="I772" s="10"/>
    </row>
    <row r="773" ht="14.25" customHeight="1">
      <c r="E773" s="10"/>
      <c r="I773" s="10"/>
    </row>
    <row r="774" ht="14.25" customHeight="1">
      <c r="E774" s="10"/>
      <c r="I774" s="10"/>
    </row>
    <row r="775" ht="14.25" customHeight="1">
      <c r="E775" s="10"/>
      <c r="I775" s="10"/>
    </row>
    <row r="776" ht="14.25" customHeight="1">
      <c r="E776" s="10"/>
      <c r="I776" s="10"/>
    </row>
    <row r="777" ht="14.25" customHeight="1">
      <c r="E777" s="10"/>
      <c r="I777" s="10"/>
    </row>
    <row r="778" ht="14.25" customHeight="1">
      <c r="E778" s="10"/>
      <c r="I778" s="10"/>
    </row>
    <row r="779" ht="14.25" customHeight="1">
      <c r="E779" s="10"/>
      <c r="I779" s="10"/>
    </row>
    <row r="780" ht="14.25" customHeight="1">
      <c r="E780" s="10"/>
      <c r="I780" s="10"/>
    </row>
    <row r="781" ht="14.25" customHeight="1">
      <c r="E781" s="10"/>
      <c r="I781" s="10"/>
    </row>
    <row r="782" ht="14.25" customHeight="1">
      <c r="E782" s="10"/>
      <c r="I782" s="10"/>
    </row>
    <row r="783" ht="14.25" customHeight="1">
      <c r="E783" s="10"/>
      <c r="I783" s="10"/>
    </row>
    <row r="784" ht="14.25" customHeight="1">
      <c r="E784" s="10"/>
      <c r="I784" s="10"/>
    </row>
    <row r="785" ht="14.25" customHeight="1">
      <c r="E785" s="10"/>
      <c r="I785" s="10"/>
    </row>
    <row r="786" ht="14.25" customHeight="1">
      <c r="E786" s="10"/>
      <c r="I786" s="10"/>
    </row>
    <row r="787" ht="14.25" customHeight="1">
      <c r="E787" s="10"/>
      <c r="I787" s="10"/>
    </row>
    <row r="788" ht="14.25" customHeight="1">
      <c r="E788" s="10"/>
      <c r="I788" s="10"/>
    </row>
    <row r="789" ht="14.25" customHeight="1">
      <c r="E789" s="10"/>
      <c r="I789" s="10"/>
    </row>
    <row r="790" ht="14.25" customHeight="1">
      <c r="E790" s="10"/>
      <c r="I790" s="10"/>
    </row>
    <row r="791" ht="14.25" customHeight="1">
      <c r="E791" s="10"/>
      <c r="I791" s="10"/>
    </row>
    <row r="792" ht="14.25" customHeight="1">
      <c r="E792" s="10"/>
      <c r="I792" s="10"/>
    </row>
    <row r="793" ht="14.25" customHeight="1">
      <c r="E793" s="10"/>
      <c r="I793" s="10"/>
    </row>
    <row r="794" ht="14.25" customHeight="1">
      <c r="E794" s="10"/>
      <c r="I794" s="10"/>
    </row>
    <row r="795" ht="14.25" customHeight="1">
      <c r="E795" s="10"/>
      <c r="I795" s="10"/>
    </row>
    <row r="796" ht="14.25" customHeight="1">
      <c r="E796" s="10"/>
      <c r="I796" s="10"/>
    </row>
    <row r="797" ht="14.25" customHeight="1">
      <c r="E797" s="10"/>
      <c r="I797" s="10"/>
    </row>
    <row r="798" ht="14.25" customHeight="1">
      <c r="E798" s="10"/>
      <c r="I798" s="10"/>
    </row>
    <row r="799" ht="14.25" customHeight="1">
      <c r="E799" s="10"/>
      <c r="I799" s="10"/>
    </row>
    <row r="800" ht="14.25" customHeight="1">
      <c r="E800" s="10"/>
      <c r="I800" s="10"/>
    </row>
    <row r="801" ht="14.25" customHeight="1">
      <c r="E801" s="10"/>
      <c r="I801" s="10"/>
    </row>
    <row r="802" ht="14.25" customHeight="1">
      <c r="E802" s="10"/>
      <c r="I802" s="10"/>
    </row>
    <row r="803" ht="14.25" customHeight="1">
      <c r="E803" s="10"/>
      <c r="I803" s="10"/>
    </row>
    <row r="804" ht="14.25" customHeight="1">
      <c r="E804" s="10"/>
      <c r="I804" s="10"/>
    </row>
    <row r="805" ht="14.25" customHeight="1">
      <c r="E805" s="10"/>
      <c r="I805" s="10"/>
    </row>
    <row r="806" ht="14.25" customHeight="1">
      <c r="E806" s="10"/>
      <c r="I806" s="10"/>
    </row>
    <row r="807" ht="14.25" customHeight="1">
      <c r="E807" s="10"/>
      <c r="I807" s="10"/>
    </row>
    <row r="808" ht="14.25" customHeight="1">
      <c r="E808" s="10"/>
      <c r="I808" s="10"/>
    </row>
    <row r="809" ht="14.25" customHeight="1">
      <c r="E809" s="10"/>
      <c r="I809" s="10"/>
    </row>
    <row r="810" ht="14.25" customHeight="1">
      <c r="E810" s="10"/>
      <c r="I810" s="10"/>
    </row>
    <row r="811" ht="14.25" customHeight="1">
      <c r="E811" s="10"/>
      <c r="I811" s="10"/>
    </row>
    <row r="812" ht="14.25" customHeight="1">
      <c r="E812" s="10"/>
      <c r="I812" s="10"/>
    </row>
    <row r="813" ht="14.25" customHeight="1">
      <c r="E813" s="10"/>
      <c r="I813" s="10"/>
    </row>
    <row r="814" ht="14.25" customHeight="1">
      <c r="E814" s="10"/>
      <c r="I814" s="10"/>
    </row>
    <row r="815" ht="14.25" customHeight="1">
      <c r="E815" s="10"/>
      <c r="I815" s="10"/>
    </row>
    <row r="816" ht="14.25" customHeight="1">
      <c r="E816" s="10"/>
      <c r="I816" s="10"/>
    </row>
    <row r="817" ht="14.25" customHeight="1">
      <c r="E817" s="10"/>
      <c r="I817" s="10"/>
    </row>
    <row r="818" ht="14.25" customHeight="1">
      <c r="E818" s="10"/>
      <c r="I818" s="10"/>
    </row>
    <row r="819" ht="14.25" customHeight="1">
      <c r="E819" s="10"/>
      <c r="I819" s="10"/>
    </row>
    <row r="820" ht="14.25" customHeight="1">
      <c r="E820" s="10"/>
      <c r="I820" s="10"/>
    </row>
    <row r="821" ht="14.25" customHeight="1">
      <c r="E821" s="10"/>
      <c r="I821" s="10"/>
    </row>
    <row r="822" ht="14.25" customHeight="1">
      <c r="E822" s="10"/>
      <c r="I822" s="10"/>
    </row>
    <row r="823" ht="14.25" customHeight="1">
      <c r="E823" s="10"/>
      <c r="I823" s="10"/>
    </row>
    <row r="824" ht="14.25" customHeight="1">
      <c r="E824" s="10"/>
      <c r="I824" s="10"/>
    </row>
    <row r="825" ht="14.25" customHeight="1">
      <c r="E825" s="10"/>
      <c r="I825" s="10"/>
    </row>
    <row r="826" ht="14.25" customHeight="1">
      <c r="E826" s="10"/>
      <c r="I826" s="10"/>
    </row>
    <row r="827" ht="14.25" customHeight="1">
      <c r="E827" s="10"/>
      <c r="I827" s="10"/>
    </row>
    <row r="828" ht="14.25" customHeight="1">
      <c r="E828" s="10"/>
      <c r="I828" s="10"/>
    </row>
    <row r="829" ht="14.25" customHeight="1">
      <c r="E829" s="10"/>
      <c r="I829" s="10"/>
    </row>
    <row r="830" ht="14.25" customHeight="1">
      <c r="E830" s="10"/>
      <c r="I830" s="10"/>
    </row>
    <row r="831" ht="14.25" customHeight="1">
      <c r="E831" s="10"/>
      <c r="I831" s="10"/>
    </row>
    <row r="832" ht="14.25" customHeight="1">
      <c r="E832" s="10"/>
      <c r="I832" s="10"/>
    </row>
    <row r="833" ht="14.25" customHeight="1">
      <c r="E833" s="10"/>
      <c r="I833" s="10"/>
    </row>
    <row r="834" ht="14.25" customHeight="1">
      <c r="E834" s="10"/>
      <c r="I834" s="10"/>
    </row>
    <row r="835" ht="14.25" customHeight="1">
      <c r="E835" s="10"/>
      <c r="I835" s="10"/>
    </row>
    <row r="836" ht="14.25" customHeight="1">
      <c r="E836" s="10"/>
      <c r="I836" s="10"/>
    </row>
    <row r="837" ht="14.25" customHeight="1">
      <c r="E837" s="10"/>
      <c r="I837" s="10"/>
    </row>
    <row r="838" ht="14.25" customHeight="1">
      <c r="E838" s="10"/>
      <c r="I838" s="10"/>
    </row>
    <row r="839" ht="14.25" customHeight="1">
      <c r="E839" s="10"/>
      <c r="I839" s="10"/>
    </row>
    <row r="840" ht="14.25" customHeight="1">
      <c r="E840" s="10"/>
      <c r="I840" s="10"/>
    </row>
    <row r="841" ht="14.25" customHeight="1">
      <c r="E841" s="10"/>
      <c r="I841" s="10"/>
    </row>
    <row r="842" ht="14.25" customHeight="1">
      <c r="E842" s="10"/>
      <c r="I842" s="10"/>
    </row>
    <row r="843" ht="14.25" customHeight="1">
      <c r="E843" s="10"/>
      <c r="I843" s="10"/>
    </row>
    <row r="844" ht="14.25" customHeight="1">
      <c r="E844" s="10"/>
      <c r="I844" s="10"/>
    </row>
    <row r="845" ht="14.25" customHeight="1">
      <c r="E845" s="10"/>
      <c r="I845" s="10"/>
    </row>
    <row r="846" ht="14.25" customHeight="1">
      <c r="E846" s="10"/>
      <c r="I846" s="10"/>
    </row>
    <row r="847" ht="14.25" customHeight="1">
      <c r="E847" s="10"/>
      <c r="I847" s="10"/>
    </row>
    <row r="848" ht="14.25" customHeight="1">
      <c r="E848" s="10"/>
      <c r="I848" s="10"/>
    </row>
    <row r="849" ht="14.25" customHeight="1">
      <c r="E849" s="10"/>
      <c r="I849" s="10"/>
    </row>
    <row r="850" ht="14.25" customHeight="1">
      <c r="E850" s="10"/>
      <c r="I850" s="10"/>
    </row>
    <row r="851" ht="14.25" customHeight="1">
      <c r="E851" s="10"/>
      <c r="I851" s="10"/>
    </row>
    <row r="852" ht="14.25" customHeight="1">
      <c r="E852" s="10"/>
      <c r="I852" s="10"/>
    </row>
    <row r="853" ht="14.25" customHeight="1">
      <c r="E853" s="10"/>
      <c r="I853" s="10"/>
    </row>
    <row r="854" ht="14.25" customHeight="1">
      <c r="E854" s="10"/>
      <c r="I854" s="10"/>
    </row>
    <row r="855" ht="14.25" customHeight="1">
      <c r="E855" s="10"/>
      <c r="I855" s="10"/>
    </row>
    <row r="856" ht="14.25" customHeight="1">
      <c r="E856" s="10"/>
      <c r="I856" s="10"/>
    </row>
    <row r="857" ht="14.25" customHeight="1">
      <c r="E857" s="10"/>
      <c r="I857" s="10"/>
    </row>
    <row r="858" ht="14.25" customHeight="1">
      <c r="E858" s="10"/>
      <c r="I858" s="10"/>
    </row>
    <row r="859" ht="14.25" customHeight="1">
      <c r="E859" s="10"/>
      <c r="I859" s="10"/>
    </row>
    <row r="860" ht="14.25" customHeight="1">
      <c r="E860" s="10"/>
      <c r="I860" s="10"/>
    </row>
    <row r="861" ht="14.25" customHeight="1">
      <c r="E861" s="10"/>
      <c r="I861" s="10"/>
    </row>
    <row r="862" ht="14.25" customHeight="1">
      <c r="E862" s="10"/>
      <c r="I862" s="10"/>
    </row>
    <row r="863" ht="14.25" customHeight="1">
      <c r="E863" s="10"/>
      <c r="I863" s="10"/>
    </row>
    <row r="864" ht="14.25" customHeight="1">
      <c r="E864" s="10"/>
      <c r="I864" s="10"/>
    </row>
    <row r="865" ht="14.25" customHeight="1">
      <c r="E865" s="10"/>
      <c r="I865" s="10"/>
    </row>
    <row r="866" ht="14.25" customHeight="1">
      <c r="E866" s="10"/>
      <c r="I866" s="10"/>
    </row>
    <row r="867" ht="14.25" customHeight="1">
      <c r="E867" s="10"/>
      <c r="I867" s="10"/>
    </row>
    <row r="868" ht="14.25" customHeight="1">
      <c r="E868" s="10"/>
      <c r="I868" s="10"/>
    </row>
    <row r="869" ht="14.25" customHeight="1">
      <c r="E869" s="10"/>
      <c r="I869" s="10"/>
    </row>
    <row r="870" ht="14.25" customHeight="1">
      <c r="E870" s="10"/>
      <c r="I870" s="10"/>
    </row>
    <row r="871" ht="14.25" customHeight="1">
      <c r="E871" s="10"/>
      <c r="I871" s="10"/>
    </row>
    <row r="872" ht="14.25" customHeight="1">
      <c r="E872" s="10"/>
      <c r="I872" s="10"/>
    </row>
    <row r="873" ht="14.25" customHeight="1">
      <c r="E873" s="10"/>
      <c r="I873" s="10"/>
    </row>
    <row r="874" ht="14.25" customHeight="1">
      <c r="E874" s="10"/>
      <c r="I874" s="10"/>
    </row>
    <row r="875" ht="14.25" customHeight="1">
      <c r="E875" s="10"/>
      <c r="I875" s="10"/>
    </row>
    <row r="876" ht="14.25" customHeight="1">
      <c r="E876" s="10"/>
      <c r="I876" s="10"/>
    </row>
    <row r="877" ht="14.25" customHeight="1">
      <c r="E877" s="10"/>
      <c r="I877" s="10"/>
    </row>
    <row r="878" ht="14.25" customHeight="1">
      <c r="E878" s="10"/>
      <c r="I878" s="10"/>
    </row>
    <row r="879" ht="14.25" customHeight="1">
      <c r="E879" s="10"/>
      <c r="I879" s="10"/>
    </row>
    <row r="880" ht="14.25" customHeight="1">
      <c r="E880" s="10"/>
      <c r="I880" s="10"/>
    </row>
    <row r="881" ht="14.25" customHeight="1">
      <c r="E881" s="10"/>
      <c r="I881" s="10"/>
    </row>
    <row r="882" ht="14.25" customHeight="1">
      <c r="E882" s="10"/>
      <c r="I882" s="10"/>
    </row>
    <row r="883" ht="14.25" customHeight="1">
      <c r="E883" s="10"/>
      <c r="I883" s="10"/>
    </row>
    <row r="884" ht="14.25" customHeight="1">
      <c r="E884" s="10"/>
      <c r="I884" s="10"/>
    </row>
    <row r="885" ht="14.25" customHeight="1">
      <c r="E885" s="10"/>
      <c r="I885" s="10"/>
    </row>
    <row r="886" ht="14.25" customHeight="1">
      <c r="E886" s="10"/>
      <c r="I886" s="10"/>
    </row>
    <row r="887" ht="14.25" customHeight="1">
      <c r="E887" s="10"/>
      <c r="I887" s="10"/>
    </row>
    <row r="888" ht="14.25" customHeight="1">
      <c r="E888" s="10"/>
      <c r="I888" s="10"/>
    </row>
    <row r="889" ht="14.25" customHeight="1">
      <c r="E889" s="10"/>
      <c r="I889" s="10"/>
    </row>
    <row r="890" ht="14.25" customHeight="1">
      <c r="E890" s="10"/>
      <c r="I890" s="10"/>
    </row>
    <row r="891" ht="14.25" customHeight="1">
      <c r="E891" s="10"/>
      <c r="I891" s="10"/>
    </row>
    <row r="892" ht="14.25" customHeight="1">
      <c r="E892" s="10"/>
      <c r="I892" s="10"/>
    </row>
    <row r="893" ht="14.25" customHeight="1">
      <c r="E893" s="10"/>
      <c r="I893" s="10"/>
    </row>
    <row r="894" ht="14.25" customHeight="1">
      <c r="E894" s="10"/>
      <c r="I894" s="10"/>
    </row>
    <row r="895" ht="14.25" customHeight="1">
      <c r="E895" s="10"/>
      <c r="I895" s="10"/>
    </row>
    <row r="896" ht="14.25" customHeight="1">
      <c r="E896" s="10"/>
      <c r="I896" s="10"/>
    </row>
    <row r="897" ht="14.25" customHeight="1">
      <c r="E897" s="10"/>
      <c r="I897" s="10"/>
    </row>
    <row r="898" ht="14.25" customHeight="1">
      <c r="E898" s="10"/>
      <c r="I898" s="10"/>
    </row>
    <row r="899" ht="14.25" customHeight="1">
      <c r="E899" s="10"/>
      <c r="I899" s="10"/>
    </row>
    <row r="900" ht="14.25" customHeight="1">
      <c r="E900" s="10"/>
      <c r="I900" s="10"/>
    </row>
    <row r="901" ht="14.25" customHeight="1">
      <c r="E901" s="10"/>
      <c r="I901" s="10"/>
    </row>
    <row r="902" ht="14.25" customHeight="1">
      <c r="E902" s="10"/>
      <c r="I902" s="10"/>
    </row>
    <row r="903" ht="14.25" customHeight="1">
      <c r="E903" s="10"/>
      <c r="I903" s="10"/>
    </row>
    <row r="904" ht="14.25" customHeight="1">
      <c r="E904" s="10"/>
      <c r="I904" s="10"/>
    </row>
    <row r="905" ht="14.25" customHeight="1">
      <c r="E905" s="10"/>
      <c r="I905" s="10"/>
    </row>
    <row r="906" ht="14.25" customHeight="1">
      <c r="E906" s="10"/>
      <c r="I906" s="10"/>
    </row>
    <row r="907" ht="14.25" customHeight="1">
      <c r="E907" s="10"/>
      <c r="I907" s="10"/>
    </row>
    <row r="908" ht="14.25" customHeight="1">
      <c r="E908" s="10"/>
      <c r="I908" s="10"/>
    </row>
    <row r="909" ht="14.25" customHeight="1">
      <c r="E909" s="10"/>
      <c r="I909" s="10"/>
    </row>
    <row r="910" ht="14.25" customHeight="1">
      <c r="E910" s="10"/>
      <c r="I910" s="10"/>
    </row>
    <row r="911" ht="14.25" customHeight="1">
      <c r="E911" s="10"/>
      <c r="I911" s="10"/>
    </row>
    <row r="912" ht="14.25" customHeight="1">
      <c r="E912" s="10"/>
      <c r="I912" s="10"/>
    </row>
    <row r="913" ht="14.25" customHeight="1">
      <c r="E913" s="10"/>
      <c r="I913" s="10"/>
    </row>
    <row r="914" ht="14.25" customHeight="1">
      <c r="E914" s="10"/>
      <c r="I914" s="10"/>
    </row>
    <row r="915" ht="14.25" customHeight="1">
      <c r="E915" s="10"/>
      <c r="I915" s="10"/>
    </row>
    <row r="916" ht="14.25" customHeight="1">
      <c r="E916" s="10"/>
      <c r="I916" s="10"/>
    </row>
    <row r="917" ht="14.25" customHeight="1">
      <c r="E917" s="10"/>
      <c r="I917" s="10"/>
    </row>
    <row r="918" ht="14.25" customHeight="1">
      <c r="E918" s="10"/>
      <c r="I918" s="10"/>
    </row>
    <row r="919" ht="14.25" customHeight="1">
      <c r="E919" s="10"/>
      <c r="I919" s="10"/>
    </row>
    <row r="920" ht="14.25" customHeight="1">
      <c r="E920" s="10"/>
      <c r="I920" s="10"/>
    </row>
    <row r="921" ht="14.25" customHeight="1">
      <c r="E921" s="10"/>
      <c r="I921" s="10"/>
    </row>
    <row r="922" ht="14.25" customHeight="1">
      <c r="E922" s="10"/>
      <c r="I922" s="10"/>
    </row>
    <row r="923" ht="14.25" customHeight="1">
      <c r="E923" s="10"/>
      <c r="I923" s="10"/>
    </row>
    <row r="924" ht="14.25" customHeight="1">
      <c r="E924" s="10"/>
      <c r="I924" s="10"/>
    </row>
    <row r="925" ht="14.25" customHeight="1">
      <c r="E925" s="10"/>
      <c r="I925" s="10"/>
    </row>
    <row r="926" ht="14.25" customHeight="1">
      <c r="E926" s="10"/>
      <c r="I926" s="10"/>
    </row>
    <row r="927" ht="14.25" customHeight="1">
      <c r="E927" s="10"/>
      <c r="I927" s="10"/>
    </row>
    <row r="928" ht="14.25" customHeight="1">
      <c r="E928" s="10"/>
      <c r="I928" s="10"/>
    </row>
    <row r="929" ht="14.25" customHeight="1">
      <c r="E929" s="10"/>
      <c r="I929" s="10"/>
    </row>
    <row r="930" ht="14.25" customHeight="1">
      <c r="E930" s="10"/>
      <c r="I930" s="10"/>
    </row>
    <row r="931" ht="14.25" customHeight="1">
      <c r="E931" s="10"/>
      <c r="I931" s="10"/>
    </row>
    <row r="932" ht="14.25" customHeight="1">
      <c r="E932" s="10"/>
      <c r="I932" s="10"/>
    </row>
    <row r="933" ht="14.25" customHeight="1">
      <c r="E933" s="10"/>
      <c r="I933" s="10"/>
    </row>
    <row r="934" ht="14.25" customHeight="1">
      <c r="E934" s="10"/>
      <c r="I934" s="10"/>
    </row>
    <row r="935" ht="14.25" customHeight="1">
      <c r="E935" s="10"/>
      <c r="I935" s="10"/>
    </row>
    <row r="936" ht="14.25" customHeight="1">
      <c r="E936" s="10"/>
      <c r="I936" s="10"/>
    </row>
    <row r="937" ht="14.25" customHeight="1">
      <c r="E937" s="10"/>
      <c r="I937" s="10"/>
    </row>
    <row r="938" ht="14.25" customHeight="1">
      <c r="E938" s="10"/>
      <c r="I938" s="10"/>
    </row>
    <row r="939" ht="14.25" customHeight="1">
      <c r="E939" s="10"/>
      <c r="I939" s="10"/>
    </row>
    <row r="940" ht="14.25" customHeight="1">
      <c r="E940" s="10"/>
      <c r="I940" s="10"/>
    </row>
    <row r="941" ht="14.25" customHeight="1">
      <c r="E941" s="10"/>
      <c r="I941" s="10"/>
    </row>
    <row r="942" ht="14.25" customHeight="1">
      <c r="E942" s="10"/>
      <c r="I942" s="10"/>
    </row>
    <row r="943" ht="14.25" customHeight="1">
      <c r="E943" s="10"/>
      <c r="I943" s="10"/>
    </row>
    <row r="944" ht="14.25" customHeight="1">
      <c r="E944" s="10"/>
      <c r="I944" s="10"/>
    </row>
    <row r="945" ht="14.25" customHeight="1">
      <c r="E945" s="10"/>
      <c r="I945" s="10"/>
    </row>
    <row r="946" ht="14.25" customHeight="1">
      <c r="E946" s="10"/>
      <c r="I946" s="10"/>
    </row>
    <row r="947" ht="14.25" customHeight="1">
      <c r="E947" s="10"/>
      <c r="I947" s="10"/>
    </row>
    <row r="948" ht="14.25" customHeight="1">
      <c r="E948" s="10"/>
      <c r="I948" s="10"/>
    </row>
    <row r="949" ht="14.25" customHeight="1">
      <c r="E949" s="10"/>
      <c r="I949" s="10"/>
    </row>
    <row r="950" ht="14.25" customHeight="1">
      <c r="E950" s="10"/>
      <c r="I950" s="10"/>
    </row>
    <row r="951" ht="14.25" customHeight="1">
      <c r="E951" s="10"/>
      <c r="I951" s="10"/>
    </row>
    <row r="952" ht="14.25" customHeight="1">
      <c r="E952" s="10"/>
      <c r="I952" s="10"/>
    </row>
    <row r="953" ht="14.25" customHeight="1">
      <c r="E953" s="10"/>
      <c r="I953" s="10"/>
    </row>
    <row r="954" ht="14.25" customHeight="1">
      <c r="E954" s="10"/>
      <c r="I954" s="10"/>
    </row>
    <row r="955" ht="14.25" customHeight="1">
      <c r="E955" s="10"/>
      <c r="I955" s="10"/>
    </row>
    <row r="956" ht="14.25" customHeight="1">
      <c r="E956" s="10"/>
      <c r="I956" s="10"/>
    </row>
    <row r="957" ht="14.25" customHeight="1">
      <c r="E957" s="10"/>
      <c r="I957" s="10"/>
    </row>
    <row r="958" ht="14.25" customHeight="1">
      <c r="E958" s="10"/>
      <c r="I958" s="10"/>
    </row>
    <row r="959" ht="14.25" customHeight="1">
      <c r="E959" s="10"/>
      <c r="I959" s="10"/>
    </row>
    <row r="960" ht="14.25" customHeight="1">
      <c r="E960" s="10"/>
      <c r="I960" s="10"/>
    </row>
    <row r="961" ht="14.25" customHeight="1">
      <c r="E961" s="10"/>
      <c r="I961" s="10"/>
    </row>
    <row r="962" ht="14.25" customHeight="1">
      <c r="E962" s="10"/>
      <c r="I962" s="10"/>
    </row>
    <row r="963" ht="14.25" customHeight="1">
      <c r="E963" s="10"/>
      <c r="I963" s="10"/>
    </row>
    <row r="964" ht="14.25" customHeight="1">
      <c r="E964" s="10"/>
      <c r="I964" s="10"/>
    </row>
    <row r="965" ht="14.25" customHeight="1">
      <c r="E965" s="10"/>
      <c r="I965" s="10"/>
    </row>
    <row r="966" ht="14.25" customHeight="1">
      <c r="E966" s="10"/>
      <c r="I966" s="10"/>
    </row>
    <row r="967" ht="14.25" customHeight="1">
      <c r="E967" s="10"/>
      <c r="I967" s="10"/>
    </row>
    <row r="968" ht="14.25" customHeight="1">
      <c r="E968" s="10"/>
      <c r="I968" s="10"/>
    </row>
    <row r="969" ht="14.25" customHeight="1">
      <c r="E969" s="10"/>
      <c r="I969" s="10"/>
    </row>
    <row r="970" ht="14.25" customHeight="1">
      <c r="E970" s="10"/>
      <c r="I970" s="10"/>
    </row>
    <row r="971" ht="14.25" customHeight="1">
      <c r="E971" s="10"/>
      <c r="I971" s="10"/>
    </row>
    <row r="972" ht="14.25" customHeight="1">
      <c r="E972" s="10"/>
      <c r="I972" s="10"/>
    </row>
    <row r="973" ht="14.25" customHeight="1">
      <c r="E973" s="10"/>
      <c r="I973" s="10"/>
    </row>
    <row r="974" ht="14.25" customHeight="1">
      <c r="E974" s="10"/>
      <c r="I974" s="10"/>
    </row>
    <row r="975" ht="14.25" customHeight="1">
      <c r="E975" s="10"/>
      <c r="I975" s="10"/>
    </row>
    <row r="976" ht="14.25" customHeight="1">
      <c r="E976" s="10"/>
      <c r="I976" s="10"/>
    </row>
    <row r="977" ht="14.25" customHeight="1">
      <c r="E977" s="10"/>
      <c r="I977" s="10"/>
    </row>
    <row r="978" ht="14.25" customHeight="1">
      <c r="E978" s="10"/>
      <c r="I978" s="10"/>
    </row>
    <row r="979" ht="14.25" customHeight="1">
      <c r="E979" s="10"/>
      <c r="I979" s="10"/>
    </row>
    <row r="980" ht="14.25" customHeight="1">
      <c r="E980" s="10"/>
      <c r="I980" s="10"/>
    </row>
    <row r="981" ht="14.25" customHeight="1">
      <c r="E981" s="10"/>
      <c r="I981" s="10"/>
    </row>
    <row r="982" ht="14.25" customHeight="1">
      <c r="E982" s="10"/>
      <c r="I982" s="10"/>
    </row>
    <row r="983" ht="14.25" customHeight="1">
      <c r="E983" s="10"/>
      <c r="I983" s="10"/>
    </row>
    <row r="984" ht="14.25" customHeight="1">
      <c r="E984" s="10"/>
      <c r="I984" s="10"/>
    </row>
    <row r="985" ht="14.25" customHeight="1">
      <c r="E985" s="10"/>
      <c r="I985" s="10"/>
    </row>
    <row r="986" ht="14.25" customHeight="1">
      <c r="E986" s="10"/>
      <c r="I986" s="10"/>
    </row>
    <row r="987" ht="14.25" customHeight="1">
      <c r="E987" s="10"/>
      <c r="I987" s="10"/>
    </row>
    <row r="988" ht="14.25" customHeight="1">
      <c r="E988" s="10"/>
      <c r="I988" s="10"/>
    </row>
    <row r="989" ht="14.25" customHeight="1">
      <c r="E989" s="10"/>
      <c r="I989" s="10"/>
    </row>
    <row r="990" ht="14.25" customHeight="1">
      <c r="E990" s="10"/>
      <c r="I990" s="10"/>
    </row>
    <row r="991" ht="14.25" customHeight="1">
      <c r="E991" s="10"/>
      <c r="I991" s="10"/>
    </row>
    <row r="992" ht="14.25" customHeight="1">
      <c r="E992" s="10"/>
      <c r="I992" s="10"/>
    </row>
    <row r="993" ht="14.25" customHeight="1">
      <c r="E993" s="10"/>
      <c r="I993" s="10"/>
    </row>
    <row r="994" ht="14.25" customHeight="1">
      <c r="E994" s="10"/>
      <c r="I994" s="10"/>
    </row>
    <row r="995" ht="14.25" customHeight="1">
      <c r="E995" s="10"/>
      <c r="I995" s="10"/>
    </row>
    <row r="996" ht="14.25" customHeight="1">
      <c r="E996" s="10"/>
      <c r="I996" s="10"/>
    </row>
    <row r="997" ht="14.25" customHeight="1">
      <c r="E997" s="10"/>
      <c r="I997" s="10"/>
    </row>
    <row r="998" ht="14.25" customHeight="1">
      <c r="E998" s="10"/>
      <c r="I998" s="10"/>
    </row>
    <row r="999" ht="14.25" customHeight="1">
      <c r="E999" s="10"/>
      <c r="I999" s="10"/>
    </row>
    <row r="1000" ht="14.25" customHeight="1">
      <c r="E1000" s="10"/>
      <c r="I1000" s="10"/>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3.88"/>
    <col customWidth="1" min="2" max="2" width="15.5"/>
    <col customWidth="1" hidden="1" min="3" max="3" width="13.75"/>
    <col customWidth="1" hidden="1" min="4" max="4" width="6.0"/>
    <col customWidth="1" hidden="1" min="5" max="5" width="18.13"/>
    <col customWidth="1" min="6" max="6" width="5.0"/>
    <col customWidth="1" min="7" max="7" width="18.13"/>
    <col customWidth="1" min="8" max="8" width="13.63"/>
    <col customWidth="1" min="9" max="9" width="6.75"/>
    <col customWidth="1" min="10" max="10" width="18.25"/>
    <col customWidth="1" min="11" max="11" width="6.5"/>
    <col customWidth="1" min="12" max="12" width="5.0"/>
    <col customWidth="1" min="13" max="13" width="18.13"/>
    <col customWidth="1" min="14" max="15" width="5.0"/>
    <col customWidth="1" min="16" max="16" width="18.13"/>
    <col customWidth="1" min="17" max="17" width="9.0"/>
    <col customWidth="1" min="18" max="18" width="11.88"/>
    <col customWidth="1" min="19" max="19" width="18.5"/>
    <col customWidth="1" min="20" max="29" width="7.63"/>
  </cols>
  <sheetData>
    <row r="1" ht="14.25" customHeight="1">
      <c r="A1" s="1" t="s">
        <v>0</v>
      </c>
      <c r="B1" s="3" t="s">
        <v>2</v>
      </c>
      <c r="C1" s="3" t="s">
        <v>8</v>
      </c>
      <c r="D1" s="5" t="s">
        <v>9</v>
      </c>
      <c r="E1" s="6" t="s">
        <v>11</v>
      </c>
      <c r="F1" s="7" t="s">
        <v>12</v>
      </c>
      <c r="G1" s="9" t="s">
        <v>11</v>
      </c>
      <c r="H1" s="11" t="s">
        <v>18</v>
      </c>
      <c r="I1" s="7" t="s">
        <v>27</v>
      </c>
      <c r="J1" s="9" t="s">
        <v>11</v>
      </c>
      <c r="K1" s="11" t="s">
        <v>34</v>
      </c>
      <c r="L1" s="7" t="s">
        <v>36</v>
      </c>
      <c r="M1" s="12" t="s">
        <v>11</v>
      </c>
      <c r="N1" s="11" t="s">
        <v>54</v>
      </c>
      <c r="O1" s="7" t="s">
        <v>57</v>
      </c>
      <c r="P1" s="13" t="s">
        <v>11</v>
      </c>
      <c r="Q1" s="14" t="s">
        <v>82</v>
      </c>
      <c r="R1" s="15" t="s">
        <v>99</v>
      </c>
      <c r="S1" s="16" t="s">
        <v>111</v>
      </c>
      <c r="T1" s="17"/>
      <c r="U1" s="17"/>
      <c r="V1" s="17"/>
      <c r="W1" s="17"/>
      <c r="X1" s="17"/>
      <c r="Y1" s="17"/>
      <c r="Z1" s="17"/>
      <c r="AA1" s="17"/>
      <c r="AB1" s="17"/>
      <c r="AC1" s="17"/>
    </row>
    <row r="2" ht="14.25" customHeight="1">
      <c r="A2" s="8" t="s">
        <v>14</v>
      </c>
      <c r="B2" s="8" t="s">
        <v>30</v>
      </c>
      <c r="D2" s="18">
        <v>0.0</v>
      </c>
      <c r="E2" s="19"/>
      <c r="F2" s="20">
        <v>0.0</v>
      </c>
      <c r="G2" s="21"/>
      <c r="H2" s="22"/>
      <c r="I2" s="20">
        <v>0.0</v>
      </c>
      <c r="J2" s="21"/>
      <c r="K2" s="22"/>
      <c r="L2" s="20">
        <v>0.0</v>
      </c>
      <c r="M2" s="21"/>
      <c r="N2" s="22"/>
      <c r="O2" s="20">
        <v>0.0</v>
      </c>
      <c r="P2" s="23"/>
      <c r="Q2" s="24"/>
      <c r="R2" s="25"/>
      <c r="S2" s="25"/>
    </row>
    <row r="3" ht="14.25" customHeight="1">
      <c r="A3" s="8" t="s">
        <v>13</v>
      </c>
      <c r="B3" s="8" t="s">
        <v>15</v>
      </c>
      <c r="D3" s="18">
        <v>1.0</v>
      </c>
      <c r="E3" s="19"/>
      <c r="F3" s="20">
        <v>0.0</v>
      </c>
      <c r="G3" s="21"/>
      <c r="H3" s="22"/>
      <c r="I3" s="20">
        <v>0.0</v>
      </c>
      <c r="J3" s="21"/>
      <c r="K3" s="22"/>
      <c r="L3" s="20">
        <v>0.0</v>
      </c>
      <c r="M3" s="21"/>
      <c r="N3" s="22"/>
      <c r="O3" s="20">
        <v>0.0</v>
      </c>
      <c r="P3" s="23"/>
      <c r="Q3" s="26"/>
      <c r="R3" s="25"/>
      <c r="S3" s="25"/>
    </row>
    <row r="4" ht="14.25" customHeight="1">
      <c r="A4" s="8" t="s">
        <v>39</v>
      </c>
      <c r="B4" s="8" t="s">
        <v>41</v>
      </c>
      <c r="D4" s="18">
        <v>0.0</v>
      </c>
      <c r="E4" s="19"/>
      <c r="F4" s="20">
        <v>0.0</v>
      </c>
      <c r="G4" s="21"/>
      <c r="H4" s="22"/>
      <c r="I4" s="20">
        <v>0.0</v>
      </c>
      <c r="J4" s="21"/>
      <c r="K4" s="22"/>
      <c r="L4" s="20">
        <v>0.0</v>
      </c>
      <c r="M4" s="21"/>
      <c r="N4" s="22"/>
      <c r="O4" s="20">
        <v>0.0</v>
      </c>
      <c r="P4" s="23"/>
      <c r="Q4" s="24"/>
      <c r="R4" s="25"/>
      <c r="S4" s="25"/>
    </row>
    <row r="5" ht="14.25" customHeight="1">
      <c r="A5" s="8" t="s">
        <v>46</v>
      </c>
      <c r="B5" s="8" t="s">
        <v>48</v>
      </c>
      <c r="D5" s="18">
        <v>0.0</v>
      </c>
      <c r="E5" s="19"/>
      <c r="F5" s="20">
        <v>0.0</v>
      </c>
      <c r="G5" s="21"/>
      <c r="H5" s="22"/>
      <c r="I5" s="20">
        <v>0.0</v>
      </c>
      <c r="J5" s="21"/>
      <c r="K5" s="22"/>
      <c r="L5" s="20">
        <v>0.0</v>
      </c>
      <c r="M5" s="21"/>
      <c r="N5" s="22"/>
      <c r="O5" s="20">
        <v>0.0</v>
      </c>
      <c r="P5" s="23"/>
      <c r="Q5" s="24"/>
      <c r="R5" s="25"/>
      <c r="S5" s="25"/>
    </row>
    <row r="6" ht="14.25" customHeight="1">
      <c r="A6" s="8" t="s">
        <v>52</v>
      </c>
      <c r="B6" s="8" t="s">
        <v>48</v>
      </c>
      <c r="D6" s="18">
        <v>1.0</v>
      </c>
      <c r="E6" s="19"/>
      <c r="F6" s="20">
        <v>0.0</v>
      </c>
      <c r="G6" s="21"/>
      <c r="H6" s="22"/>
      <c r="I6" s="20">
        <v>0.0</v>
      </c>
      <c r="J6" s="21"/>
      <c r="K6" s="22"/>
      <c r="L6" s="20">
        <v>0.0</v>
      </c>
      <c r="M6" s="21"/>
      <c r="N6" s="22"/>
      <c r="O6" s="20">
        <v>0.0</v>
      </c>
      <c r="P6" s="23"/>
      <c r="Q6" s="24"/>
      <c r="R6" s="25"/>
      <c r="S6" s="25"/>
    </row>
    <row r="7" ht="14.25" customHeight="1">
      <c r="A7" s="8" t="s">
        <v>55</v>
      </c>
      <c r="B7" s="8" t="s">
        <v>48</v>
      </c>
      <c r="D7" s="18">
        <v>0.0</v>
      </c>
      <c r="E7" s="19"/>
      <c r="F7" s="20">
        <v>0.0</v>
      </c>
      <c r="G7" s="21"/>
      <c r="H7" s="22"/>
      <c r="I7" s="20">
        <v>0.0</v>
      </c>
      <c r="J7" s="21"/>
      <c r="K7" s="22"/>
      <c r="L7" s="20">
        <v>0.0</v>
      </c>
      <c r="M7" s="21"/>
      <c r="N7" s="22"/>
      <c r="O7" s="20">
        <v>0.0</v>
      </c>
      <c r="P7" s="23"/>
      <c r="Q7" s="24"/>
      <c r="R7" s="25"/>
      <c r="S7" s="25"/>
    </row>
    <row r="8" ht="14.25" customHeight="1">
      <c r="A8" s="8" t="s">
        <v>59</v>
      </c>
      <c r="B8" s="8" t="s">
        <v>48</v>
      </c>
      <c r="C8" s="8" t="s">
        <v>65</v>
      </c>
      <c r="D8" s="18">
        <v>1.0</v>
      </c>
      <c r="E8" s="19"/>
      <c r="F8" s="20">
        <v>1.0</v>
      </c>
      <c r="G8" s="27" t="s">
        <v>244</v>
      </c>
      <c r="H8" s="22"/>
      <c r="I8" s="20">
        <v>0.0</v>
      </c>
      <c r="J8" s="21"/>
      <c r="K8" s="22"/>
      <c r="L8" s="20">
        <v>1.0</v>
      </c>
      <c r="M8" s="28" t="s">
        <v>244</v>
      </c>
      <c r="N8" s="22"/>
      <c r="O8" s="20">
        <v>0.0</v>
      </c>
      <c r="P8" s="23"/>
      <c r="Q8" s="26" t="s">
        <v>256</v>
      </c>
      <c r="R8" s="29" t="b">
        <v>1</v>
      </c>
      <c r="S8" s="25" t="s">
        <v>59</v>
      </c>
    </row>
    <row r="9" ht="14.25" customHeight="1">
      <c r="A9" s="8" t="s">
        <v>68</v>
      </c>
      <c r="B9" s="8" t="s">
        <v>48</v>
      </c>
      <c r="D9" s="18">
        <v>0.0</v>
      </c>
      <c r="E9" s="19"/>
      <c r="F9" s="20">
        <v>0.0</v>
      </c>
      <c r="G9" s="21"/>
      <c r="H9" s="22"/>
      <c r="I9" s="20">
        <v>0.0</v>
      </c>
      <c r="J9" s="21"/>
      <c r="K9" s="22"/>
      <c r="L9" s="20">
        <v>0.0</v>
      </c>
      <c r="M9" s="21"/>
      <c r="N9" s="22"/>
      <c r="O9" s="20">
        <v>0.0</v>
      </c>
      <c r="P9" s="23"/>
      <c r="Q9" s="24"/>
      <c r="R9" s="25"/>
      <c r="S9" s="25"/>
    </row>
    <row r="10" ht="14.25" customHeight="1">
      <c r="A10" s="8" t="s">
        <v>71</v>
      </c>
      <c r="B10" s="8" t="s">
        <v>48</v>
      </c>
      <c r="D10" s="18">
        <v>0.0</v>
      </c>
      <c r="E10" s="19"/>
      <c r="F10" s="20">
        <v>0.0</v>
      </c>
      <c r="G10" s="21"/>
      <c r="H10" s="22"/>
      <c r="I10" s="20">
        <v>0.0</v>
      </c>
      <c r="J10" s="21"/>
      <c r="K10" s="22"/>
      <c r="L10" s="20">
        <v>0.0</v>
      </c>
      <c r="M10" s="21"/>
      <c r="N10" s="22"/>
      <c r="O10" s="20">
        <v>0.0</v>
      </c>
      <c r="P10" s="23"/>
      <c r="Q10" s="24"/>
      <c r="R10" s="25"/>
      <c r="S10" s="25"/>
    </row>
    <row r="11" ht="14.25" customHeight="1">
      <c r="A11" s="8" t="s">
        <v>74</v>
      </c>
      <c r="B11" s="8" t="s">
        <v>48</v>
      </c>
      <c r="C11" s="8" t="s">
        <v>80</v>
      </c>
      <c r="D11" s="18">
        <v>1.0</v>
      </c>
      <c r="E11" s="19"/>
      <c r="F11" s="20">
        <v>0.0</v>
      </c>
      <c r="G11" s="21"/>
      <c r="H11" s="22"/>
      <c r="I11" s="20">
        <v>0.0</v>
      </c>
      <c r="J11" s="21"/>
      <c r="K11" s="22"/>
      <c r="L11" s="20">
        <v>0.0</v>
      </c>
      <c r="M11" s="21"/>
      <c r="N11" s="22"/>
      <c r="O11" s="20">
        <v>0.0</v>
      </c>
      <c r="P11" s="23"/>
      <c r="Q11" s="26" t="s">
        <v>256</v>
      </c>
      <c r="R11" s="25"/>
      <c r="S11" s="25"/>
    </row>
    <row r="12" ht="14.25" customHeight="1">
      <c r="A12" s="8" t="s">
        <v>84</v>
      </c>
      <c r="B12" s="8" t="s">
        <v>48</v>
      </c>
      <c r="D12" s="18">
        <v>0.0</v>
      </c>
      <c r="E12" s="19"/>
      <c r="F12" s="20">
        <v>0.0</v>
      </c>
      <c r="G12" s="21"/>
      <c r="H12" s="22"/>
      <c r="I12" s="20">
        <v>0.0</v>
      </c>
      <c r="J12" s="21"/>
      <c r="K12" s="22"/>
      <c r="L12" s="20">
        <v>0.0</v>
      </c>
      <c r="M12" s="21"/>
      <c r="N12" s="22"/>
      <c r="O12" s="20">
        <v>0.0</v>
      </c>
      <c r="P12" s="23"/>
      <c r="Q12" s="24"/>
      <c r="R12" s="25"/>
      <c r="S12" s="25"/>
    </row>
    <row r="13" ht="14.25" customHeight="1">
      <c r="A13" s="8" t="s">
        <v>90</v>
      </c>
      <c r="B13" s="8" t="s">
        <v>30</v>
      </c>
      <c r="D13" s="18">
        <v>1.0</v>
      </c>
      <c r="E13" s="19"/>
      <c r="F13" s="20">
        <v>1.0</v>
      </c>
      <c r="G13" s="27" t="s">
        <v>300</v>
      </c>
      <c r="H13" s="22"/>
      <c r="I13" s="20">
        <v>1.0</v>
      </c>
      <c r="J13" s="27" t="s">
        <v>300</v>
      </c>
      <c r="K13" s="22"/>
      <c r="L13" s="20">
        <v>1.0</v>
      </c>
      <c r="M13" s="27" t="s">
        <v>300</v>
      </c>
      <c r="N13" s="22"/>
      <c r="O13" s="20">
        <v>1.0</v>
      </c>
      <c r="P13" s="33" t="s">
        <v>300</v>
      </c>
      <c r="Q13" s="26" t="s">
        <v>256</v>
      </c>
      <c r="R13" s="35" t="b">
        <v>1</v>
      </c>
      <c r="S13" s="25" t="s">
        <v>90</v>
      </c>
    </row>
    <row r="14" ht="14.25" customHeight="1">
      <c r="A14" s="8" t="s">
        <v>95</v>
      </c>
      <c r="B14" s="8" t="s">
        <v>48</v>
      </c>
      <c r="D14" s="18">
        <v>0.0</v>
      </c>
      <c r="E14" s="19"/>
      <c r="F14" s="20">
        <v>0.0</v>
      </c>
      <c r="G14" s="21"/>
      <c r="H14" s="22"/>
      <c r="I14" s="20">
        <v>0.0</v>
      </c>
      <c r="J14" s="21"/>
      <c r="K14" s="22"/>
      <c r="L14" s="20">
        <v>0.0</v>
      </c>
      <c r="M14" s="21"/>
      <c r="N14" s="22"/>
      <c r="O14" s="20">
        <v>0.0</v>
      </c>
      <c r="P14" s="23"/>
      <c r="Q14" s="24"/>
      <c r="R14" s="25"/>
      <c r="S14" s="25"/>
    </row>
    <row r="15" ht="14.25" customHeight="1">
      <c r="A15" s="8" t="s">
        <v>101</v>
      </c>
      <c r="B15" s="8" t="s">
        <v>48</v>
      </c>
      <c r="D15" s="18">
        <v>0.0</v>
      </c>
      <c r="E15" s="19"/>
      <c r="F15" s="20">
        <v>0.0</v>
      </c>
      <c r="G15" s="21"/>
      <c r="H15" s="22"/>
      <c r="I15" s="20">
        <v>0.0</v>
      </c>
      <c r="J15" s="21"/>
      <c r="K15" s="22"/>
      <c r="L15" s="20">
        <v>0.0</v>
      </c>
      <c r="M15" s="21"/>
      <c r="N15" s="22"/>
      <c r="O15" s="20">
        <v>0.0</v>
      </c>
      <c r="P15" s="23"/>
      <c r="Q15" s="24"/>
      <c r="R15" s="25"/>
      <c r="S15" s="25"/>
    </row>
    <row r="16" ht="14.25" customHeight="1">
      <c r="A16" s="8" t="s">
        <v>73</v>
      </c>
      <c r="B16" s="8" t="s">
        <v>41</v>
      </c>
      <c r="D16" s="18">
        <v>0.0</v>
      </c>
      <c r="E16" s="19"/>
      <c r="F16" s="20">
        <v>0.0</v>
      </c>
      <c r="G16" s="21"/>
      <c r="H16" s="22"/>
      <c r="I16" s="20">
        <v>0.0</v>
      </c>
      <c r="J16" s="21"/>
      <c r="K16" s="22"/>
      <c r="L16" s="20">
        <v>0.0</v>
      </c>
      <c r="M16" s="21"/>
      <c r="N16" s="22"/>
      <c r="O16" s="20">
        <v>0.0</v>
      </c>
      <c r="P16" s="23"/>
      <c r="Q16" s="24"/>
      <c r="R16" s="25"/>
      <c r="S16" s="25"/>
    </row>
    <row r="17" ht="14.25" customHeight="1">
      <c r="A17" s="8" t="s">
        <v>109</v>
      </c>
      <c r="B17" s="8" t="s">
        <v>48</v>
      </c>
      <c r="D17" s="18">
        <v>1.0</v>
      </c>
      <c r="E17" s="19"/>
      <c r="F17" s="20">
        <v>0.0</v>
      </c>
      <c r="G17" s="21"/>
      <c r="H17" s="22"/>
      <c r="I17" s="20">
        <v>0.0</v>
      </c>
      <c r="J17" s="21"/>
      <c r="K17" s="22"/>
      <c r="L17" s="20">
        <v>0.0</v>
      </c>
      <c r="M17" s="21"/>
      <c r="N17" s="22"/>
      <c r="O17" s="20">
        <v>0.0</v>
      </c>
      <c r="P17" s="23"/>
      <c r="Q17" s="24"/>
      <c r="R17" s="25"/>
      <c r="S17" s="25"/>
    </row>
    <row r="18" ht="14.25" customHeight="1">
      <c r="A18" s="8" t="s">
        <v>113</v>
      </c>
      <c r="B18" s="8" t="s">
        <v>48</v>
      </c>
      <c r="D18" s="18">
        <v>1.0</v>
      </c>
      <c r="E18" s="19"/>
      <c r="F18" s="20">
        <v>1.0</v>
      </c>
      <c r="G18" s="27" t="s">
        <v>303</v>
      </c>
      <c r="H18" s="22"/>
      <c r="I18" s="20">
        <v>1.0</v>
      </c>
      <c r="J18" s="27" t="s">
        <v>304</v>
      </c>
      <c r="K18" s="22"/>
      <c r="L18" s="20">
        <v>1.0</v>
      </c>
      <c r="M18" s="27" t="s">
        <v>303</v>
      </c>
      <c r="N18" s="22"/>
      <c r="O18" s="20">
        <v>1.0</v>
      </c>
      <c r="P18" s="33" t="s">
        <v>305</v>
      </c>
      <c r="Q18" s="26" t="s">
        <v>256</v>
      </c>
      <c r="R18" s="35" t="b">
        <v>1</v>
      </c>
      <c r="S18" s="25" t="s">
        <v>113</v>
      </c>
    </row>
    <row r="19" ht="14.25" customHeight="1">
      <c r="A19" s="8" t="s">
        <v>121</v>
      </c>
      <c r="B19" s="8" t="s">
        <v>48</v>
      </c>
      <c r="C19" s="8" t="s">
        <v>127</v>
      </c>
      <c r="D19" s="18">
        <v>1.0</v>
      </c>
      <c r="E19" s="19"/>
      <c r="F19" s="20">
        <v>0.0</v>
      </c>
      <c r="G19" s="21"/>
      <c r="H19" s="22"/>
      <c r="I19" s="20">
        <v>0.0</v>
      </c>
      <c r="J19" s="21"/>
      <c r="K19" s="22"/>
      <c r="L19" s="20">
        <v>0.0</v>
      </c>
      <c r="M19" s="21"/>
      <c r="N19" s="22"/>
      <c r="O19" s="20">
        <v>0.0</v>
      </c>
      <c r="P19" s="23"/>
      <c r="Q19" s="24"/>
      <c r="R19" s="25"/>
      <c r="S19" s="25"/>
    </row>
    <row r="20" ht="14.25" customHeight="1">
      <c r="A20" s="8" t="s">
        <v>128</v>
      </c>
      <c r="B20" s="8" t="s">
        <v>48</v>
      </c>
      <c r="D20" s="18">
        <v>0.0</v>
      </c>
      <c r="E20" s="19"/>
      <c r="F20" s="20">
        <v>0.0</v>
      </c>
      <c r="G20" s="21"/>
      <c r="H20" s="22"/>
      <c r="I20" s="20">
        <v>0.0</v>
      </c>
      <c r="J20" s="42" t="s">
        <v>306</v>
      </c>
      <c r="K20" s="22"/>
      <c r="L20" s="20">
        <v>0.0</v>
      </c>
      <c r="M20" s="21"/>
      <c r="N20" s="22" t="s">
        <v>307</v>
      </c>
      <c r="O20" s="20">
        <v>0.0</v>
      </c>
      <c r="P20" s="23"/>
      <c r="Q20" s="24"/>
      <c r="R20" s="25"/>
      <c r="S20" s="25"/>
    </row>
    <row r="21" ht="14.25" customHeight="1">
      <c r="A21" s="8" t="s">
        <v>81</v>
      </c>
      <c r="B21" s="8" t="s">
        <v>41</v>
      </c>
      <c r="D21" s="18">
        <v>1.0</v>
      </c>
      <c r="E21" s="19"/>
      <c r="F21" s="20">
        <v>0.0</v>
      </c>
      <c r="G21" s="21"/>
      <c r="H21" s="22"/>
      <c r="I21" s="20">
        <v>0.0</v>
      </c>
      <c r="J21" s="21"/>
      <c r="K21" s="22"/>
      <c r="L21" s="20">
        <v>0.0</v>
      </c>
      <c r="M21" s="21"/>
      <c r="N21" s="22"/>
      <c r="O21" s="20">
        <v>1.0</v>
      </c>
      <c r="P21" s="33" t="s">
        <v>308</v>
      </c>
      <c r="Q21" s="24"/>
      <c r="R21" s="25"/>
      <c r="S21" s="25"/>
    </row>
    <row r="22" ht="14.25" customHeight="1">
      <c r="A22" s="8" t="s">
        <v>131</v>
      </c>
      <c r="B22" s="8" t="s">
        <v>48</v>
      </c>
      <c r="D22" s="18">
        <v>0.0</v>
      </c>
      <c r="E22" s="19"/>
      <c r="F22" s="20">
        <v>0.0</v>
      </c>
      <c r="G22" s="21"/>
      <c r="H22" s="22"/>
      <c r="I22" s="20">
        <v>0.0</v>
      </c>
      <c r="J22" s="21"/>
      <c r="K22" s="22"/>
      <c r="L22" s="20">
        <v>0.0</v>
      </c>
      <c r="M22" s="21"/>
      <c r="N22" s="22"/>
      <c r="O22" s="20">
        <v>0.0</v>
      </c>
      <c r="P22" s="23"/>
      <c r="Q22" s="24"/>
      <c r="R22" s="25"/>
      <c r="S22" s="25"/>
    </row>
    <row r="23" ht="14.25" customHeight="1">
      <c r="A23" s="8" t="s">
        <v>137</v>
      </c>
      <c r="B23" s="8" t="s">
        <v>48</v>
      </c>
      <c r="D23" s="18">
        <v>0.0</v>
      </c>
      <c r="E23" s="19"/>
      <c r="F23" s="20">
        <v>0.0</v>
      </c>
      <c r="G23" s="21"/>
      <c r="H23" s="22"/>
      <c r="I23" s="20">
        <v>0.0</v>
      </c>
      <c r="J23" s="21"/>
      <c r="K23" s="22"/>
      <c r="L23" s="20">
        <v>0.0</v>
      </c>
      <c r="M23" s="21"/>
      <c r="N23" s="22"/>
      <c r="O23" s="20">
        <v>1.0</v>
      </c>
      <c r="P23" s="47" t="s">
        <v>309</v>
      </c>
      <c r="Q23" s="24"/>
      <c r="R23" s="25"/>
      <c r="S23" s="25"/>
    </row>
    <row r="24" ht="14.25" customHeight="1">
      <c r="A24" s="8" t="s">
        <v>142</v>
      </c>
      <c r="B24" s="8" t="s">
        <v>48</v>
      </c>
      <c r="C24" s="8" t="s">
        <v>149</v>
      </c>
      <c r="D24" s="18">
        <v>1.0</v>
      </c>
      <c r="E24" s="19"/>
      <c r="F24" s="20">
        <v>0.0</v>
      </c>
      <c r="G24" s="21"/>
      <c r="H24" s="22"/>
      <c r="I24" s="20">
        <v>0.0</v>
      </c>
      <c r="J24" s="21"/>
      <c r="K24" s="22"/>
      <c r="L24" s="20">
        <v>0.0</v>
      </c>
      <c r="M24" s="21"/>
      <c r="N24" s="22"/>
      <c r="O24" s="20">
        <v>0.0</v>
      </c>
      <c r="P24" s="23"/>
      <c r="Q24" s="26" t="s">
        <v>256</v>
      </c>
      <c r="R24" s="25"/>
      <c r="S24" s="25"/>
    </row>
    <row r="25" ht="14.25" customHeight="1">
      <c r="A25" s="8" t="s">
        <v>150</v>
      </c>
      <c r="B25" s="8" t="s">
        <v>48</v>
      </c>
      <c r="D25" s="18">
        <v>0.0</v>
      </c>
      <c r="E25" s="19"/>
      <c r="F25" s="20">
        <v>0.0</v>
      </c>
      <c r="G25" s="21"/>
      <c r="H25" s="22"/>
      <c r="I25" s="20">
        <v>0.0</v>
      </c>
      <c r="J25" s="21"/>
      <c r="K25" s="22"/>
      <c r="L25" s="20">
        <v>0.0</v>
      </c>
      <c r="M25" s="21"/>
      <c r="N25" s="22"/>
      <c r="O25" s="20">
        <v>0.0</v>
      </c>
      <c r="P25" s="23"/>
      <c r="Q25" s="24"/>
      <c r="R25" s="25"/>
      <c r="S25" s="25"/>
    </row>
    <row r="26" ht="14.25" customHeight="1">
      <c r="A26" s="8" t="s">
        <v>88</v>
      </c>
      <c r="B26" s="8" t="s">
        <v>41</v>
      </c>
      <c r="D26" s="18">
        <v>1.0</v>
      </c>
      <c r="E26" s="19"/>
      <c r="F26" s="20">
        <v>0.0</v>
      </c>
      <c r="G26" s="42" t="s">
        <v>310</v>
      </c>
      <c r="H26" s="22"/>
      <c r="I26" s="20">
        <v>0.0</v>
      </c>
      <c r="J26" s="42" t="s">
        <v>311</v>
      </c>
      <c r="K26" s="22"/>
      <c r="L26" s="20">
        <v>0.0</v>
      </c>
      <c r="M26" s="21"/>
      <c r="N26" s="22"/>
      <c r="O26" s="20">
        <v>0.0</v>
      </c>
      <c r="P26" s="23"/>
      <c r="Q26" s="24"/>
      <c r="R26" s="50" t="b">
        <v>1</v>
      </c>
      <c r="S26" s="25" t="s">
        <v>88</v>
      </c>
    </row>
    <row r="27" ht="14.25" customHeight="1">
      <c r="A27" s="8" t="s">
        <v>94</v>
      </c>
      <c r="B27" s="8" t="s">
        <v>41</v>
      </c>
      <c r="C27" s="8" t="s">
        <v>100</v>
      </c>
      <c r="D27" s="18">
        <v>1.0</v>
      </c>
      <c r="E27" s="19"/>
      <c r="F27" s="20">
        <v>0.0</v>
      </c>
      <c r="G27" s="21"/>
      <c r="H27" s="22"/>
      <c r="I27" s="20">
        <v>0.0</v>
      </c>
      <c r="J27" s="21"/>
      <c r="K27" s="22"/>
      <c r="L27" s="20">
        <v>0.0</v>
      </c>
      <c r="M27" s="21"/>
      <c r="N27" s="22"/>
      <c r="O27" s="20">
        <v>0.0</v>
      </c>
      <c r="P27" s="23"/>
      <c r="Q27" s="26" t="s">
        <v>256</v>
      </c>
      <c r="R27" s="25"/>
      <c r="S27" s="25"/>
    </row>
    <row r="28" ht="14.25" customHeight="1">
      <c r="A28" s="8" t="s">
        <v>159</v>
      </c>
      <c r="B28" s="8" t="s">
        <v>48</v>
      </c>
      <c r="D28" s="18">
        <v>0.0</v>
      </c>
      <c r="E28" s="19"/>
      <c r="F28" s="20">
        <v>0.0</v>
      </c>
      <c r="G28" s="21"/>
      <c r="H28" s="22"/>
      <c r="I28" s="20">
        <v>0.0</v>
      </c>
      <c r="J28" s="51"/>
      <c r="K28" s="22" t="s">
        <v>307</v>
      </c>
      <c r="L28" s="20">
        <v>0.0</v>
      </c>
      <c r="M28" s="21"/>
      <c r="N28" s="22" t="s">
        <v>307</v>
      </c>
      <c r="O28" s="20">
        <v>0.0</v>
      </c>
      <c r="P28" s="23"/>
      <c r="Q28" s="26" t="s">
        <v>256</v>
      </c>
      <c r="R28" s="25"/>
      <c r="S28" s="25"/>
    </row>
    <row r="29" ht="14.25" customHeight="1">
      <c r="A29" s="8" t="s">
        <v>165</v>
      </c>
      <c r="B29" s="8" t="s">
        <v>48</v>
      </c>
      <c r="D29" s="18">
        <v>1.0</v>
      </c>
      <c r="E29" s="19"/>
      <c r="F29" s="20">
        <v>0.0</v>
      </c>
      <c r="G29" s="21"/>
      <c r="H29" s="22"/>
      <c r="I29" s="20">
        <v>0.0</v>
      </c>
      <c r="J29" s="21"/>
      <c r="K29" s="22"/>
      <c r="L29" s="20">
        <v>0.0</v>
      </c>
      <c r="M29" s="21"/>
      <c r="N29" s="22"/>
      <c r="O29" s="20">
        <v>0.0</v>
      </c>
      <c r="P29" s="23"/>
      <c r="Q29" s="24"/>
      <c r="R29" s="25"/>
      <c r="S29" s="25"/>
    </row>
    <row r="30" ht="14.25" customHeight="1">
      <c r="A30" s="8" t="s">
        <v>130</v>
      </c>
      <c r="B30" s="8" t="s">
        <v>30</v>
      </c>
      <c r="D30" s="18">
        <v>1.0</v>
      </c>
      <c r="E30" s="19"/>
      <c r="F30" s="20">
        <v>1.0</v>
      </c>
      <c r="G30" s="27" t="s">
        <v>312</v>
      </c>
      <c r="H30" s="22"/>
      <c r="I30" s="20">
        <v>1.0</v>
      </c>
      <c r="J30" s="27" t="s">
        <v>312</v>
      </c>
      <c r="K30" s="22"/>
      <c r="L30" s="20">
        <v>1.0</v>
      </c>
      <c r="M30" s="28" t="s">
        <v>313</v>
      </c>
      <c r="N30" s="22"/>
      <c r="O30" s="20">
        <v>1.0</v>
      </c>
      <c r="P30" s="33" t="s">
        <v>312</v>
      </c>
      <c r="Q30" s="26" t="s">
        <v>256</v>
      </c>
      <c r="R30" s="35" t="b">
        <v>1</v>
      </c>
      <c r="S30" s="25" t="s">
        <v>130</v>
      </c>
    </row>
    <row r="31" ht="14.25" customHeight="1">
      <c r="A31" s="8" t="s">
        <v>175</v>
      </c>
      <c r="B31" s="8" t="s">
        <v>48</v>
      </c>
      <c r="D31" s="18">
        <v>0.0</v>
      </c>
      <c r="E31" s="19"/>
      <c r="F31" s="20">
        <v>0.0</v>
      </c>
      <c r="G31" s="21"/>
      <c r="H31" s="22"/>
      <c r="I31" s="20">
        <v>0.0</v>
      </c>
      <c r="J31" s="21"/>
      <c r="K31" s="22"/>
      <c r="L31" s="20">
        <v>0.0</v>
      </c>
      <c r="M31" s="21"/>
      <c r="N31" s="22"/>
      <c r="O31" s="20">
        <v>0.0</v>
      </c>
      <c r="P31" s="23"/>
      <c r="Q31" s="24"/>
      <c r="R31" s="25"/>
      <c r="S31" s="25"/>
    </row>
    <row r="32" ht="14.25" customHeight="1">
      <c r="A32" s="8" t="s">
        <v>177</v>
      </c>
      <c r="B32" s="8" t="s">
        <v>48</v>
      </c>
      <c r="D32" s="18">
        <v>0.0</v>
      </c>
      <c r="E32" s="19"/>
      <c r="F32" s="20">
        <v>0.0</v>
      </c>
      <c r="G32" s="21"/>
      <c r="H32" s="22"/>
      <c r="I32" s="20">
        <v>0.0</v>
      </c>
      <c r="J32" s="21"/>
      <c r="K32" s="22"/>
      <c r="L32" s="20">
        <v>0.0</v>
      </c>
      <c r="M32" s="21"/>
      <c r="N32" s="22"/>
      <c r="O32" s="20">
        <v>0.0</v>
      </c>
      <c r="P32" s="23"/>
      <c r="Q32" s="24"/>
      <c r="R32" s="25"/>
      <c r="S32" s="25"/>
    </row>
    <row r="33" ht="14.25" customHeight="1">
      <c r="A33" s="8" t="s">
        <v>102</v>
      </c>
      <c r="B33" s="8" t="s">
        <v>41</v>
      </c>
      <c r="D33" s="18">
        <v>0.0</v>
      </c>
      <c r="E33" s="19"/>
      <c r="F33" s="20">
        <v>0.0</v>
      </c>
      <c r="G33" s="21"/>
      <c r="H33" s="22"/>
      <c r="I33" s="20">
        <v>0.0</v>
      </c>
      <c r="J33" s="21"/>
      <c r="K33" s="22"/>
      <c r="L33" s="20">
        <v>0.0</v>
      </c>
      <c r="M33" s="21"/>
      <c r="N33" s="22"/>
      <c r="O33" s="20">
        <v>0.0</v>
      </c>
      <c r="P33" s="23"/>
      <c r="Q33" s="24"/>
      <c r="R33" s="25"/>
      <c r="S33" s="25"/>
    </row>
    <row r="34" ht="14.25" customHeight="1">
      <c r="A34" s="8" t="s">
        <v>138</v>
      </c>
      <c r="B34" s="8" t="s">
        <v>30</v>
      </c>
      <c r="D34" s="18">
        <v>1.0</v>
      </c>
      <c r="E34" s="19"/>
      <c r="F34" s="20">
        <v>0.0</v>
      </c>
      <c r="G34" s="21"/>
      <c r="H34" s="22"/>
      <c r="I34" s="20">
        <v>0.0</v>
      </c>
      <c r="J34" s="21"/>
      <c r="K34" s="22"/>
      <c r="L34" s="20">
        <v>0.0</v>
      </c>
      <c r="M34" s="21"/>
      <c r="N34" s="22"/>
      <c r="O34" s="20">
        <v>0.0</v>
      </c>
      <c r="P34" s="23"/>
      <c r="Q34" s="24"/>
      <c r="R34" s="25"/>
      <c r="S34" s="25"/>
    </row>
    <row r="35" ht="14.25" customHeight="1">
      <c r="A35" s="8" t="s">
        <v>180</v>
      </c>
      <c r="B35" s="8" t="s">
        <v>48</v>
      </c>
      <c r="D35" s="18">
        <v>1.0</v>
      </c>
      <c r="E35" s="19"/>
      <c r="F35" s="20">
        <v>1.0</v>
      </c>
      <c r="G35" s="27" t="s">
        <v>314</v>
      </c>
      <c r="H35" s="22" t="s">
        <v>307</v>
      </c>
      <c r="I35" s="20">
        <v>1.0</v>
      </c>
      <c r="J35" s="27" t="s">
        <v>315</v>
      </c>
      <c r="K35" s="22" t="s">
        <v>307</v>
      </c>
      <c r="L35" s="20">
        <v>1.0</v>
      </c>
      <c r="M35" s="52" t="s">
        <v>316</v>
      </c>
      <c r="N35" s="22"/>
      <c r="O35" s="20">
        <v>0.0</v>
      </c>
      <c r="P35" s="23"/>
      <c r="Q35" s="26" t="s">
        <v>307</v>
      </c>
      <c r="R35" s="53" t="b">
        <v>1</v>
      </c>
      <c r="S35" s="25" t="s">
        <v>180</v>
      </c>
    </row>
    <row r="36" ht="14.25" customHeight="1">
      <c r="A36" s="8" t="s">
        <v>144</v>
      </c>
      <c r="B36" s="8" t="s">
        <v>30</v>
      </c>
      <c r="D36" s="18">
        <v>1.0</v>
      </c>
      <c r="E36" s="19"/>
      <c r="F36" s="20">
        <v>0.0</v>
      </c>
      <c r="G36" s="21"/>
      <c r="H36" s="22"/>
      <c r="I36" s="20">
        <v>0.0</v>
      </c>
      <c r="J36" s="21"/>
      <c r="K36" s="22"/>
      <c r="L36" s="20">
        <v>0.0</v>
      </c>
      <c r="M36" s="21"/>
      <c r="N36" s="22"/>
      <c r="O36" s="20">
        <v>1.0</v>
      </c>
      <c r="P36" s="33" t="s">
        <v>317</v>
      </c>
      <c r="Q36" s="24"/>
      <c r="R36" s="25"/>
      <c r="S36" s="25"/>
    </row>
    <row r="37" ht="14.25" customHeight="1">
      <c r="A37" s="8" t="s">
        <v>183</v>
      </c>
      <c r="B37" s="8" t="s">
        <v>48</v>
      </c>
      <c r="D37" s="54">
        <v>1.0</v>
      </c>
      <c r="E37" s="19"/>
      <c r="F37" s="20">
        <v>1.0</v>
      </c>
      <c r="G37" s="27" t="s">
        <v>318</v>
      </c>
      <c r="H37" s="22"/>
      <c r="I37" s="20">
        <v>1.0</v>
      </c>
      <c r="J37" s="27" t="s">
        <v>318</v>
      </c>
      <c r="K37" s="22"/>
      <c r="L37" s="20">
        <v>0.0</v>
      </c>
      <c r="M37" s="21"/>
      <c r="N37" s="22"/>
      <c r="O37" s="20">
        <v>1.0</v>
      </c>
      <c r="P37" s="52" t="s">
        <v>319</v>
      </c>
      <c r="Q37" s="26" t="s">
        <v>256</v>
      </c>
      <c r="R37" s="55" t="b">
        <v>1</v>
      </c>
      <c r="S37" s="56" t="s">
        <v>183</v>
      </c>
    </row>
    <row r="38" ht="14.25" customHeight="1">
      <c r="A38" s="57" t="s">
        <v>15</v>
      </c>
      <c r="B38" s="57" t="s">
        <v>15</v>
      </c>
      <c r="C38" s="57" t="s">
        <v>22</v>
      </c>
      <c r="D38" s="18">
        <v>1.0</v>
      </c>
      <c r="E38" s="19"/>
      <c r="F38" s="20">
        <v>1.0</v>
      </c>
      <c r="G38" s="58" t="s">
        <v>320</v>
      </c>
      <c r="H38" s="22" t="s">
        <v>307</v>
      </c>
      <c r="I38" s="20">
        <v>1.0</v>
      </c>
      <c r="J38" s="58" t="s">
        <v>321</v>
      </c>
      <c r="K38" s="22" t="s">
        <v>307</v>
      </c>
      <c r="L38" s="20">
        <v>0.0</v>
      </c>
      <c r="M38" s="59" t="s">
        <v>322</v>
      </c>
      <c r="N38" s="22"/>
      <c r="O38" s="20">
        <v>1.0</v>
      </c>
      <c r="P38" s="33" t="s">
        <v>323</v>
      </c>
      <c r="Q38" s="26" t="s">
        <v>307</v>
      </c>
      <c r="R38" s="60" t="b">
        <v>1</v>
      </c>
      <c r="S38" s="61" t="s">
        <v>15</v>
      </c>
    </row>
    <row r="39" ht="14.25" customHeight="1">
      <c r="A39" s="57" t="s">
        <v>15</v>
      </c>
      <c r="B39" s="57"/>
      <c r="D39" s="18">
        <v>0.0</v>
      </c>
      <c r="E39" s="19"/>
      <c r="F39" s="20">
        <v>0.0</v>
      </c>
      <c r="G39" s="21"/>
      <c r="H39" s="22"/>
      <c r="I39" s="20">
        <v>0.0</v>
      </c>
      <c r="J39" s="21"/>
      <c r="K39" s="22"/>
      <c r="L39" s="20">
        <v>0.0</v>
      </c>
      <c r="M39" s="21"/>
      <c r="N39" s="22"/>
      <c r="O39" s="20">
        <v>0.0</v>
      </c>
      <c r="P39" s="23"/>
      <c r="Q39" s="24"/>
      <c r="R39" s="25"/>
      <c r="S39" s="25"/>
    </row>
    <row r="40" ht="14.25" customHeight="1">
      <c r="A40" s="8" t="s">
        <v>23</v>
      </c>
      <c r="B40" s="8" t="s">
        <v>15</v>
      </c>
      <c r="D40" s="18">
        <v>1.0</v>
      </c>
      <c r="E40" s="19"/>
      <c r="F40" s="20">
        <v>1.0</v>
      </c>
      <c r="G40" s="27" t="s">
        <v>324</v>
      </c>
      <c r="H40" s="22"/>
      <c r="I40" s="20">
        <v>1.0</v>
      </c>
      <c r="J40" s="27" t="s">
        <v>324</v>
      </c>
      <c r="K40" s="22"/>
      <c r="L40" s="20">
        <v>0.0</v>
      </c>
      <c r="M40" s="21"/>
      <c r="N40" s="22"/>
      <c r="O40" s="20">
        <v>0.0</v>
      </c>
      <c r="P40" s="23"/>
      <c r="Q40" s="24"/>
      <c r="R40" s="53" t="b">
        <v>1</v>
      </c>
      <c r="S40" s="25" t="s">
        <v>23</v>
      </c>
    </row>
    <row r="41" ht="14.25" customHeight="1">
      <c r="A41" s="8" t="s">
        <v>151</v>
      </c>
      <c r="B41" s="8" t="s">
        <v>30</v>
      </c>
      <c r="D41" s="18">
        <v>1.0</v>
      </c>
      <c r="E41" s="19"/>
      <c r="F41" s="20">
        <v>1.0</v>
      </c>
      <c r="G41" s="27" t="s">
        <v>325</v>
      </c>
      <c r="H41" s="22"/>
      <c r="I41" s="20">
        <v>1.0</v>
      </c>
      <c r="J41" s="58" t="s">
        <v>326</v>
      </c>
      <c r="K41" s="22"/>
      <c r="L41" s="20">
        <v>0.0</v>
      </c>
      <c r="M41" s="21"/>
      <c r="N41" s="22"/>
      <c r="O41" s="20">
        <v>0.0</v>
      </c>
      <c r="P41" s="23"/>
      <c r="Q41" s="24"/>
      <c r="R41" s="53" t="b">
        <v>1</v>
      </c>
      <c r="S41" s="25" t="s">
        <v>151</v>
      </c>
    </row>
    <row r="42" ht="14.25" customHeight="1">
      <c r="A42" s="8" t="s">
        <v>186</v>
      </c>
      <c r="B42" s="8" t="s">
        <v>48</v>
      </c>
      <c r="D42" s="18">
        <v>1.0</v>
      </c>
      <c r="E42" s="19"/>
      <c r="F42" s="20">
        <v>0.0</v>
      </c>
      <c r="G42" s="21"/>
      <c r="H42" s="22"/>
      <c r="I42" s="20">
        <v>0.0</v>
      </c>
      <c r="J42" s="42" t="s">
        <v>327</v>
      </c>
      <c r="K42" s="22" t="s">
        <v>307</v>
      </c>
      <c r="L42" s="20">
        <v>0.0</v>
      </c>
      <c r="M42" s="59" t="s">
        <v>328</v>
      </c>
      <c r="N42" s="22"/>
      <c r="O42" s="20">
        <v>0.0</v>
      </c>
      <c r="P42" s="23"/>
      <c r="Q42" s="24"/>
      <c r="R42" s="62" t="b">
        <v>1</v>
      </c>
      <c r="S42" s="25" t="s">
        <v>186</v>
      </c>
    </row>
    <row r="43" ht="14.25" customHeight="1">
      <c r="A43" s="8" t="s">
        <v>40</v>
      </c>
      <c r="B43" s="8" t="s">
        <v>42</v>
      </c>
      <c r="D43" s="18">
        <v>1.0</v>
      </c>
      <c r="E43" s="19"/>
      <c r="F43" s="20">
        <v>0.0</v>
      </c>
      <c r="G43" s="58" t="s">
        <v>329</v>
      </c>
      <c r="H43" s="22" t="s">
        <v>307</v>
      </c>
      <c r="I43" s="20">
        <v>0.0</v>
      </c>
      <c r="J43" s="42" t="s">
        <v>330</v>
      </c>
      <c r="K43" s="22"/>
      <c r="L43" s="20">
        <v>0.0</v>
      </c>
      <c r="M43" s="59" t="s">
        <v>331</v>
      </c>
      <c r="N43" s="22"/>
      <c r="O43" s="20">
        <v>0.0</v>
      </c>
      <c r="P43" s="23"/>
      <c r="Q43" s="24"/>
      <c r="R43" s="62" t="b">
        <v>1</v>
      </c>
      <c r="S43" s="25" t="s">
        <v>40</v>
      </c>
    </row>
    <row r="44" ht="14.25" customHeight="1">
      <c r="A44" s="8" t="s">
        <v>189</v>
      </c>
      <c r="B44" s="8" t="s">
        <v>48</v>
      </c>
      <c r="D44" s="18">
        <v>1.0</v>
      </c>
      <c r="E44" s="19"/>
      <c r="F44" s="20">
        <v>0.0</v>
      </c>
      <c r="G44" s="21"/>
      <c r="H44" s="22"/>
      <c r="I44" s="20">
        <v>0.0</v>
      </c>
      <c r="J44" s="21"/>
      <c r="K44" s="22"/>
      <c r="L44" s="20">
        <v>0.0</v>
      </c>
      <c r="M44" s="21"/>
      <c r="N44" s="22"/>
      <c r="O44" s="20">
        <v>0.0</v>
      </c>
      <c r="P44" s="23"/>
      <c r="Q44" s="24"/>
      <c r="R44" s="25"/>
      <c r="S44" s="25"/>
    </row>
    <row r="45" ht="14.25" customHeight="1">
      <c r="A45" s="8" t="s">
        <v>193</v>
      </c>
      <c r="B45" s="8" t="s">
        <v>48</v>
      </c>
      <c r="D45" s="18">
        <v>0.0</v>
      </c>
      <c r="E45" s="19"/>
      <c r="F45" s="20">
        <v>0.0</v>
      </c>
      <c r="G45" s="21"/>
      <c r="H45" s="22"/>
      <c r="I45" s="20">
        <v>0.0</v>
      </c>
      <c r="J45" s="21"/>
      <c r="K45" s="22"/>
      <c r="L45" s="20">
        <v>0.0</v>
      </c>
      <c r="M45" s="21"/>
      <c r="N45" s="22"/>
      <c r="O45" s="20">
        <v>0.0</v>
      </c>
      <c r="P45" s="23"/>
      <c r="Q45" s="26" t="s">
        <v>256</v>
      </c>
      <c r="R45" s="25"/>
      <c r="S45" s="25"/>
    </row>
    <row r="46" ht="14.25" customHeight="1">
      <c r="A46" s="8" t="s">
        <v>197</v>
      </c>
      <c r="B46" s="8" t="s">
        <v>48</v>
      </c>
      <c r="D46" s="18">
        <v>0.0</v>
      </c>
      <c r="E46" s="19"/>
      <c r="F46" s="20">
        <v>0.0</v>
      </c>
      <c r="G46" s="21"/>
      <c r="H46" s="22"/>
      <c r="I46" s="20">
        <v>0.0</v>
      </c>
      <c r="J46" s="21"/>
      <c r="K46" s="22"/>
      <c r="L46" s="20">
        <v>0.0</v>
      </c>
      <c r="M46" s="21"/>
      <c r="N46" s="22"/>
      <c r="O46" s="20">
        <v>0.0</v>
      </c>
      <c r="P46" s="23"/>
      <c r="Q46" s="24"/>
      <c r="R46" s="25"/>
      <c r="S46" s="25"/>
    </row>
    <row r="47" ht="14.25" customHeight="1">
      <c r="A47" s="8" t="s">
        <v>200</v>
      </c>
      <c r="B47" s="8" t="s">
        <v>48</v>
      </c>
      <c r="D47" s="18">
        <v>1.0</v>
      </c>
      <c r="E47" s="19"/>
      <c r="F47" s="20">
        <v>1.0</v>
      </c>
      <c r="G47" s="27" t="s">
        <v>332</v>
      </c>
      <c r="H47" s="22" t="s">
        <v>307</v>
      </c>
      <c r="I47" s="20">
        <v>0.0</v>
      </c>
      <c r="J47" s="42" t="s">
        <v>333</v>
      </c>
      <c r="K47" s="22" t="s">
        <v>307</v>
      </c>
      <c r="L47" s="20">
        <v>1.0</v>
      </c>
      <c r="M47" s="28" t="s">
        <v>334</v>
      </c>
      <c r="N47" s="22" t="s">
        <v>307</v>
      </c>
      <c r="O47" s="20">
        <v>1.0</v>
      </c>
      <c r="P47" s="33" t="s">
        <v>335</v>
      </c>
      <c r="Q47" s="24"/>
      <c r="R47" s="55" t="b">
        <v>1</v>
      </c>
      <c r="S47" s="25" t="s">
        <v>200</v>
      </c>
    </row>
    <row r="48" ht="14.25" customHeight="1">
      <c r="A48" s="8" t="s">
        <v>202</v>
      </c>
      <c r="B48" s="8" t="s">
        <v>48</v>
      </c>
      <c r="C48" s="8" t="s">
        <v>206</v>
      </c>
      <c r="D48" s="18">
        <v>1.0</v>
      </c>
      <c r="E48" s="19"/>
      <c r="F48" s="20">
        <v>0.0</v>
      </c>
      <c r="G48" s="21"/>
      <c r="H48" s="22"/>
      <c r="I48" s="20">
        <v>0.0</v>
      </c>
      <c r="J48" s="21"/>
      <c r="K48" s="22"/>
      <c r="L48" s="20">
        <v>0.0</v>
      </c>
      <c r="M48" s="63" t="s">
        <v>336</v>
      </c>
      <c r="N48" s="22"/>
      <c r="O48" s="20">
        <v>1.0</v>
      </c>
      <c r="P48" s="33" t="s">
        <v>337</v>
      </c>
      <c r="Q48" s="24"/>
      <c r="R48" s="35" t="b">
        <v>1</v>
      </c>
      <c r="S48" s="25" t="s">
        <v>202</v>
      </c>
    </row>
    <row r="49" ht="14.25" customHeight="1">
      <c r="A49" s="8" t="s">
        <v>207</v>
      </c>
      <c r="B49" s="8" t="s">
        <v>48</v>
      </c>
      <c r="C49" s="8" t="s">
        <v>211</v>
      </c>
      <c r="D49" s="18">
        <v>1.0</v>
      </c>
      <c r="E49" s="19"/>
      <c r="F49" s="20">
        <v>0.0</v>
      </c>
      <c r="G49" s="21"/>
      <c r="H49" s="22"/>
      <c r="I49" s="20">
        <v>0.0</v>
      </c>
      <c r="J49" s="21"/>
      <c r="K49" s="22"/>
      <c r="L49" s="20">
        <v>0.0</v>
      </c>
      <c r="M49" s="21"/>
      <c r="N49" s="22"/>
      <c r="O49" s="20">
        <v>0.0</v>
      </c>
      <c r="P49" s="23"/>
      <c r="Q49" s="24"/>
      <c r="R49" s="25"/>
      <c r="S49" s="25"/>
    </row>
    <row r="50" ht="14.25" customHeight="1">
      <c r="A50" s="8" t="s">
        <v>212</v>
      </c>
      <c r="B50" s="8" t="s">
        <v>48</v>
      </c>
      <c r="C50" s="8" t="s">
        <v>216</v>
      </c>
      <c r="D50" s="18">
        <v>1.0</v>
      </c>
      <c r="E50" s="19"/>
      <c r="F50" s="20">
        <v>0.0</v>
      </c>
      <c r="G50" s="21"/>
      <c r="H50" s="22"/>
      <c r="I50" s="20">
        <v>0.0</v>
      </c>
      <c r="J50" s="21"/>
      <c r="K50" s="22"/>
      <c r="L50" s="20">
        <v>1.0</v>
      </c>
      <c r="M50" s="64" t="s">
        <v>338</v>
      </c>
      <c r="N50" s="22"/>
      <c r="O50" s="20">
        <v>0.0</v>
      </c>
      <c r="P50" s="23"/>
      <c r="Q50" s="26" t="s">
        <v>256</v>
      </c>
      <c r="R50" s="25"/>
      <c r="S50" s="25"/>
    </row>
    <row r="51" ht="14.25" customHeight="1">
      <c r="A51" s="8" t="s">
        <v>217</v>
      </c>
      <c r="B51" s="10"/>
      <c r="D51" s="18">
        <v>0.0</v>
      </c>
      <c r="E51" s="19"/>
      <c r="F51" s="20">
        <v>0.0</v>
      </c>
      <c r="G51" s="21"/>
      <c r="H51" s="22"/>
      <c r="I51" s="20">
        <v>0.0</v>
      </c>
      <c r="J51" s="21"/>
      <c r="K51" s="22"/>
      <c r="L51" s="20">
        <v>0.0</v>
      </c>
      <c r="M51" s="21"/>
      <c r="N51" s="22"/>
      <c r="O51" s="20">
        <v>0.0</v>
      </c>
      <c r="P51" s="23"/>
      <c r="Q51" s="24"/>
      <c r="R51" s="25"/>
      <c r="S51" s="25"/>
    </row>
    <row r="52" ht="14.25" customHeight="1">
      <c r="A52" s="8" t="s">
        <v>221</v>
      </c>
      <c r="B52" s="8" t="s">
        <v>48</v>
      </c>
      <c r="D52" s="18">
        <v>0.0</v>
      </c>
      <c r="E52" s="19"/>
      <c r="F52" s="20">
        <v>0.0</v>
      </c>
      <c r="G52" s="21"/>
      <c r="H52" s="22"/>
      <c r="I52" s="20">
        <v>0.0</v>
      </c>
      <c r="J52" s="21"/>
      <c r="K52" s="22"/>
      <c r="L52" s="20">
        <v>0.0</v>
      </c>
      <c r="M52" s="21"/>
      <c r="N52" s="22"/>
      <c r="O52" s="20">
        <v>0.0</v>
      </c>
      <c r="P52" s="23"/>
      <c r="Q52" s="26" t="s">
        <v>256</v>
      </c>
      <c r="R52" s="25"/>
      <c r="S52" s="25"/>
    </row>
    <row r="53" ht="14.25" customHeight="1">
      <c r="A53" s="8" t="s">
        <v>224</v>
      </c>
      <c r="B53" s="8" t="s">
        <v>48</v>
      </c>
      <c r="D53" s="18">
        <v>0.0</v>
      </c>
      <c r="E53" s="19"/>
      <c r="F53" s="20">
        <v>0.0</v>
      </c>
      <c r="G53" s="21"/>
      <c r="H53" s="22"/>
      <c r="I53" s="20">
        <v>0.0</v>
      </c>
      <c r="J53" s="21"/>
      <c r="K53" s="22"/>
      <c r="L53" s="20">
        <v>0.0</v>
      </c>
      <c r="M53" s="59" t="s">
        <v>339</v>
      </c>
      <c r="N53" s="22"/>
      <c r="O53" s="20">
        <v>0.0</v>
      </c>
      <c r="P53" s="23"/>
      <c r="Q53" s="24"/>
      <c r="R53" s="25"/>
      <c r="S53" s="25"/>
    </row>
    <row r="54" ht="14.25" customHeight="1">
      <c r="A54" s="8" t="s">
        <v>226</v>
      </c>
      <c r="B54" s="8" t="s">
        <v>48</v>
      </c>
      <c r="D54" s="18">
        <v>0.0</v>
      </c>
      <c r="E54" s="19"/>
      <c r="F54" s="20">
        <v>0.0</v>
      </c>
      <c r="G54" s="21"/>
      <c r="H54" s="22"/>
      <c r="I54" s="20">
        <v>1.0</v>
      </c>
      <c r="J54" s="58" t="s">
        <v>340</v>
      </c>
      <c r="K54" s="22" t="s">
        <v>307</v>
      </c>
      <c r="L54" s="20">
        <v>1.0</v>
      </c>
      <c r="M54" s="52" t="s">
        <v>341</v>
      </c>
      <c r="N54" s="22"/>
      <c r="O54" s="20">
        <v>1.0</v>
      </c>
      <c r="P54" s="33" t="s">
        <v>342</v>
      </c>
      <c r="Q54" s="24"/>
      <c r="R54" s="35" t="b">
        <v>1</v>
      </c>
      <c r="S54" s="25" t="s">
        <v>226</v>
      </c>
    </row>
    <row r="55" ht="14.25" customHeight="1">
      <c r="A55" s="8" t="s">
        <v>154</v>
      </c>
      <c r="B55" s="8" t="s">
        <v>48</v>
      </c>
      <c r="D55" s="18">
        <v>1.0</v>
      </c>
      <c r="E55" s="19"/>
      <c r="F55" s="20">
        <v>0.0</v>
      </c>
      <c r="G55" s="21"/>
      <c r="H55" s="22"/>
      <c r="I55" s="20">
        <v>0.0</v>
      </c>
      <c r="J55" s="21"/>
      <c r="K55" s="22"/>
      <c r="L55" s="20">
        <v>0.0</v>
      </c>
      <c r="M55" s="21"/>
      <c r="N55" s="22"/>
      <c r="O55" s="20">
        <v>0.0</v>
      </c>
      <c r="P55" s="23"/>
      <c r="Q55" s="24"/>
      <c r="R55" s="25"/>
      <c r="S55" s="25"/>
    </row>
    <row r="56" ht="14.25" customHeight="1">
      <c r="A56" s="8" t="s">
        <v>106</v>
      </c>
      <c r="B56" s="8" t="s">
        <v>30</v>
      </c>
      <c r="D56" s="18">
        <v>1.0</v>
      </c>
      <c r="E56" s="19"/>
      <c r="F56" s="20">
        <v>1.0</v>
      </c>
      <c r="G56" s="27" t="s">
        <v>343</v>
      </c>
      <c r="H56" s="22"/>
      <c r="I56" s="20">
        <v>1.0</v>
      </c>
      <c r="J56" s="27" t="s">
        <v>343</v>
      </c>
      <c r="K56" s="22"/>
      <c r="L56" s="20">
        <v>1.0</v>
      </c>
      <c r="M56" s="27" t="s">
        <v>343</v>
      </c>
      <c r="N56" s="22"/>
      <c r="O56" s="20">
        <v>1.0</v>
      </c>
      <c r="P56" s="33" t="s">
        <v>343</v>
      </c>
      <c r="Q56" s="26" t="s">
        <v>256</v>
      </c>
      <c r="R56" s="35" t="b">
        <v>1</v>
      </c>
      <c r="S56" s="25" t="s">
        <v>106</v>
      </c>
    </row>
    <row r="57" ht="14.25" customHeight="1">
      <c r="A57" s="8" t="s">
        <v>229</v>
      </c>
      <c r="B57" s="8" t="s">
        <v>41</v>
      </c>
      <c r="D57" s="18">
        <v>1.0</v>
      </c>
      <c r="E57" s="19"/>
      <c r="F57" s="20">
        <v>1.0</v>
      </c>
      <c r="G57" s="58" t="s">
        <v>344</v>
      </c>
      <c r="H57" s="22"/>
      <c r="I57" s="20">
        <v>1.0</v>
      </c>
      <c r="J57" s="27" t="s">
        <v>345</v>
      </c>
      <c r="K57" s="22"/>
      <c r="L57" s="20">
        <v>1.0</v>
      </c>
      <c r="M57" s="52" t="s">
        <v>344</v>
      </c>
      <c r="N57" s="22"/>
      <c r="O57" s="20">
        <v>0.0</v>
      </c>
      <c r="P57" s="23"/>
      <c r="Q57" s="24"/>
      <c r="R57" s="65" t="b">
        <v>1</v>
      </c>
      <c r="S57" s="25" t="s">
        <v>229</v>
      </c>
    </row>
    <row r="58" ht="14.25" customHeight="1">
      <c r="A58" s="8" t="s">
        <v>232</v>
      </c>
      <c r="B58" s="8" t="s">
        <v>48</v>
      </c>
      <c r="D58" s="18">
        <v>0.0</v>
      </c>
      <c r="E58" s="19"/>
      <c r="F58" s="20">
        <v>0.0</v>
      </c>
      <c r="G58" s="21"/>
      <c r="H58" s="22"/>
      <c r="I58" s="20">
        <v>0.0</v>
      </c>
      <c r="J58" s="21"/>
      <c r="K58" s="22" t="s">
        <v>346</v>
      </c>
      <c r="L58" s="20">
        <v>0.0</v>
      </c>
      <c r="M58" s="66"/>
      <c r="N58" s="22"/>
      <c r="O58" s="20">
        <v>0.0</v>
      </c>
      <c r="P58" s="23"/>
      <c r="Q58" s="26" t="s">
        <v>307</v>
      </c>
      <c r="R58" s="25"/>
      <c r="S58" s="25"/>
    </row>
    <row r="59" ht="14.25" customHeight="1">
      <c r="A59" s="8" t="s">
        <v>235</v>
      </c>
      <c r="B59" s="8" t="s">
        <v>48</v>
      </c>
      <c r="D59" s="18">
        <v>0.0</v>
      </c>
      <c r="E59" s="19"/>
      <c r="F59" s="20">
        <v>0.0</v>
      </c>
      <c r="G59" s="21"/>
      <c r="H59" s="22"/>
      <c r="I59" s="20">
        <v>0.0</v>
      </c>
      <c r="J59" s="21"/>
      <c r="K59" s="22"/>
      <c r="L59" s="20">
        <v>0.0</v>
      </c>
      <c r="M59" s="21"/>
      <c r="N59" s="22"/>
      <c r="O59" s="20">
        <v>0.0</v>
      </c>
      <c r="P59" s="23"/>
      <c r="Q59" s="24"/>
      <c r="R59" s="25"/>
      <c r="S59" s="25"/>
    </row>
    <row r="60" ht="14.25" customHeight="1">
      <c r="A60" s="8" t="s">
        <v>237</v>
      </c>
      <c r="B60" s="8" t="s">
        <v>48</v>
      </c>
      <c r="D60" s="18">
        <v>1.0</v>
      </c>
      <c r="E60" s="19"/>
      <c r="F60" s="20">
        <v>0.0</v>
      </c>
      <c r="G60" s="21"/>
      <c r="H60" s="22"/>
      <c r="I60" s="20">
        <v>0.0</v>
      </c>
      <c r="J60" s="21"/>
      <c r="K60" s="22" t="s">
        <v>346</v>
      </c>
      <c r="L60" s="20">
        <v>0.0</v>
      </c>
      <c r="M60" s="59" t="s">
        <v>347</v>
      </c>
      <c r="N60" s="22"/>
      <c r="O60" s="20">
        <v>0.0</v>
      </c>
      <c r="P60" s="23"/>
      <c r="Q60" s="26" t="s">
        <v>256</v>
      </c>
      <c r="R60" s="25"/>
      <c r="S60" s="25"/>
    </row>
    <row r="61" ht="14.25" customHeight="1">
      <c r="A61" s="8" t="s">
        <v>241</v>
      </c>
      <c r="B61" s="8" t="s">
        <v>48</v>
      </c>
      <c r="D61" s="18">
        <v>0.0</v>
      </c>
      <c r="E61" s="19"/>
      <c r="F61" s="20">
        <v>0.0</v>
      </c>
      <c r="G61" s="21"/>
      <c r="H61" s="22"/>
      <c r="I61" s="20">
        <v>0.0</v>
      </c>
      <c r="J61" s="21"/>
      <c r="K61" s="22"/>
      <c r="L61" s="20">
        <v>0.0</v>
      </c>
      <c r="M61" s="21"/>
      <c r="N61" s="22"/>
      <c r="O61" s="20">
        <v>0.0</v>
      </c>
      <c r="P61" s="23"/>
      <c r="Q61" s="24"/>
      <c r="R61" s="25"/>
      <c r="S61" s="25"/>
    </row>
    <row r="62" ht="14.25" customHeight="1">
      <c r="A62" s="57" t="s">
        <v>41</v>
      </c>
      <c r="B62" s="8" t="s">
        <v>48</v>
      </c>
      <c r="C62" s="57" t="s">
        <v>116</v>
      </c>
      <c r="D62" s="18">
        <v>1.0</v>
      </c>
      <c r="E62" s="19"/>
      <c r="F62" s="20">
        <v>1.0</v>
      </c>
      <c r="G62" s="27" t="s">
        <v>348</v>
      </c>
      <c r="H62" s="22" t="s">
        <v>307</v>
      </c>
      <c r="I62" s="20">
        <v>1.0</v>
      </c>
      <c r="J62" s="27" t="s">
        <v>348</v>
      </c>
      <c r="K62" s="22" t="s">
        <v>307</v>
      </c>
      <c r="L62" s="20">
        <v>0.0</v>
      </c>
      <c r="M62" s="67"/>
      <c r="N62" s="22"/>
      <c r="O62" s="20">
        <v>1.0</v>
      </c>
      <c r="P62" s="33" t="s">
        <v>348</v>
      </c>
      <c r="Q62" s="26" t="s">
        <v>256</v>
      </c>
      <c r="R62" s="35" t="b">
        <v>1</v>
      </c>
      <c r="S62" s="61" t="s">
        <v>41</v>
      </c>
    </row>
    <row r="63" ht="14.25" customHeight="1">
      <c r="A63" s="57" t="s">
        <v>41</v>
      </c>
      <c r="B63" s="57" t="s">
        <v>41</v>
      </c>
      <c r="D63" s="18">
        <v>0.0</v>
      </c>
      <c r="E63" s="19"/>
      <c r="F63" s="20">
        <v>0.0</v>
      </c>
      <c r="G63" s="21"/>
      <c r="H63" s="22"/>
      <c r="I63" s="20">
        <v>0.0</v>
      </c>
      <c r="J63" s="21"/>
      <c r="K63" s="22"/>
      <c r="L63" s="20">
        <v>0.0</v>
      </c>
      <c r="M63" s="21"/>
      <c r="N63" s="22"/>
      <c r="O63" s="20">
        <v>0.0</v>
      </c>
      <c r="P63" s="23"/>
      <c r="Q63" s="26" t="s">
        <v>256</v>
      </c>
      <c r="R63" s="25"/>
      <c r="S63" s="25"/>
    </row>
    <row r="64" ht="14.25" customHeight="1">
      <c r="A64" s="8" t="s">
        <v>25</v>
      </c>
      <c r="B64" s="10"/>
      <c r="D64" s="18">
        <v>1.0</v>
      </c>
      <c r="E64" s="19"/>
      <c r="F64" s="20">
        <v>0.0</v>
      </c>
      <c r="G64" s="21"/>
      <c r="H64" s="22"/>
      <c r="I64" s="20">
        <v>0.0</v>
      </c>
      <c r="J64" s="21"/>
      <c r="K64" s="22"/>
      <c r="L64" s="20">
        <v>0.0</v>
      </c>
      <c r="M64" s="21"/>
      <c r="N64" s="22"/>
      <c r="O64" s="20">
        <v>0.0</v>
      </c>
      <c r="P64" s="23"/>
      <c r="Q64" s="24"/>
      <c r="R64" s="25"/>
      <c r="S64" s="25"/>
    </row>
    <row r="65" ht="14.25" customHeight="1">
      <c r="A65" s="8" t="s">
        <v>28</v>
      </c>
      <c r="B65" s="8" t="s">
        <v>15</v>
      </c>
      <c r="D65" s="18">
        <v>1.0</v>
      </c>
      <c r="E65" s="19"/>
      <c r="F65" s="20">
        <v>0.0</v>
      </c>
      <c r="G65" s="21"/>
      <c r="H65" s="22"/>
      <c r="I65" s="20">
        <v>0.0</v>
      </c>
      <c r="J65" s="21"/>
      <c r="K65" s="22"/>
      <c r="L65" s="20">
        <v>0.0</v>
      </c>
      <c r="M65" s="21"/>
      <c r="N65" s="22"/>
      <c r="O65" s="20">
        <v>0.0</v>
      </c>
      <c r="P65" s="23"/>
      <c r="Q65" s="24"/>
      <c r="R65" s="25"/>
      <c r="S65" s="25"/>
    </row>
    <row r="66" ht="14.25" customHeight="1">
      <c r="A66" s="8" t="s">
        <v>31</v>
      </c>
      <c r="B66" s="8" t="s">
        <v>15</v>
      </c>
      <c r="D66" s="18">
        <v>1.0</v>
      </c>
      <c r="E66" s="19"/>
      <c r="F66" s="20">
        <v>0.0</v>
      </c>
      <c r="G66" s="21"/>
      <c r="H66" s="22"/>
      <c r="I66" s="20">
        <v>0.0</v>
      </c>
      <c r="J66" s="21"/>
      <c r="K66" s="22"/>
      <c r="L66" s="20">
        <v>0.0</v>
      </c>
      <c r="M66" s="21"/>
      <c r="N66" s="22"/>
      <c r="O66" s="20">
        <v>0.0</v>
      </c>
      <c r="P66" s="23"/>
      <c r="Q66" s="24"/>
      <c r="R66" s="25"/>
      <c r="S66" s="25"/>
    </row>
    <row r="67" ht="14.25" customHeight="1">
      <c r="A67" s="8" t="s">
        <v>245</v>
      </c>
      <c r="B67" s="8" t="s">
        <v>15</v>
      </c>
      <c r="D67" s="18">
        <v>0.0</v>
      </c>
      <c r="E67" s="19"/>
      <c r="F67" s="20">
        <v>0.0</v>
      </c>
      <c r="G67" s="21"/>
      <c r="H67" s="22"/>
      <c r="I67" s="20">
        <v>0.0</v>
      </c>
      <c r="J67" s="21"/>
      <c r="K67" s="22"/>
      <c r="L67" s="20">
        <v>1.0</v>
      </c>
      <c r="M67" s="28" t="s">
        <v>349</v>
      </c>
      <c r="N67" s="22"/>
      <c r="O67" s="20">
        <v>0.0</v>
      </c>
      <c r="P67" s="23"/>
      <c r="Q67" s="24"/>
      <c r="R67" s="25"/>
      <c r="S67" s="25"/>
    </row>
    <row r="68" ht="14.25" customHeight="1">
      <c r="A68" s="8" t="s">
        <v>249</v>
      </c>
      <c r="B68" s="8" t="s">
        <v>48</v>
      </c>
      <c r="D68" s="18">
        <v>0.0</v>
      </c>
      <c r="E68" s="19"/>
      <c r="F68" s="20">
        <v>0.0</v>
      </c>
      <c r="G68" s="21"/>
      <c r="H68" s="22"/>
      <c r="I68" s="20">
        <v>0.0</v>
      </c>
      <c r="J68" s="21"/>
      <c r="K68" s="22"/>
      <c r="L68" s="20">
        <v>0.0</v>
      </c>
      <c r="M68" s="21"/>
      <c r="N68" s="22"/>
      <c r="O68" s="20">
        <v>0.0</v>
      </c>
      <c r="P68" s="23"/>
      <c r="Q68" s="24"/>
      <c r="R68" s="25"/>
      <c r="S68" s="25"/>
    </row>
    <row r="69" ht="14.25" customHeight="1">
      <c r="A69" s="8" t="s">
        <v>251</v>
      </c>
      <c r="B69" s="8" t="s">
        <v>48</v>
      </c>
      <c r="D69" s="18">
        <v>1.0</v>
      </c>
      <c r="E69" s="19"/>
      <c r="F69" s="20">
        <v>1.0</v>
      </c>
      <c r="G69" s="27" t="s">
        <v>350</v>
      </c>
      <c r="H69" s="22"/>
      <c r="I69" s="20">
        <v>0.0</v>
      </c>
      <c r="J69" s="21"/>
      <c r="K69" s="22" t="s">
        <v>346</v>
      </c>
      <c r="L69" s="20">
        <v>1.0</v>
      </c>
      <c r="M69" s="28" t="s">
        <v>350</v>
      </c>
      <c r="N69" s="22"/>
      <c r="O69" s="20">
        <v>0.0</v>
      </c>
      <c r="P69" s="23"/>
      <c r="Q69" s="26" t="s">
        <v>256</v>
      </c>
      <c r="R69" s="29" t="b">
        <v>1</v>
      </c>
      <c r="S69" s="25" t="s">
        <v>251</v>
      </c>
    </row>
    <row r="70" ht="14.25" customHeight="1">
      <c r="A70" s="8" t="s">
        <v>156</v>
      </c>
      <c r="B70" s="8" t="s">
        <v>48</v>
      </c>
      <c r="D70" s="18">
        <v>1.0</v>
      </c>
      <c r="E70" s="19"/>
      <c r="F70" s="20">
        <v>0.0</v>
      </c>
      <c r="G70" s="21"/>
      <c r="H70" s="22"/>
      <c r="I70" s="20">
        <v>0.0</v>
      </c>
      <c r="J70" s="21"/>
      <c r="K70" s="22"/>
      <c r="L70" s="20">
        <v>0.0</v>
      </c>
      <c r="M70" s="21"/>
      <c r="N70" s="22"/>
      <c r="O70" s="20">
        <v>0.0</v>
      </c>
      <c r="P70" s="23"/>
      <c r="Q70" s="24"/>
      <c r="R70" s="25"/>
      <c r="S70" s="25"/>
    </row>
    <row r="71" ht="14.25" customHeight="1">
      <c r="A71" s="8" t="s">
        <v>158</v>
      </c>
      <c r="B71" s="8" t="s">
        <v>30</v>
      </c>
      <c r="D71" s="18">
        <v>1.0</v>
      </c>
      <c r="E71" s="19"/>
      <c r="F71" s="20">
        <v>0.0</v>
      </c>
      <c r="G71" s="21"/>
      <c r="H71" s="22"/>
      <c r="I71" s="20">
        <v>0.0</v>
      </c>
      <c r="J71" s="21"/>
      <c r="K71" s="22"/>
      <c r="L71" s="20">
        <v>0.0</v>
      </c>
      <c r="M71" s="21"/>
      <c r="N71" s="22"/>
      <c r="O71" s="20">
        <v>0.0</v>
      </c>
      <c r="P71" s="23"/>
      <c r="Q71" s="24"/>
      <c r="R71" s="25"/>
      <c r="S71" s="25"/>
    </row>
    <row r="72" ht="14.25" customHeight="1">
      <c r="A72" s="8" t="s">
        <v>253</v>
      </c>
      <c r="B72" s="8" t="s">
        <v>30</v>
      </c>
      <c r="D72" s="18">
        <v>1.0</v>
      </c>
      <c r="E72" s="68" t="s">
        <v>351</v>
      </c>
      <c r="F72" s="20">
        <v>1.0</v>
      </c>
      <c r="G72" s="27" t="s">
        <v>352</v>
      </c>
      <c r="H72" s="22"/>
      <c r="I72" s="20">
        <v>1.0</v>
      </c>
      <c r="J72" s="27" t="s">
        <v>353</v>
      </c>
      <c r="K72" s="22"/>
      <c r="L72" s="20">
        <v>1.0</v>
      </c>
      <c r="M72" s="28" t="s">
        <v>354</v>
      </c>
      <c r="N72" s="22"/>
      <c r="O72" s="20">
        <v>1.0</v>
      </c>
      <c r="P72" s="33" t="s">
        <v>353</v>
      </c>
      <c r="Q72" s="24"/>
      <c r="R72" s="55" t="b">
        <v>1</v>
      </c>
      <c r="S72" s="25" t="s">
        <v>253</v>
      </c>
    </row>
    <row r="73" ht="14.25" customHeight="1">
      <c r="A73" s="8" t="s">
        <v>164</v>
      </c>
      <c r="B73" s="8" t="s">
        <v>48</v>
      </c>
      <c r="D73" s="18">
        <v>1.0</v>
      </c>
      <c r="E73" s="19"/>
      <c r="F73" s="20">
        <v>1.0</v>
      </c>
      <c r="G73" s="27" t="s">
        <v>355</v>
      </c>
      <c r="H73" s="22"/>
      <c r="I73" s="20">
        <v>1.0</v>
      </c>
      <c r="J73" s="27" t="s">
        <v>355</v>
      </c>
      <c r="K73" s="22"/>
      <c r="L73" s="20">
        <v>1.0</v>
      </c>
      <c r="M73" s="28" t="s">
        <v>356</v>
      </c>
      <c r="N73" s="22"/>
      <c r="O73" s="20">
        <v>1.0</v>
      </c>
      <c r="P73" s="33" t="s">
        <v>355</v>
      </c>
      <c r="Q73" s="26" t="s">
        <v>256</v>
      </c>
      <c r="R73" s="35" t="b">
        <v>1</v>
      </c>
      <c r="S73" s="25" t="s">
        <v>164</v>
      </c>
    </row>
    <row r="74" ht="14.25" customHeight="1">
      <c r="A74" s="8" t="s">
        <v>257</v>
      </c>
      <c r="B74" s="8" t="s">
        <v>30</v>
      </c>
      <c r="D74" s="18">
        <v>0.0</v>
      </c>
      <c r="E74" s="19"/>
      <c r="F74" s="20">
        <v>0.0</v>
      </c>
      <c r="G74" s="21"/>
      <c r="H74" s="22"/>
      <c r="I74" s="20">
        <v>0.0</v>
      </c>
      <c r="J74" s="21"/>
      <c r="K74" s="22"/>
      <c r="L74" s="20">
        <v>0.0</v>
      </c>
      <c r="M74" s="21"/>
      <c r="N74" s="22"/>
      <c r="O74" s="20">
        <v>0.0</v>
      </c>
      <c r="P74" s="23"/>
      <c r="Q74" s="24"/>
      <c r="R74" s="25"/>
      <c r="S74" s="25"/>
    </row>
    <row r="75" ht="14.25" customHeight="1">
      <c r="A75" s="8" t="s">
        <v>261</v>
      </c>
      <c r="B75" s="8" t="s">
        <v>48</v>
      </c>
      <c r="D75" s="18">
        <v>0.0</v>
      </c>
      <c r="E75" s="19"/>
      <c r="F75" s="20">
        <v>0.0</v>
      </c>
      <c r="G75" s="21"/>
      <c r="H75" s="22"/>
      <c r="I75" s="20">
        <v>0.0</v>
      </c>
      <c r="J75" s="21"/>
      <c r="K75" s="22"/>
      <c r="L75" s="20">
        <v>0.0</v>
      </c>
      <c r="M75" s="21"/>
      <c r="N75" s="22"/>
      <c r="O75" s="20">
        <v>1.0</v>
      </c>
      <c r="P75" s="69" t="s">
        <v>357</v>
      </c>
      <c r="Q75" s="24"/>
      <c r="R75" s="25"/>
      <c r="S75" s="25"/>
    </row>
    <row r="76" ht="14.25" customHeight="1">
      <c r="A76" s="8" t="s">
        <v>265</v>
      </c>
      <c r="B76" s="8" t="s">
        <v>48</v>
      </c>
      <c r="D76" s="18">
        <v>0.0</v>
      </c>
      <c r="E76" s="19"/>
      <c r="F76" s="20">
        <v>0.0</v>
      </c>
      <c r="G76" s="21"/>
      <c r="H76" s="22" t="s">
        <v>307</v>
      </c>
      <c r="I76" s="20">
        <v>0.0</v>
      </c>
      <c r="J76" s="42" t="s">
        <v>358</v>
      </c>
      <c r="K76" s="22" t="s">
        <v>307</v>
      </c>
      <c r="L76" s="20">
        <v>0.0</v>
      </c>
      <c r="M76" s="59" t="s">
        <v>359</v>
      </c>
      <c r="N76" s="22"/>
      <c r="O76" s="20">
        <v>0.0</v>
      </c>
      <c r="P76" s="23"/>
      <c r="Q76" s="24"/>
      <c r="R76" s="62" t="b">
        <v>1</v>
      </c>
      <c r="S76" s="25" t="s">
        <v>265</v>
      </c>
    </row>
    <row r="77" ht="14.25" customHeight="1">
      <c r="A77" s="10" t="s">
        <v>30</v>
      </c>
      <c r="B77" s="8" t="s">
        <v>48</v>
      </c>
      <c r="D77" s="18">
        <v>0.0</v>
      </c>
      <c r="E77" s="19"/>
      <c r="F77" s="20">
        <v>0.0</v>
      </c>
      <c r="G77" s="21"/>
      <c r="H77" s="22"/>
      <c r="I77" s="20">
        <v>0.0</v>
      </c>
      <c r="J77" s="21"/>
      <c r="K77" s="22"/>
      <c r="L77" s="20">
        <v>0.0</v>
      </c>
      <c r="M77" s="21"/>
      <c r="N77" s="22"/>
      <c r="O77" s="20">
        <v>0.0</v>
      </c>
      <c r="P77" s="23"/>
      <c r="Q77" s="24"/>
      <c r="R77" s="25"/>
      <c r="S77" s="25"/>
    </row>
    <row r="78" ht="14.25" customHeight="1">
      <c r="A78" s="8" t="s">
        <v>170</v>
      </c>
      <c r="B78" s="10"/>
      <c r="D78" s="18">
        <v>0.0</v>
      </c>
      <c r="E78" s="19"/>
      <c r="F78" s="20">
        <v>1.0</v>
      </c>
      <c r="G78" s="27" t="s">
        <v>360</v>
      </c>
      <c r="H78" s="22" t="s">
        <v>307</v>
      </c>
      <c r="I78" s="20">
        <v>0.0</v>
      </c>
      <c r="J78" s="21"/>
      <c r="K78" s="22" t="s">
        <v>307</v>
      </c>
      <c r="L78" s="20">
        <v>0.0</v>
      </c>
      <c r="M78" s="21"/>
      <c r="N78" s="22"/>
      <c r="O78" s="20">
        <v>1.0</v>
      </c>
      <c r="P78" s="33" t="s">
        <v>360</v>
      </c>
      <c r="Q78" s="26" t="s">
        <v>307</v>
      </c>
      <c r="R78" s="35" t="b">
        <v>1</v>
      </c>
      <c r="S78" s="25" t="s">
        <v>170</v>
      </c>
    </row>
    <row r="79" ht="14.25" customHeight="1">
      <c r="A79" s="10" t="s">
        <v>48</v>
      </c>
      <c r="B79" s="8" t="s">
        <v>30</v>
      </c>
      <c r="D79" s="18">
        <v>0.0</v>
      </c>
      <c r="E79" s="19"/>
      <c r="F79" s="20">
        <v>1.0</v>
      </c>
      <c r="G79" s="70" t="s">
        <v>361</v>
      </c>
      <c r="H79" s="22" t="s">
        <v>362</v>
      </c>
      <c r="I79" s="20">
        <v>1.0</v>
      </c>
      <c r="J79" s="71" t="s">
        <v>363</v>
      </c>
      <c r="K79" s="22"/>
      <c r="L79" s="20">
        <v>0.0</v>
      </c>
      <c r="M79" s="21"/>
      <c r="N79" s="22"/>
      <c r="O79" s="20">
        <v>1.0</v>
      </c>
      <c r="P79" s="33" t="s">
        <v>363</v>
      </c>
      <c r="Q79" s="24"/>
      <c r="R79" s="35" t="b">
        <v>1</v>
      </c>
      <c r="S79" s="72" t="s">
        <v>48</v>
      </c>
    </row>
    <row r="80" ht="14.25" customHeight="1">
      <c r="A80" s="8" t="s">
        <v>268</v>
      </c>
      <c r="B80" s="10"/>
      <c r="D80" s="18">
        <v>1.0</v>
      </c>
      <c r="E80" s="19"/>
      <c r="F80" s="20">
        <v>0.0</v>
      </c>
      <c r="G80" s="21"/>
      <c r="H80" s="22"/>
      <c r="I80" s="20">
        <v>0.0</v>
      </c>
      <c r="J80" s="21"/>
      <c r="K80" s="22"/>
      <c r="L80" s="20">
        <v>0.0</v>
      </c>
      <c r="M80" s="21"/>
      <c r="N80" s="22"/>
      <c r="O80" s="20">
        <v>1.0</v>
      </c>
      <c r="P80" s="69" t="s">
        <v>364</v>
      </c>
      <c r="Q80" s="24"/>
      <c r="R80" s="25"/>
      <c r="S80" s="25"/>
    </row>
    <row r="81" ht="14.25" customHeight="1">
      <c r="A81" s="8" t="s">
        <v>35</v>
      </c>
      <c r="B81" s="8" t="s">
        <v>48</v>
      </c>
      <c r="D81" s="73">
        <v>1.0</v>
      </c>
      <c r="E81" s="19"/>
      <c r="F81" s="20">
        <v>1.0</v>
      </c>
      <c r="G81" s="58" t="s">
        <v>365</v>
      </c>
      <c r="H81" s="22"/>
      <c r="I81" s="20">
        <v>1.0</v>
      </c>
      <c r="J81" s="58" t="s">
        <v>366</v>
      </c>
      <c r="K81" s="22"/>
      <c r="L81" s="20">
        <v>1.0</v>
      </c>
      <c r="M81" s="74" t="s">
        <v>367</v>
      </c>
      <c r="N81" s="22"/>
      <c r="O81" s="20">
        <v>0.0</v>
      </c>
      <c r="P81" s="23"/>
      <c r="Q81" s="24"/>
      <c r="R81" s="62" t="b">
        <v>1</v>
      </c>
      <c r="S81" s="25" t="s">
        <v>35</v>
      </c>
    </row>
    <row r="82" ht="14.25" customHeight="1">
      <c r="A82" s="8" t="s">
        <v>270</v>
      </c>
      <c r="B82" s="75" t="s">
        <v>15</v>
      </c>
      <c r="D82" s="18">
        <v>1.0</v>
      </c>
      <c r="E82" s="19"/>
      <c r="F82" s="20">
        <v>0.0</v>
      </c>
      <c r="G82" s="21"/>
      <c r="H82" s="22"/>
      <c r="I82" s="20">
        <v>0.0</v>
      </c>
      <c r="J82" s="21"/>
      <c r="K82" s="22"/>
      <c r="L82" s="20">
        <v>0.0</v>
      </c>
      <c r="M82" s="59" t="s">
        <v>368</v>
      </c>
      <c r="N82" s="22"/>
      <c r="O82" s="20">
        <v>0.0</v>
      </c>
      <c r="P82" s="76" t="s">
        <v>369</v>
      </c>
      <c r="Q82" s="24"/>
      <c r="R82" s="55" t="b">
        <v>1</v>
      </c>
      <c r="S82" s="25" t="s">
        <v>270</v>
      </c>
    </row>
    <row r="83" ht="14.25" customHeight="1">
      <c r="A83" s="8" t="s">
        <v>272</v>
      </c>
      <c r="B83" s="8" t="s">
        <v>48</v>
      </c>
      <c r="D83" s="18">
        <v>0.0</v>
      </c>
      <c r="E83" s="19"/>
      <c r="F83" s="20">
        <v>0.0</v>
      </c>
      <c r="G83" s="21"/>
      <c r="H83" s="22"/>
      <c r="I83" s="20">
        <v>0.0</v>
      </c>
      <c r="J83" s="21"/>
      <c r="K83" s="22"/>
      <c r="L83" s="20">
        <v>0.0</v>
      </c>
      <c r="M83" s="21"/>
      <c r="N83" s="22"/>
      <c r="O83" s="20">
        <v>0.0</v>
      </c>
      <c r="P83" s="23"/>
      <c r="Q83" s="24"/>
      <c r="R83" s="25"/>
      <c r="S83" s="25"/>
    </row>
    <row r="84" ht="14.25" customHeight="1">
      <c r="A84" s="8" t="s">
        <v>47</v>
      </c>
      <c r="B84" s="8" t="s">
        <v>48</v>
      </c>
      <c r="D84" s="18">
        <v>1.0</v>
      </c>
      <c r="E84" s="19"/>
      <c r="F84" s="20">
        <v>1.0</v>
      </c>
      <c r="G84" s="27" t="s">
        <v>370</v>
      </c>
      <c r="H84" s="22"/>
      <c r="I84" s="20">
        <v>1.0</v>
      </c>
      <c r="J84" s="27" t="s">
        <v>370</v>
      </c>
      <c r="K84" s="22" t="s">
        <v>307</v>
      </c>
      <c r="L84" s="20">
        <v>1.0</v>
      </c>
      <c r="M84" s="28" t="s">
        <v>371</v>
      </c>
      <c r="N84" s="22" t="s">
        <v>307</v>
      </c>
      <c r="O84" s="20">
        <v>0.0</v>
      </c>
      <c r="P84" s="23"/>
      <c r="Q84" s="26" t="s">
        <v>307</v>
      </c>
      <c r="R84" s="62" t="b">
        <v>1</v>
      </c>
      <c r="S84" s="25" t="s">
        <v>47</v>
      </c>
    </row>
    <row r="85" ht="14.25" customHeight="1">
      <c r="A85" s="8" t="s">
        <v>275</v>
      </c>
      <c r="B85" s="8" t="s">
        <v>42</v>
      </c>
      <c r="D85" s="18">
        <v>0.0</v>
      </c>
      <c r="E85" s="19"/>
      <c r="F85" s="20">
        <v>0.0</v>
      </c>
      <c r="G85" s="21"/>
      <c r="H85" s="22"/>
      <c r="I85" s="20">
        <v>0.0</v>
      </c>
      <c r="J85" s="21"/>
      <c r="K85" s="22"/>
      <c r="L85" s="20">
        <v>0.0</v>
      </c>
      <c r="M85" s="21"/>
      <c r="N85" s="22"/>
      <c r="O85" s="20">
        <v>0.0</v>
      </c>
      <c r="P85" s="23"/>
      <c r="Q85" s="24"/>
      <c r="R85" s="25"/>
      <c r="S85" s="25"/>
    </row>
    <row r="86" ht="14.25" customHeight="1">
      <c r="A86" s="8" t="s">
        <v>279</v>
      </c>
      <c r="B86" s="8" t="s">
        <v>48</v>
      </c>
      <c r="D86" s="18">
        <v>1.0</v>
      </c>
      <c r="E86" s="19"/>
      <c r="F86" s="20">
        <v>0.0</v>
      </c>
      <c r="G86" s="21"/>
      <c r="H86" s="22"/>
      <c r="I86" s="20">
        <v>0.0</v>
      </c>
      <c r="J86" s="21"/>
      <c r="K86" s="22"/>
      <c r="L86" s="20">
        <v>0.0</v>
      </c>
      <c r="M86" s="21"/>
      <c r="N86" s="22"/>
      <c r="O86" s="20">
        <v>0.0</v>
      </c>
      <c r="P86" s="23"/>
      <c r="Q86" s="24"/>
      <c r="R86" s="25"/>
      <c r="S86" s="25"/>
    </row>
    <row r="87" ht="14.25" customHeight="1">
      <c r="A87" s="8" t="s">
        <v>58</v>
      </c>
      <c r="B87" s="8" t="s">
        <v>48</v>
      </c>
      <c r="D87" s="18">
        <v>1.0</v>
      </c>
      <c r="E87" s="19"/>
      <c r="F87" s="20">
        <v>1.0</v>
      </c>
      <c r="G87" s="27" t="s">
        <v>372</v>
      </c>
      <c r="H87" s="22"/>
      <c r="I87" s="20">
        <v>0.0</v>
      </c>
      <c r="J87" s="21"/>
      <c r="K87" s="22" t="s">
        <v>307</v>
      </c>
      <c r="L87" s="20">
        <v>1.0</v>
      </c>
      <c r="M87" s="52" t="s">
        <v>372</v>
      </c>
      <c r="N87" s="22"/>
      <c r="O87" s="20">
        <v>0.0</v>
      </c>
      <c r="P87" s="23"/>
      <c r="Q87" s="24"/>
      <c r="R87" s="65" t="b">
        <v>1</v>
      </c>
      <c r="S87" s="25" t="s">
        <v>58</v>
      </c>
    </row>
    <row r="88" ht="14.25" customHeight="1">
      <c r="A88" s="8" t="s">
        <v>119</v>
      </c>
      <c r="B88" s="8" t="s">
        <v>42</v>
      </c>
      <c r="D88" s="18">
        <v>0.0</v>
      </c>
      <c r="E88" s="19"/>
      <c r="F88" s="20">
        <v>0.0</v>
      </c>
      <c r="G88" s="21"/>
      <c r="H88" s="22"/>
      <c r="I88" s="20">
        <v>0.0</v>
      </c>
      <c r="J88" s="21"/>
      <c r="K88" s="22"/>
      <c r="L88" s="20">
        <v>1.0</v>
      </c>
      <c r="M88" s="64" t="s">
        <v>373</v>
      </c>
      <c r="N88" s="22"/>
      <c r="O88" s="20">
        <v>0.0</v>
      </c>
      <c r="P88" s="23"/>
      <c r="Q88" s="24"/>
      <c r="R88" s="25"/>
      <c r="S88" s="25"/>
    </row>
    <row r="89" ht="14.25" customHeight="1">
      <c r="A89" s="8" t="s">
        <v>281</v>
      </c>
      <c r="B89" s="8" t="s">
        <v>41</v>
      </c>
      <c r="C89" s="8" t="s">
        <v>285</v>
      </c>
      <c r="D89" s="18">
        <v>1.0</v>
      </c>
      <c r="E89" s="19"/>
      <c r="F89" s="20">
        <v>0.0</v>
      </c>
      <c r="G89" s="21"/>
      <c r="H89" s="22"/>
      <c r="I89" s="20">
        <v>0.0</v>
      </c>
      <c r="J89" s="21"/>
      <c r="K89" s="22"/>
      <c r="L89" s="20">
        <v>0.0</v>
      </c>
      <c r="M89" s="59" t="s">
        <v>374</v>
      </c>
      <c r="N89" s="22"/>
      <c r="O89" s="20">
        <v>0.0</v>
      </c>
      <c r="P89" s="23"/>
      <c r="Q89" s="26" t="s">
        <v>256</v>
      </c>
      <c r="R89" s="25"/>
      <c r="S89" s="25"/>
    </row>
    <row r="90" ht="14.25" customHeight="1">
      <c r="A90" s="8" t="s">
        <v>286</v>
      </c>
      <c r="B90" s="8" t="s">
        <v>48</v>
      </c>
      <c r="D90" s="18">
        <v>0.0</v>
      </c>
      <c r="E90" s="19"/>
      <c r="F90" s="20">
        <v>0.0</v>
      </c>
      <c r="G90" s="21"/>
      <c r="H90" s="22"/>
      <c r="I90" s="20">
        <v>0.0</v>
      </c>
      <c r="J90" s="21"/>
      <c r="K90" s="22"/>
      <c r="L90" s="20">
        <v>0.0</v>
      </c>
      <c r="M90" s="21"/>
      <c r="N90" s="22"/>
      <c r="O90" s="20">
        <v>0.0</v>
      </c>
      <c r="P90" s="23"/>
      <c r="Q90" s="24"/>
      <c r="R90" s="25"/>
      <c r="S90" s="25"/>
    </row>
    <row r="91" ht="14.25" customHeight="1">
      <c r="A91" s="8" t="s">
        <v>64</v>
      </c>
      <c r="B91" s="8" t="s">
        <v>48</v>
      </c>
      <c r="D91" s="18">
        <v>1.0</v>
      </c>
      <c r="E91" s="19"/>
      <c r="F91" s="20">
        <v>0.0</v>
      </c>
      <c r="G91" s="21"/>
      <c r="H91" s="22"/>
      <c r="I91" s="20">
        <v>1.0</v>
      </c>
      <c r="J91" s="80" t="s">
        <v>375</v>
      </c>
      <c r="K91" s="22"/>
      <c r="L91" s="20">
        <v>0.0</v>
      </c>
      <c r="M91" s="21"/>
      <c r="N91" s="22"/>
      <c r="O91" s="20">
        <v>0.0</v>
      </c>
      <c r="P91" s="23"/>
      <c r="Q91" s="24"/>
      <c r="R91" s="25"/>
      <c r="S91" s="25"/>
    </row>
    <row r="92" ht="14.25" customHeight="1">
      <c r="A92" s="10" t="s">
        <v>290</v>
      </c>
      <c r="B92" s="10" t="s">
        <v>42</v>
      </c>
      <c r="D92" s="18">
        <v>1.0</v>
      </c>
      <c r="E92" s="19"/>
      <c r="F92" s="20">
        <v>0.0</v>
      </c>
      <c r="G92" s="21"/>
      <c r="H92" s="22"/>
      <c r="I92" s="20">
        <v>0.0</v>
      </c>
      <c r="J92" s="21"/>
      <c r="K92" s="22"/>
      <c r="L92" s="20">
        <v>0.0</v>
      </c>
      <c r="M92" s="21"/>
      <c r="N92" s="22"/>
      <c r="O92" s="20">
        <v>0.0</v>
      </c>
      <c r="P92" s="23"/>
      <c r="Q92" s="24"/>
      <c r="R92" s="25"/>
      <c r="S92" s="25"/>
    </row>
    <row r="93" ht="14.25" customHeight="1">
      <c r="A93" s="10" t="s">
        <v>294</v>
      </c>
      <c r="B93" s="10" t="s">
        <v>48</v>
      </c>
      <c r="D93" s="18">
        <v>0.0</v>
      </c>
      <c r="E93" s="19"/>
      <c r="F93" s="20">
        <v>0.0</v>
      </c>
      <c r="G93" s="21"/>
      <c r="H93" s="22"/>
      <c r="I93" s="20">
        <v>0.0</v>
      </c>
      <c r="J93" s="42" t="s">
        <v>376</v>
      </c>
      <c r="K93" s="22"/>
      <c r="L93" s="20">
        <v>1.0</v>
      </c>
      <c r="M93" s="28" t="s">
        <v>377</v>
      </c>
      <c r="N93" s="22"/>
      <c r="O93" s="20">
        <v>0.0</v>
      </c>
      <c r="P93" s="23"/>
      <c r="Q93" s="24"/>
      <c r="R93" s="29" t="b">
        <v>1</v>
      </c>
      <c r="S93" s="72" t="s">
        <v>294</v>
      </c>
    </row>
    <row r="94" ht="14.25" customHeight="1">
      <c r="A94" s="10" t="s">
        <v>172</v>
      </c>
      <c r="B94" s="10" t="s">
        <v>48</v>
      </c>
      <c r="D94" s="18">
        <v>1.0</v>
      </c>
      <c r="E94" s="19"/>
      <c r="F94" s="20">
        <v>1.0</v>
      </c>
      <c r="G94" s="58" t="s">
        <v>378</v>
      </c>
      <c r="H94" s="22"/>
      <c r="I94" s="20">
        <v>1.0</v>
      </c>
      <c r="J94" s="27" t="s">
        <v>379</v>
      </c>
      <c r="K94" s="22" t="s">
        <v>307</v>
      </c>
      <c r="L94" s="20">
        <v>1.0</v>
      </c>
      <c r="M94" s="28" t="s">
        <v>378</v>
      </c>
      <c r="N94" s="22"/>
      <c r="O94" s="20">
        <v>1.0</v>
      </c>
      <c r="P94" s="33" t="s">
        <v>379</v>
      </c>
      <c r="Q94" s="24"/>
      <c r="R94" s="55" t="b">
        <v>1</v>
      </c>
      <c r="S94" s="72" t="s">
        <v>172</v>
      </c>
    </row>
    <row r="95" ht="14.25" customHeight="1">
      <c r="A95" s="10" t="s">
        <v>297</v>
      </c>
      <c r="B95" s="10" t="s">
        <v>30</v>
      </c>
      <c r="D95" s="18">
        <v>0.0</v>
      </c>
      <c r="E95" s="19"/>
      <c r="F95" s="20">
        <v>0.0</v>
      </c>
      <c r="G95" s="21"/>
      <c r="H95" s="22"/>
      <c r="I95" s="18"/>
      <c r="J95" s="21"/>
      <c r="K95" s="22"/>
      <c r="L95" s="20">
        <v>0.0</v>
      </c>
      <c r="M95" s="21"/>
      <c r="N95" s="22"/>
      <c r="O95" s="20">
        <v>0.0</v>
      </c>
      <c r="P95" s="23"/>
      <c r="Q95" s="24"/>
      <c r="R95" s="25"/>
      <c r="S95" s="25"/>
    </row>
    <row r="96" ht="14.25" customHeight="1">
      <c r="A96" s="8" t="s">
        <v>42</v>
      </c>
      <c r="B96" s="10" t="s">
        <v>48</v>
      </c>
      <c r="D96" s="18">
        <v>0.0</v>
      </c>
      <c r="E96" s="19"/>
      <c r="F96" s="86">
        <v>0.0</v>
      </c>
      <c r="G96" s="88"/>
      <c r="H96" s="90"/>
      <c r="I96" s="92"/>
      <c r="J96" s="88"/>
      <c r="K96" s="90"/>
      <c r="L96" s="86">
        <v>0.0</v>
      </c>
      <c r="M96" s="94"/>
      <c r="N96" s="90"/>
      <c r="O96" s="86">
        <v>0.0</v>
      </c>
      <c r="P96" s="96"/>
      <c r="Q96" s="97"/>
      <c r="R96" s="25"/>
      <c r="S96" s="25"/>
    </row>
    <row r="97" ht="14.25" customHeight="1">
      <c r="A97" s="10"/>
      <c r="B97" s="10"/>
      <c r="D97" s="18"/>
      <c r="E97" s="19"/>
      <c r="F97" s="19"/>
      <c r="G97" s="21"/>
      <c r="H97" s="98"/>
      <c r="I97" s="19"/>
      <c r="J97" s="10"/>
      <c r="K97" s="19"/>
      <c r="L97" s="19"/>
      <c r="M97" s="21"/>
      <c r="N97" s="19"/>
      <c r="O97" s="19"/>
      <c r="P97" s="23"/>
    </row>
    <row r="98" ht="14.25" customHeight="1">
      <c r="A98" s="8" t="s">
        <v>381</v>
      </c>
      <c r="B98" s="10"/>
      <c r="D98" s="18">
        <f>SUM(D2:D96)</f>
        <v>51</v>
      </c>
      <c r="E98" s="19"/>
      <c r="F98" s="19">
        <f>SUM(F2:F96)</f>
        <v>22</v>
      </c>
      <c r="G98" s="21"/>
      <c r="H98" s="98"/>
      <c r="I98" s="19">
        <f>SUM(I2:I96)</f>
        <v>19</v>
      </c>
      <c r="J98" s="10"/>
      <c r="K98" s="102"/>
      <c r="L98" s="102">
        <f>SUM(L2:L97)</f>
        <v>20</v>
      </c>
      <c r="M98" s="21"/>
      <c r="N98" s="19"/>
      <c r="O98" s="19">
        <f>SUM(O2:O96)</f>
        <v>20</v>
      </c>
      <c r="P98" s="23"/>
    </row>
    <row r="99" ht="14.25" customHeight="1">
      <c r="A99" s="105" t="s">
        <v>382</v>
      </c>
      <c r="B99" s="10"/>
      <c r="D99" s="18">
        <v>70.0</v>
      </c>
      <c r="E99" s="19"/>
      <c r="F99" s="98">
        <v>29.0</v>
      </c>
      <c r="G99" s="21"/>
      <c r="H99" s="98"/>
      <c r="I99" s="19">
        <v>31.0</v>
      </c>
      <c r="J99" s="10"/>
      <c r="K99" s="19"/>
      <c r="L99" s="19">
        <v>36.0</v>
      </c>
      <c r="M99" s="21"/>
      <c r="N99" s="19"/>
      <c r="O99" s="19">
        <v>26.0</v>
      </c>
      <c r="P99" s="23"/>
    </row>
    <row r="100" ht="14.25" customHeight="1">
      <c r="B100" s="10"/>
      <c r="D100" s="18"/>
      <c r="E100" s="19"/>
      <c r="F100" s="19"/>
      <c r="G100" s="10"/>
      <c r="H100" s="19"/>
      <c r="I100" s="19"/>
      <c r="J100" s="10"/>
      <c r="K100" s="19"/>
      <c r="L100" s="19"/>
      <c r="M100" s="21"/>
      <c r="N100" s="19"/>
      <c r="O100" s="19"/>
      <c r="P100" s="23"/>
    </row>
    <row r="101" ht="14.25" customHeight="1">
      <c r="B101" s="10"/>
      <c r="D101" s="18"/>
      <c r="E101" s="19"/>
      <c r="F101" s="19"/>
      <c r="G101" s="10"/>
      <c r="H101" s="19"/>
      <c r="I101" s="19"/>
      <c r="J101" s="10"/>
      <c r="K101" s="19"/>
      <c r="L101" s="19"/>
      <c r="M101" s="21"/>
      <c r="N101" s="19"/>
      <c r="O101" s="19"/>
      <c r="P101" s="23"/>
    </row>
    <row r="102" ht="14.25" customHeight="1">
      <c r="B102" s="10"/>
      <c r="D102" s="18"/>
      <c r="E102" s="19"/>
      <c r="F102" s="19"/>
      <c r="G102" s="10"/>
      <c r="H102" s="19"/>
      <c r="I102" s="19"/>
      <c r="J102" s="10"/>
      <c r="K102" s="19"/>
      <c r="L102" s="19"/>
      <c r="M102" s="21"/>
      <c r="N102" s="19"/>
      <c r="O102" s="19"/>
      <c r="P102" s="23"/>
    </row>
    <row r="103" ht="14.25" customHeight="1">
      <c r="D103" s="18"/>
      <c r="E103" s="19"/>
      <c r="F103" s="19"/>
      <c r="G103" s="10"/>
      <c r="H103" s="19"/>
      <c r="I103" s="19"/>
      <c r="K103" s="19"/>
      <c r="L103" s="19"/>
      <c r="M103" s="21"/>
      <c r="N103" s="19"/>
      <c r="O103" s="19"/>
      <c r="P103" s="23"/>
    </row>
    <row r="104" ht="14.25" customHeight="1">
      <c r="D104" s="18"/>
      <c r="E104" s="19"/>
      <c r="F104" s="19"/>
      <c r="G104" s="10"/>
      <c r="H104" s="19"/>
      <c r="I104" s="19"/>
      <c r="J104" s="10"/>
      <c r="K104" s="19"/>
      <c r="L104" s="19"/>
      <c r="M104" s="21"/>
      <c r="N104" s="19"/>
      <c r="O104" s="19"/>
      <c r="P104" s="23"/>
    </row>
    <row r="105" ht="14.25" customHeight="1">
      <c r="A105" s="114" t="s">
        <v>383</v>
      </c>
      <c r="B105" s="116"/>
      <c r="C105" s="116"/>
      <c r="D105" s="118"/>
      <c r="E105" s="119"/>
      <c r="F105" s="122">
        <v>7.0</v>
      </c>
      <c r="G105" s="124"/>
      <c r="H105" s="125"/>
      <c r="I105" s="127">
        <v>12.0</v>
      </c>
      <c r="J105" s="124"/>
      <c r="K105" s="129"/>
      <c r="L105" s="130">
        <v>16.0</v>
      </c>
      <c r="M105" s="131"/>
      <c r="N105" s="132"/>
      <c r="O105" s="130">
        <v>6.0</v>
      </c>
      <c r="P105" s="133"/>
    </row>
    <row r="106" ht="14.25" customHeight="1">
      <c r="D106" s="18"/>
      <c r="E106" s="134"/>
      <c r="F106" s="98"/>
      <c r="G106" s="135" t="s">
        <v>412</v>
      </c>
      <c r="H106" s="19"/>
      <c r="I106" s="19"/>
      <c r="J106" s="136" t="s">
        <v>415</v>
      </c>
      <c r="K106" s="98"/>
      <c r="L106" s="98">
        <v>1.0</v>
      </c>
      <c r="M106" s="138" t="s">
        <v>419</v>
      </c>
      <c r="N106" s="19"/>
      <c r="O106" s="19"/>
      <c r="P106" s="140" t="s">
        <v>425</v>
      </c>
      <c r="Q106" s="142"/>
      <c r="R106" s="142"/>
      <c r="S106" s="143" t="s">
        <v>434</v>
      </c>
    </row>
    <row r="107" ht="14.25" customHeight="1">
      <c r="D107" s="18"/>
      <c r="E107" s="134"/>
      <c r="F107" s="98"/>
      <c r="G107" s="145" t="s">
        <v>439</v>
      </c>
      <c r="H107" s="19"/>
      <c r="I107" s="19"/>
      <c r="J107" s="147" t="s">
        <v>443</v>
      </c>
      <c r="K107" s="98"/>
      <c r="L107" s="98">
        <v>1.0</v>
      </c>
      <c r="M107" s="148" t="s">
        <v>446</v>
      </c>
      <c r="N107" s="19"/>
      <c r="O107" s="19"/>
      <c r="P107" s="149" t="s">
        <v>448</v>
      </c>
      <c r="Q107" s="151"/>
      <c r="R107" s="151"/>
      <c r="S107" s="151" t="s">
        <v>454</v>
      </c>
    </row>
    <row r="108" ht="14.25" customHeight="1">
      <c r="D108" s="18"/>
      <c r="E108" s="134"/>
      <c r="F108" s="19"/>
      <c r="G108" s="153" t="s">
        <v>455</v>
      </c>
      <c r="H108" s="19"/>
      <c r="I108" s="19"/>
      <c r="J108" s="135" t="s">
        <v>458</v>
      </c>
      <c r="K108" s="98"/>
      <c r="L108" s="98"/>
      <c r="M108" s="155" t="s">
        <v>460</v>
      </c>
      <c r="N108" s="19"/>
      <c r="O108" s="19"/>
      <c r="P108" s="33" t="s">
        <v>465</v>
      </c>
      <c r="Q108" s="29"/>
      <c r="R108" s="29"/>
      <c r="S108" s="29"/>
    </row>
    <row r="109" ht="14.25" customHeight="1">
      <c r="D109" s="18"/>
      <c r="E109" s="134"/>
      <c r="F109" s="19"/>
      <c r="G109" s="153" t="s">
        <v>467</v>
      </c>
      <c r="H109" s="19"/>
      <c r="I109" s="19"/>
      <c r="J109" s="157" t="s">
        <v>468</v>
      </c>
      <c r="K109" s="98"/>
      <c r="L109" s="98"/>
      <c r="M109" s="159" t="s">
        <v>468</v>
      </c>
      <c r="N109" s="19"/>
      <c r="O109" s="19"/>
      <c r="P109" s="160" t="s">
        <v>476</v>
      </c>
      <c r="Q109" s="29"/>
      <c r="R109" s="29"/>
      <c r="S109" s="29"/>
    </row>
    <row r="110" ht="14.25" customHeight="1">
      <c r="D110" s="18"/>
      <c r="E110" s="134"/>
      <c r="F110" s="19"/>
      <c r="G110" s="153" t="s">
        <v>481</v>
      </c>
      <c r="H110" s="19"/>
      <c r="I110" s="19"/>
      <c r="J110" s="161" t="s">
        <v>482</v>
      </c>
      <c r="K110" s="98"/>
      <c r="L110" s="98"/>
      <c r="M110" s="163" t="s">
        <v>434</v>
      </c>
      <c r="N110" s="19"/>
      <c r="O110" s="19"/>
      <c r="P110" s="164" t="s">
        <v>369</v>
      </c>
      <c r="Q110" s="29"/>
      <c r="R110" s="29"/>
      <c r="S110" s="29"/>
    </row>
    <row r="111" ht="14.25" customHeight="1">
      <c r="D111" s="18"/>
      <c r="E111" s="134"/>
      <c r="F111" s="19"/>
      <c r="G111" s="165" t="s">
        <v>493</v>
      </c>
      <c r="H111" s="19"/>
      <c r="I111" s="19"/>
      <c r="J111" s="166" t="s">
        <v>495</v>
      </c>
      <c r="K111" s="98"/>
      <c r="L111" s="98"/>
      <c r="M111" s="167" t="s">
        <v>497</v>
      </c>
      <c r="N111" s="19"/>
      <c r="O111" s="19"/>
      <c r="P111" s="168" t="s">
        <v>501</v>
      </c>
      <c r="Q111" s="25"/>
      <c r="R111" s="25"/>
      <c r="S111" s="25"/>
    </row>
    <row r="112" ht="14.25" customHeight="1">
      <c r="D112" s="18"/>
      <c r="E112" s="134"/>
      <c r="F112" s="19"/>
      <c r="G112" s="169" t="s">
        <v>503</v>
      </c>
      <c r="H112" s="19"/>
      <c r="I112" s="19"/>
      <c r="J112" s="170" t="s">
        <v>506</v>
      </c>
      <c r="K112" s="98"/>
      <c r="L112" s="98"/>
      <c r="M112" s="123" t="s">
        <v>480</v>
      </c>
      <c r="N112" s="19"/>
      <c r="O112" s="19"/>
      <c r="P112" s="171" t="s">
        <v>510</v>
      </c>
      <c r="Q112" s="25"/>
      <c r="R112" s="25"/>
      <c r="S112" s="25"/>
    </row>
    <row r="113" ht="14.25" customHeight="1">
      <c r="D113" s="18"/>
      <c r="E113" s="134"/>
      <c r="F113" s="19"/>
      <c r="G113" s="172" t="s">
        <v>514</v>
      </c>
      <c r="H113" s="19"/>
      <c r="I113" s="19"/>
      <c r="J113" s="173" t="s">
        <v>519</v>
      </c>
      <c r="K113" s="98"/>
      <c r="L113" s="98"/>
      <c r="M113" s="123" t="s">
        <v>521</v>
      </c>
      <c r="N113" s="19"/>
      <c r="O113" s="19"/>
      <c r="P113" s="174" t="s">
        <v>524</v>
      </c>
      <c r="Q113" s="25"/>
      <c r="R113" s="25"/>
      <c r="S113" s="25"/>
    </row>
    <row r="114" ht="14.25" customHeight="1">
      <c r="D114" s="18"/>
      <c r="E114" s="134"/>
      <c r="F114" s="19"/>
      <c r="G114" s="62"/>
      <c r="H114" s="19"/>
      <c r="I114" s="19"/>
      <c r="J114" s="165" t="s">
        <v>527</v>
      </c>
      <c r="K114" s="19"/>
      <c r="L114" s="19"/>
      <c r="M114" s="175" t="s">
        <v>529</v>
      </c>
      <c r="N114" s="19"/>
      <c r="O114" s="19"/>
      <c r="P114" s="174" t="s">
        <v>533</v>
      </c>
      <c r="Q114" s="25"/>
      <c r="R114" s="25"/>
      <c r="S114" s="25"/>
    </row>
    <row r="115" ht="14.25" customHeight="1">
      <c r="D115" s="18"/>
      <c r="E115" s="134"/>
      <c r="F115" s="19"/>
      <c r="G115" s="112"/>
      <c r="H115" s="19"/>
      <c r="I115" s="19"/>
      <c r="J115" s="169" t="s">
        <v>534</v>
      </c>
      <c r="K115" s="19"/>
      <c r="L115" s="19"/>
      <c r="M115" s="123" t="s">
        <v>481</v>
      </c>
      <c r="N115" s="19"/>
      <c r="O115" s="19"/>
      <c r="P115" s="174" t="s">
        <v>537</v>
      </c>
      <c r="Q115" s="25"/>
      <c r="R115" s="25"/>
      <c r="S115" s="25"/>
    </row>
    <row r="116" ht="14.25" customHeight="1">
      <c r="D116" s="18"/>
      <c r="E116" s="134"/>
      <c r="F116" s="19"/>
      <c r="G116" s="112"/>
      <c r="H116" s="19"/>
      <c r="I116" s="19"/>
      <c r="J116" s="135" t="s">
        <v>539</v>
      </c>
      <c r="K116" s="19"/>
      <c r="L116" s="19"/>
      <c r="M116" s="176" t="s">
        <v>540</v>
      </c>
      <c r="N116" s="19"/>
      <c r="O116" s="19"/>
      <c r="P116" s="174" t="s">
        <v>541</v>
      </c>
      <c r="Q116" s="25"/>
      <c r="R116" s="25"/>
      <c r="S116" s="25"/>
    </row>
    <row r="117" ht="14.25" customHeight="1">
      <c r="D117" s="18"/>
      <c r="E117" s="134"/>
      <c r="F117" s="19"/>
      <c r="G117" s="112"/>
      <c r="H117" s="19"/>
      <c r="I117" s="19"/>
      <c r="J117" s="157" t="s">
        <v>542</v>
      </c>
      <c r="K117" s="19"/>
      <c r="L117" s="19"/>
      <c r="M117" s="148" t="s">
        <v>544</v>
      </c>
      <c r="N117" s="19"/>
      <c r="O117" s="19"/>
      <c r="P117" s="23"/>
      <c r="Q117" s="25"/>
      <c r="R117" s="25"/>
      <c r="S117" s="25"/>
    </row>
    <row r="118" ht="14.25" customHeight="1">
      <c r="D118" s="18"/>
      <c r="E118" s="134"/>
      <c r="F118" s="19"/>
      <c r="G118" s="112"/>
      <c r="H118" s="19"/>
      <c r="I118" s="19"/>
      <c r="J118" s="172" t="s">
        <v>547</v>
      </c>
      <c r="K118" s="19"/>
      <c r="L118" s="19"/>
      <c r="M118" s="179" t="s">
        <v>548</v>
      </c>
      <c r="N118" s="19"/>
      <c r="O118" s="19"/>
      <c r="P118" s="23"/>
      <c r="Q118" s="25"/>
      <c r="R118" s="25"/>
      <c r="S118" s="25"/>
    </row>
    <row r="119" ht="14.25" customHeight="1">
      <c r="D119" s="18"/>
      <c r="E119" s="134"/>
      <c r="F119" s="19"/>
      <c r="G119" s="112"/>
      <c r="H119" s="19"/>
      <c r="I119" s="19"/>
      <c r="J119" s="172" t="s">
        <v>550</v>
      </c>
      <c r="K119" s="19"/>
      <c r="L119" s="19"/>
      <c r="M119" s="180" t="s">
        <v>551</v>
      </c>
      <c r="N119" s="19"/>
      <c r="O119" s="19"/>
      <c r="P119" s="25"/>
      <c r="Q119" s="25"/>
      <c r="R119" s="25"/>
      <c r="S119" s="25"/>
    </row>
    <row r="120" ht="14.25" customHeight="1">
      <c r="D120" s="18"/>
      <c r="E120" s="134"/>
      <c r="F120" s="19"/>
      <c r="G120" s="112"/>
      <c r="H120" s="19"/>
      <c r="I120" s="19"/>
      <c r="J120" s="172" t="s">
        <v>553</v>
      </c>
      <c r="K120" s="19"/>
      <c r="L120" s="19"/>
      <c r="M120" s="181" t="s">
        <v>555</v>
      </c>
      <c r="N120" s="19"/>
      <c r="O120" s="19"/>
      <c r="P120" s="23"/>
      <c r="Q120" s="25"/>
      <c r="R120" s="25"/>
      <c r="S120" s="25"/>
    </row>
    <row r="121" ht="14.25" customHeight="1">
      <c r="D121" s="18"/>
      <c r="E121" s="134"/>
      <c r="F121" s="19"/>
      <c r="G121" s="112"/>
      <c r="H121" s="19"/>
      <c r="I121" s="19"/>
      <c r="J121" s="172" t="s">
        <v>557</v>
      </c>
      <c r="K121" s="19"/>
      <c r="L121" s="19"/>
      <c r="M121" s="148" t="s">
        <v>559</v>
      </c>
      <c r="N121" s="19"/>
      <c r="O121" s="19"/>
      <c r="P121" s="23"/>
      <c r="Q121" s="25"/>
      <c r="R121" s="25"/>
      <c r="S121" s="25"/>
    </row>
    <row r="122" ht="14.25" customHeight="1">
      <c r="D122" s="18"/>
      <c r="E122" s="134"/>
      <c r="F122" s="19"/>
      <c r="G122" s="112"/>
      <c r="H122" s="19"/>
      <c r="I122" s="19"/>
      <c r="J122" s="172" t="s">
        <v>561</v>
      </c>
      <c r="K122" s="19"/>
      <c r="L122" s="19"/>
      <c r="M122" s="182" t="s">
        <v>562</v>
      </c>
      <c r="N122" s="19"/>
      <c r="O122" s="19"/>
      <c r="P122" s="23"/>
      <c r="Q122" s="25"/>
      <c r="R122" s="25"/>
      <c r="S122" s="25"/>
    </row>
    <row r="123" ht="14.25" customHeight="1">
      <c r="D123" s="18"/>
      <c r="E123" s="134"/>
      <c r="F123" s="19"/>
      <c r="G123" s="112"/>
      <c r="H123" s="19"/>
      <c r="I123" s="19"/>
      <c r="J123" s="112"/>
      <c r="K123" s="19"/>
      <c r="L123" s="19"/>
      <c r="M123" s="182" t="s">
        <v>568</v>
      </c>
      <c r="N123" s="19"/>
      <c r="O123" s="19"/>
      <c r="P123" s="23"/>
      <c r="Q123" s="25"/>
      <c r="R123" s="25"/>
      <c r="S123" s="25"/>
    </row>
    <row r="124" ht="14.25" customHeight="1">
      <c r="D124" s="18"/>
      <c r="E124" s="134"/>
      <c r="F124" s="19"/>
      <c r="G124" s="112"/>
      <c r="H124" s="19"/>
      <c r="I124" s="19"/>
      <c r="J124" s="112"/>
      <c r="K124" s="19"/>
      <c r="L124" s="19"/>
      <c r="M124" s="182" t="s">
        <v>570</v>
      </c>
      <c r="N124" s="19"/>
      <c r="O124" s="19"/>
      <c r="P124" s="23"/>
      <c r="Q124" s="25"/>
      <c r="R124" s="25"/>
      <c r="S124" s="25"/>
    </row>
    <row r="125" ht="14.25" customHeight="1">
      <c r="D125" s="18"/>
      <c r="E125" s="134"/>
      <c r="F125" s="19"/>
      <c r="G125" s="112"/>
      <c r="H125" s="19"/>
      <c r="I125" s="19"/>
      <c r="J125" s="112"/>
      <c r="K125" s="19"/>
      <c r="L125" s="19"/>
      <c r="M125" s="182" t="s">
        <v>573</v>
      </c>
      <c r="N125" s="19"/>
      <c r="O125" s="19"/>
      <c r="P125" s="23"/>
      <c r="Q125" s="25"/>
      <c r="R125" s="25"/>
      <c r="S125" s="25"/>
    </row>
    <row r="126" ht="14.25" customHeight="1">
      <c r="D126" s="18"/>
      <c r="E126" s="134"/>
      <c r="F126" s="19"/>
      <c r="G126" s="112"/>
      <c r="H126" s="19"/>
      <c r="I126" s="19"/>
      <c r="J126" s="112"/>
      <c r="K126" s="19"/>
      <c r="L126" s="19"/>
      <c r="M126" s="182" t="s">
        <v>577</v>
      </c>
      <c r="N126" s="19"/>
      <c r="O126" s="19"/>
      <c r="P126" s="23"/>
      <c r="Q126" s="25"/>
      <c r="R126" s="25"/>
      <c r="S126" s="25"/>
    </row>
    <row r="127" ht="14.25" customHeight="1">
      <c r="D127" s="18"/>
      <c r="E127" s="134"/>
      <c r="F127" s="19"/>
      <c r="G127" s="112"/>
      <c r="H127" s="19"/>
      <c r="I127" s="19"/>
      <c r="J127" s="112"/>
      <c r="K127" s="19"/>
      <c r="L127" s="19"/>
      <c r="M127" s="183"/>
      <c r="N127" s="19"/>
      <c r="O127" s="19"/>
      <c r="P127" s="23"/>
      <c r="Q127" s="25"/>
      <c r="R127" s="25"/>
      <c r="S127" s="25"/>
    </row>
    <row r="128" ht="14.25" customHeight="1">
      <c r="A128" s="114" t="s">
        <v>581</v>
      </c>
      <c r="B128" s="114"/>
      <c r="C128" s="114"/>
      <c r="D128" s="184">
        <f>SUM(D129:D138)</f>
        <v>10</v>
      </c>
      <c r="E128" s="185"/>
      <c r="F128" s="130">
        <f>SUM(F129:F151)</f>
        <v>23</v>
      </c>
      <c r="G128" s="186"/>
      <c r="H128" s="187"/>
      <c r="I128" s="130">
        <f>SUM(I129:I154)</f>
        <v>26</v>
      </c>
      <c r="J128" s="186"/>
      <c r="K128" s="187"/>
      <c r="L128" s="130">
        <f>SUM(L129:L152)</f>
        <v>24</v>
      </c>
      <c r="M128" s="188"/>
      <c r="N128" s="189"/>
      <c r="O128" s="191">
        <f>SUM(O129:O188)</f>
        <v>60</v>
      </c>
      <c r="P128" s="192"/>
      <c r="Q128" s="193"/>
      <c r="R128" s="194"/>
      <c r="S128" s="114"/>
      <c r="T128" s="114"/>
      <c r="U128" s="114"/>
      <c r="V128" s="114"/>
      <c r="W128" s="114"/>
      <c r="X128" s="114"/>
      <c r="Y128" s="114"/>
      <c r="Z128" s="114"/>
      <c r="AA128" s="114"/>
      <c r="AB128" s="114"/>
      <c r="AC128" s="114"/>
    </row>
    <row r="129" ht="14.25" customHeight="1">
      <c r="A129" s="105" t="s">
        <v>611</v>
      </c>
      <c r="D129" s="18">
        <v>1.0</v>
      </c>
      <c r="E129" s="195" t="s">
        <v>613</v>
      </c>
      <c r="F129" s="98">
        <v>1.0</v>
      </c>
      <c r="G129" s="196" t="s">
        <v>615</v>
      </c>
      <c r="H129" s="98"/>
      <c r="I129" s="98">
        <v>1.0</v>
      </c>
      <c r="J129" s="153" t="s">
        <v>618</v>
      </c>
      <c r="K129" s="98"/>
      <c r="L129" s="98">
        <v>1.0</v>
      </c>
      <c r="M129" s="197" t="s">
        <v>619</v>
      </c>
      <c r="N129" s="98"/>
      <c r="O129" s="98">
        <v>1.0</v>
      </c>
      <c r="P129" s="198" t="s">
        <v>621</v>
      </c>
    </row>
    <row r="130" ht="14.25" customHeight="1">
      <c r="D130" s="18">
        <v>1.0</v>
      </c>
      <c r="E130" s="195" t="s">
        <v>623</v>
      </c>
      <c r="F130" s="98">
        <v>1.0</v>
      </c>
      <c r="G130" s="196" t="s">
        <v>624</v>
      </c>
      <c r="H130" s="98"/>
      <c r="I130" s="98">
        <v>1.0</v>
      </c>
      <c r="J130" s="196" t="s">
        <v>624</v>
      </c>
      <c r="K130" s="98"/>
      <c r="L130" s="98">
        <v>1.0</v>
      </c>
      <c r="M130" s="123" t="s">
        <v>626</v>
      </c>
      <c r="N130" s="98"/>
      <c r="O130" s="98">
        <v>1.0</v>
      </c>
      <c r="P130" s="198" t="s">
        <v>627</v>
      </c>
    </row>
    <row r="131" ht="14.25" customHeight="1">
      <c r="D131" s="18">
        <v>1.0</v>
      </c>
      <c r="E131" s="195" t="s">
        <v>628</v>
      </c>
      <c r="F131" s="98">
        <v>1.0</v>
      </c>
      <c r="G131" s="153" t="s">
        <v>631</v>
      </c>
      <c r="H131" s="98"/>
      <c r="I131" s="98">
        <v>1.0</v>
      </c>
      <c r="J131" s="196" t="s">
        <v>633</v>
      </c>
      <c r="K131" s="98"/>
      <c r="L131" s="98">
        <v>1.0</v>
      </c>
      <c r="M131" s="197" t="s">
        <v>635</v>
      </c>
      <c r="N131" s="98"/>
      <c r="O131" s="98">
        <v>1.0</v>
      </c>
      <c r="P131" s="198" t="s">
        <v>636</v>
      </c>
    </row>
    <row r="132" ht="14.25" customHeight="1">
      <c r="D132" s="18">
        <v>1.0</v>
      </c>
      <c r="E132" s="195" t="s">
        <v>637</v>
      </c>
      <c r="F132" s="98">
        <v>1.0</v>
      </c>
      <c r="G132" s="153" t="s">
        <v>638</v>
      </c>
      <c r="H132" s="98"/>
      <c r="I132" s="98">
        <v>1.0</v>
      </c>
      <c r="J132" s="153" t="s">
        <v>639</v>
      </c>
      <c r="K132" s="98"/>
      <c r="L132" s="98">
        <v>1.0</v>
      </c>
      <c r="M132" s="123" t="s">
        <v>640</v>
      </c>
      <c r="N132" s="98"/>
      <c r="O132" s="98">
        <v>1.0</v>
      </c>
      <c r="P132" s="168" t="s">
        <v>642</v>
      </c>
    </row>
    <row r="133" ht="14.25" customHeight="1">
      <c r="D133" s="18">
        <v>1.0</v>
      </c>
      <c r="E133" s="195" t="s">
        <v>643</v>
      </c>
      <c r="F133" s="98">
        <v>1.0</v>
      </c>
      <c r="G133" s="153" t="s">
        <v>478</v>
      </c>
      <c r="H133" s="98"/>
      <c r="I133" s="98">
        <v>1.0</v>
      </c>
      <c r="J133" s="153" t="s">
        <v>645</v>
      </c>
      <c r="K133" s="98"/>
      <c r="L133" s="98">
        <v>1.0</v>
      </c>
      <c r="M133" s="123" t="s">
        <v>646</v>
      </c>
      <c r="N133" s="98"/>
      <c r="O133" s="98">
        <v>1.0</v>
      </c>
      <c r="P133" s="198" t="s">
        <v>647</v>
      </c>
    </row>
    <row r="134" ht="14.25" customHeight="1">
      <c r="D134" s="18">
        <v>1.0</v>
      </c>
      <c r="E134" s="195" t="s">
        <v>649</v>
      </c>
      <c r="F134" s="98">
        <v>1.0</v>
      </c>
      <c r="G134" s="196" t="s">
        <v>455</v>
      </c>
      <c r="H134" s="98"/>
      <c r="I134" s="98">
        <v>1.0</v>
      </c>
      <c r="J134" s="196" t="s">
        <v>431</v>
      </c>
      <c r="K134" s="98"/>
      <c r="L134" s="98">
        <v>1.0</v>
      </c>
      <c r="M134" s="197" t="s">
        <v>650</v>
      </c>
      <c r="N134" s="98"/>
      <c r="O134" s="98">
        <v>1.0</v>
      </c>
      <c r="P134" s="168" t="s">
        <v>652</v>
      </c>
    </row>
    <row r="135" ht="14.25" customHeight="1">
      <c r="D135" s="73">
        <v>1.0</v>
      </c>
      <c r="E135" s="199" t="s">
        <v>654</v>
      </c>
      <c r="F135" s="98">
        <v>1.0</v>
      </c>
      <c r="G135" s="196" t="s">
        <v>656</v>
      </c>
      <c r="H135" s="98"/>
      <c r="I135" s="98">
        <v>1.0</v>
      </c>
      <c r="J135" s="196" t="s">
        <v>658</v>
      </c>
      <c r="K135" s="98"/>
      <c r="L135" s="98">
        <v>1.0</v>
      </c>
      <c r="M135" s="123" t="s">
        <v>659</v>
      </c>
      <c r="N135" s="98"/>
      <c r="O135" s="98">
        <v>1.0</v>
      </c>
      <c r="P135" s="168" t="s">
        <v>660</v>
      </c>
    </row>
    <row r="136" ht="14.25" customHeight="1">
      <c r="D136" s="18">
        <v>1.0</v>
      </c>
      <c r="E136" s="195" t="s">
        <v>662</v>
      </c>
      <c r="F136" s="98">
        <v>1.0</v>
      </c>
      <c r="G136" s="153" t="s">
        <v>663</v>
      </c>
      <c r="H136" s="98"/>
      <c r="I136" s="98">
        <v>1.0</v>
      </c>
      <c r="J136" s="196" t="s">
        <v>494</v>
      </c>
      <c r="K136" s="98"/>
      <c r="L136" s="98">
        <v>1.0</v>
      </c>
      <c r="M136" s="123" t="s">
        <v>666</v>
      </c>
      <c r="N136" s="98"/>
      <c r="O136" s="98">
        <v>1.0</v>
      </c>
      <c r="P136" s="168" t="s">
        <v>668</v>
      </c>
    </row>
    <row r="137" ht="14.25" customHeight="1">
      <c r="D137" s="73">
        <v>1.0</v>
      </c>
      <c r="E137" s="199" t="s">
        <v>669</v>
      </c>
      <c r="F137" s="98">
        <v>1.0</v>
      </c>
      <c r="G137" s="153" t="s">
        <v>670</v>
      </c>
      <c r="H137" s="98"/>
      <c r="I137" s="98">
        <v>1.0</v>
      </c>
      <c r="J137" s="196" t="s">
        <v>671</v>
      </c>
      <c r="K137" s="98"/>
      <c r="L137" s="98">
        <v>1.0</v>
      </c>
      <c r="M137" s="123" t="s">
        <v>673</v>
      </c>
      <c r="N137" s="98"/>
      <c r="O137" s="98">
        <v>1.0</v>
      </c>
      <c r="P137" s="168" t="s">
        <v>674</v>
      </c>
    </row>
    <row r="138" ht="14.25" customHeight="1">
      <c r="D138" s="200">
        <v>1.0</v>
      </c>
      <c r="E138" s="201" t="s">
        <v>676</v>
      </c>
      <c r="F138" s="98">
        <v>1.0</v>
      </c>
      <c r="G138" s="196" t="s">
        <v>678</v>
      </c>
      <c r="H138" s="98"/>
      <c r="I138" s="98">
        <v>1.0</v>
      </c>
      <c r="J138" s="153" t="s">
        <v>679</v>
      </c>
      <c r="K138" s="98"/>
      <c r="L138" s="98">
        <v>1.0</v>
      </c>
      <c r="M138" s="123" t="s">
        <v>663</v>
      </c>
      <c r="N138" s="98"/>
      <c r="O138" s="98">
        <v>1.0</v>
      </c>
      <c r="P138" s="168" t="s">
        <v>681</v>
      </c>
    </row>
    <row r="139" ht="14.25" customHeight="1">
      <c r="D139" s="18"/>
      <c r="E139" s="134"/>
      <c r="F139" s="98">
        <v>1.0</v>
      </c>
      <c r="G139" s="153" t="s">
        <v>683</v>
      </c>
      <c r="H139" s="98"/>
      <c r="I139" s="98">
        <v>1.0</v>
      </c>
      <c r="J139" s="153" t="s">
        <v>684</v>
      </c>
      <c r="K139" s="98"/>
      <c r="L139" s="98">
        <v>1.0</v>
      </c>
      <c r="M139" s="123" t="s">
        <v>660</v>
      </c>
      <c r="N139" s="98"/>
      <c r="O139" s="98">
        <v>1.0</v>
      </c>
      <c r="P139" s="198" t="s">
        <v>687</v>
      </c>
    </row>
    <row r="140" ht="14.25" customHeight="1">
      <c r="D140" s="18"/>
      <c r="E140" s="134"/>
      <c r="F140" s="98">
        <v>1.0</v>
      </c>
      <c r="G140" s="196" t="s">
        <v>671</v>
      </c>
      <c r="H140" s="98"/>
      <c r="I140" s="98">
        <v>1.0</v>
      </c>
      <c r="J140" s="153" t="s">
        <v>688</v>
      </c>
      <c r="K140" s="98"/>
      <c r="L140" s="98">
        <v>1.0</v>
      </c>
      <c r="M140" s="123" t="s">
        <v>670</v>
      </c>
      <c r="N140" s="98"/>
      <c r="O140" s="98">
        <v>1.0</v>
      </c>
      <c r="P140" s="168" t="s">
        <v>689</v>
      </c>
    </row>
    <row r="141" ht="14.25" customHeight="1">
      <c r="D141" s="18"/>
      <c r="E141" s="134"/>
      <c r="F141" s="98">
        <v>1.0</v>
      </c>
      <c r="G141" s="153" t="s">
        <v>691</v>
      </c>
      <c r="H141" s="98"/>
      <c r="I141" s="98">
        <v>1.0</v>
      </c>
      <c r="J141" s="8" t="s">
        <v>679</v>
      </c>
      <c r="K141" s="98"/>
      <c r="L141" s="98">
        <v>1.0</v>
      </c>
      <c r="M141" s="197" t="s">
        <v>494</v>
      </c>
      <c r="N141" s="98"/>
      <c r="O141" s="98">
        <v>1.0</v>
      </c>
      <c r="P141" s="198" t="s">
        <v>693</v>
      </c>
    </row>
    <row r="142" ht="14.25" customHeight="1">
      <c r="D142" s="18"/>
      <c r="E142" s="134"/>
      <c r="F142" s="98">
        <v>1.0</v>
      </c>
      <c r="G142" s="196" t="s">
        <v>694</v>
      </c>
      <c r="H142" s="98"/>
      <c r="I142" s="98">
        <v>1.0</v>
      </c>
      <c r="J142" s="203" t="s">
        <v>694</v>
      </c>
      <c r="K142" s="98"/>
      <c r="L142" s="98">
        <v>1.0</v>
      </c>
      <c r="M142" s="123" t="s">
        <v>695</v>
      </c>
      <c r="N142" s="98"/>
      <c r="O142" s="98">
        <v>1.0</v>
      </c>
      <c r="P142" s="198" t="s">
        <v>696</v>
      </c>
    </row>
    <row r="143" ht="14.25" customHeight="1">
      <c r="D143" s="18"/>
      <c r="E143" s="134"/>
      <c r="F143" s="98">
        <v>1.0</v>
      </c>
      <c r="G143" s="196" t="s">
        <v>697</v>
      </c>
      <c r="H143" s="98"/>
      <c r="I143" s="98">
        <v>1.0</v>
      </c>
      <c r="J143" s="203" t="s">
        <v>699</v>
      </c>
      <c r="K143" s="98"/>
      <c r="L143" s="98">
        <v>1.0</v>
      </c>
      <c r="M143" s="197" t="s">
        <v>700</v>
      </c>
      <c r="N143" s="98"/>
      <c r="O143" s="98">
        <v>1.0</v>
      </c>
      <c r="P143" s="198" t="s">
        <v>702</v>
      </c>
    </row>
    <row r="144" ht="14.25" customHeight="1">
      <c r="D144" s="18"/>
      <c r="E144" s="134"/>
      <c r="F144" s="98">
        <v>1.0</v>
      </c>
      <c r="G144" s="153" t="s">
        <v>703</v>
      </c>
      <c r="H144" s="98"/>
      <c r="I144" s="98">
        <v>1.0</v>
      </c>
      <c r="J144" s="203" t="s">
        <v>704</v>
      </c>
      <c r="K144" s="98"/>
      <c r="L144" s="98">
        <v>1.0</v>
      </c>
      <c r="M144" s="197" t="s">
        <v>705</v>
      </c>
      <c r="N144" s="98"/>
      <c r="O144" s="98">
        <v>1.0</v>
      </c>
      <c r="P144" s="168" t="s">
        <v>706</v>
      </c>
    </row>
    <row r="145" ht="14.25" customHeight="1">
      <c r="D145" s="18"/>
      <c r="E145" s="134"/>
      <c r="F145" s="98">
        <v>1.0</v>
      </c>
      <c r="G145" s="153" t="s">
        <v>708</v>
      </c>
      <c r="H145" s="98"/>
      <c r="I145" s="98">
        <v>1.0</v>
      </c>
      <c r="J145" s="8" t="s">
        <v>710</v>
      </c>
      <c r="K145" s="98"/>
      <c r="L145" s="98">
        <v>1.0</v>
      </c>
      <c r="M145" s="123" t="s">
        <v>711</v>
      </c>
      <c r="N145" s="98"/>
      <c r="O145" s="98">
        <v>1.0</v>
      </c>
      <c r="P145" s="168" t="s">
        <v>670</v>
      </c>
    </row>
    <row r="146" ht="14.25" customHeight="1">
      <c r="D146" s="18"/>
      <c r="E146" s="134"/>
      <c r="F146" s="98">
        <v>1.0</v>
      </c>
      <c r="G146" s="153" t="s">
        <v>712</v>
      </c>
      <c r="H146" s="98"/>
      <c r="I146" s="98">
        <v>1.0</v>
      </c>
      <c r="J146" s="8" t="s">
        <v>684</v>
      </c>
      <c r="K146" s="98"/>
      <c r="L146" s="98">
        <v>1.0</v>
      </c>
      <c r="M146" s="123" t="s">
        <v>708</v>
      </c>
      <c r="N146" s="98"/>
      <c r="O146" s="98">
        <v>1.0</v>
      </c>
      <c r="P146" s="198" t="s">
        <v>714</v>
      </c>
    </row>
    <row r="147" ht="14.25" customHeight="1">
      <c r="D147" s="18"/>
      <c r="E147" s="134"/>
      <c r="F147" s="98">
        <v>1.0</v>
      </c>
      <c r="G147" s="196" t="s">
        <v>715</v>
      </c>
      <c r="H147" s="98"/>
      <c r="I147" s="98">
        <v>1.0</v>
      </c>
      <c r="J147" s="203" t="s">
        <v>717</v>
      </c>
      <c r="K147" s="98"/>
      <c r="L147" s="98">
        <v>1.0</v>
      </c>
      <c r="M147" s="197" t="s">
        <v>718</v>
      </c>
      <c r="N147" s="98"/>
      <c r="O147" s="98">
        <v>1.0</v>
      </c>
      <c r="P147" s="168" t="s">
        <v>720</v>
      </c>
    </row>
    <row r="148" ht="14.25" customHeight="1">
      <c r="D148" s="18"/>
      <c r="E148" s="134"/>
      <c r="F148" s="98">
        <v>1.0</v>
      </c>
      <c r="G148" s="196" t="s">
        <v>564</v>
      </c>
      <c r="H148" s="98"/>
      <c r="I148" s="98">
        <v>1.0</v>
      </c>
      <c r="J148" s="8" t="s">
        <v>688</v>
      </c>
      <c r="K148" s="98"/>
      <c r="L148" s="98">
        <v>1.0</v>
      </c>
      <c r="M148" s="197" t="s">
        <v>722</v>
      </c>
      <c r="N148" s="98"/>
      <c r="O148" s="98">
        <v>1.0</v>
      </c>
      <c r="P148" s="168" t="s">
        <v>723</v>
      </c>
    </row>
    <row r="149" ht="14.25" customHeight="1">
      <c r="D149" s="18"/>
      <c r="E149" s="134"/>
      <c r="F149" s="98">
        <v>1.0</v>
      </c>
      <c r="G149" s="196" t="s">
        <v>724</v>
      </c>
      <c r="H149" s="98"/>
      <c r="I149" s="98">
        <v>1.0</v>
      </c>
      <c r="J149" s="203" t="s">
        <v>726</v>
      </c>
      <c r="K149" s="98"/>
      <c r="L149" s="98">
        <v>1.0</v>
      </c>
      <c r="M149" s="197" t="s">
        <v>727</v>
      </c>
      <c r="N149" s="98"/>
      <c r="O149" s="98">
        <v>1.0</v>
      </c>
      <c r="P149" s="198" t="s">
        <v>728</v>
      </c>
    </row>
    <row r="150" ht="14.25" customHeight="1">
      <c r="D150" s="18"/>
      <c r="E150" s="134"/>
      <c r="F150" s="98">
        <v>1.0</v>
      </c>
      <c r="G150" s="196" t="s">
        <v>729</v>
      </c>
      <c r="H150" s="98"/>
      <c r="I150" s="98">
        <v>1.0</v>
      </c>
      <c r="J150" s="203" t="s">
        <v>731</v>
      </c>
      <c r="K150" s="98"/>
      <c r="L150" s="98">
        <v>1.0</v>
      </c>
      <c r="M150" s="123" t="s">
        <v>732</v>
      </c>
      <c r="N150" s="98"/>
      <c r="O150" s="98">
        <v>1.0</v>
      </c>
      <c r="P150" s="168" t="s">
        <v>733</v>
      </c>
    </row>
    <row r="151" ht="14.25" customHeight="1">
      <c r="D151" s="18"/>
      <c r="E151" s="134"/>
      <c r="F151" s="98">
        <v>1.0</v>
      </c>
      <c r="G151" s="153" t="s">
        <v>734</v>
      </c>
      <c r="H151" s="98"/>
      <c r="I151" s="98">
        <v>1.0</v>
      </c>
      <c r="J151" s="203" t="s">
        <v>735</v>
      </c>
      <c r="K151" s="98"/>
      <c r="L151" s="98">
        <v>1.0</v>
      </c>
      <c r="M151" s="123" t="s">
        <v>737</v>
      </c>
      <c r="N151" s="98"/>
      <c r="O151" s="98">
        <v>1.0</v>
      </c>
      <c r="P151" s="168" t="s">
        <v>738</v>
      </c>
    </row>
    <row r="152" ht="14.25" customHeight="1">
      <c r="D152" s="18"/>
      <c r="E152" s="134"/>
      <c r="F152" s="19"/>
      <c r="G152" s="10"/>
      <c r="H152" s="98"/>
      <c r="I152" s="98">
        <v>1.0</v>
      </c>
      <c r="J152" s="203" t="s">
        <v>740</v>
      </c>
      <c r="K152" s="98"/>
      <c r="L152" s="98">
        <v>1.0</v>
      </c>
      <c r="M152" s="123" t="s">
        <v>741</v>
      </c>
      <c r="N152" s="98"/>
      <c r="O152" s="98">
        <v>1.0</v>
      </c>
      <c r="P152" s="198" t="s">
        <v>743</v>
      </c>
    </row>
    <row r="153" ht="14.25" customHeight="1">
      <c r="D153" s="18"/>
      <c r="E153" s="134"/>
      <c r="F153" s="19"/>
      <c r="G153" s="10"/>
      <c r="H153" s="98"/>
      <c r="I153" s="98">
        <v>1.0</v>
      </c>
      <c r="J153" s="8" t="s">
        <v>741</v>
      </c>
      <c r="K153" s="19"/>
      <c r="L153" s="19"/>
      <c r="M153" s="21"/>
      <c r="N153" s="98"/>
      <c r="O153" s="98">
        <v>1.0</v>
      </c>
      <c r="P153" s="198" t="s">
        <v>745</v>
      </c>
    </row>
    <row r="154" ht="14.25" customHeight="1">
      <c r="D154" s="18"/>
      <c r="E154" s="134"/>
      <c r="F154" s="19"/>
      <c r="G154" s="112"/>
      <c r="H154" s="98"/>
      <c r="I154" s="98">
        <v>1.0</v>
      </c>
      <c r="J154" s="203" t="s">
        <v>746</v>
      </c>
      <c r="K154" s="19"/>
      <c r="L154" s="19"/>
      <c r="M154" s="21"/>
      <c r="N154" s="98"/>
      <c r="O154" s="98">
        <v>1.0</v>
      </c>
      <c r="P154" s="198" t="s">
        <v>748</v>
      </c>
    </row>
    <row r="155" ht="14.25" customHeight="1">
      <c r="D155" s="18"/>
      <c r="E155" s="134"/>
      <c r="F155" s="19"/>
      <c r="G155" s="112"/>
      <c r="H155" s="19"/>
      <c r="I155" s="19"/>
      <c r="J155" s="10"/>
      <c r="K155" s="19"/>
      <c r="L155" s="19"/>
      <c r="M155" s="21"/>
      <c r="N155" s="98"/>
      <c r="O155" s="98">
        <v>1.0</v>
      </c>
      <c r="P155" s="198" t="s">
        <v>648</v>
      </c>
    </row>
    <row r="156" ht="14.25" customHeight="1">
      <c r="D156" s="18"/>
      <c r="E156" s="134"/>
      <c r="F156" s="19"/>
      <c r="G156" s="112"/>
      <c r="H156" s="19"/>
      <c r="I156" s="19"/>
      <c r="J156" s="112"/>
      <c r="K156" s="19"/>
      <c r="L156" s="19"/>
      <c r="M156" s="21"/>
      <c r="N156" s="98"/>
      <c r="O156" s="98">
        <v>1.0</v>
      </c>
      <c r="P156" s="168" t="s">
        <v>753</v>
      </c>
    </row>
    <row r="157" ht="14.25" customHeight="1">
      <c r="D157" s="18"/>
      <c r="E157" s="134"/>
      <c r="F157" s="19"/>
      <c r="G157" s="112"/>
      <c r="H157" s="19"/>
      <c r="I157" s="19"/>
      <c r="J157" s="112"/>
      <c r="K157" s="19"/>
      <c r="L157" s="19"/>
      <c r="M157" s="183"/>
      <c r="N157" s="98"/>
      <c r="O157" s="98">
        <v>1.0</v>
      </c>
      <c r="P157" s="198" t="s">
        <v>754</v>
      </c>
    </row>
    <row r="158" ht="14.25" customHeight="1">
      <c r="D158" s="18"/>
      <c r="E158" s="134"/>
      <c r="F158" s="19"/>
      <c r="G158" s="112"/>
      <c r="H158" s="19"/>
      <c r="I158" s="19"/>
      <c r="J158" s="112"/>
      <c r="K158" s="19"/>
      <c r="L158" s="19"/>
      <c r="M158" s="183"/>
      <c r="N158" s="98"/>
      <c r="O158" s="98">
        <v>1.0</v>
      </c>
      <c r="P158" s="198" t="s">
        <v>756</v>
      </c>
    </row>
    <row r="159" ht="14.25" customHeight="1">
      <c r="D159" s="18"/>
      <c r="E159" s="134"/>
      <c r="F159" s="19"/>
      <c r="G159" s="112"/>
      <c r="H159" s="19"/>
      <c r="I159" s="19"/>
      <c r="J159" s="112"/>
      <c r="K159" s="19"/>
      <c r="L159" s="19"/>
      <c r="M159" s="183"/>
      <c r="N159" s="98"/>
      <c r="O159" s="98">
        <v>1.0</v>
      </c>
      <c r="P159" s="198" t="s">
        <v>603</v>
      </c>
    </row>
    <row r="160" ht="14.25" customHeight="1">
      <c r="D160" s="18"/>
      <c r="E160" s="134"/>
      <c r="F160" s="19"/>
      <c r="G160" s="112"/>
      <c r="H160" s="19"/>
      <c r="I160" s="19"/>
      <c r="J160" s="112"/>
      <c r="K160" s="19"/>
      <c r="L160" s="19"/>
      <c r="M160" s="183"/>
      <c r="N160" s="98"/>
      <c r="O160" s="98">
        <v>1.0</v>
      </c>
      <c r="P160" s="198" t="s">
        <v>759</v>
      </c>
    </row>
    <row r="161" ht="14.25" customHeight="1">
      <c r="D161" s="18"/>
      <c r="E161" s="134"/>
      <c r="F161" s="19"/>
      <c r="G161" s="112"/>
      <c r="H161" s="19"/>
      <c r="I161" s="19"/>
      <c r="J161" s="112"/>
      <c r="K161" s="19"/>
      <c r="L161" s="19"/>
      <c r="M161" s="183"/>
      <c r="N161" s="98"/>
      <c r="O161" s="98">
        <v>1.0</v>
      </c>
      <c r="P161" s="168" t="s">
        <v>761</v>
      </c>
    </row>
    <row r="162" ht="14.25" customHeight="1">
      <c r="D162" s="18"/>
      <c r="E162" s="134"/>
      <c r="F162" s="19"/>
      <c r="G162" s="112"/>
      <c r="H162" s="19"/>
      <c r="I162" s="19"/>
      <c r="J162" s="112"/>
      <c r="K162" s="19"/>
      <c r="L162" s="19"/>
      <c r="M162" s="183"/>
      <c r="N162" s="98"/>
      <c r="O162" s="98">
        <v>1.0</v>
      </c>
      <c r="P162" s="198" t="s">
        <v>705</v>
      </c>
    </row>
    <row r="163" ht="14.25" customHeight="1">
      <c r="D163" s="18"/>
      <c r="E163" s="134"/>
      <c r="F163" s="19"/>
      <c r="G163" s="112"/>
      <c r="H163" s="19"/>
      <c r="I163" s="19"/>
      <c r="J163" s="112"/>
      <c r="K163" s="19"/>
      <c r="L163" s="19"/>
      <c r="M163" s="183"/>
      <c r="N163" s="98"/>
      <c r="O163" s="98">
        <v>1.0</v>
      </c>
      <c r="P163" s="198" t="s">
        <v>765</v>
      </c>
    </row>
    <row r="164" ht="14.25" customHeight="1">
      <c r="D164" s="18"/>
      <c r="E164" s="134"/>
      <c r="F164" s="19"/>
      <c r="G164" s="112"/>
      <c r="H164" s="19"/>
      <c r="I164" s="19"/>
      <c r="J164" s="112"/>
      <c r="K164" s="19"/>
      <c r="L164" s="19"/>
      <c r="M164" s="183"/>
      <c r="N164" s="98"/>
      <c r="O164" s="98">
        <v>1.0</v>
      </c>
      <c r="P164" s="198" t="s">
        <v>767</v>
      </c>
    </row>
    <row r="165" ht="14.25" customHeight="1">
      <c r="D165" s="18"/>
      <c r="E165" s="134"/>
      <c r="F165" s="19"/>
      <c r="G165" s="112"/>
      <c r="H165" s="19"/>
      <c r="I165" s="19"/>
      <c r="J165" s="112"/>
      <c r="K165" s="19"/>
      <c r="L165" s="19"/>
      <c r="M165" s="183"/>
      <c r="N165" s="98"/>
      <c r="O165" s="98">
        <v>1.0</v>
      </c>
      <c r="P165" s="198" t="s">
        <v>769</v>
      </c>
    </row>
    <row r="166" ht="14.25" customHeight="1">
      <c r="D166" s="18"/>
      <c r="E166" s="134"/>
      <c r="F166" s="19"/>
      <c r="G166" s="112"/>
      <c r="H166" s="19"/>
      <c r="I166" s="19"/>
      <c r="J166" s="112"/>
      <c r="K166" s="19"/>
      <c r="L166" s="19"/>
      <c r="M166" s="183"/>
      <c r="N166" s="98"/>
      <c r="O166" s="98">
        <v>1.0</v>
      </c>
      <c r="P166" s="198" t="s">
        <v>694</v>
      </c>
    </row>
    <row r="167" ht="14.25" customHeight="1">
      <c r="D167" s="18"/>
      <c r="E167" s="134"/>
      <c r="F167" s="19"/>
      <c r="G167" s="112"/>
      <c r="H167" s="19"/>
      <c r="I167" s="19"/>
      <c r="J167" s="112"/>
      <c r="K167" s="19"/>
      <c r="L167" s="19"/>
      <c r="M167" s="183"/>
      <c r="N167" s="98"/>
      <c r="O167" s="98">
        <v>1.0</v>
      </c>
      <c r="P167" s="168" t="s">
        <v>774</v>
      </c>
    </row>
    <row r="168" ht="14.25" customHeight="1">
      <c r="D168" s="18"/>
      <c r="E168" s="134"/>
      <c r="F168" s="19"/>
      <c r="G168" s="112"/>
      <c r="H168" s="19"/>
      <c r="I168" s="19"/>
      <c r="J168" s="112"/>
      <c r="K168" s="19"/>
      <c r="L168" s="19"/>
      <c r="M168" s="183"/>
      <c r="N168" s="98"/>
      <c r="O168" s="98">
        <v>1.0</v>
      </c>
      <c r="P168" s="168" t="s">
        <v>775</v>
      </c>
    </row>
    <row r="169" ht="14.25" customHeight="1">
      <c r="D169" s="18"/>
      <c r="E169" s="134"/>
      <c r="F169" s="19"/>
      <c r="G169" s="112"/>
      <c r="H169" s="19"/>
      <c r="I169" s="19"/>
      <c r="J169" s="112"/>
      <c r="K169" s="19"/>
      <c r="L169" s="19"/>
      <c r="M169" s="183"/>
      <c r="N169" s="98"/>
      <c r="O169" s="98">
        <v>1.0</v>
      </c>
      <c r="P169" s="168" t="s">
        <v>778</v>
      </c>
    </row>
    <row r="170" ht="14.25" customHeight="1">
      <c r="D170" s="18"/>
      <c r="E170" s="134"/>
      <c r="F170" s="19"/>
      <c r="G170" s="112"/>
      <c r="H170" s="19"/>
      <c r="I170" s="19"/>
      <c r="J170" s="112"/>
      <c r="K170" s="19"/>
      <c r="L170" s="19"/>
      <c r="M170" s="183"/>
      <c r="N170" s="98"/>
      <c r="O170" s="98">
        <v>1.0</v>
      </c>
      <c r="P170" s="168" t="s">
        <v>504</v>
      </c>
    </row>
    <row r="171" ht="14.25" customHeight="1">
      <c r="D171" s="18"/>
      <c r="E171" s="134"/>
      <c r="F171" s="19"/>
      <c r="G171" s="112"/>
      <c r="H171" s="19"/>
      <c r="I171" s="19"/>
      <c r="J171" s="112"/>
      <c r="K171" s="19"/>
      <c r="L171" s="19"/>
      <c r="M171" s="183"/>
      <c r="N171" s="98"/>
      <c r="O171" s="98">
        <v>1.0</v>
      </c>
      <c r="P171" s="168" t="s">
        <v>783</v>
      </c>
    </row>
    <row r="172" ht="14.25" customHeight="1">
      <c r="D172" s="18"/>
      <c r="E172" s="134"/>
      <c r="F172" s="19"/>
      <c r="G172" s="112"/>
      <c r="H172" s="19"/>
      <c r="I172" s="19"/>
      <c r="J172" s="112"/>
      <c r="K172" s="19"/>
      <c r="L172" s="19"/>
      <c r="M172" s="183"/>
      <c r="N172" s="98"/>
      <c r="O172" s="98">
        <v>1.0</v>
      </c>
      <c r="P172" s="198" t="s">
        <v>457</v>
      </c>
    </row>
    <row r="173" ht="14.25" customHeight="1">
      <c r="D173" s="18"/>
      <c r="E173" s="134"/>
      <c r="F173" s="19"/>
      <c r="G173" s="112"/>
      <c r="H173" s="19"/>
      <c r="I173" s="19"/>
      <c r="J173" s="112"/>
      <c r="K173" s="19"/>
      <c r="L173" s="19"/>
      <c r="M173" s="183"/>
      <c r="N173" s="98"/>
      <c r="O173" s="98">
        <v>1.0</v>
      </c>
      <c r="P173" s="198" t="s">
        <v>786</v>
      </c>
    </row>
    <row r="174" ht="14.25" customHeight="1">
      <c r="D174" s="18"/>
      <c r="E174" s="134"/>
      <c r="F174" s="19"/>
      <c r="G174" s="112"/>
      <c r="H174" s="19"/>
      <c r="I174" s="19"/>
      <c r="J174" s="112"/>
      <c r="K174" s="19"/>
      <c r="L174" s="19"/>
      <c r="M174" s="183"/>
      <c r="N174" s="98"/>
      <c r="O174" s="98">
        <v>1.0</v>
      </c>
      <c r="P174" s="168" t="s">
        <v>708</v>
      </c>
    </row>
    <row r="175" ht="14.25" customHeight="1">
      <c r="D175" s="18"/>
      <c r="E175" s="134"/>
      <c r="F175" s="19"/>
      <c r="G175" s="112"/>
      <c r="H175" s="19"/>
      <c r="I175" s="19"/>
      <c r="J175" s="112"/>
      <c r="K175" s="19"/>
      <c r="L175" s="19"/>
      <c r="M175" s="183"/>
      <c r="N175" s="98"/>
      <c r="O175" s="98">
        <v>1.0</v>
      </c>
      <c r="P175" s="198" t="s">
        <v>790</v>
      </c>
    </row>
    <row r="176" ht="14.25" customHeight="1">
      <c r="D176" s="18"/>
      <c r="E176" s="134"/>
      <c r="F176" s="19"/>
      <c r="G176" s="112"/>
      <c r="H176" s="19"/>
      <c r="I176" s="19"/>
      <c r="J176" s="112"/>
      <c r="K176" s="19"/>
      <c r="L176" s="19"/>
      <c r="M176" s="183"/>
      <c r="N176" s="98"/>
      <c r="O176" s="98">
        <v>1.0</v>
      </c>
      <c r="P176" s="168" t="s">
        <v>792</v>
      </c>
    </row>
    <row r="177" ht="14.25" customHeight="1">
      <c r="D177" s="18"/>
      <c r="E177" s="134"/>
      <c r="F177" s="19"/>
      <c r="G177" s="112"/>
      <c r="H177" s="19"/>
      <c r="I177" s="19"/>
      <c r="J177" s="112"/>
      <c r="K177" s="19"/>
      <c r="L177" s="19"/>
      <c r="M177" s="183"/>
      <c r="N177" s="98"/>
      <c r="O177" s="98">
        <v>1.0</v>
      </c>
      <c r="P177" s="198" t="s">
        <v>796</v>
      </c>
    </row>
    <row r="178" ht="14.25" customHeight="1">
      <c r="D178" s="18"/>
      <c r="E178" s="134"/>
      <c r="F178" s="19"/>
      <c r="G178" s="112"/>
      <c r="H178" s="19"/>
      <c r="I178" s="19"/>
      <c r="J178" s="112"/>
      <c r="K178" s="19"/>
      <c r="L178" s="19"/>
      <c r="M178" s="183"/>
      <c r="N178" s="98"/>
      <c r="O178" s="98">
        <v>1.0</v>
      </c>
      <c r="P178" s="168" t="s">
        <v>800</v>
      </c>
    </row>
    <row r="179" ht="14.25" customHeight="1">
      <c r="D179" s="18"/>
      <c r="E179" s="134"/>
      <c r="F179" s="19"/>
      <c r="G179" s="112"/>
      <c r="H179" s="19"/>
      <c r="I179" s="19"/>
      <c r="J179" s="112"/>
      <c r="K179" s="19"/>
      <c r="L179" s="19"/>
      <c r="M179" s="183"/>
      <c r="N179" s="98"/>
      <c r="O179" s="98">
        <v>1.0</v>
      </c>
      <c r="P179" s="198" t="s">
        <v>370</v>
      </c>
    </row>
    <row r="180" ht="14.25" customHeight="1">
      <c r="D180" s="18"/>
      <c r="E180" s="134"/>
      <c r="F180" s="19"/>
      <c r="G180" s="112"/>
      <c r="H180" s="19"/>
      <c r="I180" s="19"/>
      <c r="J180" s="112"/>
      <c r="K180" s="19"/>
      <c r="L180" s="19"/>
      <c r="M180" s="183"/>
      <c r="N180" s="98"/>
      <c r="O180" s="98">
        <v>1.0</v>
      </c>
      <c r="P180" s="198" t="s">
        <v>803</v>
      </c>
    </row>
    <row r="181" ht="14.25" customHeight="1">
      <c r="D181" s="18"/>
      <c r="E181" s="134"/>
      <c r="F181" s="19"/>
      <c r="G181" s="112"/>
      <c r="H181" s="19"/>
      <c r="I181" s="19"/>
      <c r="J181" s="112"/>
      <c r="K181" s="19"/>
      <c r="L181" s="19"/>
      <c r="M181" s="183"/>
      <c r="N181" s="98"/>
      <c r="O181" s="98">
        <v>1.0</v>
      </c>
      <c r="P181" s="198" t="s">
        <v>805</v>
      </c>
    </row>
    <row r="182" ht="14.25" customHeight="1">
      <c r="D182" s="18"/>
      <c r="E182" s="134"/>
      <c r="F182" s="19"/>
      <c r="G182" s="112"/>
      <c r="H182" s="19"/>
      <c r="I182" s="19"/>
      <c r="J182" s="112"/>
      <c r="K182" s="19"/>
      <c r="L182" s="19"/>
      <c r="M182" s="183"/>
      <c r="N182" s="98"/>
      <c r="O182" s="98">
        <v>1.0</v>
      </c>
      <c r="P182" s="198" t="s">
        <v>807</v>
      </c>
    </row>
    <row r="183" ht="14.25" customHeight="1">
      <c r="D183" s="18"/>
      <c r="E183" s="134"/>
      <c r="F183" s="19"/>
      <c r="G183" s="112"/>
      <c r="H183" s="19"/>
      <c r="I183" s="19"/>
      <c r="J183" s="112"/>
      <c r="K183" s="19"/>
      <c r="L183" s="19"/>
      <c r="M183" s="183"/>
      <c r="N183" s="98"/>
      <c r="O183" s="98">
        <v>1.0</v>
      </c>
      <c r="P183" s="198" t="s">
        <v>810</v>
      </c>
    </row>
    <row r="184" ht="14.25" customHeight="1">
      <c r="D184" s="18"/>
      <c r="E184" s="134"/>
      <c r="F184" s="19"/>
      <c r="G184" s="112"/>
      <c r="H184" s="19"/>
      <c r="I184" s="19"/>
      <c r="J184" s="112"/>
      <c r="K184" s="19"/>
      <c r="L184" s="19"/>
      <c r="M184" s="183"/>
      <c r="N184" s="98"/>
      <c r="O184" s="98">
        <v>1.0</v>
      </c>
      <c r="P184" s="168" t="s">
        <v>814</v>
      </c>
    </row>
    <row r="185" ht="14.25" customHeight="1">
      <c r="D185" s="18"/>
      <c r="E185" s="134"/>
      <c r="F185" s="19"/>
      <c r="G185" s="112"/>
      <c r="H185" s="19"/>
      <c r="I185" s="19"/>
      <c r="J185" s="112"/>
      <c r="K185" s="19"/>
      <c r="L185" s="19"/>
      <c r="M185" s="183"/>
      <c r="N185" s="98"/>
      <c r="O185" s="98">
        <v>1.0</v>
      </c>
      <c r="P185" s="198" t="s">
        <v>742</v>
      </c>
    </row>
    <row r="186" ht="14.25" customHeight="1">
      <c r="D186" s="18"/>
      <c r="E186" s="134"/>
      <c r="F186" s="19"/>
      <c r="G186" s="112"/>
      <c r="H186" s="19"/>
      <c r="I186" s="19"/>
      <c r="J186" s="112"/>
      <c r="K186" s="19"/>
      <c r="L186" s="19"/>
      <c r="M186" s="183"/>
      <c r="N186" s="98"/>
      <c r="O186" s="98">
        <v>1.0</v>
      </c>
      <c r="P186" s="168" t="s">
        <v>518</v>
      </c>
    </row>
    <row r="187" ht="14.25" customHeight="1">
      <c r="D187" s="18"/>
      <c r="E187" s="134"/>
      <c r="F187" s="19"/>
      <c r="G187" s="112"/>
      <c r="H187" s="19"/>
      <c r="I187" s="19"/>
      <c r="J187" s="112"/>
      <c r="K187" s="19"/>
      <c r="L187" s="19"/>
      <c r="M187" s="183"/>
      <c r="N187" s="98"/>
      <c r="O187" s="98">
        <v>1.0</v>
      </c>
      <c r="P187" s="198" t="s">
        <v>821</v>
      </c>
    </row>
    <row r="188" ht="14.25" customHeight="1">
      <c r="D188" s="18"/>
      <c r="E188" s="134"/>
      <c r="F188" s="19"/>
      <c r="G188" s="112"/>
      <c r="H188" s="19"/>
      <c r="I188" s="19"/>
      <c r="J188" s="112"/>
      <c r="K188" s="19"/>
      <c r="L188" s="19"/>
      <c r="M188" s="183"/>
      <c r="N188" s="98"/>
      <c r="O188" s="98">
        <v>1.0</v>
      </c>
      <c r="P188" s="198" t="s">
        <v>824</v>
      </c>
    </row>
    <row r="189" ht="14.25" customHeight="1">
      <c r="D189" s="18"/>
      <c r="E189" s="134"/>
      <c r="F189" s="19"/>
      <c r="G189" s="112"/>
      <c r="H189" s="19"/>
      <c r="I189" s="19"/>
      <c r="J189" s="112"/>
      <c r="K189" s="19"/>
      <c r="L189" s="19"/>
      <c r="M189" s="183"/>
      <c r="N189" s="19"/>
      <c r="O189" s="19"/>
      <c r="P189" s="23"/>
    </row>
    <row r="190" ht="14.25" customHeight="1">
      <c r="D190" s="18"/>
      <c r="E190" s="134"/>
      <c r="F190" s="19"/>
      <c r="G190" s="112"/>
      <c r="H190" s="19"/>
      <c r="I190" s="19"/>
      <c r="J190" s="112"/>
      <c r="K190" s="19"/>
      <c r="L190" s="19"/>
      <c r="M190" s="183"/>
      <c r="N190" s="19"/>
      <c r="O190" s="19"/>
      <c r="P190" s="23"/>
    </row>
    <row r="191" ht="14.25" customHeight="1">
      <c r="D191" s="18"/>
      <c r="E191" s="134"/>
      <c r="F191" s="19"/>
      <c r="G191" s="112"/>
      <c r="H191" s="19"/>
      <c r="I191" s="19"/>
      <c r="J191" s="112"/>
      <c r="K191" s="19"/>
      <c r="L191" s="19"/>
      <c r="M191" s="183"/>
      <c r="N191" s="19"/>
      <c r="O191" s="19"/>
      <c r="P191" s="23"/>
    </row>
    <row r="192" ht="14.25" customHeight="1">
      <c r="D192" s="18"/>
      <c r="E192" s="134"/>
      <c r="F192" s="19"/>
      <c r="G192" s="112"/>
      <c r="H192" s="19"/>
      <c r="I192" s="19"/>
      <c r="J192" s="112"/>
      <c r="K192" s="19"/>
      <c r="L192" s="19"/>
      <c r="M192" s="183"/>
      <c r="N192" s="19"/>
      <c r="O192" s="19"/>
      <c r="P192" s="23"/>
    </row>
    <row r="193" ht="14.25" customHeight="1">
      <c r="D193" s="18"/>
      <c r="E193" s="134"/>
      <c r="F193" s="19"/>
      <c r="G193" s="112"/>
      <c r="H193" s="19"/>
      <c r="I193" s="19"/>
      <c r="J193" s="112"/>
      <c r="K193" s="19"/>
      <c r="L193" s="19"/>
      <c r="M193" s="183"/>
      <c r="N193" s="19"/>
      <c r="O193" s="19"/>
      <c r="P193" s="23"/>
    </row>
    <row r="194" ht="14.25" customHeight="1">
      <c r="D194" s="18"/>
      <c r="E194" s="134"/>
      <c r="F194" s="19"/>
      <c r="G194" s="112"/>
      <c r="H194" s="19"/>
      <c r="I194" s="19"/>
      <c r="J194" s="112"/>
      <c r="K194" s="19"/>
      <c r="L194" s="19"/>
      <c r="M194" s="183"/>
      <c r="N194" s="19"/>
      <c r="O194" s="19"/>
      <c r="P194" s="23"/>
    </row>
    <row r="195" ht="14.25" customHeight="1">
      <c r="D195" s="18"/>
      <c r="E195" s="134"/>
      <c r="F195" s="19"/>
      <c r="G195" s="112"/>
      <c r="H195" s="19"/>
      <c r="I195" s="19"/>
      <c r="J195" s="112"/>
      <c r="K195" s="19"/>
      <c r="L195" s="19"/>
      <c r="M195" s="183"/>
      <c r="N195" s="19"/>
      <c r="O195" s="19"/>
      <c r="P195" s="23"/>
    </row>
    <row r="196" ht="14.25" customHeight="1">
      <c r="D196" s="18"/>
      <c r="E196" s="134"/>
      <c r="F196" s="19"/>
      <c r="G196" s="112"/>
      <c r="H196" s="19"/>
      <c r="I196" s="19"/>
      <c r="J196" s="112"/>
      <c r="K196" s="19"/>
      <c r="L196" s="19"/>
      <c r="M196" s="183"/>
      <c r="N196" s="19"/>
      <c r="O196" s="19"/>
      <c r="P196" s="23"/>
    </row>
    <row r="197" ht="14.25" customHeight="1">
      <c r="D197" s="18"/>
      <c r="E197" s="134"/>
      <c r="F197" s="19"/>
      <c r="G197" s="112"/>
      <c r="H197" s="19"/>
      <c r="I197" s="19"/>
      <c r="J197" s="112"/>
      <c r="K197" s="19"/>
      <c r="L197" s="19"/>
      <c r="M197" s="183"/>
      <c r="N197" s="19"/>
      <c r="O197" s="19"/>
      <c r="P197" s="23"/>
    </row>
    <row r="198" ht="14.25" customHeight="1">
      <c r="D198" s="18"/>
      <c r="E198" s="134"/>
      <c r="F198" s="19"/>
      <c r="G198" s="112"/>
      <c r="H198" s="19"/>
      <c r="I198" s="19"/>
      <c r="J198" s="112"/>
      <c r="K198" s="19"/>
      <c r="L198" s="19"/>
      <c r="M198" s="183"/>
      <c r="N198" s="19"/>
      <c r="O198" s="19"/>
      <c r="P198" s="23"/>
    </row>
    <row r="199" ht="14.25" customHeight="1">
      <c r="D199" s="18"/>
      <c r="E199" s="134"/>
      <c r="F199" s="19"/>
      <c r="G199" s="112"/>
      <c r="H199" s="19"/>
      <c r="I199" s="19"/>
      <c r="J199" s="112"/>
      <c r="K199" s="19"/>
      <c r="L199" s="19"/>
      <c r="M199" s="183"/>
      <c r="N199" s="19"/>
      <c r="O199" s="19"/>
      <c r="P199" s="23"/>
    </row>
    <row r="200" ht="14.25" customHeight="1">
      <c r="D200" s="18"/>
      <c r="E200" s="134"/>
      <c r="F200" s="19"/>
      <c r="G200" s="112"/>
      <c r="H200" s="19"/>
      <c r="I200" s="19"/>
      <c r="J200" s="112"/>
      <c r="K200" s="19"/>
      <c r="L200" s="19"/>
      <c r="M200" s="183"/>
      <c r="N200" s="19"/>
      <c r="O200" s="19"/>
      <c r="P200" s="23"/>
    </row>
    <row r="201" ht="14.25" customHeight="1">
      <c r="D201" s="18"/>
      <c r="E201" s="134"/>
      <c r="F201" s="19"/>
      <c r="G201" s="112"/>
      <c r="H201" s="19"/>
      <c r="I201" s="19"/>
      <c r="J201" s="112"/>
      <c r="K201" s="19"/>
      <c r="L201" s="19"/>
      <c r="M201" s="183"/>
      <c r="N201" s="19"/>
      <c r="O201" s="19"/>
      <c r="P201" s="23"/>
    </row>
    <row r="202" ht="14.25" customHeight="1">
      <c r="D202" s="18"/>
      <c r="E202" s="134"/>
      <c r="F202" s="19"/>
      <c r="G202" s="112"/>
      <c r="H202" s="19"/>
      <c r="I202" s="19"/>
      <c r="J202" s="112"/>
      <c r="K202" s="19"/>
      <c r="L202" s="19"/>
      <c r="M202" s="183"/>
      <c r="N202" s="19"/>
      <c r="O202" s="19"/>
      <c r="P202" s="23"/>
    </row>
    <row r="203" ht="14.25" customHeight="1">
      <c r="D203" s="18"/>
      <c r="E203" s="134"/>
      <c r="F203" s="19"/>
      <c r="G203" s="112"/>
      <c r="H203" s="19"/>
      <c r="I203" s="19"/>
      <c r="J203" s="112"/>
      <c r="K203" s="19"/>
      <c r="L203" s="19"/>
      <c r="M203" s="183"/>
      <c r="N203" s="19"/>
      <c r="O203" s="19"/>
      <c r="P203" s="23"/>
    </row>
    <row r="204" ht="14.25" customHeight="1">
      <c r="D204" s="18"/>
      <c r="E204" s="134"/>
      <c r="F204" s="19"/>
      <c r="G204" s="112"/>
      <c r="H204" s="19"/>
      <c r="I204" s="19"/>
      <c r="J204" s="112"/>
      <c r="K204" s="19"/>
      <c r="L204" s="19"/>
      <c r="M204" s="183"/>
      <c r="N204" s="19"/>
      <c r="O204" s="19"/>
      <c r="P204" s="23"/>
    </row>
    <row r="205" ht="14.25" customHeight="1">
      <c r="D205" s="18"/>
      <c r="E205" s="134"/>
      <c r="F205" s="19"/>
      <c r="G205" s="112"/>
      <c r="H205" s="19"/>
      <c r="I205" s="19"/>
      <c r="J205" s="112"/>
      <c r="K205" s="19"/>
      <c r="L205" s="19"/>
      <c r="M205" s="183"/>
      <c r="N205" s="19"/>
      <c r="O205" s="19"/>
      <c r="P205" s="23"/>
    </row>
    <row r="206" ht="14.25" customHeight="1">
      <c r="D206" s="18"/>
      <c r="E206" s="134"/>
      <c r="F206" s="19"/>
      <c r="G206" s="112"/>
      <c r="H206" s="19"/>
      <c r="I206" s="19"/>
      <c r="J206" s="112"/>
      <c r="K206" s="19"/>
      <c r="L206" s="19"/>
      <c r="M206" s="183"/>
      <c r="N206" s="19"/>
      <c r="O206" s="19"/>
      <c r="P206" s="23"/>
    </row>
    <row r="207" ht="14.25" customHeight="1">
      <c r="D207" s="18"/>
      <c r="E207" s="134"/>
      <c r="F207" s="19"/>
      <c r="G207" s="112"/>
      <c r="H207" s="19"/>
      <c r="I207" s="19"/>
      <c r="J207" s="112"/>
      <c r="K207" s="19"/>
      <c r="L207" s="19"/>
      <c r="M207" s="183"/>
      <c r="N207" s="19"/>
      <c r="O207" s="19"/>
      <c r="P207" s="23"/>
    </row>
    <row r="208" ht="14.25" customHeight="1">
      <c r="D208" s="18"/>
      <c r="E208" s="134"/>
      <c r="F208" s="19"/>
      <c r="G208" s="112"/>
      <c r="H208" s="19"/>
      <c r="I208" s="19"/>
      <c r="J208" s="112"/>
      <c r="K208" s="19"/>
      <c r="L208" s="19"/>
      <c r="M208" s="183"/>
      <c r="N208" s="19"/>
      <c r="O208" s="19"/>
      <c r="P208" s="23"/>
    </row>
    <row r="209" ht="14.25" customHeight="1">
      <c r="D209" s="18"/>
      <c r="E209" s="134"/>
      <c r="F209" s="19"/>
      <c r="G209" s="112"/>
      <c r="H209" s="19"/>
      <c r="I209" s="19"/>
      <c r="J209" s="112"/>
      <c r="K209" s="19"/>
      <c r="L209" s="19"/>
      <c r="M209" s="183"/>
      <c r="N209" s="19"/>
      <c r="O209" s="19"/>
      <c r="P209" s="23"/>
    </row>
    <row r="210" ht="14.25" customHeight="1">
      <c r="D210" s="18"/>
      <c r="E210" s="134"/>
      <c r="F210" s="19"/>
      <c r="G210" s="112"/>
      <c r="H210" s="19"/>
      <c r="I210" s="19"/>
      <c r="J210" s="112"/>
      <c r="K210" s="19"/>
      <c r="L210" s="19"/>
      <c r="M210" s="183"/>
      <c r="N210" s="19"/>
      <c r="O210" s="19"/>
      <c r="P210" s="23"/>
    </row>
    <row r="211" ht="14.25" customHeight="1">
      <c r="D211" s="18"/>
      <c r="E211" s="134"/>
      <c r="F211" s="19"/>
      <c r="G211" s="112"/>
      <c r="H211" s="19"/>
      <c r="I211" s="19"/>
      <c r="J211" s="112"/>
      <c r="K211" s="19"/>
      <c r="L211" s="19"/>
      <c r="M211" s="183"/>
      <c r="N211" s="19"/>
      <c r="O211" s="19"/>
      <c r="P211" s="23"/>
    </row>
    <row r="212" ht="14.25" customHeight="1">
      <c r="D212" s="18"/>
      <c r="E212" s="134"/>
      <c r="F212" s="19"/>
      <c r="G212" s="112"/>
      <c r="H212" s="19"/>
      <c r="I212" s="19"/>
      <c r="J212" s="112"/>
      <c r="K212" s="19"/>
      <c r="L212" s="19"/>
      <c r="M212" s="183"/>
      <c r="N212" s="19"/>
      <c r="O212" s="19"/>
      <c r="P212" s="23"/>
    </row>
    <row r="213" ht="14.25" customHeight="1">
      <c r="D213" s="18"/>
      <c r="E213" s="134"/>
      <c r="F213" s="19"/>
      <c r="G213" s="112"/>
      <c r="H213" s="19"/>
      <c r="I213" s="19"/>
      <c r="J213" s="112"/>
      <c r="K213" s="19"/>
      <c r="L213" s="19"/>
      <c r="M213" s="183"/>
      <c r="N213" s="19"/>
      <c r="O213" s="19"/>
      <c r="P213" s="23"/>
    </row>
    <row r="214" ht="14.25" customHeight="1">
      <c r="D214" s="18"/>
      <c r="E214" s="134"/>
      <c r="F214" s="19"/>
      <c r="G214" s="112"/>
      <c r="H214" s="19"/>
      <c r="I214" s="19"/>
      <c r="J214" s="112"/>
      <c r="K214" s="19"/>
      <c r="L214" s="19"/>
      <c r="M214" s="183"/>
      <c r="N214" s="19"/>
      <c r="O214" s="19"/>
      <c r="P214" s="23"/>
    </row>
    <row r="215" ht="14.25" customHeight="1">
      <c r="D215" s="18"/>
      <c r="E215" s="134"/>
      <c r="F215" s="19"/>
      <c r="G215" s="112"/>
      <c r="H215" s="19"/>
      <c r="I215" s="19"/>
      <c r="J215" s="112"/>
      <c r="K215" s="19"/>
      <c r="L215" s="19"/>
      <c r="M215" s="183"/>
      <c r="N215" s="19"/>
      <c r="O215" s="19"/>
      <c r="P215" s="23"/>
    </row>
    <row r="216" ht="14.25" customHeight="1">
      <c r="D216" s="18"/>
      <c r="E216" s="134"/>
      <c r="F216" s="19"/>
      <c r="G216" s="112"/>
      <c r="H216" s="19"/>
      <c r="I216" s="19"/>
      <c r="J216" s="112"/>
      <c r="K216" s="19"/>
      <c r="L216" s="19"/>
      <c r="M216" s="183"/>
      <c r="N216" s="19"/>
      <c r="O216" s="19"/>
      <c r="P216" s="23"/>
    </row>
    <row r="217" ht="14.25" customHeight="1">
      <c r="D217" s="18"/>
      <c r="E217" s="134"/>
      <c r="F217" s="19"/>
      <c r="G217" s="112"/>
      <c r="H217" s="19"/>
      <c r="I217" s="19"/>
      <c r="J217" s="112"/>
      <c r="K217" s="19"/>
      <c r="L217" s="19"/>
      <c r="M217" s="183"/>
      <c r="N217" s="19"/>
      <c r="O217" s="19"/>
      <c r="P217" s="23"/>
    </row>
    <row r="218" ht="14.25" customHeight="1">
      <c r="D218" s="18"/>
      <c r="E218" s="134"/>
      <c r="F218" s="19"/>
      <c r="G218" s="112"/>
      <c r="H218" s="19"/>
      <c r="I218" s="19"/>
      <c r="J218" s="112"/>
      <c r="K218" s="19"/>
      <c r="L218" s="19"/>
      <c r="M218" s="183"/>
      <c r="N218" s="19"/>
      <c r="O218" s="19"/>
      <c r="P218" s="23"/>
    </row>
    <row r="219" ht="14.25" customHeight="1">
      <c r="D219" s="18"/>
      <c r="E219" s="134"/>
      <c r="F219" s="19"/>
      <c r="G219" s="112"/>
      <c r="H219" s="19"/>
      <c r="I219" s="19"/>
      <c r="J219" s="112"/>
      <c r="K219" s="19"/>
      <c r="L219" s="19"/>
      <c r="M219" s="183"/>
      <c r="N219" s="19"/>
      <c r="O219" s="19"/>
      <c r="P219" s="23"/>
    </row>
    <row r="220" ht="14.25" customHeight="1">
      <c r="D220" s="18"/>
      <c r="E220" s="134"/>
      <c r="F220" s="19"/>
      <c r="G220" s="112"/>
      <c r="H220" s="19"/>
      <c r="I220" s="19"/>
      <c r="J220" s="112"/>
      <c r="K220" s="19"/>
      <c r="L220" s="19"/>
      <c r="M220" s="183"/>
      <c r="N220" s="19"/>
      <c r="O220" s="19"/>
      <c r="P220" s="23"/>
    </row>
    <row r="221" ht="14.25" customHeight="1">
      <c r="D221" s="18"/>
      <c r="E221" s="134"/>
      <c r="F221" s="19"/>
      <c r="G221" s="112"/>
      <c r="H221" s="19"/>
      <c r="I221" s="19"/>
      <c r="J221" s="112"/>
      <c r="K221" s="19"/>
      <c r="L221" s="19"/>
      <c r="M221" s="183"/>
      <c r="N221" s="19"/>
      <c r="O221" s="19"/>
      <c r="P221" s="23"/>
    </row>
    <row r="222" ht="14.25" customHeight="1">
      <c r="D222" s="18"/>
      <c r="E222" s="134"/>
      <c r="F222" s="19"/>
      <c r="G222" s="112"/>
      <c r="H222" s="19"/>
      <c r="I222" s="19"/>
      <c r="J222" s="112"/>
      <c r="K222" s="19"/>
      <c r="L222" s="19"/>
      <c r="M222" s="183"/>
      <c r="N222" s="19"/>
      <c r="O222" s="19"/>
      <c r="P222" s="23"/>
    </row>
    <row r="223" ht="14.25" customHeight="1">
      <c r="D223" s="18"/>
      <c r="E223" s="134"/>
      <c r="F223" s="19"/>
      <c r="G223" s="112"/>
      <c r="H223" s="19"/>
      <c r="I223" s="19"/>
      <c r="J223" s="112"/>
      <c r="K223" s="19"/>
      <c r="L223" s="19"/>
      <c r="M223" s="183"/>
      <c r="N223" s="19"/>
      <c r="O223" s="19"/>
      <c r="P223" s="23"/>
    </row>
    <row r="224" ht="14.25" customHeight="1">
      <c r="D224" s="18"/>
      <c r="E224" s="134"/>
      <c r="F224" s="19"/>
      <c r="G224" s="112"/>
      <c r="H224" s="19"/>
      <c r="I224" s="19"/>
      <c r="J224" s="112"/>
      <c r="K224" s="19"/>
      <c r="L224" s="19"/>
      <c r="M224" s="183"/>
      <c r="N224" s="19"/>
      <c r="O224" s="19"/>
      <c r="P224" s="23"/>
    </row>
    <row r="225" ht="14.25" customHeight="1">
      <c r="D225" s="18"/>
      <c r="E225" s="134"/>
      <c r="F225" s="19"/>
      <c r="G225" s="112"/>
      <c r="H225" s="19"/>
      <c r="I225" s="19"/>
      <c r="J225" s="112"/>
      <c r="K225" s="19"/>
      <c r="L225" s="19"/>
      <c r="M225" s="183"/>
      <c r="N225" s="19"/>
      <c r="O225" s="19"/>
      <c r="P225" s="23"/>
    </row>
    <row r="226" ht="14.25" customHeight="1">
      <c r="D226" s="18"/>
      <c r="E226" s="134"/>
      <c r="F226" s="19"/>
      <c r="G226" s="112"/>
      <c r="H226" s="19"/>
      <c r="I226" s="19"/>
      <c r="J226" s="112"/>
      <c r="K226" s="19"/>
      <c r="L226" s="19"/>
      <c r="M226" s="183"/>
      <c r="N226" s="19"/>
      <c r="O226" s="19"/>
      <c r="P226" s="23"/>
    </row>
    <row r="227" ht="14.25" customHeight="1">
      <c r="D227" s="18"/>
      <c r="E227" s="134"/>
      <c r="F227" s="19"/>
      <c r="G227" s="112"/>
      <c r="H227" s="19"/>
      <c r="I227" s="19"/>
      <c r="J227" s="112"/>
      <c r="K227" s="19"/>
      <c r="L227" s="19"/>
      <c r="M227" s="183"/>
      <c r="N227" s="19"/>
      <c r="O227" s="19"/>
      <c r="P227" s="23"/>
    </row>
    <row r="228" ht="14.25" customHeight="1">
      <c r="D228" s="18"/>
      <c r="E228" s="134"/>
      <c r="F228" s="19"/>
      <c r="G228" s="112"/>
      <c r="H228" s="19"/>
      <c r="I228" s="19"/>
      <c r="J228" s="112"/>
      <c r="K228" s="19"/>
      <c r="L228" s="19"/>
      <c r="M228" s="183"/>
      <c r="N228" s="19"/>
      <c r="O228" s="19"/>
      <c r="P228" s="23"/>
    </row>
    <row r="229" ht="14.25" customHeight="1">
      <c r="D229" s="18"/>
      <c r="E229" s="134"/>
      <c r="F229" s="19"/>
      <c r="G229" s="112"/>
      <c r="H229" s="19"/>
      <c r="I229" s="19"/>
      <c r="J229" s="112"/>
      <c r="K229" s="19"/>
      <c r="L229" s="19"/>
      <c r="M229" s="183"/>
      <c r="N229" s="19"/>
      <c r="O229" s="19"/>
      <c r="P229" s="23"/>
    </row>
    <row r="230" ht="14.25" customHeight="1">
      <c r="D230" s="18"/>
      <c r="E230" s="134"/>
      <c r="F230" s="19"/>
      <c r="G230" s="112"/>
      <c r="H230" s="19"/>
      <c r="I230" s="19"/>
      <c r="J230" s="112"/>
      <c r="K230" s="19"/>
      <c r="L230" s="19"/>
      <c r="M230" s="183"/>
      <c r="N230" s="19"/>
      <c r="O230" s="19"/>
      <c r="P230" s="23"/>
    </row>
    <row r="231" ht="14.25" customHeight="1">
      <c r="D231" s="18"/>
      <c r="E231" s="134"/>
      <c r="F231" s="19"/>
      <c r="G231" s="112"/>
      <c r="H231" s="19"/>
      <c r="I231" s="19"/>
      <c r="J231" s="112"/>
      <c r="K231" s="19"/>
      <c r="L231" s="19"/>
      <c r="M231" s="183"/>
      <c r="N231" s="19"/>
      <c r="O231" s="19"/>
      <c r="P231" s="23"/>
    </row>
    <row r="232" ht="14.25" customHeight="1">
      <c r="D232" s="18"/>
      <c r="E232" s="134"/>
      <c r="F232" s="19"/>
      <c r="G232" s="112"/>
      <c r="H232" s="19"/>
      <c r="I232" s="19"/>
      <c r="J232" s="112"/>
      <c r="K232" s="19"/>
      <c r="L232" s="19"/>
      <c r="M232" s="183"/>
      <c r="N232" s="19"/>
      <c r="O232" s="19"/>
      <c r="P232" s="23"/>
    </row>
    <row r="233" ht="14.25" customHeight="1">
      <c r="D233" s="18"/>
      <c r="E233" s="134"/>
      <c r="F233" s="19"/>
      <c r="G233" s="112"/>
      <c r="H233" s="19"/>
      <c r="I233" s="19"/>
      <c r="J233" s="112"/>
      <c r="K233" s="19"/>
      <c r="L233" s="19"/>
      <c r="M233" s="183"/>
      <c r="N233" s="19"/>
      <c r="O233" s="19"/>
      <c r="P233" s="23"/>
    </row>
    <row r="234" ht="14.25" customHeight="1">
      <c r="D234" s="18"/>
      <c r="E234" s="134"/>
      <c r="F234" s="19"/>
      <c r="G234" s="112"/>
      <c r="H234" s="19"/>
      <c r="I234" s="19"/>
      <c r="J234" s="112"/>
      <c r="K234" s="19"/>
      <c r="L234" s="19"/>
      <c r="M234" s="183"/>
      <c r="N234" s="19"/>
      <c r="O234" s="19"/>
      <c r="P234" s="23"/>
    </row>
    <row r="235" ht="14.25" customHeight="1">
      <c r="D235" s="18"/>
      <c r="E235" s="134"/>
      <c r="F235" s="19"/>
      <c r="G235" s="112"/>
      <c r="H235" s="19"/>
      <c r="I235" s="19"/>
      <c r="J235" s="112"/>
      <c r="K235" s="19"/>
      <c r="L235" s="19"/>
      <c r="M235" s="183"/>
      <c r="N235" s="19"/>
      <c r="O235" s="19"/>
      <c r="P235" s="23"/>
    </row>
    <row r="236" ht="14.25" customHeight="1">
      <c r="D236" s="18"/>
      <c r="E236" s="134"/>
      <c r="F236" s="19"/>
      <c r="G236" s="112"/>
      <c r="H236" s="19"/>
      <c r="I236" s="19"/>
      <c r="J236" s="112"/>
      <c r="K236" s="19"/>
      <c r="L236" s="19"/>
      <c r="M236" s="183"/>
      <c r="N236" s="19"/>
      <c r="O236" s="19"/>
      <c r="P236" s="23"/>
    </row>
    <row r="237" ht="14.25" customHeight="1">
      <c r="D237" s="18"/>
      <c r="E237" s="134"/>
      <c r="F237" s="19"/>
      <c r="G237" s="112"/>
      <c r="H237" s="19"/>
      <c r="I237" s="19"/>
      <c r="J237" s="112"/>
      <c r="K237" s="19"/>
      <c r="L237" s="19"/>
      <c r="M237" s="183"/>
      <c r="N237" s="19"/>
      <c r="O237" s="19"/>
      <c r="P237" s="23"/>
    </row>
    <row r="238" ht="14.25" customHeight="1">
      <c r="D238" s="18"/>
      <c r="E238" s="134"/>
      <c r="F238" s="19"/>
      <c r="G238" s="112"/>
      <c r="H238" s="19"/>
      <c r="I238" s="19"/>
      <c r="J238" s="112"/>
      <c r="K238" s="19"/>
      <c r="L238" s="19"/>
      <c r="M238" s="183"/>
      <c r="N238" s="19"/>
      <c r="O238" s="19"/>
      <c r="P238" s="23"/>
    </row>
    <row r="239" ht="14.25" customHeight="1">
      <c r="D239" s="18"/>
      <c r="E239" s="134"/>
      <c r="F239" s="19"/>
      <c r="G239" s="112"/>
      <c r="H239" s="19"/>
      <c r="I239" s="19"/>
      <c r="J239" s="112"/>
      <c r="K239" s="19"/>
      <c r="L239" s="19"/>
      <c r="M239" s="183"/>
      <c r="N239" s="19"/>
      <c r="O239" s="19"/>
      <c r="P239" s="23"/>
    </row>
    <row r="240" ht="14.25" customHeight="1">
      <c r="D240" s="18"/>
      <c r="E240" s="134"/>
      <c r="F240" s="19"/>
      <c r="G240" s="112"/>
      <c r="H240" s="19"/>
      <c r="I240" s="19"/>
      <c r="J240" s="112"/>
      <c r="K240" s="19"/>
      <c r="L240" s="19"/>
      <c r="M240" s="183"/>
      <c r="N240" s="19"/>
      <c r="O240" s="19"/>
      <c r="P240" s="23"/>
    </row>
    <row r="241" ht="14.25" customHeight="1">
      <c r="D241" s="18"/>
      <c r="E241" s="134"/>
      <c r="F241" s="19"/>
      <c r="G241" s="112"/>
      <c r="H241" s="19"/>
      <c r="I241" s="19"/>
      <c r="J241" s="112"/>
      <c r="K241" s="19"/>
      <c r="L241" s="19"/>
      <c r="M241" s="183"/>
      <c r="N241" s="19"/>
      <c r="O241" s="19"/>
      <c r="P241" s="23"/>
    </row>
    <row r="242" ht="14.25" customHeight="1">
      <c r="D242" s="18"/>
      <c r="E242" s="134"/>
      <c r="F242" s="19"/>
      <c r="G242" s="112"/>
      <c r="H242" s="19"/>
      <c r="I242" s="19"/>
      <c r="J242" s="112"/>
      <c r="K242" s="19"/>
      <c r="L242" s="19"/>
      <c r="M242" s="183"/>
      <c r="N242" s="19"/>
      <c r="O242" s="19"/>
      <c r="P242" s="23"/>
    </row>
    <row r="243" ht="14.25" customHeight="1">
      <c r="D243" s="18"/>
      <c r="E243" s="134"/>
      <c r="F243" s="19"/>
      <c r="G243" s="112"/>
      <c r="H243" s="19"/>
      <c r="I243" s="19"/>
      <c r="J243" s="112"/>
      <c r="K243" s="19"/>
      <c r="L243" s="19"/>
      <c r="M243" s="183"/>
      <c r="N243" s="19"/>
      <c r="O243" s="19"/>
      <c r="P243" s="23"/>
    </row>
    <row r="244" ht="14.25" customHeight="1">
      <c r="D244" s="18"/>
      <c r="E244" s="134"/>
      <c r="F244" s="19"/>
      <c r="G244" s="112"/>
      <c r="H244" s="19"/>
      <c r="I244" s="19"/>
      <c r="J244" s="112"/>
      <c r="K244" s="19"/>
      <c r="L244" s="19"/>
      <c r="M244" s="183"/>
      <c r="N244" s="19"/>
      <c r="O244" s="19"/>
      <c r="P244" s="23"/>
    </row>
    <row r="245" ht="14.25" customHeight="1">
      <c r="D245" s="18"/>
      <c r="E245" s="134"/>
      <c r="F245" s="19"/>
      <c r="G245" s="112"/>
      <c r="H245" s="19"/>
      <c r="I245" s="19"/>
      <c r="J245" s="112"/>
      <c r="K245" s="19"/>
      <c r="L245" s="19"/>
      <c r="M245" s="183"/>
      <c r="N245" s="19"/>
      <c r="O245" s="19"/>
      <c r="P245" s="23"/>
    </row>
    <row r="246" ht="14.25" customHeight="1">
      <c r="D246" s="18"/>
      <c r="E246" s="134"/>
      <c r="F246" s="19"/>
      <c r="G246" s="112"/>
      <c r="H246" s="19"/>
      <c r="I246" s="19"/>
      <c r="J246" s="112"/>
      <c r="K246" s="19"/>
      <c r="L246" s="19"/>
      <c r="M246" s="183"/>
      <c r="N246" s="19"/>
      <c r="O246" s="19"/>
      <c r="P246" s="23"/>
    </row>
    <row r="247" ht="14.25" customHeight="1">
      <c r="D247" s="18"/>
      <c r="E247" s="134"/>
      <c r="F247" s="19"/>
      <c r="G247" s="112"/>
      <c r="H247" s="19"/>
      <c r="I247" s="19"/>
      <c r="J247" s="112"/>
      <c r="K247" s="19"/>
      <c r="L247" s="19"/>
      <c r="M247" s="183"/>
      <c r="N247" s="19"/>
      <c r="O247" s="19"/>
      <c r="P247" s="23"/>
    </row>
    <row r="248" ht="14.25" customHeight="1">
      <c r="D248" s="18"/>
      <c r="E248" s="134"/>
      <c r="F248" s="19"/>
      <c r="G248" s="112"/>
      <c r="H248" s="19"/>
      <c r="I248" s="19"/>
      <c r="J248" s="112"/>
      <c r="K248" s="19"/>
      <c r="L248" s="19"/>
      <c r="M248" s="183"/>
      <c r="N248" s="19"/>
      <c r="O248" s="19"/>
      <c r="P248" s="23"/>
    </row>
    <row r="249" ht="14.25" customHeight="1">
      <c r="D249" s="18"/>
      <c r="E249" s="134"/>
      <c r="F249" s="19"/>
      <c r="G249" s="112"/>
      <c r="H249" s="19"/>
      <c r="I249" s="19"/>
      <c r="J249" s="112"/>
      <c r="K249" s="19"/>
      <c r="L249" s="19"/>
      <c r="M249" s="183"/>
      <c r="N249" s="19"/>
      <c r="O249" s="19"/>
      <c r="P249" s="23"/>
    </row>
    <row r="250" ht="14.25" customHeight="1">
      <c r="D250" s="18"/>
      <c r="E250" s="134"/>
      <c r="F250" s="19"/>
      <c r="G250" s="112"/>
      <c r="H250" s="19"/>
      <c r="I250" s="19"/>
      <c r="J250" s="112"/>
      <c r="K250" s="19"/>
      <c r="L250" s="19"/>
      <c r="M250" s="183"/>
      <c r="N250" s="19"/>
      <c r="O250" s="19"/>
      <c r="P250" s="23"/>
    </row>
    <row r="251" ht="14.25" customHeight="1">
      <c r="D251" s="18"/>
      <c r="E251" s="134"/>
      <c r="F251" s="19"/>
      <c r="G251" s="112"/>
      <c r="H251" s="19"/>
      <c r="I251" s="19"/>
      <c r="J251" s="112"/>
      <c r="K251" s="19"/>
      <c r="L251" s="19"/>
      <c r="M251" s="183"/>
      <c r="N251" s="19"/>
      <c r="O251" s="19"/>
      <c r="P251" s="23"/>
    </row>
    <row r="252" ht="14.25" customHeight="1">
      <c r="D252" s="18"/>
      <c r="E252" s="134"/>
      <c r="F252" s="19"/>
      <c r="G252" s="112"/>
      <c r="H252" s="19"/>
      <c r="I252" s="19"/>
      <c r="J252" s="112"/>
      <c r="K252" s="19"/>
      <c r="L252" s="19"/>
      <c r="M252" s="183"/>
      <c r="N252" s="19"/>
      <c r="O252" s="19"/>
      <c r="P252" s="23"/>
    </row>
    <row r="253" ht="14.25" customHeight="1">
      <c r="D253" s="18"/>
      <c r="E253" s="134"/>
      <c r="F253" s="19"/>
      <c r="G253" s="112"/>
      <c r="H253" s="19"/>
      <c r="I253" s="19"/>
      <c r="J253" s="112"/>
      <c r="K253" s="19"/>
      <c r="L253" s="19"/>
      <c r="M253" s="183"/>
      <c r="N253" s="19"/>
      <c r="O253" s="19"/>
      <c r="P253" s="23"/>
    </row>
    <row r="254" ht="14.25" customHeight="1">
      <c r="D254" s="18"/>
      <c r="E254" s="134"/>
      <c r="F254" s="19"/>
      <c r="G254" s="112"/>
      <c r="H254" s="19"/>
      <c r="I254" s="19"/>
      <c r="J254" s="112"/>
      <c r="K254" s="19"/>
      <c r="L254" s="19"/>
      <c r="M254" s="183"/>
      <c r="N254" s="19"/>
      <c r="O254" s="19"/>
      <c r="P254" s="23"/>
    </row>
    <row r="255" ht="14.25" customHeight="1">
      <c r="D255" s="18"/>
      <c r="E255" s="134"/>
      <c r="F255" s="19"/>
      <c r="G255" s="112"/>
      <c r="H255" s="19"/>
      <c r="I255" s="19"/>
      <c r="J255" s="112"/>
      <c r="K255" s="19"/>
      <c r="L255" s="19"/>
      <c r="M255" s="183"/>
      <c r="N255" s="19"/>
      <c r="O255" s="19"/>
      <c r="P255" s="23"/>
    </row>
    <row r="256" ht="14.25" customHeight="1">
      <c r="D256" s="18"/>
      <c r="E256" s="134"/>
      <c r="F256" s="19"/>
      <c r="G256" s="112"/>
      <c r="H256" s="19"/>
      <c r="I256" s="19"/>
      <c r="J256" s="112"/>
      <c r="K256" s="19"/>
      <c r="L256" s="19"/>
      <c r="M256" s="183"/>
      <c r="N256" s="19"/>
      <c r="O256" s="19"/>
      <c r="P256" s="23"/>
    </row>
    <row r="257" ht="14.25" customHeight="1">
      <c r="D257" s="18"/>
      <c r="E257" s="134"/>
      <c r="F257" s="19"/>
      <c r="G257" s="112"/>
      <c r="H257" s="19"/>
      <c r="I257" s="19"/>
      <c r="J257" s="112"/>
      <c r="K257" s="19"/>
      <c r="L257" s="19"/>
      <c r="M257" s="183"/>
      <c r="N257" s="19"/>
      <c r="O257" s="19"/>
      <c r="P257" s="23"/>
    </row>
    <row r="258" ht="14.25" customHeight="1">
      <c r="D258" s="18"/>
      <c r="E258" s="134"/>
      <c r="F258" s="19"/>
      <c r="G258" s="112"/>
      <c r="H258" s="19"/>
      <c r="I258" s="19"/>
      <c r="J258" s="112"/>
      <c r="K258" s="19"/>
      <c r="L258" s="19"/>
      <c r="M258" s="183"/>
      <c r="N258" s="19"/>
      <c r="O258" s="19"/>
      <c r="P258" s="23"/>
    </row>
    <row r="259" ht="14.25" customHeight="1">
      <c r="D259" s="18"/>
      <c r="E259" s="134"/>
      <c r="F259" s="19"/>
      <c r="G259" s="112"/>
      <c r="H259" s="19"/>
      <c r="I259" s="19"/>
      <c r="J259" s="112"/>
      <c r="K259" s="19"/>
      <c r="L259" s="19"/>
      <c r="M259" s="183"/>
      <c r="N259" s="19"/>
      <c r="O259" s="19"/>
      <c r="P259" s="23"/>
    </row>
    <row r="260" ht="14.25" customHeight="1">
      <c r="D260" s="18"/>
      <c r="E260" s="134"/>
      <c r="F260" s="19"/>
      <c r="G260" s="112"/>
      <c r="H260" s="19"/>
      <c r="I260" s="19"/>
      <c r="J260" s="112"/>
      <c r="K260" s="19"/>
      <c r="L260" s="19"/>
      <c r="M260" s="183"/>
      <c r="N260" s="19"/>
      <c r="O260" s="19"/>
      <c r="P260" s="23"/>
    </row>
    <row r="261" ht="14.25" customHeight="1">
      <c r="D261" s="18"/>
      <c r="E261" s="134"/>
      <c r="F261" s="19"/>
      <c r="G261" s="112"/>
      <c r="H261" s="19"/>
      <c r="I261" s="19"/>
      <c r="J261" s="112"/>
      <c r="K261" s="19"/>
      <c r="L261" s="19"/>
      <c r="M261" s="183"/>
      <c r="N261" s="19"/>
      <c r="O261" s="19"/>
      <c r="P261" s="23"/>
    </row>
    <row r="262" ht="14.25" customHeight="1">
      <c r="D262" s="18"/>
      <c r="E262" s="134"/>
      <c r="F262" s="19"/>
      <c r="G262" s="112"/>
      <c r="H262" s="19"/>
      <c r="I262" s="19"/>
      <c r="J262" s="112"/>
      <c r="K262" s="19"/>
      <c r="L262" s="19"/>
      <c r="M262" s="183"/>
      <c r="N262" s="19"/>
      <c r="O262" s="19"/>
      <c r="P262" s="23"/>
    </row>
    <row r="263" ht="14.25" customHeight="1">
      <c r="D263" s="18"/>
      <c r="E263" s="134"/>
      <c r="F263" s="19"/>
      <c r="G263" s="112"/>
      <c r="H263" s="19"/>
      <c r="I263" s="19"/>
      <c r="J263" s="112"/>
      <c r="K263" s="19"/>
      <c r="L263" s="19"/>
      <c r="M263" s="183"/>
      <c r="N263" s="19"/>
      <c r="O263" s="19"/>
      <c r="P263" s="23"/>
    </row>
    <row r="264" ht="14.25" customHeight="1">
      <c r="D264" s="18"/>
      <c r="E264" s="134"/>
      <c r="F264" s="19"/>
      <c r="G264" s="112"/>
      <c r="H264" s="19"/>
      <c r="I264" s="19"/>
      <c r="J264" s="112"/>
      <c r="K264" s="19"/>
      <c r="L264" s="19"/>
      <c r="M264" s="183"/>
      <c r="N264" s="19"/>
      <c r="O264" s="19"/>
      <c r="P264" s="23"/>
    </row>
    <row r="265" ht="14.25" customHeight="1">
      <c r="D265" s="18"/>
      <c r="E265" s="134"/>
      <c r="F265" s="19"/>
      <c r="G265" s="112"/>
      <c r="H265" s="19"/>
      <c r="I265" s="19"/>
      <c r="J265" s="112"/>
      <c r="K265" s="19"/>
      <c r="L265" s="19"/>
      <c r="M265" s="183"/>
      <c r="N265" s="19"/>
      <c r="O265" s="19"/>
      <c r="P265" s="23"/>
    </row>
    <row r="266" ht="14.25" customHeight="1">
      <c r="D266" s="18"/>
      <c r="E266" s="134"/>
      <c r="F266" s="19"/>
      <c r="G266" s="112"/>
      <c r="H266" s="19"/>
      <c r="I266" s="19"/>
      <c r="J266" s="112"/>
      <c r="K266" s="19"/>
      <c r="L266" s="19"/>
      <c r="M266" s="183"/>
      <c r="N266" s="19"/>
      <c r="O266" s="19"/>
      <c r="P266" s="23"/>
    </row>
    <row r="267" ht="14.25" customHeight="1">
      <c r="D267" s="18"/>
      <c r="E267" s="134"/>
      <c r="F267" s="19"/>
      <c r="G267" s="112"/>
      <c r="H267" s="19"/>
      <c r="I267" s="19"/>
      <c r="J267" s="112"/>
      <c r="K267" s="19"/>
      <c r="L267" s="19"/>
      <c r="M267" s="183"/>
      <c r="N267" s="19"/>
      <c r="O267" s="19"/>
      <c r="P267" s="23"/>
    </row>
    <row r="268" ht="14.25" customHeight="1">
      <c r="D268" s="18"/>
      <c r="E268" s="134"/>
      <c r="F268" s="19"/>
      <c r="G268" s="112"/>
      <c r="H268" s="19"/>
      <c r="I268" s="19"/>
      <c r="J268" s="112"/>
      <c r="K268" s="19"/>
      <c r="L268" s="19"/>
      <c r="M268" s="183"/>
      <c r="N268" s="19"/>
      <c r="O268" s="19"/>
      <c r="P268" s="23"/>
    </row>
    <row r="269" ht="14.25" customHeight="1">
      <c r="D269" s="18"/>
      <c r="E269" s="134"/>
      <c r="F269" s="19"/>
      <c r="G269" s="112"/>
      <c r="H269" s="19"/>
      <c r="I269" s="19"/>
      <c r="J269" s="112"/>
      <c r="K269" s="19"/>
      <c r="L269" s="19"/>
      <c r="M269" s="183"/>
      <c r="N269" s="19"/>
      <c r="O269" s="19"/>
      <c r="P269" s="23"/>
    </row>
    <row r="270" ht="14.25" customHeight="1">
      <c r="D270" s="18"/>
      <c r="E270" s="134"/>
      <c r="F270" s="19"/>
      <c r="G270" s="112"/>
      <c r="H270" s="19"/>
      <c r="I270" s="19"/>
      <c r="J270" s="112"/>
      <c r="K270" s="19"/>
      <c r="L270" s="19"/>
      <c r="M270" s="183"/>
      <c r="N270" s="19"/>
      <c r="O270" s="19"/>
      <c r="P270" s="23"/>
    </row>
    <row r="271" ht="14.25" customHeight="1">
      <c r="D271" s="18"/>
      <c r="E271" s="134"/>
      <c r="F271" s="19"/>
      <c r="G271" s="112"/>
      <c r="H271" s="19"/>
      <c r="I271" s="19"/>
      <c r="J271" s="112"/>
      <c r="K271" s="19"/>
      <c r="L271" s="19"/>
      <c r="M271" s="183"/>
      <c r="N271" s="19"/>
      <c r="O271" s="19"/>
      <c r="P271" s="23"/>
    </row>
    <row r="272" ht="14.25" customHeight="1">
      <c r="D272" s="18"/>
      <c r="E272" s="134"/>
      <c r="F272" s="19"/>
      <c r="G272" s="112"/>
      <c r="H272" s="19"/>
      <c r="I272" s="19"/>
      <c r="J272" s="112"/>
      <c r="K272" s="19"/>
      <c r="L272" s="19"/>
      <c r="M272" s="183"/>
      <c r="N272" s="19"/>
      <c r="O272" s="19"/>
      <c r="P272" s="23"/>
    </row>
    <row r="273" ht="14.25" customHeight="1">
      <c r="D273" s="18"/>
      <c r="E273" s="134"/>
      <c r="F273" s="19"/>
      <c r="G273" s="112"/>
      <c r="H273" s="19"/>
      <c r="I273" s="19"/>
      <c r="J273" s="112"/>
      <c r="K273" s="19"/>
      <c r="L273" s="19"/>
      <c r="M273" s="183"/>
      <c r="N273" s="19"/>
      <c r="O273" s="19"/>
      <c r="P273" s="23"/>
    </row>
    <row r="274" ht="14.25" customHeight="1">
      <c r="D274" s="18"/>
      <c r="E274" s="134"/>
      <c r="F274" s="19"/>
      <c r="G274" s="112"/>
      <c r="H274" s="19"/>
      <c r="I274" s="19"/>
      <c r="J274" s="112"/>
      <c r="K274" s="19"/>
      <c r="L274" s="19"/>
      <c r="M274" s="183"/>
      <c r="N274" s="19"/>
      <c r="O274" s="19"/>
      <c r="P274" s="23"/>
    </row>
    <row r="275" ht="14.25" customHeight="1">
      <c r="D275" s="18"/>
      <c r="E275" s="134"/>
      <c r="F275" s="19"/>
      <c r="G275" s="112"/>
      <c r="H275" s="19"/>
      <c r="I275" s="19"/>
      <c r="J275" s="112"/>
      <c r="K275" s="19"/>
      <c r="L275" s="19"/>
      <c r="M275" s="183"/>
      <c r="N275" s="19"/>
      <c r="O275" s="19"/>
      <c r="P275" s="23"/>
    </row>
    <row r="276" ht="14.25" customHeight="1">
      <c r="D276" s="18"/>
      <c r="E276" s="134"/>
      <c r="F276" s="19"/>
      <c r="G276" s="112"/>
      <c r="H276" s="19"/>
      <c r="I276" s="19"/>
      <c r="J276" s="112"/>
      <c r="K276" s="19"/>
      <c r="L276" s="19"/>
      <c r="M276" s="183"/>
      <c r="N276" s="19"/>
      <c r="O276" s="19"/>
      <c r="P276" s="23"/>
    </row>
    <row r="277" ht="14.25" customHeight="1">
      <c r="D277" s="18"/>
      <c r="E277" s="134"/>
      <c r="F277" s="19"/>
      <c r="G277" s="112"/>
      <c r="H277" s="19"/>
      <c r="I277" s="19"/>
      <c r="J277" s="112"/>
      <c r="K277" s="19"/>
      <c r="L277" s="19"/>
      <c r="M277" s="183"/>
      <c r="N277" s="19"/>
      <c r="O277" s="19"/>
      <c r="P277" s="23"/>
    </row>
    <row r="278" ht="14.25" customHeight="1">
      <c r="D278" s="18"/>
      <c r="E278" s="134"/>
      <c r="F278" s="19"/>
      <c r="G278" s="112"/>
      <c r="H278" s="19"/>
      <c r="I278" s="19"/>
      <c r="J278" s="112"/>
      <c r="K278" s="19"/>
      <c r="L278" s="19"/>
      <c r="M278" s="183"/>
      <c r="N278" s="19"/>
      <c r="O278" s="19"/>
      <c r="P278" s="23"/>
    </row>
    <row r="279" ht="14.25" customHeight="1">
      <c r="D279" s="18"/>
      <c r="E279" s="134"/>
      <c r="F279" s="19"/>
      <c r="G279" s="112"/>
      <c r="H279" s="19"/>
      <c r="I279" s="19"/>
      <c r="J279" s="112"/>
      <c r="K279" s="19"/>
      <c r="L279" s="19"/>
      <c r="M279" s="183"/>
      <c r="N279" s="19"/>
      <c r="O279" s="19"/>
      <c r="P279" s="23"/>
    </row>
    <row r="280" ht="14.25" customHeight="1">
      <c r="D280" s="18"/>
      <c r="E280" s="134"/>
      <c r="F280" s="19"/>
      <c r="G280" s="112"/>
      <c r="H280" s="19"/>
      <c r="I280" s="19"/>
      <c r="J280" s="112"/>
      <c r="K280" s="19"/>
      <c r="L280" s="19"/>
      <c r="M280" s="183"/>
      <c r="N280" s="19"/>
      <c r="O280" s="19"/>
      <c r="P280" s="23"/>
    </row>
    <row r="281" ht="14.25" customHeight="1">
      <c r="D281" s="18"/>
      <c r="E281" s="134"/>
      <c r="F281" s="19"/>
      <c r="G281" s="112"/>
      <c r="H281" s="19"/>
      <c r="I281" s="19"/>
      <c r="J281" s="112"/>
      <c r="K281" s="19"/>
      <c r="L281" s="19"/>
      <c r="M281" s="183"/>
      <c r="N281" s="19"/>
      <c r="O281" s="19"/>
      <c r="P281" s="23"/>
    </row>
    <row r="282" ht="14.25" customHeight="1">
      <c r="D282" s="18"/>
      <c r="E282" s="134"/>
      <c r="F282" s="19"/>
      <c r="G282" s="112"/>
      <c r="H282" s="19"/>
      <c r="I282" s="19"/>
      <c r="J282" s="112"/>
      <c r="K282" s="19"/>
      <c r="L282" s="19"/>
      <c r="M282" s="183"/>
      <c r="N282" s="19"/>
      <c r="O282" s="19"/>
      <c r="P282" s="23"/>
    </row>
    <row r="283" ht="14.25" customHeight="1">
      <c r="D283" s="18"/>
      <c r="E283" s="134"/>
      <c r="F283" s="19"/>
      <c r="G283" s="112"/>
      <c r="H283" s="19"/>
      <c r="I283" s="19"/>
      <c r="J283" s="112"/>
      <c r="K283" s="19"/>
      <c r="L283" s="19"/>
      <c r="M283" s="183"/>
      <c r="N283" s="19"/>
      <c r="O283" s="19"/>
      <c r="P283" s="23"/>
    </row>
    <row r="284" ht="14.25" customHeight="1">
      <c r="D284" s="18"/>
      <c r="E284" s="134"/>
      <c r="F284" s="19"/>
      <c r="G284" s="112"/>
      <c r="H284" s="19"/>
      <c r="I284" s="19"/>
      <c r="J284" s="112"/>
      <c r="K284" s="19"/>
      <c r="L284" s="19"/>
      <c r="M284" s="183"/>
      <c r="N284" s="19"/>
      <c r="O284" s="19"/>
      <c r="P284" s="23"/>
    </row>
    <row r="285" ht="14.25" customHeight="1">
      <c r="D285" s="18"/>
      <c r="E285" s="134"/>
      <c r="F285" s="19"/>
      <c r="G285" s="112"/>
      <c r="H285" s="19"/>
      <c r="I285" s="19"/>
      <c r="J285" s="112"/>
      <c r="K285" s="19"/>
      <c r="L285" s="19"/>
      <c r="M285" s="183"/>
      <c r="N285" s="19"/>
      <c r="O285" s="19"/>
      <c r="P285" s="23"/>
    </row>
    <row r="286" ht="14.25" customHeight="1">
      <c r="D286" s="18"/>
      <c r="E286" s="134"/>
      <c r="F286" s="19"/>
      <c r="G286" s="112"/>
      <c r="H286" s="19"/>
      <c r="I286" s="19"/>
      <c r="J286" s="112"/>
      <c r="K286" s="19"/>
      <c r="L286" s="19"/>
      <c r="M286" s="183"/>
      <c r="N286" s="19"/>
      <c r="O286" s="19"/>
      <c r="P286" s="23"/>
    </row>
    <row r="287" ht="14.25" customHeight="1">
      <c r="D287" s="18"/>
      <c r="E287" s="134"/>
      <c r="F287" s="19"/>
      <c r="G287" s="112"/>
      <c r="H287" s="19"/>
      <c r="I287" s="19"/>
      <c r="J287" s="112"/>
      <c r="K287" s="19"/>
      <c r="L287" s="19"/>
      <c r="M287" s="183"/>
      <c r="N287" s="19"/>
      <c r="O287" s="19"/>
      <c r="P287" s="23"/>
    </row>
    <row r="288" ht="14.25" customHeight="1">
      <c r="D288" s="18"/>
      <c r="E288" s="134"/>
      <c r="F288" s="19"/>
      <c r="G288" s="112"/>
      <c r="H288" s="19"/>
      <c r="I288" s="19"/>
      <c r="J288" s="112"/>
      <c r="K288" s="19"/>
      <c r="L288" s="19"/>
      <c r="M288" s="183"/>
      <c r="N288" s="19"/>
      <c r="O288" s="19"/>
      <c r="P288" s="23"/>
    </row>
    <row r="289" ht="14.25" customHeight="1">
      <c r="D289" s="18"/>
      <c r="E289" s="134"/>
      <c r="F289" s="19"/>
      <c r="G289" s="112"/>
      <c r="H289" s="19"/>
      <c r="I289" s="19"/>
      <c r="J289" s="112"/>
      <c r="K289" s="19"/>
      <c r="L289" s="19"/>
      <c r="M289" s="183"/>
      <c r="N289" s="19"/>
      <c r="O289" s="19"/>
      <c r="P289" s="23"/>
    </row>
    <row r="290" ht="14.25" customHeight="1">
      <c r="D290" s="18"/>
      <c r="E290" s="134"/>
      <c r="F290" s="19"/>
      <c r="G290" s="112"/>
      <c r="H290" s="19"/>
      <c r="I290" s="19"/>
      <c r="J290" s="112"/>
      <c r="K290" s="19"/>
      <c r="L290" s="19"/>
      <c r="M290" s="183"/>
      <c r="N290" s="19"/>
      <c r="O290" s="19"/>
      <c r="P290" s="23"/>
    </row>
    <row r="291" ht="14.25" customHeight="1">
      <c r="D291" s="18"/>
      <c r="E291" s="134"/>
      <c r="F291" s="19"/>
      <c r="G291" s="112"/>
      <c r="H291" s="19"/>
      <c r="I291" s="19"/>
      <c r="J291" s="112"/>
      <c r="K291" s="19"/>
      <c r="L291" s="19"/>
      <c r="M291" s="183"/>
      <c r="N291" s="19"/>
      <c r="O291" s="19"/>
      <c r="P291" s="23"/>
    </row>
    <row r="292" ht="14.25" customHeight="1">
      <c r="D292" s="18"/>
      <c r="E292" s="134"/>
      <c r="F292" s="19"/>
      <c r="G292" s="112"/>
      <c r="H292" s="19"/>
      <c r="I292" s="19"/>
      <c r="J292" s="112"/>
      <c r="K292" s="19"/>
      <c r="L292" s="19"/>
      <c r="M292" s="183"/>
      <c r="N292" s="19"/>
      <c r="O292" s="19"/>
      <c r="P292" s="23"/>
    </row>
    <row r="293" ht="14.25" customHeight="1">
      <c r="D293" s="18"/>
      <c r="E293" s="134"/>
      <c r="F293" s="19"/>
      <c r="G293" s="112"/>
      <c r="H293" s="19"/>
      <c r="I293" s="19"/>
      <c r="J293" s="112"/>
      <c r="K293" s="19"/>
      <c r="L293" s="19"/>
      <c r="M293" s="183"/>
      <c r="N293" s="19"/>
      <c r="O293" s="19"/>
      <c r="P293" s="23"/>
    </row>
    <row r="294" ht="14.25" customHeight="1">
      <c r="D294" s="18"/>
      <c r="E294" s="134"/>
      <c r="F294" s="19"/>
      <c r="G294" s="112"/>
      <c r="H294" s="19"/>
      <c r="I294" s="19"/>
      <c r="J294" s="112"/>
      <c r="K294" s="19"/>
      <c r="L294" s="19"/>
      <c r="M294" s="183"/>
      <c r="N294" s="19"/>
      <c r="O294" s="19"/>
      <c r="P294" s="23"/>
    </row>
    <row r="295" ht="14.25" customHeight="1">
      <c r="D295" s="18"/>
      <c r="E295" s="134"/>
      <c r="F295" s="19"/>
      <c r="G295" s="112"/>
      <c r="H295" s="19"/>
      <c r="I295" s="19"/>
      <c r="J295" s="112"/>
      <c r="K295" s="19"/>
      <c r="L295" s="19"/>
      <c r="M295" s="183"/>
      <c r="N295" s="19"/>
      <c r="O295" s="19"/>
      <c r="P295" s="23"/>
    </row>
    <row r="296" ht="14.25" customHeight="1">
      <c r="D296" s="18"/>
      <c r="E296" s="134"/>
      <c r="F296" s="19"/>
      <c r="G296" s="112"/>
      <c r="H296" s="19"/>
      <c r="I296" s="19"/>
      <c r="J296" s="112"/>
      <c r="K296" s="19"/>
      <c r="L296" s="19"/>
      <c r="M296" s="183"/>
      <c r="N296" s="19"/>
      <c r="O296" s="19"/>
      <c r="P296" s="23"/>
    </row>
    <row r="297" ht="14.25" customHeight="1">
      <c r="D297" s="18"/>
      <c r="E297" s="134"/>
      <c r="F297" s="19"/>
      <c r="G297" s="112"/>
      <c r="H297" s="19"/>
      <c r="I297" s="19"/>
      <c r="J297" s="112"/>
      <c r="K297" s="19"/>
      <c r="L297" s="19"/>
      <c r="M297" s="183"/>
      <c r="N297" s="19"/>
      <c r="O297" s="19"/>
      <c r="P297" s="23"/>
    </row>
    <row r="298" ht="14.25" customHeight="1">
      <c r="D298" s="18"/>
      <c r="E298" s="134"/>
      <c r="F298" s="19"/>
      <c r="G298" s="112"/>
      <c r="H298" s="19"/>
      <c r="I298" s="19"/>
      <c r="J298" s="112"/>
      <c r="K298" s="19"/>
      <c r="L298" s="19"/>
      <c r="M298" s="183"/>
      <c r="N298" s="19"/>
      <c r="O298" s="19"/>
      <c r="P298" s="23"/>
    </row>
    <row r="299" ht="14.25" customHeight="1">
      <c r="D299" s="18"/>
      <c r="E299" s="134"/>
      <c r="F299" s="19"/>
      <c r="G299" s="112"/>
      <c r="H299" s="19"/>
      <c r="I299" s="19"/>
      <c r="J299" s="112"/>
      <c r="K299" s="19"/>
      <c r="L299" s="19"/>
      <c r="M299" s="183"/>
      <c r="N299" s="19"/>
      <c r="O299" s="19"/>
      <c r="P299" s="23"/>
    </row>
    <row r="300" ht="14.25" customHeight="1">
      <c r="D300" s="18"/>
      <c r="E300" s="134"/>
      <c r="F300" s="19"/>
      <c r="G300" s="112"/>
      <c r="H300" s="19"/>
      <c r="I300" s="19"/>
      <c r="J300" s="112"/>
      <c r="K300" s="19"/>
      <c r="L300" s="19"/>
      <c r="M300" s="183"/>
      <c r="N300" s="19"/>
      <c r="O300" s="19"/>
      <c r="P300" s="23"/>
    </row>
    <row r="301" ht="14.25" customHeight="1">
      <c r="D301" s="18"/>
      <c r="E301" s="134"/>
      <c r="F301" s="19"/>
      <c r="G301" s="112"/>
      <c r="H301" s="19"/>
      <c r="I301" s="19"/>
      <c r="J301" s="112"/>
      <c r="K301" s="19"/>
      <c r="L301" s="19"/>
      <c r="M301" s="183"/>
      <c r="N301" s="19"/>
      <c r="O301" s="19"/>
      <c r="P301" s="23"/>
    </row>
    <row r="302" ht="14.25" customHeight="1">
      <c r="D302" s="18"/>
      <c r="E302" s="134"/>
      <c r="F302" s="19"/>
      <c r="G302" s="112"/>
      <c r="H302" s="19"/>
      <c r="I302" s="19"/>
      <c r="J302" s="112"/>
      <c r="K302" s="19"/>
      <c r="L302" s="19"/>
      <c r="M302" s="183"/>
      <c r="N302" s="19"/>
      <c r="O302" s="19"/>
      <c r="P302" s="23"/>
    </row>
    <row r="303" ht="14.25" customHeight="1">
      <c r="D303" s="18"/>
      <c r="E303" s="134"/>
      <c r="F303" s="19"/>
      <c r="G303" s="112"/>
      <c r="H303" s="19"/>
      <c r="I303" s="19"/>
      <c r="J303" s="112"/>
      <c r="K303" s="19"/>
      <c r="L303" s="19"/>
      <c r="M303" s="183"/>
      <c r="N303" s="19"/>
      <c r="O303" s="19"/>
      <c r="P303" s="23"/>
    </row>
    <row r="304" ht="14.25" customHeight="1">
      <c r="D304" s="18"/>
      <c r="E304" s="134"/>
      <c r="F304" s="19"/>
      <c r="G304" s="112"/>
      <c r="H304" s="19"/>
      <c r="I304" s="19"/>
      <c r="J304" s="112"/>
      <c r="K304" s="19"/>
      <c r="L304" s="19"/>
      <c r="M304" s="183"/>
      <c r="N304" s="19"/>
      <c r="O304" s="19"/>
      <c r="P304" s="23"/>
    </row>
    <row r="305" ht="14.25" customHeight="1">
      <c r="D305" s="18"/>
      <c r="E305" s="134"/>
      <c r="F305" s="19"/>
      <c r="G305" s="112"/>
      <c r="H305" s="19"/>
      <c r="I305" s="19"/>
      <c r="J305" s="112"/>
      <c r="K305" s="19"/>
      <c r="L305" s="19"/>
      <c r="M305" s="183"/>
      <c r="N305" s="19"/>
      <c r="O305" s="19"/>
      <c r="P305" s="23"/>
    </row>
    <row r="306" ht="14.25" customHeight="1">
      <c r="D306" s="18"/>
      <c r="E306" s="134"/>
      <c r="F306" s="19"/>
      <c r="G306" s="112"/>
      <c r="H306" s="19"/>
      <c r="I306" s="19"/>
      <c r="J306" s="112"/>
      <c r="K306" s="19"/>
      <c r="L306" s="19"/>
      <c r="M306" s="183"/>
      <c r="N306" s="19"/>
      <c r="O306" s="19"/>
      <c r="P306" s="23"/>
    </row>
    <row r="307" ht="14.25" customHeight="1">
      <c r="D307" s="18"/>
      <c r="E307" s="134"/>
      <c r="F307" s="19"/>
      <c r="G307" s="112"/>
      <c r="H307" s="19"/>
      <c r="I307" s="19"/>
      <c r="J307" s="112"/>
      <c r="K307" s="19"/>
      <c r="L307" s="19"/>
      <c r="M307" s="183"/>
      <c r="N307" s="19"/>
      <c r="O307" s="19"/>
      <c r="P307" s="23"/>
    </row>
    <row r="308" ht="14.25" customHeight="1">
      <c r="D308" s="18"/>
      <c r="E308" s="134"/>
      <c r="F308" s="19"/>
      <c r="G308" s="112"/>
      <c r="H308" s="19"/>
      <c r="I308" s="19"/>
      <c r="J308" s="112"/>
      <c r="K308" s="19"/>
      <c r="L308" s="19"/>
      <c r="M308" s="183"/>
      <c r="N308" s="19"/>
      <c r="O308" s="19"/>
      <c r="P308" s="23"/>
    </row>
    <row r="309" ht="14.25" customHeight="1">
      <c r="D309" s="18"/>
      <c r="E309" s="134"/>
      <c r="F309" s="19"/>
      <c r="G309" s="112"/>
      <c r="H309" s="19"/>
      <c r="I309" s="19"/>
      <c r="J309" s="112"/>
      <c r="K309" s="19"/>
      <c r="L309" s="19"/>
      <c r="M309" s="183"/>
      <c r="N309" s="19"/>
      <c r="O309" s="19"/>
      <c r="P309" s="23"/>
    </row>
    <row r="310" ht="14.25" customHeight="1">
      <c r="D310" s="18"/>
      <c r="E310" s="134"/>
      <c r="F310" s="19"/>
      <c r="G310" s="112"/>
      <c r="H310" s="19"/>
      <c r="I310" s="19"/>
      <c r="J310" s="112"/>
      <c r="K310" s="19"/>
      <c r="L310" s="19"/>
      <c r="M310" s="183"/>
      <c r="N310" s="19"/>
      <c r="O310" s="19"/>
      <c r="P310" s="23"/>
    </row>
    <row r="311" ht="14.25" customHeight="1">
      <c r="D311" s="18"/>
      <c r="E311" s="134"/>
      <c r="F311" s="19"/>
      <c r="G311" s="112"/>
      <c r="H311" s="19"/>
      <c r="I311" s="19"/>
      <c r="J311" s="112"/>
      <c r="K311" s="19"/>
      <c r="L311" s="19"/>
      <c r="M311" s="183"/>
      <c r="N311" s="19"/>
      <c r="O311" s="19"/>
      <c r="P311" s="23"/>
    </row>
    <row r="312" ht="14.25" customHeight="1">
      <c r="D312" s="18"/>
      <c r="E312" s="134"/>
      <c r="F312" s="19"/>
      <c r="G312" s="112"/>
      <c r="H312" s="19"/>
      <c r="I312" s="19"/>
      <c r="J312" s="112"/>
      <c r="K312" s="19"/>
      <c r="L312" s="19"/>
      <c r="M312" s="183"/>
      <c r="N312" s="19"/>
      <c r="O312" s="19"/>
      <c r="P312" s="23"/>
    </row>
    <row r="313" ht="14.25" customHeight="1">
      <c r="D313" s="18"/>
      <c r="E313" s="134"/>
      <c r="F313" s="19"/>
      <c r="G313" s="112"/>
      <c r="H313" s="19"/>
      <c r="I313" s="19"/>
      <c r="J313" s="112"/>
      <c r="K313" s="19"/>
      <c r="L313" s="19"/>
      <c r="M313" s="183"/>
      <c r="N313" s="19"/>
      <c r="O313" s="19"/>
      <c r="P313" s="23"/>
    </row>
    <row r="314" ht="14.25" customHeight="1">
      <c r="D314" s="18"/>
      <c r="E314" s="134"/>
      <c r="F314" s="19"/>
      <c r="G314" s="112"/>
      <c r="H314" s="19"/>
      <c r="I314" s="19"/>
      <c r="J314" s="112"/>
      <c r="K314" s="19"/>
      <c r="L314" s="19"/>
      <c r="M314" s="183"/>
      <c r="N314" s="19"/>
      <c r="O314" s="19"/>
      <c r="P314" s="23"/>
    </row>
    <row r="315" ht="14.25" customHeight="1">
      <c r="D315" s="18"/>
      <c r="E315" s="134"/>
      <c r="F315" s="19"/>
      <c r="G315" s="112"/>
      <c r="H315" s="19"/>
      <c r="I315" s="19"/>
      <c r="J315" s="112"/>
      <c r="K315" s="19"/>
      <c r="L315" s="19"/>
      <c r="M315" s="183"/>
      <c r="N315" s="19"/>
      <c r="O315" s="19"/>
      <c r="P315" s="23"/>
    </row>
    <row r="316" ht="14.25" customHeight="1">
      <c r="D316" s="18"/>
      <c r="E316" s="134"/>
      <c r="F316" s="19"/>
      <c r="G316" s="112"/>
      <c r="H316" s="19"/>
      <c r="I316" s="19"/>
      <c r="J316" s="112"/>
      <c r="K316" s="19"/>
      <c r="L316" s="19"/>
      <c r="M316" s="183"/>
      <c r="N316" s="19"/>
      <c r="O316" s="19"/>
      <c r="P316" s="23"/>
    </row>
    <row r="317" ht="14.25" customHeight="1">
      <c r="D317" s="18"/>
      <c r="E317" s="134"/>
      <c r="F317" s="19"/>
      <c r="G317" s="112"/>
      <c r="H317" s="19"/>
      <c r="I317" s="19"/>
      <c r="J317" s="112"/>
      <c r="K317" s="19"/>
      <c r="L317" s="19"/>
      <c r="M317" s="183"/>
      <c r="N317" s="19"/>
      <c r="O317" s="19"/>
      <c r="P317" s="23"/>
    </row>
    <row r="318" ht="14.25" customHeight="1">
      <c r="D318" s="18"/>
      <c r="E318" s="134"/>
      <c r="F318" s="19"/>
      <c r="G318" s="112"/>
      <c r="H318" s="19"/>
      <c r="I318" s="19"/>
      <c r="J318" s="112"/>
      <c r="K318" s="19"/>
      <c r="L318" s="19"/>
      <c r="M318" s="183"/>
      <c r="N318" s="19"/>
      <c r="O318" s="19"/>
      <c r="P318" s="23"/>
    </row>
    <row r="319" ht="14.25" customHeight="1">
      <c r="D319" s="18"/>
      <c r="E319" s="134"/>
      <c r="F319" s="19"/>
      <c r="G319" s="112"/>
      <c r="H319" s="19"/>
      <c r="I319" s="19"/>
      <c r="J319" s="112"/>
      <c r="K319" s="19"/>
      <c r="L319" s="19"/>
      <c r="M319" s="183"/>
      <c r="N319" s="19"/>
      <c r="O319" s="19"/>
      <c r="P319" s="23"/>
    </row>
    <row r="320" ht="14.25" customHeight="1">
      <c r="D320" s="18"/>
      <c r="E320" s="134"/>
      <c r="F320" s="19"/>
      <c r="G320" s="112"/>
      <c r="H320" s="19"/>
      <c r="I320" s="19"/>
      <c r="J320" s="112"/>
      <c r="K320" s="19"/>
      <c r="L320" s="19"/>
      <c r="M320" s="183"/>
      <c r="N320" s="19"/>
      <c r="O320" s="19"/>
      <c r="P320" s="23"/>
    </row>
    <row r="321" ht="14.25" customHeight="1">
      <c r="D321" s="18"/>
      <c r="E321" s="134"/>
      <c r="F321" s="19"/>
      <c r="G321" s="112"/>
      <c r="H321" s="19"/>
      <c r="I321" s="19"/>
      <c r="J321" s="112"/>
      <c r="K321" s="19"/>
      <c r="L321" s="19"/>
      <c r="M321" s="183"/>
      <c r="N321" s="19"/>
      <c r="O321" s="19"/>
      <c r="P321" s="23"/>
    </row>
    <row r="322" ht="14.25" customHeight="1">
      <c r="D322" s="18"/>
      <c r="E322" s="134"/>
      <c r="F322" s="19"/>
      <c r="G322" s="112"/>
      <c r="H322" s="19"/>
      <c r="I322" s="19"/>
      <c r="J322" s="112"/>
      <c r="K322" s="19"/>
      <c r="L322" s="19"/>
      <c r="M322" s="183"/>
      <c r="N322" s="19"/>
      <c r="O322" s="19"/>
      <c r="P322" s="23"/>
    </row>
    <row r="323" ht="14.25" customHeight="1">
      <c r="D323" s="18"/>
      <c r="E323" s="134"/>
      <c r="F323" s="19"/>
      <c r="G323" s="112"/>
      <c r="H323" s="19"/>
      <c r="I323" s="19"/>
      <c r="J323" s="112"/>
      <c r="K323" s="19"/>
      <c r="L323" s="19"/>
      <c r="M323" s="183"/>
      <c r="N323" s="19"/>
      <c r="O323" s="19"/>
      <c r="P323" s="23"/>
    </row>
    <row r="324" ht="14.25" customHeight="1">
      <c r="D324" s="18"/>
      <c r="E324" s="134"/>
      <c r="F324" s="19"/>
      <c r="G324" s="112"/>
      <c r="H324" s="19"/>
      <c r="I324" s="19"/>
      <c r="J324" s="112"/>
      <c r="K324" s="19"/>
      <c r="L324" s="19"/>
      <c r="M324" s="183"/>
      <c r="N324" s="19"/>
      <c r="O324" s="19"/>
      <c r="P324" s="23"/>
    </row>
    <row r="325" ht="14.25" customHeight="1">
      <c r="D325" s="18"/>
      <c r="E325" s="134"/>
      <c r="F325" s="19"/>
      <c r="G325" s="112"/>
      <c r="H325" s="19"/>
      <c r="I325" s="19"/>
      <c r="J325" s="112"/>
      <c r="K325" s="19"/>
      <c r="L325" s="19"/>
      <c r="M325" s="183"/>
      <c r="N325" s="19"/>
      <c r="O325" s="19"/>
      <c r="P325" s="23"/>
    </row>
    <row r="326" ht="14.25" customHeight="1">
      <c r="D326" s="18"/>
      <c r="E326" s="134"/>
      <c r="F326" s="19"/>
      <c r="G326" s="112"/>
      <c r="H326" s="19"/>
      <c r="I326" s="19"/>
      <c r="J326" s="112"/>
      <c r="K326" s="19"/>
      <c r="L326" s="19"/>
      <c r="M326" s="183"/>
      <c r="N326" s="19"/>
      <c r="O326" s="19"/>
      <c r="P326" s="23"/>
    </row>
    <row r="327" ht="14.25" customHeight="1">
      <c r="D327" s="18"/>
      <c r="E327" s="134"/>
      <c r="F327" s="19"/>
      <c r="G327" s="112"/>
      <c r="H327" s="19"/>
      <c r="I327" s="19"/>
      <c r="J327" s="112"/>
      <c r="K327" s="19"/>
      <c r="L327" s="19"/>
      <c r="M327" s="183"/>
      <c r="N327" s="19"/>
      <c r="O327" s="19"/>
      <c r="P327" s="23"/>
    </row>
    <row r="328" ht="14.25" customHeight="1">
      <c r="D328" s="18"/>
      <c r="E328" s="134"/>
      <c r="F328" s="19"/>
      <c r="G328" s="112"/>
      <c r="H328" s="19"/>
      <c r="I328" s="19"/>
      <c r="J328" s="112"/>
      <c r="K328" s="19"/>
      <c r="L328" s="19"/>
      <c r="M328" s="183"/>
      <c r="N328" s="19"/>
      <c r="O328" s="19"/>
      <c r="P328" s="23"/>
    </row>
    <row r="329" ht="14.25" customHeight="1">
      <c r="D329" s="18"/>
      <c r="E329" s="134"/>
      <c r="F329" s="19"/>
      <c r="G329" s="112"/>
      <c r="H329" s="19"/>
      <c r="I329" s="19"/>
      <c r="J329" s="112"/>
      <c r="K329" s="19"/>
      <c r="L329" s="19"/>
      <c r="M329" s="183"/>
      <c r="N329" s="19"/>
      <c r="O329" s="19"/>
      <c r="P329" s="23"/>
    </row>
    <row r="330" ht="14.25" customHeight="1">
      <c r="D330" s="18"/>
      <c r="E330" s="134"/>
      <c r="F330" s="19"/>
      <c r="G330" s="112"/>
      <c r="H330" s="19"/>
      <c r="I330" s="19"/>
      <c r="J330" s="112"/>
      <c r="K330" s="19"/>
      <c r="L330" s="19"/>
      <c r="M330" s="183"/>
      <c r="N330" s="19"/>
      <c r="O330" s="19"/>
      <c r="P330" s="23"/>
    </row>
    <row r="331" ht="14.25" customHeight="1">
      <c r="D331" s="18"/>
      <c r="E331" s="134"/>
      <c r="F331" s="19"/>
      <c r="G331" s="112"/>
      <c r="H331" s="19"/>
      <c r="I331" s="19"/>
      <c r="J331" s="112"/>
      <c r="K331" s="19"/>
      <c r="L331" s="19"/>
      <c r="M331" s="183"/>
      <c r="N331" s="19"/>
      <c r="O331" s="19"/>
      <c r="P331" s="23"/>
    </row>
    <row r="332" ht="14.25" customHeight="1">
      <c r="D332" s="18"/>
      <c r="E332" s="134"/>
      <c r="F332" s="19"/>
      <c r="G332" s="112"/>
      <c r="H332" s="19"/>
      <c r="I332" s="19"/>
      <c r="J332" s="112"/>
      <c r="K332" s="19"/>
      <c r="L332" s="19"/>
      <c r="M332" s="183"/>
      <c r="N332" s="19"/>
      <c r="O332" s="19"/>
      <c r="P332" s="23"/>
    </row>
    <row r="333" ht="14.25" customHeight="1">
      <c r="D333" s="18"/>
      <c r="E333" s="134"/>
      <c r="F333" s="19"/>
      <c r="G333" s="112"/>
      <c r="H333" s="19"/>
      <c r="I333" s="19"/>
      <c r="J333" s="112"/>
      <c r="K333" s="19"/>
      <c r="L333" s="19"/>
      <c r="M333" s="183"/>
      <c r="N333" s="19"/>
      <c r="O333" s="19"/>
      <c r="P333" s="23"/>
    </row>
    <row r="334" ht="14.25" customHeight="1">
      <c r="D334" s="18"/>
      <c r="E334" s="134"/>
      <c r="F334" s="19"/>
      <c r="G334" s="112"/>
      <c r="H334" s="19"/>
      <c r="I334" s="19"/>
      <c r="J334" s="112"/>
      <c r="K334" s="19"/>
      <c r="L334" s="19"/>
      <c r="M334" s="183"/>
      <c r="N334" s="19"/>
      <c r="O334" s="19"/>
      <c r="P334" s="23"/>
    </row>
    <row r="335" ht="14.25" customHeight="1">
      <c r="D335" s="18"/>
      <c r="E335" s="134"/>
      <c r="F335" s="19"/>
      <c r="G335" s="112"/>
      <c r="H335" s="19"/>
      <c r="I335" s="19"/>
      <c r="J335" s="112"/>
      <c r="K335" s="19"/>
      <c r="L335" s="19"/>
      <c r="M335" s="183"/>
      <c r="N335" s="19"/>
      <c r="O335" s="19"/>
      <c r="P335" s="23"/>
    </row>
    <row r="336" ht="14.25" customHeight="1">
      <c r="D336" s="18"/>
      <c r="E336" s="134"/>
      <c r="F336" s="19"/>
      <c r="G336" s="112"/>
      <c r="H336" s="19"/>
      <c r="I336" s="19"/>
      <c r="J336" s="112"/>
      <c r="K336" s="19"/>
      <c r="L336" s="19"/>
      <c r="M336" s="183"/>
      <c r="N336" s="19"/>
      <c r="O336" s="19"/>
      <c r="P336" s="23"/>
    </row>
    <row r="337" ht="14.25" customHeight="1">
      <c r="D337" s="18"/>
      <c r="E337" s="134"/>
      <c r="F337" s="19"/>
      <c r="G337" s="112"/>
      <c r="H337" s="19"/>
      <c r="I337" s="19"/>
      <c r="J337" s="112"/>
      <c r="K337" s="19"/>
      <c r="L337" s="19"/>
      <c r="M337" s="183"/>
      <c r="N337" s="19"/>
      <c r="O337" s="19"/>
      <c r="P337" s="23"/>
    </row>
    <row r="338" ht="14.25" customHeight="1">
      <c r="D338" s="18"/>
      <c r="E338" s="134"/>
      <c r="F338" s="19"/>
      <c r="G338" s="112"/>
      <c r="H338" s="19"/>
      <c r="I338" s="19"/>
      <c r="J338" s="112"/>
      <c r="K338" s="19"/>
      <c r="L338" s="19"/>
      <c r="M338" s="183"/>
      <c r="N338" s="19"/>
      <c r="O338" s="19"/>
      <c r="P338" s="23"/>
    </row>
    <row r="339" ht="14.25" customHeight="1">
      <c r="D339" s="18"/>
      <c r="E339" s="134"/>
      <c r="F339" s="19"/>
      <c r="G339" s="112"/>
      <c r="H339" s="19"/>
      <c r="I339" s="19"/>
      <c r="J339" s="112"/>
      <c r="K339" s="19"/>
      <c r="L339" s="19"/>
      <c r="M339" s="183"/>
      <c r="N339" s="19"/>
      <c r="O339" s="19"/>
      <c r="P339" s="23"/>
    </row>
    <row r="340" ht="14.25" customHeight="1">
      <c r="D340" s="18"/>
      <c r="E340" s="134"/>
      <c r="F340" s="19"/>
      <c r="G340" s="112"/>
      <c r="H340" s="19"/>
      <c r="I340" s="19"/>
      <c r="J340" s="112"/>
      <c r="K340" s="19"/>
      <c r="L340" s="19"/>
      <c r="M340" s="183"/>
      <c r="N340" s="19"/>
      <c r="O340" s="19"/>
      <c r="P340" s="23"/>
    </row>
    <row r="341" ht="14.25" customHeight="1">
      <c r="D341" s="18"/>
      <c r="E341" s="134"/>
      <c r="F341" s="19"/>
      <c r="G341" s="112"/>
      <c r="H341" s="19"/>
      <c r="I341" s="19"/>
      <c r="J341" s="112"/>
      <c r="K341" s="19"/>
      <c r="L341" s="19"/>
      <c r="M341" s="183"/>
      <c r="N341" s="19"/>
      <c r="O341" s="19"/>
      <c r="P341" s="23"/>
    </row>
    <row r="342" ht="14.25" customHeight="1">
      <c r="D342" s="18"/>
      <c r="E342" s="134"/>
      <c r="F342" s="19"/>
      <c r="G342" s="112"/>
      <c r="H342" s="19"/>
      <c r="I342" s="19"/>
      <c r="J342" s="112"/>
      <c r="K342" s="19"/>
      <c r="L342" s="19"/>
      <c r="M342" s="183"/>
      <c r="N342" s="19"/>
      <c r="O342" s="19"/>
      <c r="P342" s="23"/>
    </row>
    <row r="343" ht="14.25" customHeight="1">
      <c r="D343" s="18"/>
      <c r="E343" s="134"/>
      <c r="F343" s="19"/>
      <c r="G343" s="112"/>
      <c r="H343" s="19"/>
      <c r="I343" s="19"/>
      <c r="J343" s="112"/>
      <c r="K343" s="19"/>
      <c r="L343" s="19"/>
      <c r="M343" s="183"/>
      <c r="N343" s="19"/>
      <c r="O343" s="19"/>
      <c r="P343" s="23"/>
    </row>
    <row r="344" ht="14.25" customHeight="1">
      <c r="D344" s="18"/>
      <c r="E344" s="134"/>
      <c r="F344" s="19"/>
      <c r="G344" s="112"/>
      <c r="H344" s="19"/>
      <c r="I344" s="19"/>
      <c r="J344" s="112"/>
      <c r="K344" s="19"/>
      <c r="L344" s="19"/>
      <c r="M344" s="183"/>
      <c r="N344" s="19"/>
      <c r="O344" s="19"/>
      <c r="P344" s="23"/>
    </row>
    <row r="345" ht="14.25" customHeight="1">
      <c r="D345" s="18"/>
      <c r="E345" s="134"/>
      <c r="F345" s="19"/>
      <c r="G345" s="112"/>
      <c r="H345" s="19"/>
      <c r="I345" s="19"/>
      <c r="J345" s="112"/>
      <c r="K345" s="19"/>
      <c r="L345" s="19"/>
      <c r="M345" s="183"/>
      <c r="N345" s="19"/>
      <c r="O345" s="19"/>
      <c r="P345" s="23"/>
    </row>
    <row r="346" ht="14.25" customHeight="1">
      <c r="D346" s="18"/>
      <c r="E346" s="134"/>
      <c r="F346" s="19"/>
      <c r="G346" s="112"/>
      <c r="H346" s="19"/>
      <c r="I346" s="19"/>
      <c r="J346" s="112"/>
      <c r="K346" s="19"/>
      <c r="L346" s="19"/>
      <c r="M346" s="183"/>
      <c r="N346" s="19"/>
      <c r="O346" s="19"/>
      <c r="P346" s="23"/>
    </row>
    <row r="347" ht="14.25" customHeight="1">
      <c r="D347" s="18"/>
      <c r="E347" s="134"/>
      <c r="F347" s="19"/>
      <c r="G347" s="112"/>
      <c r="H347" s="19"/>
      <c r="I347" s="19"/>
      <c r="J347" s="112"/>
      <c r="K347" s="19"/>
      <c r="L347" s="19"/>
      <c r="M347" s="183"/>
      <c r="N347" s="19"/>
      <c r="O347" s="19"/>
      <c r="P347" s="23"/>
    </row>
    <row r="348" ht="14.25" customHeight="1">
      <c r="D348" s="18"/>
      <c r="E348" s="134"/>
      <c r="F348" s="19"/>
      <c r="G348" s="112"/>
      <c r="H348" s="19"/>
      <c r="I348" s="19"/>
      <c r="J348" s="112"/>
      <c r="K348" s="19"/>
      <c r="L348" s="19"/>
      <c r="M348" s="183"/>
      <c r="N348" s="19"/>
      <c r="O348" s="19"/>
      <c r="P348" s="23"/>
    </row>
    <row r="349" ht="14.25" customHeight="1">
      <c r="D349" s="18"/>
      <c r="E349" s="134"/>
      <c r="F349" s="19"/>
      <c r="G349" s="112"/>
      <c r="H349" s="19"/>
      <c r="I349" s="19"/>
      <c r="J349" s="112"/>
      <c r="K349" s="19"/>
      <c r="L349" s="19"/>
      <c r="M349" s="183"/>
      <c r="N349" s="19"/>
      <c r="O349" s="19"/>
      <c r="P349" s="23"/>
    </row>
    <row r="350" ht="14.25" customHeight="1">
      <c r="D350" s="18"/>
      <c r="E350" s="134"/>
      <c r="F350" s="19"/>
      <c r="G350" s="112"/>
      <c r="H350" s="19"/>
      <c r="I350" s="19"/>
      <c r="J350" s="112"/>
      <c r="K350" s="19"/>
      <c r="L350" s="19"/>
      <c r="M350" s="183"/>
      <c r="N350" s="19"/>
      <c r="O350" s="19"/>
      <c r="P350" s="23"/>
    </row>
    <row r="351" ht="14.25" customHeight="1">
      <c r="D351" s="18"/>
      <c r="E351" s="134"/>
      <c r="F351" s="19"/>
      <c r="G351" s="112"/>
      <c r="H351" s="19"/>
      <c r="I351" s="19"/>
      <c r="J351" s="112"/>
      <c r="K351" s="19"/>
      <c r="L351" s="19"/>
      <c r="M351" s="183"/>
      <c r="N351" s="19"/>
      <c r="O351" s="19"/>
      <c r="P351" s="23"/>
    </row>
    <row r="352" ht="14.25" customHeight="1">
      <c r="D352" s="18"/>
      <c r="E352" s="134"/>
      <c r="F352" s="19"/>
      <c r="G352" s="112"/>
      <c r="H352" s="19"/>
      <c r="I352" s="19"/>
      <c r="J352" s="112"/>
      <c r="K352" s="19"/>
      <c r="L352" s="19"/>
      <c r="M352" s="183"/>
      <c r="N352" s="19"/>
      <c r="O352" s="19"/>
      <c r="P352" s="23"/>
    </row>
    <row r="353" ht="14.25" customHeight="1">
      <c r="D353" s="18"/>
      <c r="E353" s="134"/>
      <c r="F353" s="19"/>
      <c r="G353" s="112"/>
      <c r="H353" s="19"/>
      <c r="I353" s="19"/>
      <c r="J353" s="112"/>
      <c r="K353" s="19"/>
      <c r="L353" s="19"/>
      <c r="M353" s="183"/>
      <c r="N353" s="19"/>
      <c r="O353" s="19"/>
      <c r="P353" s="23"/>
    </row>
    <row r="354" ht="14.25" customHeight="1">
      <c r="D354" s="18"/>
      <c r="E354" s="134"/>
      <c r="F354" s="19"/>
      <c r="G354" s="112"/>
      <c r="H354" s="19"/>
      <c r="I354" s="19"/>
      <c r="J354" s="112"/>
      <c r="K354" s="19"/>
      <c r="L354" s="19"/>
      <c r="M354" s="183"/>
      <c r="N354" s="19"/>
      <c r="O354" s="19"/>
      <c r="P354" s="23"/>
    </row>
    <row r="355" ht="14.25" customHeight="1">
      <c r="D355" s="18"/>
      <c r="E355" s="134"/>
      <c r="F355" s="19"/>
      <c r="G355" s="112"/>
      <c r="H355" s="19"/>
      <c r="I355" s="19"/>
      <c r="J355" s="112"/>
      <c r="K355" s="19"/>
      <c r="L355" s="19"/>
      <c r="M355" s="183"/>
      <c r="N355" s="19"/>
      <c r="O355" s="19"/>
      <c r="P355" s="23"/>
    </row>
    <row r="356" ht="14.25" customHeight="1">
      <c r="D356" s="18"/>
      <c r="E356" s="134"/>
      <c r="F356" s="19"/>
      <c r="G356" s="112"/>
      <c r="H356" s="19"/>
      <c r="I356" s="19"/>
      <c r="J356" s="112"/>
      <c r="K356" s="19"/>
      <c r="L356" s="19"/>
      <c r="M356" s="183"/>
      <c r="N356" s="19"/>
      <c r="O356" s="19"/>
      <c r="P356" s="23"/>
    </row>
    <row r="357" ht="14.25" customHeight="1">
      <c r="D357" s="18"/>
      <c r="E357" s="134"/>
      <c r="F357" s="19"/>
      <c r="G357" s="112"/>
      <c r="H357" s="19"/>
      <c r="I357" s="19"/>
      <c r="J357" s="112"/>
      <c r="K357" s="19"/>
      <c r="L357" s="19"/>
      <c r="M357" s="183"/>
      <c r="N357" s="19"/>
      <c r="O357" s="19"/>
      <c r="P357" s="23"/>
    </row>
    <row r="358" ht="14.25" customHeight="1">
      <c r="D358" s="18"/>
      <c r="E358" s="134"/>
      <c r="F358" s="19"/>
      <c r="G358" s="112"/>
      <c r="H358" s="19"/>
      <c r="I358" s="19"/>
      <c r="J358" s="112"/>
      <c r="K358" s="19"/>
      <c r="L358" s="19"/>
      <c r="M358" s="183"/>
      <c r="N358" s="19"/>
      <c r="O358" s="19"/>
      <c r="P358" s="23"/>
    </row>
    <row r="359" ht="14.25" customHeight="1">
      <c r="D359" s="18"/>
      <c r="E359" s="134"/>
      <c r="F359" s="19"/>
      <c r="G359" s="112"/>
      <c r="H359" s="19"/>
      <c r="I359" s="19"/>
      <c r="J359" s="112"/>
      <c r="K359" s="19"/>
      <c r="L359" s="19"/>
      <c r="M359" s="183"/>
      <c r="N359" s="19"/>
      <c r="O359" s="19"/>
      <c r="P359" s="23"/>
    </row>
    <row r="360" ht="14.25" customHeight="1">
      <c r="D360" s="18"/>
      <c r="E360" s="134"/>
      <c r="F360" s="19"/>
      <c r="G360" s="112"/>
      <c r="H360" s="19"/>
      <c r="I360" s="19"/>
      <c r="J360" s="112"/>
      <c r="K360" s="19"/>
      <c r="L360" s="19"/>
      <c r="M360" s="183"/>
      <c r="N360" s="19"/>
      <c r="O360" s="19"/>
      <c r="P360" s="23"/>
    </row>
    <row r="361" ht="14.25" customHeight="1">
      <c r="D361" s="18"/>
      <c r="E361" s="134"/>
      <c r="F361" s="19"/>
      <c r="G361" s="112"/>
      <c r="H361" s="19"/>
      <c r="I361" s="19"/>
      <c r="J361" s="112"/>
      <c r="K361" s="19"/>
      <c r="L361" s="19"/>
      <c r="M361" s="183"/>
      <c r="N361" s="19"/>
      <c r="O361" s="19"/>
      <c r="P361" s="23"/>
    </row>
    <row r="362" ht="14.25" customHeight="1">
      <c r="D362" s="18"/>
      <c r="E362" s="134"/>
      <c r="F362" s="19"/>
      <c r="G362" s="112"/>
      <c r="H362" s="19"/>
      <c r="I362" s="19"/>
      <c r="J362" s="112"/>
      <c r="K362" s="19"/>
      <c r="L362" s="19"/>
      <c r="M362" s="183"/>
      <c r="N362" s="19"/>
      <c r="O362" s="19"/>
      <c r="P362" s="23"/>
    </row>
    <row r="363" ht="14.25" customHeight="1">
      <c r="D363" s="18"/>
      <c r="E363" s="134"/>
      <c r="F363" s="19"/>
      <c r="G363" s="112"/>
      <c r="H363" s="19"/>
      <c r="I363" s="19"/>
      <c r="J363" s="112"/>
      <c r="K363" s="19"/>
      <c r="L363" s="19"/>
      <c r="M363" s="183"/>
      <c r="N363" s="19"/>
      <c r="O363" s="19"/>
      <c r="P363" s="23"/>
    </row>
    <row r="364" ht="14.25" customHeight="1">
      <c r="D364" s="18"/>
      <c r="E364" s="134"/>
      <c r="F364" s="19"/>
      <c r="G364" s="112"/>
      <c r="H364" s="19"/>
      <c r="I364" s="19"/>
      <c r="J364" s="112"/>
      <c r="K364" s="19"/>
      <c r="L364" s="19"/>
      <c r="M364" s="183"/>
      <c r="N364" s="19"/>
      <c r="O364" s="19"/>
      <c r="P364" s="23"/>
    </row>
    <row r="365" ht="14.25" customHeight="1">
      <c r="D365" s="18"/>
      <c r="E365" s="134"/>
      <c r="F365" s="19"/>
      <c r="G365" s="112"/>
      <c r="H365" s="19"/>
      <c r="I365" s="19"/>
      <c r="J365" s="112"/>
      <c r="K365" s="19"/>
      <c r="L365" s="19"/>
      <c r="M365" s="183"/>
      <c r="N365" s="19"/>
      <c r="O365" s="19"/>
      <c r="P365" s="23"/>
    </row>
    <row r="366" ht="14.25" customHeight="1">
      <c r="D366" s="18"/>
      <c r="E366" s="134"/>
      <c r="F366" s="19"/>
      <c r="G366" s="112"/>
      <c r="H366" s="19"/>
      <c r="I366" s="19"/>
      <c r="J366" s="112"/>
      <c r="K366" s="19"/>
      <c r="L366" s="19"/>
      <c r="M366" s="183"/>
      <c r="N366" s="19"/>
      <c r="O366" s="19"/>
      <c r="P366" s="23"/>
    </row>
    <row r="367" ht="14.25" customHeight="1">
      <c r="D367" s="18"/>
      <c r="E367" s="134"/>
      <c r="F367" s="19"/>
      <c r="G367" s="112"/>
      <c r="H367" s="19"/>
      <c r="I367" s="19"/>
      <c r="J367" s="112"/>
      <c r="K367" s="19"/>
      <c r="L367" s="19"/>
      <c r="M367" s="183"/>
      <c r="N367" s="19"/>
      <c r="O367" s="19"/>
      <c r="P367" s="23"/>
    </row>
    <row r="368" ht="14.25" customHeight="1">
      <c r="D368" s="18"/>
      <c r="E368" s="134"/>
      <c r="F368" s="19"/>
      <c r="G368" s="112"/>
      <c r="H368" s="19"/>
      <c r="I368" s="19"/>
      <c r="J368" s="112"/>
      <c r="K368" s="19"/>
      <c r="L368" s="19"/>
      <c r="M368" s="183"/>
      <c r="N368" s="19"/>
      <c r="O368" s="19"/>
      <c r="P368" s="23"/>
    </row>
    <row r="369" ht="14.25" customHeight="1">
      <c r="D369" s="18"/>
      <c r="E369" s="134"/>
      <c r="F369" s="19"/>
      <c r="G369" s="112"/>
      <c r="H369" s="19"/>
      <c r="I369" s="19"/>
      <c r="J369" s="112"/>
      <c r="K369" s="19"/>
      <c r="L369" s="19"/>
      <c r="M369" s="183"/>
      <c r="N369" s="19"/>
      <c r="O369" s="19"/>
      <c r="P369" s="23"/>
    </row>
    <row r="370" ht="14.25" customHeight="1">
      <c r="D370" s="18"/>
      <c r="E370" s="134"/>
      <c r="F370" s="19"/>
      <c r="G370" s="112"/>
      <c r="H370" s="19"/>
      <c r="I370" s="19"/>
      <c r="J370" s="112"/>
      <c r="K370" s="19"/>
      <c r="L370" s="19"/>
      <c r="M370" s="183"/>
      <c r="N370" s="19"/>
      <c r="O370" s="19"/>
      <c r="P370" s="23"/>
    </row>
    <row r="371" ht="14.25" customHeight="1">
      <c r="D371" s="18"/>
      <c r="E371" s="134"/>
      <c r="F371" s="19"/>
      <c r="G371" s="112"/>
      <c r="H371" s="19"/>
      <c r="I371" s="19"/>
      <c r="J371" s="112"/>
      <c r="K371" s="19"/>
      <c r="L371" s="19"/>
      <c r="M371" s="183"/>
      <c r="N371" s="19"/>
      <c r="O371" s="19"/>
      <c r="P371" s="23"/>
    </row>
    <row r="372" ht="14.25" customHeight="1">
      <c r="D372" s="18"/>
      <c r="E372" s="134"/>
      <c r="F372" s="19"/>
      <c r="G372" s="112"/>
      <c r="H372" s="19"/>
      <c r="I372" s="19"/>
      <c r="J372" s="112"/>
      <c r="K372" s="19"/>
      <c r="L372" s="19"/>
      <c r="M372" s="183"/>
      <c r="N372" s="19"/>
      <c r="O372" s="19"/>
      <c r="P372" s="23"/>
    </row>
    <row r="373" ht="14.25" customHeight="1">
      <c r="D373" s="18"/>
      <c r="E373" s="134"/>
      <c r="F373" s="19"/>
      <c r="G373" s="112"/>
      <c r="H373" s="19"/>
      <c r="I373" s="19"/>
      <c r="J373" s="112"/>
      <c r="K373" s="19"/>
      <c r="L373" s="19"/>
      <c r="M373" s="183"/>
      <c r="N373" s="19"/>
      <c r="O373" s="19"/>
      <c r="P373" s="23"/>
    </row>
    <row r="374" ht="14.25" customHeight="1">
      <c r="D374" s="18"/>
      <c r="E374" s="134"/>
      <c r="F374" s="19"/>
      <c r="G374" s="112"/>
      <c r="H374" s="19"/>
      <c r="I374" s="19"/>
      <c r="J374" s="112"/>
      <c r="K374" s="19"/>
      <c r="L374" s="19"/>
      <c r="M374" s="183"/>
      <c r="N374" s="19"/>
      <c r="O374" s="19"/>
      <c r="P374" s="23"/>
    </row>
    <row r="375" ht="14.25" customHeight="1">
      <c r="D375" s="18"/>
      <c r="E375" s="134"/>
      <c r="F375" s="19"/>
      <c r="G375" s="112"/>
      <c r="H375" s="19"/>
      <c r="I375" s="19"/>
      <c r="J375" s="112"/>
      <c r="K375" s="19"/>
      <c r="L375" s="19"/>
      <c r="M375" s="183"/>
      <c r="N375" s="19"/>
      <c r="O375" s="19"/>
      <c r="P375" s="23"/>
    </row>
    <row r="376" ht="14.25" customHeight="1">
      <c r="D376" s="18"/>
      <c r="E376" s="134"/>
      <c r="F376" s="19"/>
      <c r="G376" s="112"/>
      <c r="H376" s="19"/>
      <c r="I376" s="19"/>
      <c r="J376" s="112"/>
      <c r="K376" s="19"/>
      <c r="L376" s="19"/>
      <c r="M376" s="183"/>
      <c r="N376" s="19"/>
      <c r="O376" s="19"/>
      <c r="P376" s="23"/>
    </row>
    <row r="377" ht="14.25" customHeight="1">
      <c r="D377" s="18"/>
      <c r="E377" s="134"/>
      <c r="F377" s="19"/>
      <c r="G377" s="112"/>
      <c r="H377" s="19"/>
      <c r="I377" s="19"/>
      <c r="J377" s="112"/>
      <c r="K377" s="19"/>
      <c r="L377" s="19"/>
      <c r="M377" s="183"/>
      <c r="N377" s="19"/>
      <c r="O377" s="19"/>
      <c r="P377" s="23"/>
    </row>
    <row r="378" ht="14.25" customHeight="1">
      <c r="D378" s="18"/>
      <c r="E378" s="134"/>
      <c r="F378" s="19"/>
      <c r="G378" s="112"/>
      <c r="H378" s="19"/>
      <c r="I378" s="19"/>
      <c r="J378" s="112"/>
      <c r="K378" s="19"/>
      <c r="L378" s="19"/>
      <c r="M378" s="183"/>
      <c r="N378" s="19"/>
      <c r="O378" s="19"/>
      <c r="P378" s="23"/>
    </row>
    <row r="379" ht="14.25" customHeight="1">
      <c r="D379" s="18"/>
      <c r="E379" s="134"/>
      <c r="F379" s="19"/>
      <c r="G379" s="112"/>
      <c r="H379" s="19"/>
      <c r="I379" s="19"/>
      <c r="J379" s="112"/>
      <c r="K379" s="19"/>
      <c r="L379" s="19"/>
      <c r="M379" s="183"/>
      <c r="N379" s="19"/>
      <c r="O379" s="19"/>
      <c r="P379" s="23"/>
    </row>
    <row r="380" ht="14.25" customHeight="1">
      <c r="D380" s="18"/>
      <c r="E380" s="134"/>
      <c r="F380" s="19"/>
      <c r="G380" s="112"/>
      <c r="H380" s="19"/>
      <c r="I380" s="19"/>
      <c r="J380" s="112"/>
      <c r="K380" s="19"/>
      <c r="L380" s="19"/>
      <c r="M380" s="183"/>
      <c r="N380" s="19"/>
      <c r="O380" s="19"/>
      <c r="P380" s="23"/>
    </row>
    <row r="381" ht="14.25" customHeight="1">
      <c r="D381" s="18"/>
      <c r="E381" s="134"/>
      <c r="F381" s="19"/>
      <c r="G381" s="112"/>
      <c r="H381" s="19"/>
      <c r="I381" s="19"/>
      <c r="J381" s="112"/>
      <c r="K381" s="19"/>
      <c r="L381" s="19"/>
      <c r="M381" s="183"/>
      <c r="N381" s="19"/>
      <c r="O381" s="19"/>
      <c r="P381" s="23"/>
    </row>
    <row r="382" ht="14.25" customHeight="1">
      <c r="D382" s="18"/>
      <c r="E382" s="134"/>
      <c r="F382" s="19"/>
      <c r="G382" s="112"/>
      <c r="H382" s="19"/>
      <c r="I382" s="19"/>
      <c r="J382" s="112"/>
      <c r="K382" s="19"/>
      <c r="L382" s="19"/>
      <c r="M382" s="183"/>
      <c r="N382" s="19"/>
      <c r="O382" s="19"/>
      <c r="P382" s="23"/>
    </row>
    <row r="383" ht="14.25" customHeight="1">
      <c r="D383" s="18"/>
      <c r="E383" s="134"/>
      <c r="F383" s="19"/>
      <c r="G383" s="112"/>
      <c r="H383" s="19"/>
      <c r="I383" s="19"/>
      <c r="J383" s="112"/>
      <c r="K383" s="19"/>
      <c r="L383" s="19"/>
      <c r="M383" s="183"/>
      <c r="N383" s="19"/>
      <c r="O383" s="19"/>
      <c r="P383" s="23"/>
    </row>
    <row r="384" ht="14.25" customHeight="1">
      <c r="D384" s="18"/>
      <c r="E384" s="134"/>
      <c r="F384" s="19"/>
      <c r="G384" s="112"/>
      <c r="H384" s="19"/>
      <c r="I384" s="19"/>
      <c r="J384" s="112"/>
      <c r="K384" s="19"/>
      <c r="L384" s="19"/>
      <c r="M384" s="183"/>
      <c r="N384" s="19"/>
      <c r="O384" s="19"/>
      <c r="P384" s="23"/>
    </row>
    <row r="385" ht="14.25" customHeight="1">
      <c r="D385" s="18"/>
      <c r="E385" s="134"/>
      <c r="F385" s="19"/>
      <c r="G385" s="112"/>
      <c r="H385" s="19"/>
      <c r="I385" s="19"/>
      <c r="J385" s="112"/>
      <c r="K385" s="19"/>
      <c r="L385" s="19"/>
      <c r="M385" s="183"/>
      <c r="N385" s="19"/>
      <c r="O385" s="19"/>
      <c r="P385" s="23"/>
    </row>
    <row r="386" ht="14.25" customHeight="1">
      <c r="D386" s="18"/>
      <c r="E386" s="134"/>
      <c r="F386" s="19"/>
      <c r="G386" s="112"/>
      <c r="H386" s="19"/>
      <c r="I386" s="19"/>
      <c r="J386" s="112"/>
      <c r="K386" s="19"/>
      <c r="L386" s="19"/>
      <c r="M386" s="183"/>
      <c r="N386" s="19"/>
      <c r="O386" s="19"/>
      <c r="P386" s="23"/>
    </row>
    <row r="387" ht="14.25" customHeight="1">
      <c r="D387" s="18"/>
      <c r="E387" s="134"/>
      <c r="F387" s="19"/>
      <c r="G387" s="112"/>
      <c r="H387" s="19"/>
      <c r="I387" s="19"/>
      <c r="J387" s="112"/>
      <c r="K387" s="19"/>
      <c r="L387" s="19"/>
      <c r="M387" s="183"/>
      <c r="N387" s="19"/>
      <c r="O387" s="19"/>
      <c r="P387" s="23"/>
    </row>
    <row r="388" ht="14.25" customHeight="1">
      <c r="D388" s="18"/>
      <c r="E388" s="134"/>
      <c r="F388" s="19"/>
      <c r="G388" s="112"/>
      <c r="H388" s="19"/>
      <c r="I388" s="19"/>
      <c r="J388" s="112"/>
      <c r="K388" s="19"/>
      <c r="L388" s="19"/>
      <c r="M388" s="183"/>
      <c r="N388" s="19"/>
      <c r="O388" s="19"/>
      <c r="P388" s="23"/>
    </row>
    <row r="389" ht="14.25" customHeight="1">
      <c r="D389" s="18"/>
      <c r="E389" s="134"/>
      <c r="F389" s="19"/>
      <c r="G389" s="112"/>
      <c r="H389" s="19"/>
      <c r="I389" s="19"/>
      <c r="J389" s="112"/>
      <c r="K389" s="19"/>
      <c r="L389" s="19"/>
      <c r="M389" s="183"/>
      <c r="N389" s="19"/>
      <c r="O389" s="19"/>
      <c r="P389" s="23"/>
    </row>
    <row r="390" ht="14.25" customHeight="1">
      <c r="D390" s="18"/>
      <c r="E390" s="134"/>
      <c r="F390" s="19"/>
      <c r="G390" s="112"/>
      <c r="H390" s="19"/>
      <c r="I390" s="19"/>
      <c r="J390" s="112"/>
      <c r="K390" s="19"/>
      <c r="L390" s="19"/>
      <c r="M390" s="183"/>
      <c r="N390" s="19"/>
      <c r="O390" s="19"/>
      <c r="P390" s="23"/>
    </row>
    <row r="391" ht="14.25" customHeight="1">
      <c r="D391" s="18"/>
      <c r="E391" s="134"/>
      <c r="F391" s="19"/>
      <c r="G391" s="112"/>
      <c r="H391" s="19"/>
      <c r="I391" s="19"/>
      <c r="J391" s="112"/>
      <c r="K391" s="19"/>
      <c r="L391" s="19"/>
      <c r="M391" s="183"/>
      <c r="N391" s="19"/>
      <c r="O391" s="19"/>
      <c r="P391" s="23"/>
    </row>
    <row r="392" ht="14.25" customHeight="1">
      <c r="D392" s="18"/>
      <c r="E392" s="134"/>
      <c r="F392" s="19"/>
      <c r="G392" s="112"/>
      <c r="H392" s="19"/>
      <c r="I392" s="19"/>
      <c r="J392" s="112"/>
      <c r="K392" s="19"/>
      <c r="L392" s="19"/>
      <c r="M392" s="183"/>
      <c r="N392" s="19"/>
      <c r="O392" s="19"/>
      <c r="P392" s="23"/>
    </row>
    <row r="393" ht="14.25" customHeight="1">
      <c r="D393" s="18"/>
      <c r="E393" s="134"/>
      <c r="F393" s="19"/>
      <c r="G393" s="112"/>
      <c r="H393" s="19"/>
      <c r="I393" s="19"/>
      <c r="J393" s="112"/>
      <c r="K393" s="19"/>
      <c r="L393" s="19"/>
      <c r="M393" s="183"/>
      <c r="N393" s="19"/>
      <c r="O393" s="19"/>
      <c r="P393" s="23"/>
    </row>
    <row r="394" ht="14.25" customHeight="1">
      <c r="D394" s="18"/>
      <c r="E394" s="134"/>
      <c r="F394" s="19"/>
      <c r="G394" s="112"/>
      <c r="H394" s="19"/>
      <c r="I394" s="19"/>
      <c r="J394" s="112"/>
      <c r="K394" s="19"/>
      <c r="L394" s="19"/>
      <c r="M394" s="183"/>
      <c r="N394" s="19"/>
      <c r="O394" s="19"/>
      <c r="P394" s="23"/>
    </row>
    <row r="395" ht="14.25" customHeight="1">
      <c r="D395" s="18"/>
      <c r="E395" s="134"/>
      <c r="F395" s="19"/>
      <c r="G395" s="112"/>
      <c r="H395" s="19"/>
      <c r="I395" s="19"/>
      <c r="J395" s="112"/>
      <c r="K395" s="19"/>
      <c r="L395" s="19"/>
      <c r="M395" s="183"/>
      <c r="N395" s="19"/>
      <c r="O395" s="19"/>
      <c r="P395" s="23"/>
    </row>
    <row r="396" ht="14.25" customHeight="1">
      <c r="D396" s="18"/>
      <c r="E396" s="134"/>
      <c r="F396" s="19"/>
      <c r="G396" s="112"/>
      <c r="H396" s="19"/>
      <c r="I396" s="19"/>
      <c r="J396" s="112"/>
      <c r="K396" s="19"/>
      <c r="L396" s="19"/>
      <c r="M396" s="183"/>
      <c r="N396" s="19"/>
      <c r="O396" s="19"/>
      <c r="P396" s="23"/>
    </row>
    <row r="397" ht="14.25" customHeight="1">
      <c r="D397" s="18"/>
      <c r="E397" s="134"/>
      <c r="F397" s="19"/>
      <c r="G397" s="112"/>
      <c r="H397" s="19"/>
      <c r="I397" s="19"/>
      <c r="J397" s="112"/>
      <c r="K397" s="19"/>
      <c r="L397" s="19"/>
      <c r="M397" s="183"/>
      <c r="N397" s="19"/>
      <c r="O397" s="19"/>
      <c r="P397" s="23"/>
    </row>
    <row r="398" ht="14.25" customHeight="1">
      <c r="D398" s="18"/>
      <c r="E398" s="134"/>
      <c r="F398" s="19"/>
      <c r="G398" s="112"/>
      <c r="H398" s="19"/>
      <c r="I398" s="19"/>
      <c r="J398" s="112"/>
      <c r="K398" s="19"/>
      <c r="L398" s="19"/>
      <c r="M398" s="183"/>
      <c r="N398" s="19"/>
      <c r="O398" s="19"/>
      <c r="P398" s="23"/>
    </row>
    <row r="399" ht="14.25" customHeight="1">
      <c r="D399" s="18"/>
      <c r="E399" s="134"/>
      <c r="F399" s="19"/>
      <c r="G399" s="112"/>
      <c r="H399" s="19"/>
      <c r="I399" s="19"/>
      <c r="J399" s="112"/>
      <c r="K399" s="19"/>
      <c r="L399" s="19"/>
      <c r="M399" s="183"/>
      <c r="N399" s="19"/>
      <c r="O399" s="19"/>
      <c r="P399" s="23"/>
    </row>
    <row r="400" ht="14.25" customHeight="1">
      <c r="D400" s="18"/>
      <c r="E400" s="134"/>
      <c r="F400" s="19"/>
      <c r="G400" s="112"/>
      <c r="H400" s="19"/>
      <c r="I400" s="19"/>
      <c r="J400" s="112"/>
      <c r="K400" s="19"/>
      <c r="L400" s="19"/>
      <c r="M400" s="183"/>
      <c r="N400" s="19"/>
      <c r="O400" s="19"/>
      <c r="P400" s="23"/>
    </row>
    <row r="401" ht="14.25" customHeight="1">
      <c r="D401" s="18"/>
      <c r="E401" s="134"/>
      <c r="F401" s="19"/>
      <c r="G401" s="112"/>
      <c r="H401" s="19"/>
      <c r="I401" s="19"/>
      <c r="J401" s="112"/>
      <c r="K401" s="19"/>
      <c r="L401" s="19"/>
      <c r="M401" s="183"/>
      <c r="N401" s="19"/>
      <c r="O401" s="19"/>
      <c r="P401" s="23"/>
    </row>
    <row r="402" ht="14.25" customHeight="1">
      <c r="D402" s="18"/>
      <c r="E402" s="134"/>
      <c r="F402" s="19"/>
      <c r="G402" s="112"/>
      <c r="H402" s="19"/>
      <c r="I402" s="19"/>
      <c r="J402" s="112"/>
      <c r="K402" s="19"/>
      <c r="L402" s="19"/>
      <c r="M402" s="183"/>
      <c r="N402" s="19"/>
      <c r="O402" s="19"/>
      <c r="P402" s="23"/>
    </row>
    <row r="403" ht="14.25" customHeight="1">
      <c r="D403" s="18"/>
      <c r="E403" s="134"/>
      <c r="F403" s="19"/>
      <c r="G403" s="112"/>
      <c r="H403" s="19"/>
      <c r="I403" s="19"/>
      <c r="J403" s="112"/>
      <c r="K403" s="19"/>
      <c r="L403" s="19"/>
      <c r="M403" s="183"/>
      <c r="N403" s="19"/>
      <c r="O403" s="19"/>
      <c r="P403" s="23"/>
    </row>
    <row r="404" ht="14.25" customHeight="1">
      <c r="D404" s="18"/>
      <c r="E404" s="134"/>
      <c r="F404" s="19"/>
      <c r="G404" s="112"/>
      <c r="H404" s="19"/>
      <c r="I404" s="19"/>
      <c r="J404" s="112"/>
      <c r="K404" s="19"/>
      <c r="L404" s="19"/>
      <c r="M404" s="183"/>
      <c r="N404" s="19"/>
      <c r="O404" s="19"/>
      <c r="P404" s="23"/>
    </row>
    <row r="405" ht="14.25" customHeight="1">
      <c r="D405" s="18"/>
      <c r="E405" s="134"/>
      <c r="F405" s="19"/>
      <c r="G405" s="112"/>
      <c r="H405" s="19"/>
      <c r="I405" s="19"/>
      <c r="J405" s="112"/>
      <c r="K405" s="19"/>
      <c r="L405" s="19"/>
      <c r="M405" s="183"/>
      <c r="N405" s="19"/>
      <c r="O405" s="19"/>
      <c r="P405" s="23"/>
    </row>
    <row r="406" ht="14.25" customHeight="1">
      <c r="D406" s="18"/>
      <c r="E406" s="134"/>
      <c r="F406" s="19"/>
      <c r="G406" s="112"/>
      <c r="H406" s="19"/>
      <c r="I406" s="19"/>
      <c r="J406" s="112"/>
      <c r="K406" s="19"/>
      <c r="L406" s="19"/>
      <c r="M406" s="183"/>
      <c r="N406" s="19"/>
      <c r="O406" s="19"/>
      <c r="P406" s="23"/>
    </row>
    <row r="407" ht="14.25" customHeight="1">
      <c r="D407" s="18"/>
      <c r="E407" s="134"/>
      <c r="F407" s="19"/>
      <c r="G407" s="112"/>
      <c r="H407" s="19"/>
      <c r="I407" s="19"/>
      <c r="J407" s="112"/>
      <c r="K407" s="19"/>
      <c r="L407" s="19"/>
      <c r="M407" s="183"/>
      <c r="N407" s="19"/>
      <c r="O407" s="19"/>
      <c r="P407" s="23"/>
    </row>
    <row r="408" ht="14.25" customHeight="1">
      <c r="D408" s="18"/>
      <c r="E408" s="134"/>
      <c r="F408" s="19"/>
      <c r="G408" s="112"/>
      <c r="H408" s="19"/>
      <c r="I408" s="19"/>
      <c r="J408" s="112"/>
      <c r="K408" s="19"/>
      <c r="L408" s="19"/>
      <c r="M408" s="183"/>
      <c r="N408" s="19"/>
      <c r="O408" s="19"/>
      <c r="P408" s="23"/>
    </row>
    <row r="409" ht="14.25" customHeight="1">
      <c r="D409" s="18"/>
      <c r="E409" s="134"/>
      <c r="F409" s="19"/>
      <c r="G409" s="112"/>
      <c r="H409" s="19"/>
      <c r="I409" s="19"/>
      <c r="J409" s="112"/>
      <c r="K409" s="19"/>
      <c r="L409" s="19"/>
      <c r="M409" s="183"/>
      <c r="N409" s="19"/>
      <c r="O409" s="19"/>
      <c r="P409" s="23"/>
    </row>
    <row r="410" ht="14.25" customHeight="1">
      <c r="D410" s="18"/>
      <c r="E410" s="134"/>
      <c r="F410" s="19"/>
      <c r="G410" s="112"/>
      <c r="H410" s="19"/>
      <c r="I410" s="19"/>
      <c r="J410" s="112"/>
      <c r="K410" s="19"/>
      <c r="L410" s="19"/>
      <c r="M410" s="183"/>
      <c r="N410" s="19"/>
      <c r="O410" s="19"/>
      <c r="P410" s="23"/>
    </row>
    <row r="411" ht="14.25" customHeight="1">
      <c r="D411" s="18"/>
      <c r="E411" s="134"/>
      <c r="F411" s="19"/>
      <c r="G411" s="112"/>
      <c r="H411" s="19"/>
      <c r="I411" s="19"/>
      <c r="J411" s="112"/>
      <c r="K411" s="19"/>
      <c r="L411" s="19"/>
      <c r="M411" s="183"/>
      <c r="N411" s="19"/>
      <c r="O411" s="19"/>
      <c r="P411" s="23"/>
    </row>
    <row r="412" ht="14.25" customHeight="1">
      <c r="D412" s="18"/>
      <c r="E412" s="134"/>
      <c r="F412" s="19"/>
      <c r="G412" s="112"/>
      <c r="H412" s="19"/>
      <c r="I412" s="19"/>
      <c r="J412" s="112"/>
      <c r="K412" s="19"/>
      <c r="L412" s="19"/>
      <c r="M412" s="183"/>
      <c r="N412" s="19"/>
      <c r="O412" s="19"/>
      <c r="P412" s="23"/>
    </row>
    <row r="413" ht="14.25" customHeight="1">
      <c r="D413" s="18"/>
      <c r="E413" s="134"/>
      <c r="F413" s="19"/>
      <c r="G413" s="112"/>
      <c r="H413" s="19"/>
      <c r="I413" s="19"/>
      <c r="J413" s="112"/>
      <c r="K413" s="19"/>
      <c r="L413" s="19"/>
      <c r="M413" s="183"/>
      <c r="N413" s="19"/>
      <c r="O413" s="19"/>
      <c r="P413" s="23"/>
    </row>
    <row r="414" ht="14.25" customHeight="1">
      <c r="D414" s="18"/>
      <c r="E414" s="134"/>
      <c r="F414" s="19"/>
      <c r="G414" s="112"/>
      <c r="H414" s="19"/>
      <c r="I414" s="19"/>
      <c r="J414" s="112"/>
      <c r="K414" s="19"/>
      <c r="L414" s="19"/>
      <c r="M414" s="183"/>
      <c r="N414" s="19"/>
      <c r="O414" s="19"/>
      <c r="P414" s="23"/>
    </row>
    <row r="415" ht="14.25" customHeight="1">
      <c r="D415" s="18"/>
      <c r="E415" s="134"/>
      <c r="F415" s="19"/>
      <c r="G415" s="112"/>
      <c r="H415" s="19"/>
      <c r="I415" s="19"/>
      <c r="J415" s="112"/>
      <c r="K415" s="19"/>
      <c r="L415" s="19"/>
      <c r="M415" s="183"/>
      <c r="N415" s="19"/>
      <c r="O415" s="19"/>
      <c r="P415" s="23"/>
    </row>
    <row r="416" ht="14.25" customHeight="1">
      <c r="D416" s="18"/>
      <c r="E416" s="134"/>
      <c r="F416" s="19"/>
      <c r="G416" s="112"/>
      <c r="H416" s="19"/>
      <c r="I416" s="19"/>
      <c r="J416" s="112"/>
      <c r="K416" s="19"/>
      <c r="L416" s="19"/>
      <c r="M416" s="183"/>
      <c r="N416" s="19"/>
      <c r="O416" s="19"/>
      <c r="P416" s="23"/>
    </row>
    <row r="417" ht="14.25" customHeight="1">
      <c r="D417" s="18"/>
      <c r="E417" s="134"/>
      <c r="F417" s="19"/>
      <c r="G417" s="112"/>
      <c r="H417" s="19"/>
      <c r="I417" s="19"/>
      <c r="J417" s="112"/>
      <c r="K417" s="19"/>
      <c r="L417" s="19"/>
      <c r="M417" s="183"/>
      <c r="N417" s="19"/>
      <c r="O417" s="19"/>
      <c r="P417" s="23"/>
    </row>
    <row r="418" ht="14.25" customHeight="1">
      <c r="D418" s="18"/>
      <c r="E418" s="134"/>
      <c r="F418" s="19"/>
      <c r="G418" s="112"/>
      <c r="H418" s="19"/>
      <c r="I418" s="19"/>
      <c r="J418" s="112"/>
      <c r="K418" s="19"/>
      <c r="L418" s="19"/>
      <c r="M418" s="183"/>
      <c r="N418" s="19"/>
      <c r="O418" s="19"/>
      <c r="P418" s="23"/>
    </row>
    <row r="419" ht="14.25" customHeight="1">
      <c r="D419" s="18"/>
      <c r="E419" s="134"/>
      <c r="F419" s="19"/>
      <c r="G419" s="112"/>
      <c r="H419" s="19"/>
      <c r="I419" s="19"/>
      <c r="J419" s="112"/>
      <c r="K419" s="19"/>
      <c r="L419" s="19"/>
      <c r="M419" s="183"/>
      <c r="N419" s="19"/>
      <c r="O419" s="19"/>
      <c r="P419" s="23"/>
    </row>
    <row r="420" ht="14.25" customHeight="1">
      <c r="D420" s="18"/>
      <c r="E420" s="134"/>
      <c r="F420" s="19"/>
      <c r="G420" s="112"/>
      <c r="H420" s="19"/>
      <c r="I420" s="19"/>
      <c r="J420" s="112"/>
      <c r="K420" s="19"/>
      <c r="L420" s="19"/>
      <c r="M420" s="183"/>
      <c r="N420" s="19"/>
      <c r="O420" s="19"/>
      <c r="P420" s="23"/>
    </row>
    <row r="421" ht="14.25" customHeight="1">
      <c r="D421" s="18"/>
      <c r="E421" s="134"/>
      <c r="F421" s="19"/>
      <c r="G421" s="112"/>
      <c r="H421" s="19"/>
      <c r="I421" s="19"/>
      <c r="J421" s="112"/>
      <c r="K421" s="19"/>
      <c r="L421" s="19"/>
      <c r="M421" s="183"/>
      <c r="N421" s="19"/>
      <c r="O421" s="19"/>
      <c r="P421" s="23"/>
    </row>
    <row r="422" ht="14.25" customHeight="1">
      <c r="D422" s="18"/>
      <c r="E422" s="134"/>
      <c r="F422" s="19"/>
      <c r="G422" s="112"/>
      <c r="H422" s="19"/>
      <c r="I422" s="19"/>
      <c r="J422" s="112"/>
      <c r="K422" s="19"/>
      <c r="L422" s="19"/>
      <c r="M422" s="183"/>
      <c r="N422" s="19"/>
      <c r="O422" s="19"/>
      <c r="P422" s="23"/>
    </row>
    <row r="423" ht="14.25" customHeight="1">
      <c r="D423" s="18"/>
      <c r="E423" s="134"/>
      <c r="F423" s="19"/>
      <c r="G423" s="112"/>
      <c r="H423" s="19"/>
      <c r="I423" s="19"/>
      <c r="J423" s="112"/>
      <c r="K423" s="19"/>
      <c r="L423" s="19"/>
      <c r="M423" s="183"/>
      <c r="N423" s="19"/>
      <c r="O423" s="19"/>
      <c r="P423" s="23"/>
    </row>
    <row r="424" ht="14.25" customHeight="1">
      <c r="D424" s="18"/>
      <c r="E424" s="134"/>
      <c r="F424" s="19"/>
      <c r="G424" s="112"/>
      <c r="H424" s="19"/>
      <c r="I424" s="19"/>
      <c r="J424" s="112"/>
      <c r="K424" s="19"/>
      <c r="L424" s="19"/>
      <c r="M424" s="183"/>
      <c r="N424" s="19"/>
      <c r="O424" s="19"/>
      <c r="P424" s="23"/>
    </row>
    <row r="425" ht="14.25" customHeight="1">
      <c r="D425" s="18"/>
      <c r="E425" s="134"/>
      <c r="F425" s="19"/>
      <c r="G425" s="112"/>
      <c r="H425" s="19"/>
      <c r="I425" s="19"/>
      <c r="J425" s="112"/>
      <c r="K425" s="19"/>
      <c r="L425" s="19"/>
      <c r="M425" s="183"/>
      <c r="N425" s="19"/>
      <c r="O425" s="19"/>
      <c r="P425" s="23"/>
    </row>
    <row r="426" ht="14.25" customHeight="1">
      <c r="D426" s="18"/>
      <c r="E426" s="134"/>
      <c r="F426" s="19"/>
      <c r="G426" s="112"/>
      <c r="H426" s="19"/>
      <c r="I426" s="19"/>
      <c r="J426" s="112"/>
      <c r="K426" s="19"/>
      <c r="L426" s="19"/>
      <c r="M426" s="183"/>
      <c r="N426" s="19"/>
      <c r="O426" s="19"/>
      <c r="P426" s="23"/>
    </row>
    <row r="427" ht="14.25" customHeight="1">
      <c r="D427" s="18"/>
      <c r="E427" s="134"/>
      <c r="F427" s="19"/>
      <c r="G427" s="112"/>
      <c r="H427" s="19"/>
      <c r="I427" s="19"/>
      <c r="J427" s="112"/>
      <c r="K427" s="19"/>
      <c r="L427" s="19"/>
      <c r="M427" s="183"/>
      <c r="N427" s="19"/>
      <c r="O427" s="19"/>
      <c r="P427" s="23"/>
    </row>
    <row r="428" ht="14.25" customHeight="1">
      <c r="D428" s="18"/>
      <c r="E428" s="134"/>
      <c r="F428" s="19"/>
      <c r="G428" s="112"/>
      <c r="H428" s="19"/>
      <c r="I428" s="19"/>
      <c r="J428" s="112"/>
      <c r="K428" s="19"/>
      <c r="L428" s="19"/>
      <c r="M428" s="183"/>
      <c r="N428" s="19"/>
      <c r="O428" s="19"/>
      <c r="P428" s="23"/>
    </row>
    <row r="429" ht="14.25" customHeight="1">
      <c r="D429" s="18"/>
      <c r="E429" s="134"/>
      <c r="F429" s="19"/>
      <c r="G429" s="112"/>
      <c r="H429" s="19"/>
      <c r="I429" s="19"/>
      <c r="J429" s="112"/>
      <c r="K429" s="19"/>
      <c r="L429" s="19"/>
      <c r="M429" s="183"/>
      <c r="N429" s="19"/>
      <c r="O429" s="19"/>
      <c r="P429" s="23"/>
    </row>
    <row r="430" ht="14.25" customHeight="1">
      <c r="D430" s="18"/>
      <c r="E430" s="134"/>
      <c r="F430" s="19"/>
      <c r="G430" s="112"/>
      <c r="H430" s="19"/>
      <c r="I430" s="19"/>
      <c r="J430" s="112"/>
      <c r="K430" s="19"/>
      <c r="L430" s="19"/>
      <c r="M430" s="183"/>
      <c r="N430" s="19"/>
      <c r="O430" s="19"/>
      <c r="P430" s="23"/>
    </row>
    <row r="431" ht="14.25" customHeight="1">
      <c r="D431" s="18"/>
      <c r="E431" s="134"/>
      <c r="F431" s="19"/>
      <c r="G431" s="112"/>
      <c r="H431" s="19"/>
      <c r="I431" s="19"/>
      <c r="J431" s="112"/>
      <c r="K431" s="19"/>
      <c r="L431" s="19"/>
      <c r="M431" s="183"/>
      <c r="N431" s="19"/>
      <c r="O431" s="19"/>
      <c r="P431" s="23"/>
    </row>
    <row r="432" ht="14.25" customHeight="1">
      <c r="D432" s="18"/>
      <c r="E432" s="134"/>
      <c r="F432" s="19"/>
      <c r="G432" s="112"/>
      <c r="H432" s="19"/>
      <c r="I432" s="19"/>
      <c r="J432" s="112"/>
      <c r="K432" s="19"/>
      <c r="L432" s="19"/>
      <c r="M432" s="183"/>
      <c r="N432" s="19"/>
      <c r="O432" s="19"/>
      <c r="P432" s="23"/>
    </row>
    <row r="433" ht="14.25" customHeight="1">
      <c r="D433" s="18"/>
      <c r="E433" s="134"/>
      <c r="F433" s="19"/>
      <c r="G433" s="112"/>
      <c r="H433" s="19"/>
      <c r="I433" s="19"/>
      <c r="J433" s="112"/>
      <c r="K433" s="19"/>
      <c r="L433" s="19"/>
      <c r="M433" s="183"/>
      <c r="N433" s="19"/>
      <c r="O433" s="19"/>
      <c r="P433" s="23"/>
    </row>
    <row r="434" ht="14.25" customHeight="1">
      <c r="D434" s="18"/>
      <c r="E434" s="134"/>
      <c r="F434" s="19"/>
      <c r="G434" s="112"/>
      <c r="H434" s="19"/>
      <c r="I434" s="19"/>
      <c r="J434" s="112"/>
      <c r="K434" s="19"/>
      <c r="L434" s="19"/>
      <c r="M434" s="183"/>
      <c r="N434" s="19"/>
      <c r="O434" s="19"/>
      <c r="P434" s="23"/>
    </row>
    <row r="435" ht="14.25" customHeight="1">
      <c r="D435" s="18"/>
      <c r="E435" s="134"/>
      <c r="F435" s="19"/>
      <c r="G435" s="112"/>
      <c r="H435" s="19"/>
      <c r="I435" s="19"/>
      <c r="J435" s="112"/>
      <c r="K435" s="19"/>
      <c r="L435" s="19"/>
      <c r="M435" s="183"/>
      <c r="N435" s="19"/>
      <c r="O435" s="19"/>
      <c r="P435" s="23"/>
    </row>
    <row r="436" ht="14.25" customHeight="1">
      <c r="D436" s="18"/>
      <c r="E436" s="134"/>
      <c r="F436" s="19"/>
      <c r="G436" s="112"/>
      <c r="H436" s="19"/>
      <c r="I436" s="19"/>
      <c r="J436" s="112"/>
      <c r="K436" s="19"/>
      <c r="L436" s="19"/>
      <c r="M436" s="183"/>
      <c r="N436" s="19"/>
      <c r="O436" s="19"/>
      <c r="P436" s="23"/>
    </row>
    <row r="437" ht="14.25" customHeight="1">
      <c r="D437" s="18"/>
      <c r="E437" s="134"/>
      <c r="F437" s="19"/>
      <c r="G437" s="112"/>
      <c r="H437" s="19"/>
      <c r="I437" s="19"/>
      <c r="J437" s="112"/>
      <c r="K437" s="19"/>
      <c r="L437" s="19"/>
      <c r="M437" s="183"/>
      <c r="N437" s="19"/>
      <c r="O437" s="19"/>
      <c r="P437" s="23"/>
    </row>
    <row r="438" ht="14.25" customHeight="1">
      <c r="D438" s="18"/>
      <c r="E438" s="134"/>
      <c r="F438" s="19"/>
      <c r="G438" s="112"/>
      <c r="H438" s="19"/>
      <c r="I438" s="19"/>
      <c r="J438" s="112"/>
      <c r="K438" s="19"/>
      <c r="L438" s="19"/>
      <c r="M438" s="183"/>
      <c r="N438" s="19"/>
      <c r="O438" s="19"/>
      <c r="P438" s="23"/>
    </row>
    <row r="439" ht="14.25" customHeight="1">
      <c r="D439" s="18"/>
      <c r="E439" s="134"/>
      <c r="F439" s="19"/>
      <c r="G439" s="112"/>
      <c r="H439" s="19"/>
      <c r="I439" s="19"/>
      <c r="J439" s="112"/>
      <c r="K439" s="19"/>
      <c r="L439" s="19"/>
      <c r="M439" s="183"/>
      <c r="N439" s="19"/>
      <c r="O439" s="19"/>
      <c r="P439" s="23"/>
    </row>
    <row r="440" ht="14.25" customHeight="1">
      <c r="D440" s="18"/>
      <c r="E440" s="134"/>
      <c r="F440" s="19"/>
      <c r="G440" s="112"/>
      <c r="H440" s="19"/>
      <c r="I440" s="19"/>
      <c r="J440" s="112"/>
      <c r="K440" s="19"/>
      <c r="L440" s="19"/>
      <c r="M440" s="183"/>
      <c r="N440" s="19"/>
      <c r="O440" s="19"/>
      <c r="P440" s="23"/>
    </row>
    <row r="441" ht="14.25" customHeight="1">
      <c r="D441" s="18"/>
      <c r="E441" s="134"/>
      <c r="F441" s="19"/>
      <c r="G441" s="112"/>
      <c r="H441" s="19"/>
      <c r="I441" s="19"/>
      <c r="J441" s="112"/>
      <c r="K441" s="19"/>
      <c r="L441" s="19"/>
      <c r="M441" s="183"/>
      <c r="N441" s="19"/>
      <c r="O441" s="19"/>
      <c r="P441" s="23"/>
    </row>
    <row r="442" ht="14.25" customHeight="1">
      <c r="D442" s="18"/>
      <c r="E442" s="134"/>
      <c r="F442" s="19"/>
      <c r="G442" s="112"/>
      <c r="H442" s="19"/>
      <c r="I442" s="19"/>
      <c r="J442" s="112"/>
      <c r="K442" s="19"/>
      <c r="L442" s="19"/>
      <c r="M442" s="183"/>
      <c r="N442" s="19"/>
      <c r="O442" s="19"/>
      <c r="P442" s="23"/>
    </row>
    <row r="443" ht="14.25" customHeight="1">
      <c r="D443" s="18"/>
      <c r="E443" s="134"/>
      <c r="F443" s="19"/>
      <c r="G443" s="112"/>
      <c r="H443" s="19"/>
      <c r="I443" s="19"/>
      <c r="J443" s="112"/>
      <c r="K443" s="19"/>
      <c r="L443" s="19"/>
      <c r="M443" s="183"/>
      <c r="N443" s="19"/>
      <c r="O443" s="19"/>
      <c r="P443" s="23"/>
    </row>
    <row r="444" ht="14.25" customHeight="1">
      <c r="D444" s="18"/>
      <c r="E444" s="134"/>
      <c r="F444" s="19"/>
      <c r="G444" s="112"/>
      <c r="H444" s="19"/>
      <c r="I444" s="19"/>
      <c r="J444" s="112"/>
      <c r="K444" s="19"/>
      <c r="L444" s="19"/>
      <c r="M444" s="183"/>
      <c r="N444" s="19"/>
      <c r="O444" s="19"/>
      <c r="P444" s="23"/>
    </row>
    <row r="445" ht="14.25" customHeight="1">
      <c r="D445" s="18"/>
      <c r="E445" s="134"/>
      <c r="F445" s="19"/>
      <c r="G445" s="112"/>
      <c r="H445" s="19"/>
      <c r="I445" s="19"/>
      <c r="J445" s="112"/>
      <c r="K445" s="19"/>
      <c r="L445" s="19"/>
      <c r="M445" s="183"/>
      <c r="N445" s="19"/>
      <c r="O445" s="19"/>
      <c r="P445" s="23"/>
    </row>
    <row r="446" ht="14.25" customHeight="1">
      <c r="D446" s="18"/>
      <c r="E446" s="134"/>
      <c r="F446" s="19"/>
      <c r="G446" s="112"/>
      <c r="H446" s="19"/>
      <c r="I446" s="19"/>
      <c r="J446" s="112"/>
      <c r="K446" s="19"/>
      <c r="L446" s="19"/>
      <c r="M446" s="183"/>
      <c r="N446" s="19"/>
      <c r="O446" s="19"/>
      <c r="P446" s="23"/>
    </row>
    <row r="447" ht="14.25" customHeight="1">
      <c r="D447" s="18"/>
      <c r="E447" s="134"/>
      <c r="F447" s="19"/>
      <c r="G447" s="112"/>
      <c r="H447" s="19"/>
      <c r="I447" s="19"/>
      <c r="J447" s="112"/>
      <c r="K447" s="19"/>
      <c r="L447" s="19"/>
      <c r="M447" s="183"/>
      <c r="N447" s="19"/>
      <c r="O447" s="19"/>
      <c r="P447" s="23"/>
    </row>
    <row r="448" ht="14.25" customHeight="1">
      <c r="D448" s="18"/>
      <c r="E448" s="134"/>
      <c r="F448" s="19"/>
      <c r="G448" s="112"/>
      <c r="H448" s="19"/>
      <c r="I448" s="19"/>
      <c r="J448" s="112"/>
      <c r="K448" s="19"/>
      <c r="L448" s="19"/>
      <c r="M448" s="183"/>
      <c r="N448" s="19"/>
      <c r="O448" s="19"/>
      <c r="P448" s="23"/>
    </row>
    <row r="449" ht="14.25" customHeight="1">
      <c r="D449" s="18"/>
      <c r="E449" s="134"/>
      <c r="F449" s="19"/>
      <c r="G449" s="112"/>
      <c r="H449" s="19"/>
      <c r="I449" s="19"/>
      <c r="J449" s="112"/>
      <c r="K449" s="19"/>
      <c r="L449" s="19"/>
      <c r="M449" s="183"/>
      <c r="N449" s="19"/>
      <c r="O449" s="19"/>
      <c r="P449" s="23"/>
    </row>
    <row r="450" ht="14.25" customHeight="1">
      <c r="D450" s="18"/>
      <c r="E450" s="134"/>
      <c r="F450" s="19"/>
      <c r="G450" s="112"/>
      <c r="H450" s="19"/>
      <c r="I450" s="19"/>
      <c r="J450" s="112"/>
      <c r="K450" s="19"/>
      <c r="L450" s="19"/>
      <c r="M450" s="183"/>
      <c r="N450" s="19"/>
      <c r="O450" s="19"/>
      <c r="P450" s="23"/>
    </row>
    <row r="451" ht="14.25" customHeight="1">
      <c r="D451" s="18"/>
      <c r="E451" s="134"/>
      <c r="F451" s="19"/>
      <c r="G451" s="112"/>
      <c r="H451" s="19"/>
      <c r="I451" s="19"/>
      <c r="J451" s="112"/>
      <c r="K451" s="19"/>
      <c r="L451" s="19"/>
      <c r="M451" s="183"/>
      <c r="N451" s="19"/>
      <c r="O451" s="19"/>
      <c r="P451" s="23"/>
    </row>
    <row r="452" ht="14.25" customHeight="1">
      <c r="D452" s="18"/>
      <c r="E452" s="134"/>
      <c r="F452" s="19"/>
      <c r="G452" s="112"/>
      <c r="H452" s="19"/>
      <c r="I452" s="19"/>
      <c r="J452" s="112"/>
      <c r="K452" s="19"/>
      <c r="L452" s="19"/>
      <c r="M452" s="183"/>
      <c r="N452" s="19"/>
      <c r="O452" s="19"/>
      <c r="P452" s="23"/>
    </row>
    <row r="453" ht="14.25" customHeight="1">
      <c r="D453" s="18"/>
      <c r="E453" s="134"/>
      <c r="F453" s="19"/>
      <c r="G453" s="112"/>
      <c r="H453" s="19"/>
      <c r="I453" s="19"/>
      <c r="J453" s="112"/>
      <c r="K453" s="19"/>
      <c r="L453" s="19"/>
      <c r="M453" s="183"/>
      <c r="N453" s="19"/>
      <c r="O453" s="19"/>
      <c r="P453" s="23"/>
    </row>
    <row r="454" ht="14.25" customHeight="1">
      <c r="D454" s="18"/>
      <c r="E454" s="134"/>
      <c r="F454" s="19"/>
      <c r="G454" s="112"/>
      <c r="H454" s="19"/>
      <c r="I454" s="19"/>
      <c r="J454" s="112"/>
      <c r="K454" s="19"/>
      <c r="L454" s="19"/>
      <c r="M454" s="183"/>
      <c r="N454" s="19"/>
      <c r="O454" s="19"/>
      <c r="P454" s="23"/>
    </row>
    <row r="455" ht="14.25" customHeight="1">
      <c r="D455" s="18"/>
      <c r="E455" s="134"/>
      <c r="F455" s="19"/>
      <c r="G455" s="112"/>
      <c r="H455" s="19"/>
      <c r="I455" s="19"/>
      <c r="J455" s="112"/>
      <c r="K455" s="19"/>
      <c r="L455" s="19"/>
      <c r="M455" s="183"/>
      <c r="N455" s="19"/>
      <c r="O455" s="19"/>
      <c r="P455" s="23"/>
    </row>
    <row r="456" ht="14.25" customHeight="1">
      <c r="D456" s="18"/>
      <c r="E456" s="134"/>
      <c r="F456" s="19"/>
      <c r="G456" s="112"/>
      <c r="H456" s="19"/>
      <c r="I456" s="19"/>
      <c r="J456" s="112"/>
      <c r="K456" s="19"/>
      <c r="L456" s="19"/>
      <c r="M456" s="183"/>
      <c r="N456" s="19"/>
      <c r="O456" s="19"/>
      <c r="P456" s="23"/>
    </row>
    <row r="457" ht="14.25" customHeight="1">
      <c r="D457" s="18"/>
      <c r="E457" s="134"/>
      <c r="F457" s="19"/>
      <c r="G457" s="112"/>
      <c r="H457" s="19"/>
      <c r="I457" s="19"/>
      <c r="J457" s="112"/>
      <c r="K457" s="19"/>
      <c r="L457" s="19"/>
      <c r="M457" s="183"/>
      <c r="N457" s="19"/>
      <c r="O457" s="19"/>
      <c r="P457" s="23"/>
    </row>
    <row r="458" ht="14.25" customHeight="1">
      <c r="D458" s="18"/>
      <c r="E458" s="134"/>
      <c r="F458" s="19"/>
      <c r="G458" s="112"/>
      <c r="H458" s="19"/>
      <c r="I458" s="19"/>
      <c r="J458" s="112"/>
      <c r="K458" s="19"/>
      <c r="L458" s="19"/>
      <c r="M458" s="183"/>
      <c r="N458" s="19"/>
      <c r="O458" s="19"/>
      <c r="P458" s="23"/>
    </row>
    <row r="459" ht="14.25" customHeight="1">
      <c r="D459" s="18"/>
      <c r="E459" s="134"/>
      <c r="F459" s="19"/>
      <c r="G459" s="112"/>
      <c r="H459" s="19"/>
      <c r="I459" s="19"/>
      <c r="J459" s="112"/>
      <c r="K459" s="19"/>
      <c r="L459" s="19"/>
      <c r="M459" s="183"/>
      <c r="N459" s="19"/>
      <c r="O459" s="19"/>
      <c r="P459" s="23"/>
    </row>
    <row r="460" ht="14.25" customHeight="1">
      <c r="D460" s="18"/>
      <c r="E460" s="134"/>
      <c r="F460" s="19"/>
      <c r="G460" s="112"/>
      <c r="H460" s="19"/>
      <c r="I460" s="19"/>
      <c r="J460" s="112"/>
      <c r="K460" s="19"/>
      <c r="L460" s="19"/>
      <c r="M460" s="183"/>
      <c r="N460" s="19"/>
      <c r="O460" s="19"/>
      <c r="P460" s="23"/>
    </row>
    <row r="461" ht="14.25" customHeight="1">
      <c r="D461" s="18"/>
      <c r="E461" s="134"/>
      <c r="F461" s="19"/>
      <c r="G461" s="112"/>
      <c r="H461" s="19"/>
      <c r="I461" s="19"/>
      <c r="J461" s="112"/>
      <c r="K461" s="19"/>
      <c r="L461" s="19"/>
      <c r="M461" s="183"/>
      <c r="N461" s="19"/>
      <c r="O461" s="19"/>
      <c r="P461" s="23"/>
    </row>
    <row r="462" ht="14.25" customHeight="1">
      <c r="D462" s="18"/>
      <c r="E462" s="134"/>
      <c r="F462" s="19"/>
      <c r="G462" s="112"/>
      <c r="H462" s="19"/>
      <c r="I462" s="19"/>
      <c r="J462" s="112"/>
      <c r="K462" s="19"/>
      <c r="L462" s="19"/>
      <c r="M462" s="183"/>
      <c r="N462" s="19"/>
      <c r="O462" s="19"/>
      <c r="P462" s="23"/>
    </row>
    <row r="463" ht="14.25" customHeight="1">
      <c r="D463" s="18"/>
      <c r="E463" s="134"/>
      <c r="F463" s="19"/>
      <c r="G463" s="112"/>
      <c r="H463" s="19"/>
      <c r="I463" s="19"/>
      <c r="J463" s="112"/>
      <c r="K463" s="19"/>
      <c r="L463" s="19"/>
      <c r="M463" s="183"/>
      <c r="N463" s="19"/>
      <c r="O463" s="19"/>
      <c r="P463" s="23"/>
    </row>
    <row r="464" ht="14.25" customHeight="1">
      <c r="D464" s="18"/>
      <c r="E464" s="134"/>
      <c r="F464" s="19"/>
      <c r="G464" s="112"/>
      <c r="H464" s="19"/>
      <c r="I464" s="19"/>
      <c r="J464" s="112"/>
      <c r="K464" s="19"/>
      <c r="L464" s="19"/>
      <c r="M464" s="183"/>
      <c r="N464" s="19"/>
      <c r="O464" s="19"/>
      <c r="P464" s="23"/>
    </row>
    <row r="465" ht="14.25" customHeight="1">
      <c r="D465" s="18"/>
      <c r="E465" s="134"/>
      <c r="F465" s="19"/>
      <c r="G465" s="112"/>
      <c r="H465" s="19"/>
      <c r="I465" s="19"/>
      <c r="J465" s="112"/>
      <c r="K465" s="19"/>
      <c r="L465" s="19"/>
      <c r="M465" s="183"/>
      <c r="N465" s="19"/>
      <c r="O465" s="19"/>
      <c r="P465" s="23"/>
    </row>
    <row r="466" ht="14.25" customHeight="1">
      <c r="D466" s="18"/>
      <c r="E466" s="134"/>
      <c r="F466" s="19"/>
      <c r="G466" s="112"/>
      <c r="H466" s="19"/>
      <c r="I466" s="19"/>
      <c r="J466" s="112"/>
      <c r="K466" s="19"/>
      <c r="L466" s="19"/>
      <c r="M466" s="183"/>
      <c r="N466" s="19"/>
      <c r="O466" s="19"/>
      <c r="P466" s="23"/>
    </row>
    <row r="467" ht="14.25" customHeight="1">
      <c r="D467" s="18"/>
      <c r="E467" s="134"/>
      <c r="F467" s="19"/>
      <c r="G467" s="112"/>
      <c r="H467" s="19"/>
      <c r="I467" s="19"/>
      <c r="J467" s="112"/>
      <c r="K467" s="19"/>
      <c r="L467" s="19"/>
      <c r="M467" s="183"/>
      <c r="N467" s="19"/>
      <c r="O467" s="19"/>
      <c r="P467" s="23"/>
    </row>
    <row r="468" ht="14.25" customHeight="1">
      <c r="D468" s="18"/>
      <c r="E468" s="134"/>
      <c r="F468" s="19"/>
      <c r="G468" s="112"/>
      <c r="H468" s="19"/>
      <c r="I468" s="19"/>
      <c r="J468" s="112"/>
      <c r="K468" s="19"/>
      <c r="L468" s="19"/>
      <c r="M468" s="183"/>
      <c r="N468" s="19"/>
      <c r="O468" s="19"/>
      <c r="P468" s="23"/>
    </row>
    <row r="469" ht="14.25" customHeight="1">
      <c r="D469" s="18"/>
      <c r="E469" s="134"/>
      <c r="F469" s="19"/>
      <c r="G469" s="112"/>
      <c r="H469" s="19"/>
      <c r="I469" s="19"/>
      <c r="J469" s="112"/>
      <c r="K469" s="19"/>
      <c r="L469" s="19"/>
      <c r="M469" s="183"/>
      <c r="N469" s="19"/>
      <c r="O469" s="19"/>
      <c r="P469" s="23"/>
    </row>
    <row r="470" ht="14.25" customHeight="1">
      <c r="D470" s="18"/>
      <c r="E470" s="134"/>
      <c r="F470" s="19"/>
      <c r="G470" s="112"/>
      <c r="H470" s="19"/>
      <c r="I470" s="19"/>
      <c r="J470" s="112"/>
      <c r="K470" s="19"/>
      <c r="L470" s="19"/>
      <c r="M470" s="183"/>
      <c r="N470" s="19"/>
      <c r="O470" s="19"/>
      <c r="P470" s="23"/>
    </row>
    <row r="471" ht="14.25" customHeight="1">
      <c r="D471" s="18"/>
      <c r="E471" s="134"/>
      <c r="F471" s="19"/>
      <c r="G471" s="112"/>
      <c r="H471" s="19"/>
      <c r="I471" s="19"/>
      <c r="J471" s="112"/>
      <c r="K471" s="19"/>
      <c r="L471" s="19"/>
      <c r="M471" s="183"/>
      <c r="N471" s="19"/>
      <c r="O471" s="19"/>
      <c r="P471" s="23"/>
    </row>
    <row r="472" ht="14.25" customHeight="1">
      <c r="D472" s="18"/>
      <c r="E472" s="134"/>
      <c r="F472" s="19"/>
      <c r="G472" s="112"/>
      <c r="H472" s="19"/>
      <c r="I472" s="19"/>
      <c r="J472" s="112"/>
      <c r="K472" s="19"/>
      <c r="L472" s="19"/>
      <c r="M472" s="183"/>
      <c r="N472" s="19"/>
      <c r="O472" s="19"/>
      <c r="P472" s="23"/>
    </row>
    <row r="473" ht="14.25" customHeight="1">
      <c r="D473" s="18"/>
      <c r="E473" s="134"/>
      <c r="F473" s="19"/>
      <c r="G473" s="112"/>
      <c r="H473" s="19"/>
      <c r="I473" s="19"/>
      <c r="J473" s="112"/>
      <c r="K473" s="19"/>
      <c r="L473" s="19"/>
      <c r="M473" s="183"/>
      <c r="N473" s="19"/>
      <c r="O473" s="19"/>
      <c r="P473" s="23"/>
    </row>
    <row r="474" ht="14.25" customHeight="1">
      <c r="D474" s="18"/>
      <c r="E474" s="134"/>
      <c r="F474" s="19"/>
      <c r="G474" s="112"/>
      <c r="H474" s="19"/>
      <c r="I474" s="19"/>
      <c r="J474" s="112"/>
      <c r="K474" s="19"/>
      <c r="L474" s="19"/>
      <c r="M474" s="183"/>
      <c r="N474" s="19"/>
      <c r="O474" s="19"/>
      <c r="P474" s="23"/>
    </row>
    <row r="475" ht="14.25" customHeight="1">
      <c r="D475" s="18"/>
      <c r="E475" s="134"/>
      <c r="F475" s="19"/>
      <c r="G475" s="112"/>
      <c r="H475" s="19"/>
      <c r="I475" s="19"/>
      <c r="J475" s="112"/>
      <c r="K475" s="19"/>
      <c r="L475" s="19"/>
      <c r="M475" s="183"/>
      <c r="N475" s="19"/>
      <c r="O475" s="19"/>
      <c r="P475" s="23"/>
    </row>
    <row r="476" ht="14.25" customHeight="1">
      <c r="D476" s="18"/>
      <c r="E476" s="134"/>
      <c r="F476" s="19"/>
      <c r="G476" s="112"/>
      <c r="H476" s="19"/>
      <c r="I476" s="19"/>
      <c r="J476" s="112"/>
      <c r="K476" s="19"/>
      <c r="L476" s="19"/>
      <c r="M476" s="183"/>
      <c r="N476" s="19"/>
      <c r="O476" s="19"/>
      <c r="P476" s="23"/>
    </row>
    <row r="477" ht="14.25" customHeight="1">
      <c r="D477" s="18"/>
      <c r="E477" s="134"/>
      <c r="F477" s="19"/>
      <c r="G477" s="112"/>
      <c r="H477" s="19"/>
      <c r="I477" s="19"/>
      <c r="J477" s="112"/>
      <c r="K477" s="19"/>
      <c r="L477" s="19"/>
      <c r="M477" s="183"/>
      <c r="N477" s="19"/>
      <c r="O477" s="19"/>
      <c r="P477" s="23"/>
    </row>
    <row r="478" ht="14.25" customHeight="1">
      <c r="D478" s="18"/>
      <c r="E478" s="134"/>
      <c r="F478" s="19"/>
      <c r="G478" s="112"/>
      <c r="H478" s="19"/>
      <c r="I478" s="19"/>
      <c r="J478" s="112"/>
      <c r="K478" s="19"/>
      <c r="L478" s="19"/>
      <c r="M478" s="183"/>
      <c r="N478" s="19"/>
      <c r="O478" s="19"/>
      <c r="P478" s="23"/>
    </row>
    <row r="479" ht="14.25" customHeight="1">
      <c r="D479" s="18"/>
      <c r="E479" s="134"/>
      <c r="F479" s="19"/>
      <c r="G479" s="112"/>
      <c r="H479" s="19"/>
      <c r="I479" s="19"/>
      <c r="J479" s="112"/>
      <c r="K479" s="19"/>
      <c r="L479" s="19"/>
      <c r="M479" s="183"/>
      <c r="N479" s="19"/>
      <c r="O479" s="19"/>
      <c r="P479" s="23"/>
    </row>
    <row r="480" ht="14.25" customHeight="1">
      <c r="D480" s="18"/>
      <c r="E480" s="134"/>
      <c r="F480" s="19"/>
      <c r="G480" s="112"/>
      <c r="H480" s="19"/>
      <c r="I480" s="19"/>
      <c r="J480" s="112"/>
      <c r="K480" s="19"/>
      <c r="L480" s="19"/>
      <c r="M480" s="183"/>
      <c r="N480" s="19"/>
      <c r="O480" s="19"/>
      <c r="P480" s="23"/>
    </row>
    <row r="481" ht="14.25" customHeight="1">
      <c r="D481" s="18"/>
      <c r="E481" s="134"/>
      <c r="F481" s="19"/>
      <c r="G481" s="112"/>
      <c r="H481" s="19"/>
      <c r="I481" s="19"/>
      <c r="J481" s="112"/>
      <c r="K481" s="19"/>
      <c r="L481" s="19"/>
      <c r="M481" s="183"/>
      <c r="N481" s="19"/>
      <c r="O481" s="19"/>
      <c r="P481" s="23"/>
    </row>
    <row r="482" ht="14.25" customHeight="1">
      <c r="D482" s="18"/>
      <c r="E482" s="134"/>
      <c r="F482" s="19"/>
      <c r="G482" s="112"/>
      <c r="H482" s="19"/>
      <c r="I482" s="19"/>
      <c r="J482" s="112"/>
      <c r="K482" s="19"/>
      <c r="L482" s="19"/>
      <c r="M482" s="183"/>
      <c r="N482" s="19"/>
      <c r="O482" s="19"/>
      <c r="P482" s="23"/>
    </row>
    <row r="483" ht="14.25" customHeight="1">
      <c r="D483" s="18"/>
      <c r="E483" s="134"/>
      <c r="F483" s="19"/>
      <c r="G483" s="112"/>
      <c r="H483" s="19"/>
      <c r="I483" s="19"/>
      <c r="J483" s="112"/>
      <c r="K483" s="19"/>
      <c r="L483" s="19"/>
      <c r="M483" s="183"/>
      <c r="N483" s="19"/>
      <c r="O483" s="19"/>
      <c r="P483" s="23"/>
    </row>
    <row r="484" ht="14.25" customHeight="1">
      <c r="D484" s="18"/>
      <c r="E484" s="134"/>
      <c r="F484" s="19"/>
      <c r="G484" s="112"/>
      <c r="H484" s="19"/>
      <c r="I484" s="19"/>
      <c r="J484" s="112"/>
      <c r="K484" s="19"/>
      <c r="L484" s="19"/>
      <c r="M484" s="183"/>
      <c r="N484" s="19"/>
      <c r="O484" s="19"/>
      <c r="P484" s="23"/>
    </row>
    <row r="485" ht="14.25" customHeight="1">
      <c r="D485" s="18"/>
      <c r="E485" s="134"/>
      <c r="F485" s="19"/>
      <c r="G485" s="112"/>
      <c r="H485" s="19"/>
      <c r="I485" s="19"/>
      <c r="J485" s="112"/>
      <c r="K485" s="19"/>
      <c r="L485" s="19"/>
      <c r="M485" s="183"/>
      <c r="N485" s="19"/>
      <c r="O485" s="19"/>
      <c r="P485" s="23"/>
    </row>
    <row r="486" ht="14.25" customHeight="1">
      <c r="D486" s="18"/>
      <c r="E486" s="134"/>
      <c r="F486" s="19"/>
      <c r="G486" s="112"/>
      <c r="H486" s="19"/>
      <c r="I486" s="19"/>
      <c r="J486" s="112"/>
      <c r="K486" s="19"/>
      <c r="L486" s="19"/>
      <c r="M486" s="183"/>
      <c r="N486" s="19"/>
      <c r="O486" s="19"/>
      <c r="P486" s="23"/>
    </row>
    <row r="487" ht="14.25" customHeight="1">
      <c r="D487" s="18"/>
      <c r="E487" s="134"/>
      <c r="F487" s="19"/>
      <c r="G487" s="112"/>
      <c r="H487" s="19"/>
      <c r="I487" s="19"/>
      <c r="J487" s="112"/>
      <c r="K487" s="19"/>
      <c r="L487" s="19"/>
      <c r="M487" s="183"/>
      <c r="N487" s="19"/>
      <c r="O487" s="19"/>
      <c r="P487" s="23"/>
    </row>
    <row r="488" ht="14.25" customHeight="1">
      <c r="D488" s="18"/>
      <c r="E488" s="134"/>
      <c r="F488" s="19"/>
      <c r="G488" s="112"/>
      <c r="H488" s="19"/>
      <c r="I488" s="19"/>
      <c r="J488" s="112"/>
      <c r="K488" s="19"/>
      <c r="L488" s="19"/>
      <c r="M488" s="183"/>
      <c r="N488" s="19"/>
      <c r="O488" s="19"/>
      <c r="P488" s="23"/>
    </row>
    <row r="489" ht="14.25" customHeight="1">
      <c r="D489" s="18"/>
      <c r="E489" s="134"/>
      <c r="F489" s="19"/>
      <c r="G489" s="112"/>
      <c r="H489" s="19"/>
      <c r="I489" s="19"/>
      <c r="J489" s="112"/>
      <c r="K489" s="19"/>
      <c r="L489" s="19"/>
      <c r="M489" s="183"/>
      <c r="N489" s="19"/>
      <c r="O489" s="19"/>
      <c r="P489" s="23"/>
    </row>
    <row r="490" ht="14.25" customHeight="1">
      <c r="D490" s="18"/>
      <c r="E490" s="134"/>
      <c r="F490" s="19"/>
      <c r="G490" s="112"/>
      <c r="H490" s="19"/>
      <c r="I490" s="19"/>
      <c r="J490" s="112"/>
      <c r="K490" s="19"/>
      <c r="L490" s="19"/>
      <c r="M490" s="183"/>
      <c r="N490" s="19"/>
      <c r="O490" s="19"/>
      <c r="P490" s="23"/>
    </row>
    <row r="491" ht="14.25" customHeight="1">
      <c r="D491" s="18"/>
      <c r="E491" s="134"/>
      <c r="F491" s="19"/>
      <c r="G491" s="112"/>
      <c r="H491" s="19"/>
      <c r="I491" s="19"/>
      <c r="J491" s="112"/>
      <c r="K491" s="19"/>
      <c r="L491" s="19"/>
      <c r="M491" s="183"/>
      <c r="N491" s="19"/>
      <c r="O491" s="19"/>
      <c r="P491" s="23"/>
    </row>
    <row r="492" ht="14.25" customHeight="1">
      <c r="D492" s="18"/>
      <c r="E492" s="134"/>
      <c r="F492" s="19"/>
      <c r="G492" s="112"/>
      <c r="H492" s="19"/>
      <c r="I492" s="19"/>
      <c r="J492" s="112"/>
      <c r="K492" s="19"/>
      <c r="L492" s="19"/>
      <c r="M492" s="183"/>
      <c r="N492" s="19"/>
      <c r="O492" s="19"/>
      <c r="P492" s="23"/>
    </row>
    <row r="493" ht="14.25" customHeight="1">
      <c r="D493" s="18"/>
      <c r="E493" s="134"/>
      <c r="F493" s="19"/>
      <c r="G493" s="112"/>
      <c r="H493" s="19"/>
      <c r="I493" s="19"/>
      <c r="J493" s="112"/>
      <c r="K493" s="19"/>
      <c r="L493" s="19"/>
      <c r="M493" s="183"/>
      <c r="N493" s="19"/>
      <c r="O493" s="19"/>
      <c r="P493" s="23"/>
    </row>
    <row r="494" ht="14.25" customHeight="1">
      <c r="D494" s="18"/>
      <c r="E494" s="134"/>
      <c r="F494" s="19"/>
      <c r="G494" s="112"/>
      <c r="H494" s="19"/>
      <c r="I494" s="19"/>
      <c r="J494" s="112"/>
      <c r="K494" s="19"/>
      <c r="L494" s="19"/>
      <c r="M494" s="183"/>
      <c r="N494" s="19"/>
      <c r="O494" s="19"/>
      <c r="P494" s="23"/>
    </row>
    <row r="495" ht="14.25" customHeight="1">
      <c r="D495" s="18"/>
      <c r="E495" s="134"/>
      <c r="F495" s="19"/>
      <c r="G495" s="112"/>
      <c r="H495" s="19"/>
      <c r="I495" s="19"/>
      <c r="J495" s="112"/>
      <c r="K495" s="19"/>
      <c r="L495" s="19"/>
      <c r="M495" s="183"/>
      <c r="N495" s="19"/>
      <c r="O495" s="19"/>
      <c r="P495" s="23"/>
    </row>
    <row r="496" ht="14.25" customHeight="1">
      <c r="D496" s="18"/>
      <c r="E496" s="134"/>
      <c r="F496" s="19"/>
      <c r="G496" s="112"/>
      <c r="H496" s="19"/>
      <c r="I496" s="19"/>
      <c r="J496" s="112"/>
      <c r="K496" s="19"/>
      <c r="L496" s="19"/>
      <c r="M496" s="183"/>
      <c r="N496" s="19"/>
      <c r="O496" s="19"/>
      <c r="P496" s="23"/>
    </row>
    <row r="497" ht="14.25" customHeight="1">
      <c r="D497" s="18"/>
      <c r="E497" s="134"/>
      <c r="F497" s="19"/>
      <c r="G497" s="112"/>
      <c r="H497" s="19"/>
      <c r="I497" s="19"/>
      <c r="J497" s="112"/>
      <c r="K497" s="19"/>
      <c r="L497" s="19"/>
      <c r="M497" s="183"/>
      <c r="N497" s="19"/>
      <c r="O497" s="19"/>
      <c r="P497" s="23"/>
    </row>
    <row r="498" ht="14.25" customHeight="1">
      <c r="D498" s="18"/>
      <c r="E498" s="134"/>
      <c r="F498" s="19"/>
      <c r="G498" s="112"/>
      <c r="H498" s="19"/>
      <c r="I498" s="19"/>
      <c r="J498" s="112"/>
      <c r="K498" s="19"/>
      <c r="L498" s="19"/>
      <c r="M498" s="183"/>
      <c r="N498" s="19"/>
      <c r="O498" s="19"/>
      <c r="P498" s="23"/>
    </row>
    <row r="499" ht="14.25" customHeight="1">
      <c r="D499" s="18"/>
      <c r="E499" s="134"/>
      <c r="F499" s="19"/>
      <c r="G499" s="112"/>
      <c r="H499" s="19"/>
      <c r="I499" s="19"/>
      <c r="J499" s="112"/>
      <c r="K499" s="19"/>
      <c r="L499" s="19"/>
      <c r="M499" s="183"/>
      <c r="N499" s="19"/>
      <c r="O499" s="19"/>
      <c r="P499" s="23"/>
    </row>
    <row r="500" ht="14.25" customHeight="1">
      <c r="D500" s="18"/>
      <c r="E500" s="134"/>
      <c r="F500" s="19"/>
      <c r="G500" s="112"/>
      <c r="H500" s="19"/>
      <c r="I500" s="19"/>
      <c r="J500" s="112"/>
      <c r="K500" s="19"/>
      <c r="L500" s="19"/>
      <c r="M500" s="183"/>
      <c r="N500" s="19"/>
      <c r="O500" s="19"/>
      <c r="P500" s="23"/>
    </row>
    <row r="501" ht="14.25" customHeight="1">
      <c r="D501" s="18"/>
      <c r="E501" s="134"/>
      <c r="F501" s="19"/>
      <c r="G501" s="112"/>
      <c r="H501" s="19"/>
      <c r="I501" s="19"/>
      <c r="J501" s="112"/>
      <c r="K501" s="19"/>
      <c r="L501" s="19"/>
      <c r="M501" s="183"/>
      <c r="N501" s="19"/>
      <c r="O501" s="19"/>
      <c r="P501" s="23"/>
    </row>
    <row r="502" ht="14.25" customHeight="1">
      <c r="D502" s="18"/>
      <c r="E502" s="134"/>
      <c r="F502" s="19"/>
      <c r="G502" s="112"/>
      <c r="H502" s="19"/>
      <c r="I502" s="19"/>
      <c r="J502" s="112"/>
      <c r="K502" s="19"/>
      <c r="L502" s="19"/>
      <c r="M502" s="183"/>
      <c r="N502" s="19"/>
      <c r="O502" s="19"/>
      <c r="P502" s="23"/>
    </row>
    <row r="503" ht="14.25" customHeight="1">
      <c r="D503" s="18"/>
      <c r="E503" s="134"/>
      <c r="F503" s="19"/>
      <c r="G503" s="112"/>
      <c r="H503" s="19"/>
      <c r="I503" s="19"/>
      <c r="J503" s="112"/>
      <c r="K503" s="19"/>
      <c r="L503" s="19"/>
      <c r="M503" s="183"/>
      <c r="N503" s="19"/>
      <c r="O503" s="19"/>
      <c r="P503" s="23"/>
    </row>
    <row r="504" ht="14.25" customHeight="1">
      <c r="D504" s="18"/>
      <c r="E504" s="134"/>
      <c r="F504" s="19"/>
      <c r="G504" s="112"/>
      <c r="H504" s="19"/>
      <c r="I504" s="19"/>
      <c r="J504" s="112"/>
      <c r="K504" s="19"/>
      <c r="L504" s="19"/>
      <c r="M504" s="183"/>
      <c r="N504" s="19"/>
      <c r="O504" s="19"/>
      <c r="P504" s="23"/>
    </row>
    <row r="505" ht="14.25" customHeight="1">
      <c r="D505" s="18"/>
      <c r="E505" s="134"/>
      <c r="F505" s="19"/>
      <c r="G505" s="112"/>
      <c r="H505" s="19"/>
      <c r="I505" s="19"/>
      <c r="J505" s="112"/>
      <c r="K505" s="19"/>
      <c r="L505" s="19"/>
      <c r="M505" s="183"/>
      <c r="N505" s="19"/>
      <c r="O505" s="19"/>
      <c r="P505" s="23"/>
    </row>
    <row r="506" ht="14.25" customHeight="1">
      <c r="D506" s="18"/>
      <c r="E506" s="134"/>
      <c r="F506" s="19"/>
      <c r="G506" s="112"/>
      <c r="H506" s="19"/>
      <c r="I506" s="19"/>
      <c r="J506" s="112"/>
      <c r="K506" s="19"/>
      <c r="L506" s="19"/>
      <c r="M506" s="183"/>
      <c r="N506" s="19"/>
      <c r="O506" s="19"/>
      <c r="P506" s="23"/>
    </row>
    <row r="507" ht="14.25" customHeight="1">
      <c r="D507" s="18"/>
      <c r="E507" s="134"/>
      <c r="F507" s="19"/>
      <c r="G507" s="112"/>
      <c r="H507" s="19"/>
      <c r="I507" s="19"/>
      <c r="J507" s="112"/>
      <c r="K507" s="19"/>
      <c r="L507" s="19"/>
      <c r="M507" s="183"/>
      <c r="N507" s="19"/>
      <c r="O507" s="19"/>
      <c r="P507" s="23"/>
    </row>
    <row r="508" ht="14.25" customHeight="1">
      <c r="D508" s="18"/>
      <c r="E508" s="134"/>
      <c r="F508" s="19"/>
      <c r="G508" s="112"/>
      <c r="H508" s="19"/>
      <c r="I508" s="19"/>
      <c r="J508" s="112"/>
      <c r="K508" s="19"/>
      <c r="L508" s="19"/>
      <c r="M508" s="183"/>
      <c r="N508" s="19"/>
      <c r="O508" s="19"/>
      <c r="P508" s="23"/>
    </row>
    <row r="509" ht="14.25" customHeight="1">
      <c r="D509" s="18"/>
      <c r="E509" s="134"/>
      <c r="F509" s="19"/>
      <c r="G509" s="112"/>
      <c r="H509" s="19"/>
      <c r="I509" s="19"/>
      <c r="J509" s="112"/>
      <c r="K509" s="19"/>
      <c r="L509" s="19"/>
      <c r="M509" s="183"/>
      <c r="N509" s="19"/>
      <c r="O509" s="19"/>
      <c r="P509" s="23"/>
    </row>
    <row r="510" ht="14.25" customHeight="1">
      <c r="D510" s="18"/>
      <c r="E510" s="134"/>
      <c r="F510" s="19"/>
      <c r="G510" s="112"/>
      <c r="H510" s="19"/>
      <c r="I510" s="19"/>
      <c r="J510" s="112"/>
      <c r="K510" s="19"/>
      <c r="L510" s="19"/>
      <c r="M510" s="183"/>
      <c r="N510" s="19"/>
      <c r="O510" s="19"/>
      <c r="P510" s="23"/>
    </row>
    <row r="511" ht="14.25" customHeight="1">
      <c r="D511" s="18"/>
      <c r="E511" s="134"/>
      <c r="F511" s="19"/>
      <c r="G511" s="112"/>
      <c r="H511" s="19"/>
      <c r="I511" s="19"/>
      <c r="J511" s="112"/>
      <c r="K511" s="19"/>
      <c r="L511" s="19"/>
      <c r="M511" s="183"/>
      <c r="N511" s="19"/>
      <c r="O511" s="19"/>
      <c r="P511" s="23"/>
    </row>
    <row r="512" ht="14.25" customHeight="1">
      <c r="D512" s="18"/>
      <c r="E512" s="134"/>
      <c r="F512" s="19"/>
      <c r="G512" s="112"/>
      <c r="H512" s="19"/>
      <c r="I512" s="19"/>
      <c r="J512" s="112"/>
      <c r="K512" s="19"/>
      <c r="L512" s="19"/>
      <c r="M512" s="183"/>
      <c r="N512" s="19"/>
      <c r="O512" s="19"/>
      <c r="P512" s="23"/>
    </row>
    <row r="513" ht="14.25" customHeight="1">
      <c r="D513" s="18"/>
      <c r="E513" s="134"/>
      <c r="F513" s="19"/>
      <c r="G513" s="112"/>
      <c r="H513" s="19"/>
      <c r="I513" s="19"/>
      <c r="J513" s="112"/>
      <c r="K513" s="19"/>
      <c r="L513" s="19"/>
      <c r="M513" s="183"/>
      <c r="N513" s="19"/>
      <c r="O513" s="19"/>
      <c r="P513" s="23"/>
    </row>
    <row r="514" ht="14.25" customHeight="1">
      <c r="D514" s="18"/>
      <c r="E514" s="134"/>
      <c r="F514" s="19"/>
      <c r="G514" s="112"/>
      <c r="H514" s="19"/>
      <c r="I514" s="19"/>
      <c r="J514" s="112"/>
      <c r="K514" s="19"/>
      <c r="L514" s="19"/>
      <c r="M514" s="183"/>
      <c r="N514" s="19"/>
      <c r="O514" s="19"/>
      <c r="P514" s="23"/>
    </row>
    <row r="515" ht="14.25" customHeight="1">
      <c r="D515" s="18"/>
      <c r="E515" s="134"/>
      <c r="F515" s="19"/>
      <c r="G515" s="112"/>
      <c r="H515" s="19"/>
      <c r="I515" s="19"/>
      <c r="J515" s="112"/>
      <c r="K515" s="19"/>
      <c r="L515" s="19"/>
      <c r="M515" s="183"/>
      <c r="N515" s="19"/>
      <c r="O515" s="19"/>
      <c r="P515" s="23"/>
    </row>
    <row r="516" ht="14.25" customHeight="1">
      <c r="D516" s="18"/>
      <c r="E516" s="134"/>
      <c r="F516" s="19"/>
      <c r="G516" s="112"/>
      <c r="H516" s="19"/>
      <c r="I516" s="19"/>
      <c r="J516" s="112"/>
      <c r="K516" s="19"/>
      <c r="L516" s="19"/>
      <c r="M516" s="183"/>
      <c r="N516" s="19"/>
      <c r="O516" s="19"/>
      <c r="P516" s="23"/>
    </row>
    <row r="517" ht="14.25" customHeight="1">
      <c r="D517" s="18"/>
      <c r="E517" s="134"/>
      <c r="F517" s="19"/>
      <c r="G517" s="112"/>
      <c r="H517" s="19"/>
      <c r="I517" s="19"/>
      <c r="J517" s="112"/>
      <c r="K517" s="19"/>
      <c r="L517" s="19"/>
      <c r="M517" s="183"/>
      <c r="N517" s="19"/>
      <c r="O517" s="19"/>
      <c r="P517" s="23"/>
    </row>
    <row r="518" ht="14.25" customHeight="1">
      <c r="D518" s="18"/>
      <c r="E518" s="134"/>
      <c r="F518" s="19"/>
      <c r="G518" s="112"/>
      <c r="H518" s="19"/>
      <c r="I518" s="19"/>
      <c r="J518" s="112"/>
      <c r="K518" s="19"/>
      <c r="L518" s="19"/>
      <c r="M518" s="183"/>
      <c r="N518" s="19"/>
      <c r="O518" s="19"/>
      <c r="P518" s="23"/>
    </row>
    <row r="519" ht="14.25" customHeight="1">
      <c r="D519" s="18"/>
      <c r="E519" s="134"/>
      <c r="F519" s="19"/>
      <c r="G519" s="112"/>
      <c r="H519" s="19"/>
      <c r="I519" s="19"/>
      <c r="J519" s="112"/>
      <c r="K519" s="19"/>
      <c r="L519" s="19"/>
      <c r="M519" s="183"/>
      <c r="N519" s="19"/>
      <c r="O519" s="19"/>
      <c r="P519" s="23"/>
    </row>
    <row r="520" ht="14.25" customHeight="1">
      <c r="D520" s="18"/>
      <c r="E520" s="134"/>
      <c r="F520" s="19"/>
      <c r="G520" s="112"/>
      <c r="H520" s="19"/>
      <c r="I520" s="19"/>
      <c r="J520" s="112"/>
      <c r="K520" s="19"/>
      <c r="L520" s="19"/>
      <c r="M520" s="183"/>
      <c r="N520" s="19"/>
      <c r="O520" s="19"/>
      <c r="P520" s="23"/>
    </row>
    <row r="521" ht="14.25" customHeight="1">
      <c r="D521" s="18"/>
      <c r="E521" s="134"/>
      <c r="F521" s="19"/>
      <c r="G521" s="112"/>
      <c r="H521" s="19"/>
      <c r="I521" s="19"/>
      <c r="J521" s="112"/>
      <c r="K521" s="19"/>
      <c r="L521" s="19"/>
      <c r="M521" s="183"/>
      <c r="N521" s="19"/>
      <c r="O521" s="19"/>
      <c r="P521" s="23"/>
    </row>
    <row r="522" ht="14.25" customHeight="1">
      <c r="D522" s="18"/>
      <c r="E522" s="134"/>
      <c r="F522" s="19"/>
      <c r="G522" s="112"/>
      <c r="H522" s="19"/>
      <c r="I522" s="19"/>
      <c r="J522" s="112"/>
      <c r="K522" s="19"/>
      <c r="L522" s="19"/>
      <c r="M522" s="183"/>
      <c r="N522" s="19"/>
      <c r="O522" s="19"/>
      <c r="P522" s="23"/>
    </row>
    <row r="523" ht="14.25" customHeight="1">
      <c r="D523" s="18"/>
      <c r="E523" s="134"/>
      <c r="F523" s="19"/>
      <c r="G523" s="112"/>
      <c r="H523" s="19"/>
      <c r="I523" s="19"/>
      <c r="J523" s="112"/>
      <c r="K523" s="19"/>
      <c r="L523" s="19"/>
      <c r="M523" s="183"/>
      <c r="N523" s="19"/>
      <c r="O523" s="19"/>
      <c r="P523" s="23"/>
    </row>
    <row r="524" ht="14.25" customHeight="1">
      <c r="D524" s="18"/>
      <c r="E524" s="134"/>
      <c r="F524" s="19"/>
      <c r="G524" s="112"/>
      <c r="H524" s="19"/>
      <c r="I524" s="19"/>
      <c r="J524" s="112"/>
      <c r="K524" s="19"/>
      <c r="L524" s="19"/>
      <c r="M524" s="183"/>
      <c r="N524" s="19"/>
      <c r="O524" s="19"/>
      <c r="P524" s="23"/>
    </row>
    <row r="525" ht="14.25" customHeight="1">
      <c r="D525" s="18"/>
      <c r="E525" s="134"/>
      <c r="F525" s="19"/>
      <c r="G525" s="112"/>
      <c r="H525" s="19"/>
      <c r="I525" s="19"/>
      <c r="J525" s="112"/>
      <c r="K525" s="19"/>
      <c r="L525" s="19"/>
      <c r="M525" s="183"/>
      <c r="N525" s="19"/>
      <c r="O525" s="19"/>
      <c r="P525" s="23"/>
    </row>
    <row r="526" ht="14.25" customHeight="1">
      <c r="D526" s="18"/>
      <c r="E526" s="134"/>
      <c r="F526" s="19"/>
      <c r="G526" s="112"/>
      <c r="H526" s="19"/>
      <c r="I526" s="19"/>
      <c r="J526" s="112"/>
      <c r="K526" s="19"/>
      <c r="L526" s="19"/>
      <c r="M526" s="183"/>
      <c r="N526" s="19"/>
      <c r="O526" s="19"/>
      <c r="P526" s="23"/>
    </row>
    <row r="527" ht="14.25" customHeight="1">
      <c r="D527" s="18"/>
      <c r="E527" s="134"/>
      <c r="F527" s="19"/>
      <c r="G527" s="112"/>
      <c r="H527" s="19"/>
      <c r="I527" s="19"/>
      <c r="J527" s="112"/>
      <c r="K527" s="19"/>
      <c r="L527" s="19"/>
      <c r="M527" s="183"/>
      <c r="N527" s="19"/>
      <c r="O527" s="19"/>
      <c r="P527" s="23"/>
    </row>
    <row r="528" ht="14.25" customHeight="1">
      <c r="D528" s="18"/>
      <c r="E528" s="134"/>
      <c r="F528" s="19"/>
      <c r="G528" s="112"/>
      <c r="H528" s="19"/>
      <c r="I528" s="19"/>
      <c r="J528" s="112"/>
      <c r="K528" s="19"/>
      <c r="L528" s="19"/>
      <c r="M528" s="183"/>
      <c r="N528" s="19"/>
      <c r="O528" s="19"/>
      <c r="P528" s="23"/>
    </row>
    <row r="529" ht="14.25" customHeight="1">
      <c r="D529" s="18"/>
      <c r="E529" s="134"/>
      <c r="F529" s="19"/>
      <c r="G529" s="112"/>
      <c r="H529" s="19"/>
      <c r="I529" s="19"/>
      <c r="J529" s="112"/>
      <c r="K529" s="19"/>
      <c r="L529" s="19"/>
      <c r="M529" s="183"/>
      <c r="N529" s="19"/>
      <c r="O529" s="19"/>
      <c r="P529" s="23"/>
    </row>
    <row r="530" ht="14.25" customHeight="1">
      <c r="D530" s="18"/>
      <c r="E530" s="134"/>
      <c r="F530" s="19"/>
      <c r="G530" s="112"/>
      <c r="H530" s="19"/>
      <c r="I530" s="19"/>
      <c r="J530" s="112"/>
      <c r="K530" s="19"/>
      <c r="L530" s="19"/>
      <c r="M530" s="183"/>
      <c r="N530" s="19"/>
      <c r="O530" s="19"/>
      <c r="P530" s="23"/>
    </row>
    <row r="531" ht="14.25" customHeight="1">
      <c r="D531" s="18"/>
      <c r="E531" s="134"/>
      <c r="F531" s="19"/>
      <c r="G531" s="112"/>
      <c r="H531" s="19"/>
      <c r="I531" s="19"/>
      <c r="J531" s="112"/>
      <c r="K531" s="19"/>
      <c r="L531" s="19"/>
      <c r="M531" s="183"/>
      <c r="N531" s="19"/>
      <c r="O531" s="19"/>
      <c r="P531" s="23"/>
    </row>
    <row r="532" ht="14.25" customHeight="1">
      <c r="D532" s="18"/>
      <c r="E532" s="134"/>
      <c r="F532" s="19"/>
      <c r="G532" s="112"/>
      <c r="H532" s="19"/>
      <c r="I532" s="19"/>
      <c r="J532" s="112"/>
      <c r="K532" s="19"/>
      <c r="L532" s="19"/>
      <c r="M532" s="183"/>
      <c r="N532" s="19"/>
      <c r="O532" s="19"/>
      <c r="P532" s="23"/>
    </row>
    <row r="533" ht="14.25" customHeight="1">
      <c r="D533" s="18"/>
      <c r="E533" s="134"/>
      <c r="F533" s="19"/>
      <c r="G533" s="112"/>
      <c r="H533" s="19"/>
      <c r="I533" s="19"/>
      <c r="J533" s="112"/>
      <c r="K533" s="19"/>
      <c r="L533" s="19"/>
      <c r="M533" s="183"/>
      <c r="N533" s="19"/>
      <c r="O533" s="19"/>
      <c r="P533" s="23"/>
    </row>
    <row r="534" ht="14.25" customHeight="1">
      <c r="D534" s="18"/>
      <c r="E534" s="134"/>
      <c r="F534" s="19"/>
      <c r="G534" s="112"/>
      <c r="H534" s="19"/>
      <c r="I534" s="19"/>
      <c r="J534" s="112"/>
      <c r="K534" s="19"/>
      <c r="L534" s="19"/>
      <c r="M534" s="183"/>
      <c r="N534" s="19"/>
      <c r="O534" s="19"/>
      <c r="P534" s="23"/>
    </row>
    <row r="535" ht="14.25" customHeight="1">
      <c r="D535" s="18"/>
      <c r="E535" s="134"/>
      <c r="F535" s="19"/>
      <c r="G535" s="112"/>
      <c r="H535" s="19"/>
      <c r="I535" s="19"/>
      <c r="J535" s="112"/>
      <c r="K535" s="19"/>
      <c r="L535" s="19"/>
      <c r="M535" s="183"/>
      <c r="N535" s="19"/>
      <c r="O535" s="19"/>
      <c r="P535" s="23"/>
    </row>
    <row r="536" ht="14.25" customHeight="1">
      <c r="D536" s="18"/>
      <c r="E536" s="134"/>
      <c r="F536" s="19"/>
      <c r="G536" s="112"/>
      <c r="H536" s="19"/>
      <c r="I536" s="19"/>
      <c r="J536" s="112"/>
      <c r="K536" s="19"/>
      <c r="L536" s="19"/>
      <c r="M536" s="183"/>
      <c r="N536" s="19"/>
      <c r="O536" s="19"/>
      <c r="P536" s="23"/>
    </row>
    <row r="537" ht="14.25" customHeight="1">
      <c r="D537" s="18"/>
      <c r="E537" s="134"/>
      <c r="F537" s="19"/>
      <c r="G537" s="112"/>
      <c r="H537" s="19"/>
      <c r="I537" s="19"/>
      <c r="J537" s="112"/>
      <c r="K537" s="19"/>
      <c r="L537" s="19"/>
      <c r="M537" s="183"/>
      <c r="N537" s="19"/>
      <c r="O537" s="19"/>
      <c r="P537" s="23"/>
    </row>
    <row r="538" ht="14.25" customHeight="1">
      <c r="D538" s="18"/>
      <c r="E538" s="134"/>
      <c r="F538" s="19"/>
      <c r="G538" s="112"/>
      <c r="H538" s="19"/>
      <c r="I538" s="19"/>
      <c r="J538" s="112"/>
      <c r="K538" s="19"/>
      <c r="L538" s="19"/>
      <c r="M538" s="183"/>
      <c r="N538" s="19"/>
      <c r="O538" s="19"/>
      <c r="P538" s="23"/>
    </row>
    <row r="539" ht="14.25" customHeight="1">
      <c r="D539" s="18"/>
      <c r="E539" s="134"/>
      <c r="F539" s="19"/>
      <c r="G539" s="112"/>
      <c r="H539" s="19"/>
      <c r="I539" s="19"/>
      <c r="J539" s="112"/>
      <c r="K539" s="19"/>
      <c r="L539" s="19"/>
      <c r="M539" s="183"/>
      <c r="N539" s="19"/>
      <c r="O539" s="19"/>
      <c r="P539" s="23"/>
    </row>
    <row r="540" ht="14.25" customHeight="1">
      <c r="D540" s="18"/>
      <c r="E540" s="134"/>
      <c r="F540" s="19"/>
      <c r="G540" s="112"/>
      <c r="H540" s="19"/>
      <c r="I540" s="19"/>
      <c r="J540" s="112"/>
      <c r="K540" s="19"/>
      <c r="L540" s="19"/>
      <c r="M540" s="183"/>
      <c r="N540" s="19"/>
      <c r="O540" s="19"/>
      <c r="P540" s="23"/>
    </row>
    <row r="541" ht="14.25" customHeight="1">
      <c r="D541" s="18"/>
      <c r="E541" s="134"/>
      <c r="F541" s="19"/>
      <c r="G541" s="112"/>
      <c r="H541" s="19"/>
      <c r="I541" s="19"/>
      <c r="J541" s="112"/>
      <c r="K541" s="19"/>
      <c r="L541" s="19"/>
      <c r="M541" s="183"/>
      <c r="N541" s="19"/>
      <c r="O541" s="19"/>
      <c r="P541" s="23"/>
    </row>
    <row r="542" ht="14.25" customHeight="1">
      <c r="D542" s="18"/>
      <c r="E542" s="134"/>
      <c r="F542" s="19"/>
      <c r="G542" s="112"/>
      <c r="H542" s="19"/>
      <c r="I542" s="19"/>
      <c r="J542" s="112"/>
      <c r="K542" s="19"/>
      <c r="L542" s="19"/>
      <c r="M542" s="183"/>
      <c r="N542" s="19"/>
      <c r="O542" s="19"/>
      <c r="P542" s="23"/>
    </row>
    <row r="543" ht="14.25" customHeight="1">
      <c r="D543" s="18"/>
      <c r="E543" s="134"/>
      <c r="F543" s="19"/>
      <c r="G543" s="112"/>
      <c r="H543" s="19"/>
      <c r="I543" s="19"/>
      <c r="J543" s="112"/>
      <c r="K543" s="19"/>
      <c r="L543" s="19"/>
      <c r="M543" s="183"/>
      <c r="N543" s="19"/>
      <c r="O543" s="19"/>
      <c r="P543" s="23"/>
    </row>
    <row r="544" ht="14.25" customHeight="1">
      <c r="D544" s="18"/>
      <c r="E544" s="134"/>
      <c r="F544" s="19"/>
      <c r="G544" s="112"/>
      <c r="H544" s="19"/>
      <c r="I544" s="19"/>
      <c r="J544" s="112"/>
      <c r="K544" s="19"/>
      <c r="L544" s="19"/>
      <c r="M544" s="183"/>
      <c r="N544" s="19"/>
      <c r="O544" s="19"/>
      <c r="P544" s="23"/>
    </row>
    <row r="545" ht="14.25" customHeight="1">
      <c r="D545" s="18"/>
      <c r="E545" s="134"/>
      <c r="F545" s="19"/>
      <c r="G545" s="112"/>
      <c r="H545" s="19"/>
      <c r="I545" s="19"/>
      <c r="J545" s="112"/>
      <c r="K545" s="19"/>
      <c r="L545" s="19"/>
      <c r="M545" s="183"/>
      <c r="N545" s="19"/>
      <c r="O545" s="19"/>
      <c r="P545" s="23"/>
    </row>
    <row r="546" ht="14.25" customHeight="1">
      <c r="D546" s="18"/>
      <c r="E546" s="134"/>
      <c r="F546" s="19"/>
      <c r="G546" s="112"/>
      <c r="H546" s="19"/>
      <c r="I546" s="19"/>
      <c r="J546" s="112"/>
      <c r="K546" s="19"/>
      <c r="L546" s="19"/>
      <c r="M546" s="183"/>
      <c r="N546" s="19"/>
      <c r="O546" s="19"/>
      <c r="P546" s="23"/>
    </row>
    <row r="547" ht="14.25" customHeight="1">
      <c r="D547" s="18"/>
      <c r="E547" s="134"/>
      <c r="F547" s="19"/>
      <c r="G547" s="112"/>
      <c r="H547" s="19"/>
      <c r="I547" s="19"/>
      <c r="J547" s="112"/>
      <c r="K547" s="19"/>
      <c r="L547" s="19"/>
      <c r="M547" s="183"/>
      <c r="N547" s="19"/>
      <c r="O547" s="19"/>
      <c r="P547" s="23"/>
    </row>
    <row r="548" ht="14.25" customHeight="1">
      <c r="D548" s="18"/>
      <c r="E548" s="134"/>
      <c r="F548" s="19"/>
      <c r="G548" s="112"/>
      <c r="H548" s="19"/>
      <c r="I548" s="19"/>
      <c r="J548" s="112"/>
      <c r="K548" s="19"/>
      <c r="L548" s="19"/>
      <c r="M548" s="183"/>
      <c r="N548" s="19"/>
      <c r="O548" s="19"/>
      <c r="P548" s="23"/>
    </row>
    <row r="549" ht="14.25" customHeight="1">
      <c r="D549" s="18"/>
      <c r="E549" s="134"/>
      <c r="F549" s="19"/>
      <c r="G549" s="112"/>
      <c r="H549" s="19"/>
      <c r="I549" s="19"/>
      <c r="J549" s="112"/>
      <c r="K549" s="19"/>
      <c r="L549" s="19"/>
      <c r="M549" s="183"/>
      <c r="N549" s="19"/>
      <c r="O549" s="19"/>
      <c r="P549" s="23"/>
    </row>
    <row r="550" ht="14.25" customHeight="1">
      <c r="D550" s="18"/>
      <c r="E550" s="134"/>
      <c r="F550" s="19"/>
      <c r="G550" s="112"/>
      <c r="H550" s="19"/>
      <c r="I550" s="19"/>
      <c r="J550" s="112"/>
      <c r="K550" s="19"/>
      <c r="L550" s="19"/>
      <c r="M550" s="183"/>
      <c r="N550" s="19"/>
      <c r="O550" s="19"/>
      <c r="P550" s="23"/>
    </row>
    <row r="551" ht="14.25" customHeight="1">
      <c r="D551" s="18"/>
      <c r="E551" s="134"/>
      <c r="F551" s="19"/>
      <c r="G551" s="112"/>
      <c r="H551" s="19"/>
      <c r="I551" s="19"/>
      <c r="J551" s="112"/>
      <c r="K551" s="19"/>
      <c r="L551" s="19"/>
      <c r="M551" s="183"/>
      <c r="N551" s="19"/>
      <c r="O551" s="19"/>
      <c r="P551" s="23"/>
    </row>
    <row r="552" ht="14.25" customHeight="1">
      <c r="D552" s="18"/>
      <c r="E552" s="134"/>
      <c r="F552" s="19"/>
      <c r="G552" s="112"/>
      <c r="H552" s="19"/>
      <c r="I552" s="19"/>
      <c r="J552" s="112"/>
      <c r="K552" s="19"/>
      <c r="L552" s="19"/>
      <c r="M552" s="183"/>
      <c r="N552" s="19"/>
      <c r="O552" s="19"/>
      <c r="P552" s="23"/>
    </row>
    <row r="553" ht="14.25" customHeight="1">
      <c r="D553" s="18"/>
      <c r="E553" s="134"/>
      <c r="F553" s="19"/>
      <c r="G553" s="112"/>
      <c r="H553" s="19"/>
      <c r="I553" s="19"/>
      <c r="J553" s="112"/>
      <c r="K553" s="19"/>
      <c r="L553" s="19"/>
      <c r="M553" s="183"/>
      <c r="N553" s="19"/>
      <c r="O553" s="19"/>
      <c r="P553" s="23"/>
    </row>
    <row r="554" ht="14.25" customHeight="1">
      <c r="D554" s="18"/>
      <c r="E554" s="134"/>
      <c r="F554" s="19"/>
      <c r="G554" s="112"/>
      <c r="H554" s="19"/>
      <c r="I554" s="19"/>
      <c r="J554" s="112"/>
      <c r="K554" s="19"/>
      <c r="L554" s="19"/>
      <c r="M554" s="183"/>
      <c r="N554" s="19"/>
      <c r="O554" s="19"/>
      <c r="P554" s="23"/>
    </row>
    <row r="555" ht="14.25" customHeight="1">
      <c r="D555" s="18"/>
      <c r="E555" s="134"/>
      <c r="F555" s="19"/>
      <c r="G555" s="112"/>
      <c r="H555" s="19"/>
      <c r="I555" s="19"/>
      <c r="J555" s="112"/>
      <c r="K555" s="19"/>
      <c r="L555" s="19"/>
      <c r="M555" s="183"/>
      <c r="N555" s="19"/>
      <c r="O555" s="19"/>
      <c r="P555" s="23"/>
    </row>
    <row r="556" ht="14.25" customHeight="1">
      <c r="D556" s="18"/>
      <c r="E556" s="134"/>
      <c r="F556" s="19"/>
      <c r="G556" s="112"/>
      <c r="H556" s="19"/>
      <c r="I556" s="19"/>
      <c r="J556" s="112"/>
      <c r="K556" s="19"/>
      <c r="L556" s="19"/>
      <c r="M556" s="183"/>
      <c r="N556" s="19"/>
      <c r="O556" s="19"/>
      <c r="P556" s="23"/>
    </row>
    <row r="557" ht="14.25" customHeight="1">
      <c r="D557" s="18"/>
      <c r="E557" s="134"/>
      <c r="F557" s="19"/>
      <c r="G557" s="112"/>
      <c r="H557" s="19"/>
      <c r="I557" s="19"/>
      <c r="J557" s="112"/>
      <c r="K557" s="19"/>
      <c r="L557" s="19"/>
      <c r="M557" s="183"/>
      <c r="N557" s="19"/>
      <c r="O557" s="19"/>
      <c r="P557" s="23"/>
    </row>
    <row r="558" ht="14.25" customHeight="1">
      <c r="D558" s="18"/>
      <c r="E558" s="134"/>
      <c r="F558" s="19"/>
      <c r="G558" s="112"/>
      <c r="H558" s="19"/>
      <c r="I558" s="19"/>
      <c r="J558" s="112"/>
      <c r="K558" s="19"/>
      <c r="L558" s="19"/>
      <c r="M558" s="183"/>
      <c r="N558" s="19"/>
      <c r="O558" s="19"/>
      <c r="P558" s="23"/>
    </row>
    <row r="559" ht="14.25" customHeight="1">
      <c r="D559" s="18"/>
      <c r="E559" s="134"/>
      <c r="F559" s="19"/>
      <c r="G559" s="112"/>
      <c r="H559" s="19"/>
      <c r="I559" s="19"/>
      <c r="J559" s="112"/>
      <c r="K559" s="19"/>
      <c r="L559" s="19"/>
      <c r="M559" s="183"/>
      <c r="N559" s="19"/>
      <c r="O559" s="19"/>
      <c r="P559" s="23"/>
    </row>
    <row r="560" ht="14.25" customHeight="1">
      <c r="D560" s="18"/>
      <c r="E560" s="134"/>
      <c r="F560" s="19"/>
      <c r="G560" s="112"/>
      <c r="H560" s="19"/>
      <c r="I560" s="19"/>
      <c r="J560" s="112"/>
      <c r="K560" s="19"/>
      <c r="L560" s="19"/>
      <c r="M560" s="183"/>
      <c r="N560" s="19"/>
      <c r="O560" s="19"/>
      <c r="P560" s="23"/>
    </row>
    <row r="561" ht="14.25" customHeight="1">
      <c r="D561" s="18"/>
      <c r="E561" s="134"/>
      <c r="F561" s="19"/>
      <c r="G561" s="112"/>
      <c r="H561" s="19"/>
      <c r="I561" s="19"/>
      <c r="J561" s="112"/>
      <c r="K561" s="19"/>
      <c r="L561" s="19"/>
      <c r="M561" s="183"/>
      <c r="N561" s="19"/>
      <c r="O561" s="19"/>
      <c r="P561" s="23"/>
    </row>
    <row r="562" ht="14.25" customHeight="1">
      <c r="D562" s="18"/>
      <c r="E562" s="134"/>
      <c r="F562" s="19"/>
      <c r="G562" s="112"/>
      <c r="H562" s="19"/>
      <c r="I562" s="19"/>
      <c r="J562" s="112"/>
      <c r="K562" s="19"/>
      <c r="L562" s="19"/>
      <c r="M562" s="183"/>
      <c r="N562" s="19"/>
      <c r="O562" s="19"/>
      <c r="P562" s="23"/>
    </row>
    <row r="563" ht="14.25" customHeight="1">
      <c r="D563" s="18"/>
      <c r="E563" s="134"/>
      <c r="F563" s="19"/>
      <c r="G563" s="112"/>
      <c r="H563" s="19"/>
      <c r="I563" s="19"/>
      <c r="J563" s="112"/>
      <c r="K563" s="19"/>
      <c r="L563" s="19"/>
      <c r="M563" s="183"/>
      <c r="N563" s="19"/>
      <c r="O563" s="19"/>
      <c r="P563" s="23"/>
    </row>
    <row r="564" ht="14.25" customHeight="1">
      <c r="D564" s="18"/>
      <c r="E564" s="134"/>
      <c r="F564" s="19"/>
      <c r="G564" s="112"/>
      <c r="H564" s="19"/>
      <c r="I564" s="19"/>
      <c r="J564" s="112"/>
      <c r="K564" s="19"/>
      <c r="L564" s="19"/>
      <c r="M564" s="183"/>
      <c r="N564" s="19"/>
      <c r="O564" s="19"/>
      <c r="P564" s="23"/>
    </row>
    <row r="565" ht="14.25" customHeight="1">
      <c r="D565" s="18"/>
      <c r="E565" s="134"/>
      <c r="F565" s="19"/>
      <c r="G565" s="112"/>
      <c r="H565" s="19"/>
      <c r="I565" s="19"/>
      <c r="J565" s="112"/>
      <c r="K565" s="19"/>
      <c r="L565" s="19"/>
      <c r="M565" s="183"/>
      <c r="N565" s="19"/>
      <c r="O565" s="19"/>
      <c r="P565" s="23"/>
    </row>
    <row r="566" ht="14.25" customHeight="1">
      <c r="D566" s="18"/>
      <c r="E566" s="134"/>
      <c r="F566" s="19"/>
      <c r="G566" s="112"/>
      <c r="H566" s="19"/>
      <c r="I566" s="19"/>
      <c r="J566" s="112"/>
      <c r="K566" s="19"/>
      <c r="L566" s="19"/>
      <c r="M566" s="183"/>
      <c r="N566" s="19"/>
      <c r="O566" s="19"/>
      <c r="P566" s="23"/>
    </row>
    <row r="567" ht="14.25" customHeight="1">
      <c r="D567" s="18"/>
      <c r="E567" s="134"/>
      <c r="F567" s="19"/>
      <c r="G567" s="112"/>
      <c r="H567" s="19"/>
      <c r="I567" s="19"/>
      <c r="J567" s="112"/>
      <c r="K567" s="19"/>
      <c r="L567" s="19"/>
      <c r="M567" s="183"/>
      <c r="N567" s="19"/>
      <c r="O567" s="19"/>
      <c r="P567" s="23"/>
    </row>
    <row r="568" ht="14.25" customHeight="1">
      <c r="D568" s="18"/>
      <c r="E568" s="134"/>
      <c r="F568" s="19"/>
      <c r="G568" s="112"/>
      <c r="H568" s="19"/>
      <c r="I568" s="19"/>
      <c r="J568" s="112"/>
      <c r="K568" s="19"/>
      <c r="L568" s="19"/>
      <c r="M568" s="183"/>
      <c r="N568" s="19"/>
      <c r="O568" s="19"/>
      <c r="P568" s="23"/>
    </row>
    <row r="569" ht="14.25" customHeight="1">
      <c r="D569" s="18"/>
      <c r="E569" s="134"/>
      <c r="F569" s="19"/>
      <c r="G569" s="112"/>
      <c r="H569" s="19"/>
      <c r="I569" s="19"/>
      <c r="J569" s="112"/>
      <c r="K569" s="19"/>
      <c r="L569" s="19"/>
      <c r="M569" s="183"/>
      <c r="N569" s="19"/>
      <c r="O569" s="19"/>
      <c r="P569" s="23"/>
    </row>
    <row r="570" ht="14.25" customHeight="1">
      <c r="D570" s="18"/>
      <c r="E570" s="134"/>
      <c r="F570" s="19"/>
      <c r="G570" s="112"/>
      <c r="H570" s="19"/>
      <c r="I570" s="19"/>
      <c r="J570" s="112"/>
      <c r="K570" s="19"/>
      <c r="L570" s="19"/>
      <c r="M570" s="183"/>
      <c r="N570" s="19"/>
      <c r="O570" s="19"/>
      <c r="P570" s="23"/>
    </row>
    <row r="571" ht="14.25" customHeight="1">
      <c r="D571" s="18"/>
      <c r="E571" s="134"/>
      <c r="F571" s="19"/>
      <c r="G571" s="112"/>
      <c r="H571" s="19"/>
      <c r="I571" s="19"/>
      <c r="J571" s="112"/>
      <c r="K571" s="19"/>
      <c r="L571" s="19"/>
      <c r="M571" s="183"/>
      <c r="N571" s="19"/>
      <c r="O571" s="19"/>
      <c r="P571" s="23"/>
    </row>
    <row r="572" ht="14.25" customHeight="1">
      <c r="D572" s="18"/>
      <c r="E572" s="134"/>
      <c r="F572" s="19"/>
      <c r="G572" s="112"/>
      <c r="H572" s="19"/>
      <c r="I572" s="19"/>
      <c r="J572" s="112"/>
      <c r="K572" s="19"/>
      <c r="L572" s="19"/>
      <c r="M572" s="183"/>
      <c r="N572" s="19"/>
      <c r="O572" s="19"/>
      <c r="P572" s="23"/>
    </row>
    <row r="573" ht="14.25" customHeight="1">
      <c r="D573" s="18"/>
      <c r="E573" s="134"/>
      <c r="F573" s="19"/>
      <c r="G573" s="112"/>
      <c r="H573" s="19"/>
      <c r="I573" s="19"/>
      <c r="J573" s="112"/>
      <c r="K573" s="19"/>
      <c r="L573" s="19"/>
      <c r="M573" s="183"/>
      <c r="N573" s="19"/>
      <c r="O573" s="19"/>
      <c r="P573" s="23"/>
    </row>
    <row r="574" ht="14.25" customHeight="1">
      <c r="D574" s="18"/>
      <c r="E574" s="134"/>
      <c r="F574" s="19"/>
      <c r="G574" s="112"/>
      <c r="H574" s="19"/>
      <c r="I574" s="19"/>
      <c r="J574" s="112"/>
      <c r="K574" s="19"/>
      <c r="L574" s="19"/>
      <c r="M574" s="183"/>
      <c r="N574" s="19"/>
      <c r="O574" s="19"/>
      <c r="P574" s="23"/>
    </row>
    <row r="575" ht="14.25" customHeight="1">
      <c r="D575" s="18"/>
      <c r="E575" s="134"/>
      <c r="F575" s="19"/>
      <c r="G575" s="112"/>
      <c r="H575" s="19"/>
      <c r="I575" s="19"/>
      <c r="J575" s="112"/>
      <c r="K575" s="19"/>
      <c r="L575" s="19"/>
      <c r="M575" s="183"/>
      <c r="N575" s="19"/>
      <c r="O575" s="19"/>
      <c r="P575" s="23"/>
    </row>
    <row r="576" ht="14.25" customHeight="1">
      <c r="D576" s="18"/>
      <c r="E576" s="134"/>
      <c r="F576" s="19"/>
      <c r="G576" s="112"/>
      <c r="H576" s="19"/>
      <c r="I576" s="19"/>
      <c r="J576" s="112"/>
      <c r="K576" s="19"/>
      <c r="L576" s="19"/>
      <c r="M576" s="183"/>
      <c r="N576" s="19"/>
      <c r="O576" s="19"/>
      <c r="P576" s="23"/>
    </row>
    <row r="577" ht="14.25" customHeight="1">
      <c r="D577" s="18"/>
      <c r="E577" s="134"/>
      <c r="F577" s="19"/>
      <c r="G577" s="112"/>
      <c r="H577" s="19"/>
      <c r="I577" s="19"/>
      <c r="J577" s="112"/>
      <c r="K577" s="19"/>
      <c r="L577" s="19"/>
      <c r="M577" s="183"/>
      <c r="N577" s="19"/>
      <c r="O577" s="19"/>
      <c r="P577" s="23"/>
    </row>
    <row r="578" ht="14.25" customHeight="1">
      <c r="D578" s="18"/>
      <c r="E578" s="134"/>
      <c r="F578" s="19"/>
      <c r="G578" s="112"/>
      <c r="H578" s="19"/>
      <c r="I578" s="19"/>
      <c r="J578" s="112"/>
      <c r="K578" s="19"/>
      <c r="L578" s="19"/>
      <c r="M578" s="183"/>
      <c r="N578" s="19"/>
      <c r="O578" s="19"/>
      <c r="P578" s="23"/>
    </row>
    <row r="579" ht="14.25" customHeight="1">
      <c r="D579" s="18"/>
      <c r="E579" s="134"/>
      <c r="F579" s="19"/>
      <c r="G579" s="112"/>
      <c r="H579" s="19"/>
      <c r="I579" s="19"/>
      <c r="J579" s="112"/>
      <c r="K579" s="19"/>
      <c r="L579" s="19"/>
      <c r="M579" s="183"/>
      <c r="N579" s="19"/>
      <c r="O579" s="19"/>
      <c r="P579" s="23"/>
    </row>
    <row r="580" ht="14.25" customHeight="1">
      <c r="D580" s="18"/>
      <c r="E580" s="134"/>
      <c r="F580" s="19"/>
      <c r="G580" s="112"/>
      <c r="H580" s="19"/>
      <c r="I580" s="19"/>
      <c r="J580" s="112"/>
      <c r="K580" s="19"/>
      <c r="L580" s="19"/>
      <c r="M580" s="183"/>
      <c r="N580" s="19"/>
      <c r="O580" s="19"/>
      <c r="P580" s="23"/>
    </row>
    <row r="581" ht="14.25" customHeight="1">
      <c r="D581" s="18"/>
      <c r="E581" s="134"/>
      <c r="F581" s="19"/>
      <c r="G581" s="112"/>
      <c r="H581" s="19"/>
      <c r="I581" s="19"/>
      <c r="J581" s="112"/>
      <c r="K581" s="19"/>
      <c r="L581" s="19"/>
      <c r="M581" s="183"/>
      <c r="N581" s="19"/>
      <c r="O581" s="19"/>
      <c r="P581" s="23"/>
    </row>
    <row r="582" ht="14.25" customHeight="1">
      <c r="D582" s="18"/>
      <c r="E582" s="134"/>
      <c r="F582" s="19"/>
      <c r="G582" s="112"/>
      <c r="H582" s="19"/>
      <c r="I582" s="19"/>
      <c r="J582" s="112"/>
      <c r="K582" s="19"/>
      <c r="L582" s="19"/>
      <c r="M582" s="183"/>
      <c r="N582" s="19"/>
      <c r="O582" s="19"/>
      <c r="P582" s="23"/>
    </row>
    <row r="583" ht="14.25" customHeight="1">
      <c r="D583" s="18"/>
      <c r="E583" s="134"/>
      <c r="F583" s="19"/>
      <c r="G583" s="112"/>
      <c r="H583" s="19"/>
      <c r="I583" s="19"/>
      <c r="J583" s="112"/>
      <c r="K583" s="19"/>
      <c r="L583" s="19"/>
      <c r="M583" s="183"/>
      <c r="N583" s="19"/>
      <c r="O583" s="19"/>
      <c r="P583" s="23"/>
    </row>
    <row r="584" ht="14.25" customHeight="1">
      <c r="D584" s="18"/>
      <c r="E584" s="134"/>
      <c r="F584" s="19"/>
      <c r="G584" s="112"/>
      <c r="H584" s="19"/>
      <c r="I584" s="19"/>
      <c r="J584" s="112"/>
      <c r="K584" s="19"/>
      <c r="L584" s="19"/>
      <c r="M584" s="183"/>
      <c r="N584" s="19"/>
      <c r="O584" s="19"/>
      <c r="P584" s="23"/>
    </row>
    <row r="585" ht="14.25" customHeight="1">
      <c r="D585" s="18"/>
      <c r="E585" s="134"/>
      <c r="F585" s="19"/>
      <c r="G585" s="112"/>
      <c r="H585" s="19"/>
      <c r="I585" s="19"/>
      <c r="J585" s="112"/>
      <c r="K585" s="19"/>
      <c r="L585" s="19"/>
      <c r="M585" s="183"/>
      <c r="N585" s="19"/>
      <c r="O585" s="19"/>
      <c r="P585" s="23"/>
    </row>
    <row r="586" ht="14.25" customHeight="1">
      <c r="D586" s="18"/>
      <c r="E586" s="134"/>
      <c r="F586" s="19"/>
      <c r="G586" s="112"/>
      <c r="H586" s="19"/>
      <c r="I586" s="19"/>
      <c r="J586" s="112"/>
      <c r="K586" s="19"/>
      <c r="L586" s="19"/>
      <c r="M586" s="183"/>
      <c r="N586" s="19"/>
      <c r="O586" s="19"/>
      <c r="P586" s="23"/>
    </row>
    <row r="587" ht="14.25" customHeight="1">
      <c r="D587" s="18"/>
      <c r="E587" s="134"/>
      <c r="F587" s="19"/>
      <c r="G587" s="112"/>
      <c r="H587" s="19"/>
      <c r="I587" s="19"/>
      <c r="J587" s="112"/>
      <c r="K587" s="19"/>
      <c r="L587" s="19"/>
      <c r="M587" s="183"/>
      <c r="N587" s="19"/>
      <c r="O587" s="19"/>
      <c r="P587" s="23"/>
    </row>
    <row r="588" ht="14.25" customHeight="1">
      <c r="D588" s="18"/>
      <c r="E588" s="134"/>
      <c r="F588" s="19"/>
      <c r="G588" s="112"/>
      <c r="H588" s="19"/>
      <c r="I588" s="19"/>
      <c r="J588" s="112"/>
      <c r="K588" s="19"/>
      <c r="L588" s="19"/>
      <c r="M588" s="183"/>
      <c r="N588" s="19"/>
      <c r="O588" s="19"/>
      <c r="P588" s="23"/>
    </row>
    <row r="589" ht="14.25" customHeight="1">
      <c r="D589" s="18"/>
      <c r="E589" s="134"/>
      <c r="F589" s="19"/>
      <c r="G589" s="112"/>
      <c r="H589" s="19"/>
      <c r="I589" s="19"/>
      <c r="J589" s="112"/>
      <c r="K589" s="19"/>
      <c r="L589" s="19"/>
      <c r="M589" s="183"/>
      <c r="N589" s="19"/>
      <c r="O589" s="19"/>
      <c r="P589" s="23"/>
    </row>
    <row r="590" ht="14.25" customHeight="1">
      <c r="D590" s="18"/>
      <c r="E590" s="134"/>
      <c r="F590" s="19"/>
      <c r="G590" s="112"/>
      <c r="H590" s="19"/>
      <c r="I590" s="19"/>
      <c r="J590" s="112"/>
      <c r="K590" s="19"/>
      <c r="L590" s="19"/>
      <c r="M590" s="183"/>
      <c r="N590" s="19"/>
      <c r="O590" s="19"/>
      <c r="P590" s="23"/>
    </row>
    <row r="591" ht="14.25" customHeight="1">
      <c r="D591" s="18"/>
      <c r="E591" s="134"/>
      <c r="F591" s="19"/>
      <c r="G591" s="112"/>
      <c r="H591" s="19"/>
      <c r="I591" s="19"/>
      <c r="J591" s="112"/>
      <c r="K591" s="19"/>
      <c r="L591" s="19"/>
      <c r="M591" s="183"/>
      <c r="N591" s="19"/>
      <c r="O591" s="19"/>
      <c r="P591" s="23"/>
    </row>
    <row r="592" ht="14.25" customHeight="1">
      <c r="D592" s="18"/>
      <c r="E592" s="134"/>
      <c r="F592" s="19"/>
      <c r="G592" s="112"/>
      <c r="H592" s="19"/>
      <c r="I592" s="19"/>
      <c r="J592" s="112"/>
      <c r="K592" s="19"/>
      <c r="L592" s="19"/>
      <c r="M592" s="183"/>
      <c r="N592" s="19"/>
      <c r="O592" s="19"/>
      <c r="P592" s="23"/>
    </row>
    <row r="593" ht="14.25" customHeight="1">
      <c r="D593" s="18"/>
      <c r="E593" s="134"/>
      <c r="F593" s="19"/>
      <c r="G593" s="112"/>
      <c r="H593" s="19"/>
      <c r="I593" s="19"/>
      <c r="J593" s="112"/>
      <c r="K593" s="19"/>
      <c r="L593" s="19"/>
      <c r="M593" s="183"/>
      <c r="N593" s="19"/>
      <c r="O593" s="19"/>
      <c r="P593" s="23"/>
    </row>
    <row r="594" ht="14.25" customHeight="1">
      <c r="D594" s="18"/>
      <c r="E594" s="134"/>
      <c r="F594" s="19"/>
      <c r="G594" s="112"/>
      <c r="H594" s="19"/>
      <c r="I594" s="19"/>
      <c r="J594" s="112"/>
      <c r="K594" s="19"/>
      <c r="L594" s="19"/>
      <c r="M594" s="183"/>
      <c r="N594" s="19"/>
      <c r="O594" s="19"/>
      <c r="P594" s="23"/>
    </row>
    <row r="595" ht="14.25" customHeight="1">
      <c r="D595" s="18"/>
      <c r="E595" s="134"/>
      <c r="F595" s="19"/>
      <c r="G595" s="112"/>
      <c r="H595" s="19"/>
      <c r="I595" s="19"/>
      <c r="J595" s="112"/>
      <c r="K595" s="19"/>
      <c r="L595" s="19"/>
      <c r="M595" s="183"/>
      <c r="N595" s="19"/>
      <c r="O595" s="19"/>
      <c r="P595" s="23"/>
    </row>
    <row r="596" ht="14.25" customHeight="1">
      <c r="D596" s="18"/>
      <c r="E596" s="134"/>
      <c r="F596" s="19"/>
      <c r="G596" s="112"/>
      <c r="H596" s="19"/>
      <c r="I596" s="19"/>
      <c r="J596" s="112"/>
      <c r="K596" s="19"/>
      <c r="L596" s="19"/>
      <c r="M596" s="183"/>
      <c r="N596" s="19"/>
      <c r="O596" s="19"/>
      <c r="P596" s="23"/>
    </row>
    <row r="597" ht="14.25" customHeight="1">
      <c r="D597" s="18"/>
      <c r="E597" s="134"/>
      <c r="F597" s="19"/>
      <c r="G597" s="112"/>
      <c r="H597" s="19"/>
      <c r="I597" s="19"/>
      <c r="J597" s="112"/>
      <c r="K597" s="19"/>
      <c r="L597" s="19"/>
      <c r="M597" s="183"/>
      <c r="N597" s="19"/>
      <c r="O597" s="19"/>
      <c r="P597" s="23"/>
    </row>
    <row r="598" ht="14.25" customHeight="1">
      <c r="D598" s="18"/>
      <c r="E598" s="134"/>
      <c r="F598" s="19"/>
      <c r="G598" s="112"/>
      <c r="H598" s="19"/>
      <c r="I598" s="19"/>
      <c r="J598" s="112"/>
      <c r="K598" s="19"/>
      <c r="L598" s="19"/>
      <c r="M598" s="183"/>
      <c r="N598" s="19"/>
      <c r="O598" s="19"/>
      <c r="P598" s="23"/>
    </row>
    <row r="599" ht="14.25" customHeight="1">
      <c r="D599" s="18"/>
      <c r="E599" s="134"/>
      <c r="F599" s="19"/>
      <c r="G599" s="112"/>
      <c r="H599" s="19"/>
      <c r="I599" s="19"/>
      <c r="J599" s="112"/>
      <c r="K599" s="19"/>
      <c r="L599" s="19"/>
      <c r="M599" s="183"/>
      <c r="N599" s="19"/>
      <c r="O599" s="19"/>
      <c r="P599" s="23"/>
    </row>
    <row r="600" ht="14.25" customHeight="1">
      <c r="D600" s="18"/>
      <c r="E600" s="134"/>
      <c r="F600" s="19"/>
      <c r="G600" s="112"/>
      <c r="H600" s="19"/>
      <c r="I600" s="19"/>
      <c r="J600" s="112"/>
      <c r="K600" s="19"/>
      <c r="L600" s="19"/>
      <c r="M600" s="183"/>
      <c r="N600" s="19"/>
      <c r="O600" s="19"/>
      <c r="P600" s="23"/>
    </row>
    <row r="601" ht="14.25" customHeight="1">
      <c r="D601" s="18"/>
      <c r="E601" s="134"/>
      <c r="F601" s="19"/>
      <c r="G601" s="112"/>
      <c r="H601" s="19"/>
      <c r="I601" s="19"/>
      <c r="J601" s="112"/>
      <c r="K601" s="19"/>
      <c r="L601" s="19"/>
      <c r="M601" s="183"/>
      <c r="N601" s="19"/>
      <c r="O601" s="19"/>
      <c r="P601" s="23"/>
    </row>
    <row r="602" ht="14.25" customHeight="1">
      <c r="D602" s="18"/>
      <c r="E602" s="134"/>
      <c r="F602" s="19"/>
      <c r="G602" s="112"/>
      <c r="H602" s="19"/>
      <c r="I602" s="19"/>
      <c r="J602" s="112"/>
      <c r="K602" s="19"/>
      <c r="L602" s="19"/>
      <c r="M602" s="183"/>
      <c r="N602" s="19"/>
      <c r="O602" s="19"/>
      <c r="P602" s="23"/>
    </row>
    <row r="603" ht="14.25" customHeight="1">
      <c r="D603" s="18"/>
      <c r="E603" s="134"/>
      <c r="F603" s="19"/>
      <c r="G603" s="112"/>
      <c r="H603" s="19"/>
      <c r="I603" s="19"/>
      <c r="J603" s="112"/>
      <c r="K603" s="19"/>
      <c r="L603" s="19"/>
      <c r="M603" s="183"/>
      <c r="N603" s="19"/>
      <c r="O603" s="19"/>
      <c r="P603" s="23"/>
    </row>
    <row r="604" ht="14.25" customHeight="1">
      <c r="D604" s="18"/>
      <c r="E604" s="134"/>
      <c r="F604" s="19"/>
      <c r="G604" s="112"/>
      <c r="H604" s="19"/>
      <c r="I604" s="19"/>
      <c r="J604" s="112"/>
      <c r="K604" s="19"/>
      <c r="L604" s="19"/>
      <c r="M604" s="183"/>
      <c r="N604" s="19"/>
      <c r="O604" s="19"/>
      <c r="P604" s="23"/>
    </row>
    <row r="605" ht="14.25" customHeight="1">
      <c r="D605" s="18"/>
      <c r="E605" s="134"/>
      <c r="F605" s="19"/>
      <c r="G605" s="112"/>
      <c r="H605" s="19"/>
      <c r="I605" s="19"/>
      <c r="J605" s="112"/>
      <c r="K605" s="19"/>
      <c r="L605" s="19"/>
      <c r="M605" s="183"/>
      <c r="N605" s="19"/>
      <c r="O605" s="19"/>
      <c r="P605" s="23"/>
    </row>
    <row r="606" ht="14.25" customHeight="1">
      <c r="D606" s="18"/>
      <c r="E606" s="134"/>
      <c r="F606" s="19"/>
      <c r="G606" s="112"/>
      <c r="H606" s="19"/>
      <c r="I606" s="19"/>
      <c r="J606" s="112"/>
      <c r="K606" s="19"/>
      <c r="L606" s="19"/>
      <c r="M606" s="183"/>
      <c r="N606" s="19"/>
      <c r="O606" s="19"/>
      <c r="P606" s="23"/>
    </row>
    <row r="607" ht="14.25" customHeight="1">
      <c r="D607" s="18"/>
      <c r="E607" s="134"/>
      <c r="F607" s="19"/>
      <c r="G607" s="112"/>
      <c r="H607" s="19"/>
      <c r="I607" s="19"/>
      <c r="J607" s="112"/>
      <c r="K607" s="19"/>
      <c r="L607" s="19"/>
      <c r="M607" s="183"/>
      <c r="N607" s="19"/>
      <c r="O607" s="19"/>
      <c r="P607" s="23"/>
    </row>
    <row r="608" ht="14.25" customHeight="1">
      <c r="D608" s="18"/>
      <c r="E608" s="134"/>
      <c r="F608" s="19"/>
      <c r="G608" s="112"/>
      <c r="H608" s="19"/>
      <c r="I608" s="19"/>
      <c r="J608" s="112"/>
      <c r="K608" s="19"/>
      <c r="L608" s="19"/>
      <c r="M608" s="183"/>
      <c r="N608" s="19"/>
      <c r="O608" s="19"/>
      <c r="P608" s="23"/>
    </row>
    <row r="609" ht="14.25" customHeight="1">
      <c r="D609" s="18"/>
      <c r="E609" s="134"/>
      <c r="F609" s="19"/>
      <c r="G609" s="112"/>
      <c r="H609" s="19"/>
      <c r="I609" s="19"/>
      <c r="J609" s="112"/>
      <c r="K609" s="19"/>
      <c r="L609" s="19"/>
      <c r="M609" s="183"/>
      <c r="N609" s="19"/>
      <c r="O609" s="19"/>
      <c r="P609" s="23"/>
    </row>
    <row r="610" ht="14.25" customHeight="1">
      <c r="D610" s="18"/>
      <c r="E610" s="134"/>
      <c r="F610" s="19"/>
      <c r="G610" s="112"/>
      <c r="H610" s="19"/>
      <c r="I610" s="19"/>
      <c r="J610" s="112"/>
      <c r="K610" s="19"/>
      <c r="L610" s="19"/>
      <c r="M610" s="183"/>
      <c r="N610" s="19"/>
      <c r="O610" s="19"/>
      <c r="P610" s="23"/>
    </row>
    <row r="611" ht="14.25" customHeight="1">
      <c r="D611" s="18"/>
      <c r="E611" s="134"/>
      <c r="F611" s="19"/>
      <c r="G611" s="112"/>
      <c r="H611" s="19"/>
      <c r="I611" s="19"/>
      <c r="J611" s="112"/>
      <c r="K611" s="19"/>
      <c r="L611" s="19"/>
      <c r="M611" s="183"/>
      <c r="N611" s="19"/>
      <c r="O611" s="19"/>
      <c r="P611" s="23"/>
    </row>
    <row r="612" ht="14.25" customHeight="1">
      <c r="D612" s="18"/>
      <c r="E612" s="134"/>
      <c r="F612" s="19"/>
      <c r="G612" s="112"/>
      <c r="H612" s="19"/>
      <c r="I612" s="19"/>
      <c r="J612" s="112"/>
      <c r="K612" s="19"/>
      <c r="L612" s="19"/>
      <c r="M612" s="183"/>
      <c r="N612" s="19"/>
      <c r="O612" s="19"/>
      <c r="P612" s="23"/>
    </row>
    <row r="613" ht="14.25" customHeight="1">
      <c r="D613" s="18"/>
      <c r="E613" s="134"/>
      <c r="F613" s="19"/>
      <c r="G613" s="112"/>
      <c r="H613" s="19"/>
      <c r="I613" s="19"/>
      <c r="J613" s="112"/>
      <c r="K613" s="19"/>
      <c r="L613" s="19"/>
      <c r="M613" s="183"/>
      <c r="N613" s="19"/>
      <c r="O613" s="19"/>
      <c r="P613" s="23"/>
    </row>
    <row r="614" ht="14.25" customHeight="1">
      <c r="D614" s="18"/>
      <c r="E614" s="134"/>
      <c r="F614" s="19"/>
      <c r="G614" s="112"/>
      <c r="H614" s="19"/>
      <c r="I614" s="19"/>
      <c r="J614" s="112"/>
      <c r="K614" s="19"/>
      <c r="L614" s="19"/>
      <c r="M614" s="183"/>
      <c r="N614" s="19"/>
      <c r="O614" s="19"/>
      <c r="P614" s="23"/>
    </row>
    <row r="615" ht="14.25" customHeight="1">
      <c r="D615" s="18"/>
      <c r="E615" s="134"/>
      <c r="F615" s="19"/>
      <c r="G615" s="112"/>
      <c r="H615" s="19"/>
      <c r="I615" s="19"/>
      <c r="J615" s="112"/>
      <c r="K615" s="19"/>
      <c r="L615" s="19"/>
      <c r="M615" s="183"/>
      <c r="N615" s="19"/>
      <c r="O615" s="19"/>
      <c r="P615" s="23"/>
    </row>
    <row r="616" ht="14.25" customHeight="1">
      <c r="D616" s="18"/>
      <c r="E616" s="134"/>
      <c r="F616" s="19"/>
      <c r="G616" s="112"/>
      <c r="H616" s="19"/>
      <c r="I616" s="19"/>
      <c r="J616" s="112"/>
      <c r="K616" s="19"/>
      <c r="L616" s="19"/>
      <c r="M616" s="183"/>
      <c r="N616" s="19"/>
      <c r="O616" s="19"/>
      <c r="P616" s="23"/>
    </row>
    <row r="617" ht="14.25" customHeight="1">
      <c r="D617" s="18"/>
      <c r="E617" s="134"/>
      <c r="F617" s="19"/>
      <c r="G617" s="112"/>
      <c r="H617" s="19"/>
      <c r="I617" s="19"/>
      <c r="J617" s="112"/>
      <c r="K617" s="19"/>
      <c r="L617" s="19"/>
      <c r="M617" s="183"/>
      <c r="N617" s="19"/>
      <c r="O617" s="19"/>
      <c r="P617" s="23"/>
    </row>
    <row r="618" ht="14.25" customHeight="1">
      <c r="D618" s="18"/>
      <c r="E618" s="134"/>
      <c r="F618" s="19"/>
      <c r="G618" s="112"/>
      <c r="H618" s="19"/>
      <c r="I618" s="19"/>
      <c r="J618" s="112"/>
      <c r="K618" s="19"/>
      <c r="L618" s="19"/>
      <c r="M618" s="183"/>
      <c r="N618" s="19"/>
      <c r="O618" s="19"/>
      <c r="P618" s="23"/>
    </row>
    <row r="619" ht="14.25" customHeight="1">
      <c r="D619" s="18"/>
      <c r="E619" s="134"/>
      <c r="F619" s="19"/>
      <c r="G619" s="112"/>
      <c r="H619" s="19"/>
      <c r="I619" s="19"/>
      <c r="J619" s="112"/>
      <c r="K619" s="19"/>
      <c r="L619" s="19"/>
      <c r="M619" s="183"/>
      <c r="N619" s="19"/>
      <c r="O619" s="19"/>
      <c r="P619" s="23"/>
    </row>
    <row r="620" ht="14.25" customHeight="1">
      <c r="D620" s="18"/>
      <c r="E620" s="134"/>
      <c r="F620" s="19"/>
      <c r="G620" s="112"/>
      <c r="H620" s="19"/>
      <c r="I620" s="19"/>
      <c r="J620" s="112"/>
      <c r="K620" s="19"/>
      <c r="L620" s="19"/>
      <c r="M620" s="183"/>
      <c r="N620" s="19"/>
      <c r="O620" s="19"/>
      <c r="P620" s="23"/>
    </row>
    <row r="621" ht="14.25" customHeight="1">
      <c r="D621" s="18"/>
      <c r="E621" s="134"/>
      <c r="F621" s="19"/>
      <c r="G621" s="112"/>
      <c r="H621" s="19"/>
      <c r="I621" s="19"/>
      <c r="J621" s="112"/>
      <c r="K621" s="19"/>
      <c r="L621" s="19"/>
      <c r="M621" s="183"/>
      <c r="N621" s="19"/>
      <c r="O621" s="19"/>
      <c r="P621" s="23"/>
    </row>
    <row r="622" ht="14.25" customHeight="1">
      <c r="D622" s="18"/>
      <c r="E622" s="134"/>
      <c r="F622" s="19"/>
      <c r="G622" s="112"/>
      <c r="H622" s="19"/>
      <c r="I622" s="19"/>
      <c r="J622" s="112"/>
      <c r="K622" s="19"/>
      <c r="L622" s="19"/>
      <c r="M622" s="183"/>
      <c r="N622" s="19"/>
      <c r="O622" s="19"/>
      <c r="P622" s="23"/>
    </row>
    <row r="623" ht="14.25" customHeight="1">
      <c r="D623" s="18"/>
      <c r="E623" s="134"/>
      <c r="F623" s="19"/>
      <c r="G623" s="112"/>
      <c r="H623" s="19"/>
      <c r="I623" s="19"/>
      <c r="J623" s="112"/>
      <c r="K623" s="19"/>
      <c r="L623" s="19"/>
      <c r="M623" s="183"/>
      <c r="N623" s="19"/>
      <c r="O623" s="19"/>
      <c r="P623" s="23"/>
    </row>
    <row r="624" ht="14.25" customHeight="1">
      <c r="D624" s="18"/>
      <c r="E624" s="134"/>
      <c r="F624" s="19"/>
      <c r="G624" s="112"/>
      <c r="H624" s="19"/>
      <c r="I624" s="19"/>
      <c r="J624" s="112"/>
      <c r="K624" s="19"/>
      <c r="L624" s="19"/>
      <c r="M624" s="183"/>
      <c r="N624" s="19"/>
      <c r="O624" s="19"/>
      <c r="P624" s="23"/>
    </row>
    <row r="625" ht="14.25" customHeight="1">
      <c r="D625" s="18"/>
      <c r="E625" s="134"/>
      <c r="F625" s="19"/>
      <c r="G625" s="112"/>
      <c r="H625" s="19"/>
      <c r="I625" s="19"/>
      <c r="J625" s="112"/>
      <c r="K625" s="19"/>
      <c r="L625" s="19"/>
      <c r="M625" s="183"/>
      <c r="N625" s="19"/>
      <c r="O625" s="19"/>
      <c r="P625" s="23"/>
    </row>
    <row r="626" ht="14.25" customHeight="1">
      <c r="D626" s="18"/>
      <c r="E626" s="134"/>
      <c r="F626" s="19"/>
      <c r="G626" s="112"/>
      <c r="H626" s="19"/>
      <c r="I626" s="19"/>
      <c r="J626" s="112"/>
      <c r="K626" s="19"/>
      <c r="L626" s="19"/>
      <c r="M626" s="183"/>
      <c r="N626" s="19"/>
      <c r="O626" s="19"/>
      <c r="P626" s="23"/>
    </row>
    <row r="627" ht="14.25" customHeight="1">
      <c r="D627" s="18"/>
      <c r="E627" s="134"/>
      <c r="F627" s="19"/>
      <c r="G627" s="112"/>
      <c r="H627" s="19"/>
      <c r="I627" s="19"/>
      <c r="J627" s="112"/>
      <c r="K627" s="19"/>
      <c r="L627" s="19"/>
      <c r="M627" s="183"/>
      <c r="N627" s="19"/>
      <c r="O627" s="19"/>
      <c r="P627" s="23"/>
    </row>
    <row r="628" ht="14.25" customHeight="1">
      <c r="D628" s="18"/>
      <c r="E628" s="134"/>
      <c r="F628" s="19"/>
      <c r="G628" s="112"/>
      <c r="H628" s="19"/>
      <c r="I628" s="19"/>
      <c r="J628" s="112"/>
      <c r="K628" s="19"/>
      <c r="L628" s="19"/>
      <c r="M628" s="183"/>
      <c r="N628" s="19"/>
      <c r="O628" s="19"/>
      <c r="P628" s="23"/>
    </row>
    <row r="629" ht="14.25" customHeight="1">
      <c r="D629" s="18"/>
      <c r="E629" s="134"/>
      <c r="F629" s="19"/>
      <c r="G629" s="112"/>
      <c r="H629" s="19"/>
      <c r="I629" s="19"/>
      <c r="J629" s="112"/>
      <c r="K629" s="19"/>
      <c r="L629" s="19"/>
      <c r="M629" s="183"/>
      <c r="N629" s="19"/>
      <c r="O629" s="19"/>
      <c r="P629" s="23"/>
    </row>
    <row r="630" ht="14.25" customHeight="1">
      <c r="D630" s="18"/>
      <c r="E630" s="134"/>
      <c r="F630" s="19"/>
      <c r="G630" s="112"/>
      <c r="H630" s="19"/>
      <c r="I630" s="19"/>
      <c r="J630" s="112"/>
      <c r="K630" s="19"/>
      <c r="L630" s="19"/>
      <c r="M630" s="183"/>
      <c r="N630" s="19"/>
      <c r="O630" s="19"/>
      <c r="P630" s="23"/>
    </row>
    <row r="631" ht="14.25" customHeight="1">
      <c r="D631" s="18"/>
      <c r="E631" s="134"/>
      <c r="F631" s="19"/>
      <c r="G631" s="112"/>
      <c r="H631" s="19"/>
      <c r="I631" s="19"/>
      <c r="J631" s="112"/>
      <c r="K631" s="19"/>
      <c r="L631" s="19"/>
      <c r="M631" s="183"/>
      <c r="N631" s="19"/>
      <c r="O631" s="19"/>
      <c r="P631" s="23"/>
    </row>
    <row r="632" ht="14.25" customHeight="1">
      <c r="D632" s="18"/>
      <c r="E632" s="134"/>
      <c r="F632" s="19"/>
      <c r="G632" s="112"/>
      <c r="H632" s="19"/>
      <c r="I632" s="19"/>
      <c r="J632" s="112"/>
      <c r="K632" s="19"/>
      <c r="L632" s="19"/>
      <c r="M632" s="183"/>
      <c r="N632" s="19"/>
      <c r="O632" s="19"/>
      <c r="P632" s="23"/>
    </row>
    <row r="633" ht="14.25" customHeight="1">
      <c r="D633" s="18"/>
      <c r="E633" s="134"/>
      <c r="F633" s="19"/>
      <c r="G633" s="112"/>
      <c r="H633" s="19"/>
      <c r="I633" s="19"/>
      <c r="J633" s="112"/>
      <c r="K633" s="19"/>
      <c r="L633" s="19"/>
      <c r="M633" s="183"/>
      <c r="N633" s="19"/>
      <c r="O633" s="19"/>
      <c r="P633" s="23"/>
    </row>
    <row r="634" ht="14.25" customHeight="1">
      <c r="D634" s="18"/>
      <c r="E634" s="134"/>
      <c r="F634" s="19"/>
      <c r="G634" s="112"/>
      <c r="H634" s="19"/>
      <c r="I634" s="19"/>
      <c r="J634" s="112"/>
      <c r="K634" s="19"/>
      <c r="L634" s="19"/>
      <c r="M634" s="183"/>
      <c r="N634" s="19"/>
      <c r="O634" s="19"/>
      <c r="P634" s="23"/>
    </row>
    <row r="635" ht="14.25" customHeight="1">
      <c r="D635" s="18"/>
      <c r="E635" s="134"/>
      <c r="F635" s="19"/>
      <c r="G635" s="112"/>
      <c r="H635" s="19"/>
      <c r="I635" s="19"/>
      <c r="J635" s="112"/>
      <c r="K635" s="19"/>
      <c r="L635" s="19"/>
      <c r="M635" s="183"/>
      <c r="N635" s="19"/>
      <c r="O635" s="19"/>
      <c r="P635" s="23"/>
    </row>
    <row r="636" ht="14.25" customHeight="1">
      <c r="D636" s="18"/>
      <c r="E636" s="134"/>
      <c r="F636" s="19"/>
      <c r="G636" s="112"/>
      <c r="H636" s="19"/>
      <c r="I636" s="19"/>
      <c r="J636" s="112"/>
      <c r="K636" s="19"/>
      <c r="L636" s="19"/>
      <c r="M636" s="183"/>
      <c r="N636" s="19"/>
      <c r="O636" s="19"/>
      <c r="P636" s="23"/>
    </row>
    <row r="637" ht="14.25" customHeight="1">
      <c r="D637" s="18"/>
      <c r="E637" s="134"/>
      <c r="F637" s="19"/>
      <c r="G637" s="112"/>
      <c r="H637" s="19"/>
      <c r="I637" s="19"/>
      <c r="J637" s="112"/>
      <c r="K637" s="19"/>
      <c r="L637" s="19"/>
      <c r="M637" s="183"/>
      <c r="N637" s="19"/>
      <c r="O637" s="19"/>
      <c r="P637" s="23"/>
    </row>
    <row r="638" ht="14.25" customHeight="1">
      <c r="D638" s="18"/>
      <c r="E638" s="134"/>
      <c r="F638" s="19"/>
      <c r="G638" s="112"/>
      <c r="H638" s="19"/>
      <c r="I638" s="19"/>
      <c r="J638" s="112"/>
      <c r="K638" s="19"/>
      <c r="L638" s="19"/>
      <c r="M638" s="183"/>
      <c r="N638" s="19"/>
      <c r="O638" s="19"/>
      <c r="P638" s="23"/>
    </row>
    <row r="639" ht="14.25" customHeight="1">
      <c r="D639" s="18"/>
      <c r="E639" s="134"/>
      <c r="F639" s="19"/>
      <c r="G639" s="112"/>
      <c r="H639" s="19"/>
      <c r="I639" s="19"/>
      <c r="J639" s="112"/>
      <c r="K639" s="19"/>
      <c r="L639" s="19"/>
      <c r="M639" s="183"/>
      <c r="N639" s="19"/>
      <c r="O639" s="19"/>
      <c r="P639" s="23"/>
    </row>
    <row r="640" ht="14.25" customHeight="1">
      <c r="D640" s="18"/>
      <c r="E640" s="134"/>
      <c r="F640" s="19"/>
      <c r="G640" s="112"/>
      <c r="H640" s="19"/>
      <c r="I640" s="19"/>
      <c r="J640" s="112"/>
      <c r="K640" s="19"/>
      <c r="L640" s="19"/>
      <c r="M640" s="183"/>
      <c r="N640" s="19"/>
      <c r="O640" s="19"/>
      <c r="P640" s="23"/>
    </row>
    <row r="641" ht="14.25" customHeight="1">
      <c r="D641" s="18"/>
      <c r="E641" s="134"/>
      <c r="F641" s="19"/>
      <c r="G641" s="112"/>
      <c r="H641" s="19"/>
      <c r="I641" s="19"/>
      <c r="J641" s="112"/>
      <c r="K641" s="19"/>
      <c r="L641" s="19"/>
      <c r="M641" s="183"/>
      <c r="N641" s="19"/>
      <c r="O641" s="19"/>
      <c r="P641" s="23"/>
    </row>
    <row r="642" ht="14.25" customHeight="1">
      <c r="D642" s="18"/>
      <c r="E642" s="134"/>
      <c r="F642" s="19"/>
      <c r="G642" s="112"/>
      <c r="H642" s="19"/>
      <c r="I642" s="19"/>
      <c r="J642" s="112"/>
      <c r="K642" s="19"/>
      <c r="L642" s="19"/>
      <c r="M642" s="183"/>
      <c r="N642" s="19"/>
      <c r="O642" s="19"/>
      <c r="P642" s="23"/>
    </row>
    <row r="643" ht="14.25" customHeight="1">
      <c r="D643" s="18"/>
      <c r="E643" s="134"/>
      <c r="F643" s="19"/>
      <c r="G643" s="112"/>
      <c r="H643" s="19"/>
      <c r="I643" s="19"/>
      <c r="J643" s="112"/>
      <c r="K643" s="19"/>
      <c r="L643" s="19"/>
      <c r="M643" s="183"/>
      <c r="N643" s="19"/>
      <c r="O643" s="19"/>
      <c r="P643" s="23"/>
    </row>
    <row r="644" ht="14.25" customHeight="1">
      <c r="D644" s="18"/>
      <c r="E644" s="134"/>
      <c r="F644" s="19"/>
      <c r="G644" s="112"/>
      <c r="H644" s="19"/>
      <c r="I644" s="19"/>
      <c r="J644" s="112"/>
      <c r="K644" s="19"/>
      <c r="L644" s="19"/>
      <c r="M644" s="183"/>
      <c r="N644" s="19"/>
      <c r="O644" s="19"/>
      <c r="P644" s="23"/>
    </row>
    <row r="645" ht="14.25" customHeight="1">
      <c r="D645" s="18"/>
      <c r="E645" s="134"/>
      <c r="F645" s="19"/>
      <c r="G645" s="112"/>
      <c r="H645" s="19"/>
      <c r="I645" s="19"/>
      <c r="J645" s="112"/>
      <c r="K645" s="19"/>
      <c r="L645" s="19"/>
      <c r="M645" s="183"/>
      <c r="N645" s="19"/>
      <c r="O645" s="19"/>
      <c r="P645" s="23"/>
    </row>
    <row r="646" ht="14.25" customHeight="1">
      <c r="D646" s="18"/>
      <c r="E646" s="134"/>
      <c r="F646" s="19"/>
      <c r="G646" s="112"/>
      <c r="H646" s="19"/>
      <c r="I646" s="19"/>
      <c r="J646" s="112"/>
      <c r="K646" s="19"/>
      <c r="L646" s="19"/>
      <c r="M646" s="183"/>
      <c r="N646" s="19"/>
      <c r="O646" s="19"/>
      <c r="P646" s="23"/>
    </row>
    <row r="647" ht="14.25" customHeight="1">
      <c r="D647" s="18"/>
      <c r="E647" s="134"/>
      <c r="F647" s="19"/>
      <c r="G647" s="112"/>
      <c r="H647" s="19"/>
      <c r="I647" s="19"/>
      <c r="J647" s="112"/>
      <c r="K647" s="19"/>
      <c r="L647" s="19"/>
      <c r="M647" s="183"/>
      <c r="N647" s="19"/>
      <c r="O647" s="19"/>
      <c r="P647" s="23"/>
    </row>
    <row r="648" ht="14.25" customHeight="1">
      <c r="D648" s="18"/>
      <c r="E648" s="134"/>
      <c r="F648" s="19"/>
      <c r="G648" s="112"/>
      <c r="H648" s="19"/>
      <c r="I648" s="19"/>
      <c r="J648" s="112"/>
      <c r="K648" s="19"/>
      <c r="L648" s="19"/>
      <c r="M648" s="183"/>
      <c r="N648" s="19"/>
      <c r="O648" s="19"/>
      <c r="P648" s="23"/>
    </row>
    <row r="649" ht="14.25" customHeight="1">
      <c r="D649" s="18"/>
      <c r="E649" s="134"/>
      <c r="F649" s="19"/>
      <c r="G649" s="112"/>
      <c r="H649" s="19"/>
      <c r="I649" s="19"/>
      <c r="J649" s="112"/>
      <c r="K649" s="19"/>
      <c r="L649" s="19"/>
      <c r="M649" s="183"/>
      <c r="N649" s="19"/>
      <c r="O649" s="19"/>
      <c r="P649" s="23"/>
    </row>
    <row r="650" ht="14.25" customHeight="1">
      <c r="D650" s="18"/>
      <c r="E650" s="134"/>
      <c r="F650" s="19"/>
      <c r="G650" s="112"/>
      <c r="H650" s="19"/>
      <c r="I650" s="19"/>
      <c r="J650" s="112"/>
      <c r="K650" s="19"/>
      <c r="L650" s="19"/>
      <c r="M650" s="183"/>
      <c r="N650" s="19"/>
      <c r="O650" s="19"/>
      <c r="P650" s="23"/>
    </row>
    <row r="651" ht="14.25" customHeight="1">
      <c r="D651" s="18"/>
      <c r="E651" s="134"/>
      <c r="F651" s="19"/>
      <c r="G651" s="112"/>
      <c r="H651" s="19"/>
      <c r="I651" s="19"/>
      <c r="J651" s="112"/>
      <c r="K651" s="19"/>
      <c r="L651" s="19"/>
      <c r="M651" s="183"/>
      <c r="N651" s="19"/>
      <c r="O651" s="19"/>
      <c r="P651" s="23"/>
    </row>
    <row r="652" ht="14.25" customHeight="1">
      <c r="D652" s="18"/>
      <c r="E652" s="134"/>
      <c r="F652" s="19"/>
      <c r="G652" s="112"/>
      <c r="H652" s="19"/>
      <c r="I652" s="19"/>
      <c r="J652" s="112"/>
      <c r="K652" s="19"/>
      <c r="L652" s="19"/>
      <c r="M652" s="183"/>
      <c r="N652" s="19"/>
      <c r="O652" s="19"/>
      <c r="P652" s="23"/>
    </row>
    <row r="653" ht="14.25" customHeight="1">
      <c r="D653" s="18"/>
      <c r="E653" s="134"/>
      <c r="F653" s="19"/>
      <c r="G653" s="112"/>
      <c r="H653" s="19"/>
      <c r="I653" s="19"/>
      <c r="J653" s="112"/>
      <c r="K653" s="19"/>
      <c r="L653" s="19"/>
      <c r="M653" s="183"/>
      <c r="N653" s="19"/>
      <c r="O653" s="19"/>
      <c r="P653" s="23"/>
    </row>
    <row r="654" ht="14.25" customHeight="1">
      <c r="D654" s="18"/>
      <c r="E654" s="134"/>
      <c r="F654" s="19"/>
      <c r="G654" s="112"/>
      <c r="H654" s="19"/>
      <c r="I654" s="19"/>
      <c r="J654" s="112"/>
      <c r="K654" s="19"/>
      <c r="L654" s="19"/>
      <c r="M654" s="183"/>
      <c r="N654" s="19"/>
      <c r="O654" s="19"/>
      <c r="P654" s="23"/>
    </row>
    <row r="655" ht="14.25" customHeight="1">
      <c r="D655" s="18"/>
      <c r="E655" s="134"/>
      <c r="F655" s="19"/>
      <c r="G655" s="112"/>
      <c r="H655" s="19"/>
      <c r="I655" s="19"/>
      <c r="J655" s="112"/>
      <c r="K655" s="19"/>
      <c r="L655" s="19"/>
      <c r="M655" s="183"/>
      <c r="N655" s="19"/>
      <c r="O655" s="19"/>
      <c r="P655" s="23"/>
    </row>
    <row r="656" ht="14.25" customHeight="1">
      <c r="D656" s="18"/>
      <c r="E656" s="134"/>
      <c r="F656" s="19"/>
      <c r="G656" s="112"/>
      <c r="H656" s="19"/>
      <c r="I656" s="19"/>
      <c r="J656" s="112"/>
      <c r="K656" s="19"/>
      <c r="L656" s="19"/>
      <c r="M656" s="183"/>
      <c r="N656" s="19"/>
      <c r="O656" s="19"/>
      <c r="P656" s="23"/>
    </row>
    <row r="657" ht="14.25" customHeight="1">
      <c r="D657" s="18"/>
      <c r="E657" s="134"/>
      <c r="F657" s="19"/>
      <c r="G657" s="112"/>
      <c r="H657" s="19"/>
      <c r="I657" s="19"/>
      <c r="J657" s="112"/>
      <c r="K657" s="19"/>
      <c r="L657" s="19"/>
      <c r="M657" s="183"/>
      <c r="N657" s="19"/>
      <c r="O657" s="19"/>
      <c r="P657" s="23"/>
    </row>
    <row r="658" ht="14.25" customHeight="1">
      <c r="D658" s="18"/>
      <c r="E658" s="134"/>
      <c r="F658" s="19"/>
      <c r="G658" s="112"/>
      <c r="H658" s="19"/>
      <c r="I658" s="19"/>
      <c r="J658" s="112"/>
      <c r="K658" s="19"/>
      <c r="L658" s="19"/>
      <c r="M658" s="183"/>
      <c r="N658" s="19"/>
      <c r="O658" s="19"/>
      <c r="P658" s="23"/>
    </row>
    <row r="659" ht="14.25" customHeight="1">
      <c r="D659" s="18"/>
      <c r="E659" s="134"/>
      <c r="F659" s="19"/>
      <c r="G659" s="112"/>
      <c r="H659" s="19"/>
      <c r="I659" s="19"/>
      <c r="J659" s="112"/>
      <c r="K659" s="19"/>
      <c r="L659" s="19"/>
      <c r="M659" s="183"/>
      <c r="N659" s="19"/>
      <c r="O659" s="19"/>
      <c r="P659" s="23"/>
    </row>
    <row r="660" ht="14.25" customHeight="1">
      <c r="D660" s="18"/>
      <c r="E660" s="134"/>
      <c r="F660" s="19"/>
      <c r="G660" s="112"/>
      <c r="H660" s="19"/>
      <c r="I660" s="19"/>
      <c r="J660" s="112"/>
      <c r="K660" s="19"/>
      <c r="L660" s="19"/>
      <c r="M660" s="183"/>
      <c r="N660" s="19"/>
      <c r="O660" s="19"/>
      <c r="P660" s="23"/>
    </row>
    <row r="661" ht="14.25" customHeight="1">
      <c r="D661" s="18"/>
      <c r="E661" s="134"/>
      <c r="F661" s="19"/>
      <c r="G661" s="112"/>
      <c r="H661" s="19"/>
      <c r="I661" s="19"/>
      <c r="J661" s="112"/>
      <c r="K661" s="19"/>
      <c r="L661" s="19"/>
      <c r="M661" s="183"/>
      <c r="N661" s="19"/>
      <c r="O661" s="19"/>
      <c r="P661" s="23"/>
    </row>
    <row r="662" ht="14.25" customHeight="1">
      <c r="D662" s="18"/>
      <c r="E662" s="134"/>
      <c r="F662" s="19"/>
      <c r="G662" s="112"/>
      <c r="H662" s="19"/>
      <c r="I662" s="19"/>
      <c r="J662" s="112"/>
      <c r="K662" s="19"/>
      <c r="L662" s="19"/>
      <c r="M662" s="183"/>
      <c r="N662" s="19"/>
      <c r="O662" s="19"/>
      <c r="P662" s="23"/>
    </row>
    <row r="663" ht="14.25" customHeight="1">
      <c r="D663" s="18"/>
      <c r="E663" s="134"/>
      <c r="F663" s="19"/>
      <c r="G663" s="112"/>
      <c r="H663" s="19"/>
      <c r="I663" s="19"/>
      <c r="J663" s="112"/>
      <c r="K663" s="19"/>
      <c r="L663" s="19"/>
      <c r="M663" s="183"/>
      <c r="N663" s="19"/>
      <c r="O663" s="19"/>
      <c r="P663" s="23"/>
    </row>
    <row r="664" ht="14.25" customHeight="1">
      <c r="D664" s="18"/>
      <c r="E664" s="134"/>
      <c r="F664" s="19"/>
      <c r="G664" s="112"/>
      <c r="H664" s="19"/>
      <c r="I664" s="19"/>
      <c r="J664" s="112"/>
      <c r="K664" s="19"/>
      <c r="L664" s="19"/>
      <c r="M664" s="183"/>
      <c r="N664" s="19"/>
      <c r="O664" s="19"/>
      <c r="P664" s="23"/>
    </row>
    <row r="665" ht="14.25" customHeight="1">
      <c r="D665" s="18"/>
      <c r="E665" s="134"/>
      <c r="F665" s="19"/>
      <c r="G665" s="112"/>
      <c r="H665" s="19"/>
      <c r="I665" s="19"/>
      <c r="J665" s="112"/>
      <c r="K665" s="19"/>
      <c r="L665" s="19"/>
      <c r="M665" s="183"/>
      <c r="N665" s="19"/>
      <c r="O665" s="19"/>
      <c r="P665" s="23"/>
    </row>
    <row r="666" ht="14.25" customHeight="1">
      <c r="D666" s="18"/>
      <c r="E666" s="134"/>
      <c r="F666" s="19"/>
      <c r="G666" s="112"/>
      <c r="H666" s="19"/>
      <c r="I666" s="19"/>
      <c r="J666" s="112"/>
      <c r="K666" s="19"/>
      <c r="L666" s="19"/>
      <c r="M666" s="183"/>
      <c r="N666" s="19"/>
      <c r="O666" s="19"/>
      <c r="P666" s="23"/>
    </row>
    <row r="667" ht="14.25" customHeight="1">
      <c r="D667" s="18"/>
      <c r="E667" s="134"/>
      <c r="F667" s="19"/>
      <c r="G667" s="112"/>
      <c r="H667" s="19"/>
      <c r="I667" s="19"/>
      <c r="J667" s="112"/>
      <c r="K667" s="19"/>
      <c r="L667" s="19"/>
      <c r="M667" s="183"/>
      <c r="N667" s="19"/>
      <c r="O667" s="19"/>
      <c r="P667" s="23"/>
    </row>
    <row r="668" ht="14.25" customHeight="1">
      <c r="D668" s="18"/>
      <c r="E668" s="134"/>
      <c r="F668" s="19"/>
      <c r="G668" s="112"/>
      <c r="H668" s="19"/>
      <c r="I668" s="19"/>
      <c r="J668" s="112"/>
      <c r="K668" s="19"/>
      <c r="L668" s="19"/>
      <c r="M668" s="183"/>
      <c r="N668" s="19"/>
      <c r="O668" s="19"/>
      <c r="P668" s="23"/>
    </row>
    <row r="669" ht="14.25" customHeight="1">
      <c r="D669" s="18"/>
      <c r="E669" s="134"/>
      <c r="F669" s="19"/>
      <c r="G669" s="112"/>
      <c r="H669" s="19"/>
      <c r="I669" s="19"/>
      <c r="J669" s="112"/>
      <c r="K669" s="19"/>
      <c r="L669" s="19"/>
      <c r="M669" s="183"/>
      <c r="N669" s="19"/>
      <c r="O669" s="19"/>
      <c r="P669" s="23"/>
    </row>
    <row r="670" ht="14.25" customHeight="1">
      <c r="D670" s="18"/>
      <c r="E670" s="134"/>
      <c r="F670" s="19"/>
      <c r="G670" s="112"/>
      <c r="H670" s="19"/>
      <c r="I670" s="19"/>
      <c r="J670" s="112"/>
      <c r="K670" s="19"/>
      <c r="L670" s="19"/>
      <c r="M670" s="183"/>
      <c r="N670" s="19"/>
      <c r="O670" s="19"/>
      <c r="P670" s="23"/>
    </row>
    <row r="671" ht="14.25" customHeight="1">
      <c r="D671" s="18"/>
      <c r="E671" s="134"/>
      <c r="F671" s="19"/>
      <c r="G671" s="112"/>
      <c r="H671" s="19"/>
      <c r="I671" s="19"/>
      <c r="J671" s="112"/>
      <c r="K671" s="19"/>
      <c r="L671" s="19"/>
      <c r="M671" s="183"/>
      <c r="N671" s="19"/>
      <c r="O671" s="19"/>
      <c r="P671" s="23"/>
    </row>
    <row r="672" ht="14.25" customHeight="1">
      <c r="D672" s="18"/>
      <c r="E672" s="134"/>
      <c r="F672" s="19"/>
      <c r="G672" s="112"/>
      <c r="H672" s="19"/>
      <c r="I672" s="19"/>
      <c r="J672" s="112"/>
      <c r="K672" s="19"/>
      <c r="L672" s="19"/>
      <c r="M672" s="183"/>
      <c r="N672" s="19"/>
      <c r="O672" s="19"/>
      <c r="P672" s="23"/>
    </row>
    <row r="673" ht="14.25" customHeight="1">
      <c r="D673" s="18"/>
      <c r="E673" s="134"/>
      <c r="F673" s="19"/>
      <c r="G673" s="112"/>
      <c r="H673" s="19"/>
      <c r="I673" s="19"/>
      <c r="J673" s="112"/>
      <c r="K673" s="19"/>
      <c r="L673" s="19"/>
      <c r="M673" s="183"/>
      <c r="N673" s="19"/>
      <c r="O673" s="19"/>
      <c r="P673" s="23"/>
    </row>
    <row r="674" ht="14.25" customHeight="1">
      <c r="D674" s="18"/>
      <c r="E674" s="134"/>
      <c r="F674" s="19"/>
      <c r="G674" s="112"/>
      <c r="H674" s="19"/>
      <c r="I674" s="19"/>
      <c r="J674" s="112"/>
      <c r="K674" s="19"/>
      <c r="L674" s="19"/>
      <c r="M674" s="183"/>
      <c r="N674" s="19"/>
      <c r="O674" s="19"/>
      <c r="P674" s="23"/>
    </row>
    <row r="675" ht="14.25" customHeight="1">
      <c r="D675" s="18"/>
      <c r="E675" s="134"/>
      <c r="F675" s="19"/>
      <c r="G675" s="112"/>
      <c r="H675" s="19"/>
      <c r="I675" s="19"/>
      <c r="J675" s="112"/>
      <c r="K675" s="19"/>
      <c r="L675" s="19"/>
      <c r="M675" s="183"/>
      <c r="N675" s="19"/>
      <c r="O675" s="19"/>
      <c r="P675" s="23"/>
    </row>
    <row r="676" ht="14.25" customHeight="1">
      <c r="D676" s="18"/>
      <c r="E676" s="134"/>
      <c r="F676" s="19"/>
      <c r="G676" s="112"/>
      <c r="H676" s="19"/>
      <c r="I676" s="19"/>
      <c r="J676" s="112"/>
      <c r="K676" s="19"/>
      <c r="L676" s="19"/>
      <c r="M676" s="183"/>
      <c r="N676" s="19"/>
      <c r="O676" s="19"/>
      <c r="P676" s="23"/>
    </row>
    <row r="677" ht="14.25" customHeight="1">
      <c r="D677" s="18"/>
      <c r="E677" s="134"/>
      <c r="F677" s="19"/>
      <c r="G677" s="112"/>
      <c r="H677" s="19"/>
      <c r="I677" s="19"/>
      <c r="J677" s="112"/>
      <c r="K677" s="19"/>
      <c r="L677" s="19"/>
      <c r="M677" s="183"/>
      <c r="N677" s="19"/>
      <c r="O677" s="19"/>
      <c r="P677" s="23"/>
    </row>
    <row r="678" ht="14.25" customHeight="1">
      <c r="D678" s="18"/>
      <c r="E678" s="134"/>
      <c r="F678" s="19"/>
      <c r="G678" s="112"/>
      <c r="H678" s="19"/>
      <c r="I678" s="19"/>
      <c r="J678" s="112"/>
      <c r="K678" s="19"/>
      <c r="L678" s="19"/>
      <c r="M678" s="183"/>
      <c r="N678" s="19"/>
      <c r="O678" s="19"/>
      <c r="P678" s="23"/>
    </row>
    <row r="679" ht="14.25" customHeight="1">
      <c r="D679" s="18"/>
      <c r="E679" s="134"/>
      <c r="F679" s="19"/>
      <c r="G679" s="112"/>
      <c r="H679" s="19"/>
      <c r="I679" s="19"/>
      <c r="J679" s="112"/>
      <c r="K679" s="19"/>
      <c r="L679" s="19"/>
      <c r="M679" s="183"/>
      <c r="N679" s="19"/>
      <c r="O679" s="19"/>
      <c r="P679" s="23"/>
    </row>
    <row r="680" ht="14.25" customHeight="1">
      <c r="D680" s="18"/>
      <c r="E680" s="134"/>
      <c r="F680" s="19"/>
      <c r="G680" s="112"/>
      <c r="H680" s="19"/>
      <c r="I680" s="19"/>
      <c r="J680" s="112"/>
      <c r="K680" s="19"/>
      <c r="L680" s="19"/>
      <c r="M680" s="183"/>
      <c r="N680" s="19"/>
      <c r="O680" s="19"/>
      <c r="P680" s="23"/>
    </row>
    <row r="681" ht="14.25" customHeight="1">
      <c r="D681" s="18"/>
      <c r="E681" s="134"/>
      <c r="F681" s="19"/>
      <c r="G681" s="112"/>
      <c r="H681" s="19"/>
      <c r="I681" s="19"/>
      <c r="J681" s="112"/>
      <c r="K681" s="19"/>
      <c r="L681" s="19"/>
      <c r="M681" s="183"/>
      <c r="N681" s="19"/>
      <c r="O681" s="19"/>
      <c r="P681" s="23"/>
    </row>
    <row r="682" ht="14.25" customHeight="1">
      <c r="D682" s="18"/>
      <c r="E682" s="134"/>
      <c r="F682" s="19"/>
      <c r="G682" s="112"/>
      <c r="H682" s="19"/>
      <c r="I682" s="19"/>
      <c r="J682" s="112"/>
      <c r="K682" s="19"/>
      <c r="L682" s="19"/>
      <c r="M682" s="183"/>
      <c r="N682" s="19"/>
      <c r="O682" s="19"/>
      <c r="P682" s="23"/>
    </row>
    <row r="683" ht="14.25" customHeight="1">
      <c r="D683" s="18"/>
      <c r="E683" s="134"/>
      <c r="F683" s="19"/>
      <c r="G683" s="112"/>
      <c r="H683" s="19"/>
      <c r="I683" s="19"/>
      <c r="J683" s="112"/>
      <c r="K683" s="19"/>
      <c r="L683" s="19"/>
      <c r="M683" s="183"/>
      <c r="N683" s="19"/>
      <c r="O683" s="19"/>
      <c r="P683" s="23"/>
    </row>
    <row r="684" ht="14.25" customHeight="1">
      <c r="D684" s="18"/>
      <c r="E684" s="134"/>
      <c r="F684" s="19"/>
      <c r="G684" s="112"/>
      <c r="H684" s="19"/>
      <c r="I684" s="19"/>
      <c r="J684" s="112"/>
      <c r="K684" s="19"/>
      <c r="L684" s="19"/>
      <c r="M684" s="183"/>
      <c r="N684" s="19"/>
      <c r="O684" s="19"/>
      <c r="P684" s="23"/>
    </row>
    <row r="685" ht="14.25" customHeight="1">
      <c r="D685" s="18"/>
      <c r="E685" s="134"/>
      <c r="F685" s="19"/>
      <c r="G685" s="112"/>
      <c r="H685" s="19"/>
      <c r="I685" s="19"/>
      <c r="J685" s="112"/>
      <c r="K685" s="19"/>
      <c r="L685" s="19"/>
      <c r="M685" s="183"/>
      <c r="N685" s="19"/>
      <c r="O685" s="19"/>
      <c r="P685" s="23"/>
    </row>
    <row r="686" ht="14.25" customHeight="1">
      <c r="D686" s="18"/>
      <c r="E686" s="134"/>
      <c r="F686" s="19"/>
      <c r="G686" s="112"/>
      <c r="H686" s="19"/>
      <c r="I686" s="19"/>
      <c r="J686" s="112"/>
      <c r="K686" s="19"/>
      <c r="L686" s="19"/>
      <c r="M686" s="183"/>
      <c r="N686" s="19"/>
      <c r="O686" s="19"/>
      <c r="P686" s="23"/>
    </row>
    <row r="687" ht="14.25" customHeight="1">
      <c r="D687" s="18"/>
      <c r="E687" s="134"/>
      <c r="F687" s="19"/>
      <c r="G687" s="112"/>
      <c r="H687" s="19"/>
      <c r="I687" s="19"/>
      <c r="J687" s="112"/>
      <c r="K687" s="19"/>
      <c r="L687" s="19"/>
      <c r="M687" s="183"/>
      <c r="N687" s="19"/>
      <c r="O687" s="19"/>
      <c r="P687" s="23"/>
    </row>
    <row r="688" ht="14.25" customHeight="1">
      <c r="D688" s="18"/>
      <c r="E688" s="134"/>
      <c r="F688" s="19"/>
      <c r="G688" s="112"/>
      <c r="H688" s="19"/>
      <c r="I688" s="19"/>
      <c r="J688" s="112"/>
      <c r="K688" s="19"/>
      <c r="L688" s="19"/>
      <c r="M688" s="183"/>
      <c r="N688" s="19"/>
      <c r="O688" s="19"/>
      <c r="P688" s="23"/>
    </row>
    <row r="689" ht="14.25" customHeight="1">
      <c r="D689" s="18"/>
      <c r="E689" s="134"/>
      <c r="F689" s="19"/>
      <c r="G689" s="112"/>
      <c r="H689" s="19"/>
      <c r="I689" s="19"/>
      <c r="J689" s="112"/>
      <c r="K689" s="19"/>
      <c r="L689" s="19"/>
      <c r="M689" s="183"/>
      <c r="N689" s="19"/>
      <c r="O689" s="19"/>
      <c r="P689" s="23"/>
    </row>
    <row r="690" ht="14.25" customHeight="1">
      <c r="D690" s="18"/>
      <c r="E690" s="134"/>
      <c r="F690" s="19"/>
      <c r="G690" s="112"/>
      <c r="H690" s="19"/>
      <c r="I690" s="19"/>
      <c r="J690" s="112"/>
      <c r="K690" s="19"/>
      <c r="L690" s="19"/>
      <c r="M690" s="183"/>
      <c r="N690" s="19"/>
      <c r="O690" s="19"/>
      <c r="P690" s="23"/>
    </row>
    <row r="691" ht="14.25" customHeight="1">
      <c r="D691" s="18"/>
      <c r="E691" s="134"/>
      <c r="F691" s="19"/>
      <c r="G691" s="112"/>
      <c r="H691" s="19"/>
      <c r="I691" s="19"/>
      <c r="J691" s="112"/>
      <c r="K691" s="19"/>
      <c r="L691" s="19"/>
      <c r="M691" s="183"/>
      <c r="N691" s="19"/>
      <c r="O691" s="19"/>
      <c r="P691" s="23"/>
    </row>
    <row r="692" ht="14.25" customHeight="1">
      <c r="D692" s="18"/>
      <c r="E692" s="134"/>
      <c r="F692" s="19"/>
      <c r="G692" s="112"/>
      <c r="H692" s="19"/>
      <c r="I692" s="19"/>
      <c r="J692" s="112"/>
      <c r="K692" s="19"/>
      <c r="L692" s="19"/>
      <c r="M692" s="183"/>
      <c r="N692" s="19"/>
      <c r="O692" s="19"/>
      <c r="P692" s="23"/>
    </row>
    <row r="693" ht="14.25" customHeight="1">
      <c r="D693" s="18"/>
      <c r="E693" s="134"/>
      <c r="F693" s="19"/>
      <c r="G693" s="112"/>
      <c r="H693" s="19"/>
      <c r="I693" s="19"/>
      <c r="J693" s="112"/>
      <c r="K693" s="19"/>
      <c r="L693" s="19"/>
      <c r="M693" s="183"/>
      <c r="N693" s="19"/>
      <c r="O693" s="19"/>
      <c r="P693" s="23"/>
    </row>
    <row r="694" ht="14.25" customHeight="1">
      <c r="D694" s="18"/>
      <c r="E694" s="134"/>
      <c r="F694" s="19"/>
      <c r="G694" s="112"/>
      <c r="H694" s="19"/>
      <c r="I694" s="19"/>
      <c r="J694" s="112"/>
      <c r="K694" s="19"/>
      <c r="L694" s="19"/>
      <c r="M694" s="183"/>
      <c r="N694" s="19"/>
      <c r="O694" s="19"/>
      <c r="P694" s="23"/>
    </row>
    <row r="695" ht="14.25" customHeight="1">
      <c r="D695" s="18"/>
      <c r="E695" s="134"/>
      <c r="F695" s="19"/>
      <c r="G695" s="112"/>
      <c r="H695" s="19"/>
      <c r="I695" s="19"/>
      <c r="J695" s="112"/>
      <c r="K695" s="19"/>
      <c r="L695" s="19"/>
      <c r="M695" s="183"/>
      <c r="N695" s="19"/>
      <c r="O695" s="19"/>
      <c r="P695" s="23"/>
    </row>
    <row r="696" ht="14.25" customHeight="1">
      <c r="D696" s="18"/>
      <c r="E696" s="134"/>
      <c r="F696" s="19"/>
      <c r="G696" s="112"/>
      <c r="H696" s="19"/>
      <c r="I696" s="19"/>
      <c r="J696" s="112"/>
      <c r="K696" s="19"/>
      <c r="L696" s="19"/>
      <c r="M696" s="183"/>
      <c r="N696" s="19"/>
      <c r="O696" s="19"/>
      <c r="P696" s="23"/>
    </row>
    <row r="697" ht="14.25" customHeight="1">
      <c r="D697" s="18"/>
      <c r="E697" s="134"/>
      <c r="F697" s="19"/>
      <c r="G697" s="112"/>
      <c r="H697" s="19"/>
      <c r="I697" s="19"/>
      <c r="J697" s="112"/>
      <c r="K697" s="19"/>
      <c r="L697" s="19"/>
      <c r="M697" s="183"/>
      <c r="N697" s="19"/>
      <c r="O697" s="19"/>
      <c r="P697" s="23"/>
    </row>
    <row r="698" ht="14.25" customHeight="1">
      <c r="D698" s="18"/>
      <c r="E698" s="134"/>
      <c r="F698" s="19"/>
      <c r="G698" s="112"/>
      <c r="H698" s="19"/>
      <c r="I698" s="19"/>
      <c r="J698" s="112"/>
      <c r="K698" s="19"/>
      <c r="L698" s="19"/>
      <c r="M698" s="183"/>
      <c r="N698" s="19"/>
      <c r="O698" s="19"/>
      <c r="P698" s="23"/>
    </row>
    <row r="699" ht="14.25" customHeight="1">
      <c r="D699" s="18"/>
      <c r="E699" s="134"/>
      <c r="F699" s="19"/>
      <c r="G699" s="112"/>
      <c r="H699" s="19"/>
      <c r="I699" s="19"/>
      <c r="J699" s="112"/>
      <c r="K699" s="19"/>
      <c r="L699" s="19"/>
      <c r="M699" s="183"/>
      <c r="N699" s="19"/>
      <c r="O699" s="19"/>
      <c r="P699" s="23"/>
    </row>
    <row r="700" ht="14.25" customHeight="1">
      <c r="D700" s="18"/>
      <c r="E700" s="134"/>
      <c r="F700" s="19"/>
      <c r="G700" s="112"/>
      <c r="H700" s="19"/>
      <c r="I700" s="19"/>
      <c r="J700" s="112"/>
      <c r="K700" s="19"/>
      <c r="L700" s="19"/>
      <c r="M700" s="183"/>
      <c r="N700" s="19"/>
      <c r="O700" s="19"/>
      <c r="P700" s="23"/>
    </row>
    <row r="701" ht="14.25" customHeight="1">
      <c r="D701" s="18"/>
      <c r="E701" s="134"/>
      <c r="F701" s="19"/>
      <c r="G701" s="112"/>
      <c r="H701" s="19"/>
      <c r="I701" s="19"/>
      <c r="J701" s="112"/>
      <c r="K701" s="19"/>
      <c r="L701" s="19"/>
      <c r="M701" s="183"/>
      <c r="N701" s="19"/>
      <c r="O701" s="19"/>
      <c r="P701" s="23"/>
    </row>
    <row r="702" ht="14.25" customHeight="1">
      <c r="D702" s="18"/>
      <c r="E702" s="134"/>
      <c r="F702" s="19"/>
      <c r="G702" s="112"/>
      <c r="H702" s="19"/>
      <c r="I702" s="19"/>
      <c r="J702" s="112"/>
      <c r="K702" s="19"/>
      <c r="L702" s="19"/>
      <c r="M702" s="183"/>
      <c r="N702" s="19"/>
      <c r="O702" s="19"/>
      <c r="P702" s="23"/>
    </row>
    <row r="703" ht="14.25" customHeight="1">
      <c r="D703" s="18"/>
      <c r="E703" s="134"/>
      <c r="F703" s="19"/>
      <c r="G703" s="112"/>
      <c r="H703" s="19"/>
      <c r="I703" s="19"/>
      <c r="J703" s="112"/>
      <c r="K703" s="19"/>
      <c r="L703" s="19"/>
      <c r="M703" s="183"/>
      <c r="N703" s="19"/>
      <c r="O703" s="19"/>
      <c r="P703" s="23"/>
    </row>
    <row r="704" ht="14.25" customHeight="1">
      <c r="D704" s="18"/>
      <c r="E704" s="134"/>
      <c r="F704" s="19"/>
      <c r="G704" s="112"/>
      <c r="H704" s="19"/>
      <c r="I704" s="19"/>
      <c r="J704" s="112"/>
      <c r="K704" s="19"/>
      <c r="L704" s="19"/>
      <c r="M704" s="183"/>
      <c r="N704" s="19"/>
      <c r="O704" s="19"/>
      <c r="P704" s="23"/>
    </row>
    <row r="705" ht="14.25" customHeight="1">
      <c r="D705" s="18"/>
      <c r="E705" s="134"/>
      <c r="F705" s="19"/>
      <c r="G705" s="112"/>
      <c r="H705" s="19"/>
      <c r="I705" s="19"/>
      <c r="J705" s="112"/>
      <c r="K705" s="19"/>
      <c r="L705" s="19"/>
      <c r="M705" s="183"/>
      <c r="N705" s="19"/>
      <c r="O705" s="19"/>
      <c r="P705" s="23"/>
    </row>
    <row r="706" ht="14.25" customHeight="1">
      <c r="D706" s="18"/>
      <c r="E706" s="134"/>
      <c r="F706" s="19"/>
      <c r="G706" s="112"/>
      <c r="H706" s="19"/>
      <c r="I706" s="19"/>
      <c r="J706" s="112"/>
      <c r="K706" s="19"/>
      <c r="L706" s="19"/>
      <c r="M706" s="183"/>
      <c r="N706" s="19"/>
      <c r="O706" s="19"/>
      <c r="P706" s="23"/>
    </row>
    <row r="707" ht="14.25" customHeight="1">
      <c r="D707" s="18"/>
      <c r="E707" s="134"/>
      <c r="F707" s="19"/>
      <c r="G707" s="112"/>
      <c r="H707" s="19"/>
      <c r="I707" s="19"/>
      <c r="J707" s="112"/>
      <c r="K707" s="19"/>
      <c r="L707" s="19"/>
      <c r="M707" s="183"/>
      <c r="N707" s="19"/>
      <c r="O707" s="19"/>
      <c r="P707" s="23"/>
    </row>
    <row r="708" ht="14.25" customHeight="1">
      <c r="D708" s="18"/>
      <c r="E708" s="134"/>
      <c r="F708" s="19"/>
      <c r="G708" s="112"/>
      <c r="H708" s="19"/>
      <c r="I708" s="19"/>
      <c r="J708" s="112"/>
      <c r="K708" s="19"/>
      <c r="L708" s="19"/>
      <c r="M708" s="183"/>
      <c r="N708" s="19"/>
      <c r="O708" s="19"/>
      <c r="P708" s="23"/>
    </row>
    <row r="709" ht="14.25" customHeight="1">
      <c r="D709" s="18"/>
      <c r="E709" s="134"/>
      <c r="F709" s="19"/>
      <c r="G709" s="112"/>
      <c r="H709" s="19"/>
      <c r="I709" s="19"/>
      <c r="J709" s="112"/>
      <c r="K709" s="19"/>
      <c r="L709" s="19"/>
      <c r="M709" s="183"/>
      <c r="N709" s="19"/>
      <c r="O709" s="19"/>
      <c r="P709" s="23"/>
    </row>
    <row r="710" ht="14.25" customHeight="1">
      <c r="D710" s="18"/>
      <c r="E710" s="134"/>
      <c r="F710" s="19"/>
      <c r="G710" s="112"/>
      <c r="H710" s="19"/>
      <c r="I710" s="19"/>
      <c r="J710" s="112"/>
      <c r="K710" s="19"/>
      <c r="L710" s="19"/>
      <c r="M710" s="183"/>
      <c r="N710" s="19"/>
      <c r="O710" s="19"/>
      <c r="P710" s="23"/>
    </row>
    <row r="711" ht="14.25" customHeight="1">
      <c r="D711" s="18"/>
      <c r="E711" s="134"/>
      <c r="F711" s="19"/>
      <c r="G711" s="112"/>
      <c r="H711" s="19"/>
      <c r="I711" s="19"/>
      <c r="J711" s="112"/>
      <c r="K711" s="19"/>
      <c r="L711" s="19"/>
      <c r="M711" s="183"/>
      <c r="N711" s="19"/>
      <c r="O711" s="19"/>
      <c r="P711" s="23"/>
    </row>
    <row r="712" ht="14.25" customHeight="1">
      <c r="D712" s="18"/>
      <c r="E712" s="134"/>
      <c r="F712" s="19"/>
      <c r="G712" s="112"/>
      <c r="H712" s="19"/>
      <c r="I712" s="19"/>
      <c r="J712" s="112"/>
      <c r="K712" s="19"/>
      <c r="L712" s="19"/>
      <c r="M712" s="183"/>
      <c r="N712" s="19"/>
      <c r="O712" s="19"/>
      <c r="P712" s="23"/>
    </row>
    <row r="713" ht="14.25" customHeight="1">
      <c r="D713" s="18"/>
      <c r="E713" s="134"/>
      <c r="F713" s="19"/>
      <c r="G713" s="112"/>
      <c r="H713" s="19"/>
      <c r="I713" s="19"/>
      <c r="J713" s="112"/>
      <c r="K713" s="19"/>
      <c r="L713" s="19"/>
      <c r="M713" s="183"/>
      <c r="N713" s="19"/>
      <c r="O713" s="19"/>
      <c r="P713" s="23"/>
    </row>
    <row r="714" ht="14.25" customHeight="1">
      <c r="D714" s="18"/>
      <c r="E714" s="134"/>
      <c r="F714" s="19"/>
      <c r="G714" s="112"/>
      <c r="H714" s="19"/>
      <c r="I714" s="19"/>
      <c r="J714" s="112"/>
      <c r="K714" s="19"/>
      <c r="L714" s="19"/>
      <c r="M714" s="183"/>
      <c r="N714" s="19"/>
      <c r="O714" s="19"/>
      <c r="P714" s="23"/>
    </row>
    <row r="715" ht="14.25" customHeight="1">
      <c r="D715" s="18"/>
      <c r="E715" s="134"/>
      <c r="F715" s="19"/>
      <c r="G715" s="112"/>
      <c r="H715" s="19"/>
      <c r="I715" s="19"/>
      <c r="J715" s="112"/>
      <c r="K715" s="19"/>
      <c r="L715" s="19"/>
      <c r="M715" s="183"/>
      <c r="N715" s="19"/>
      <c r="O715" s="19"/>
      <c r="P715" s="23"/>
    </row>
    <row r="716" ht="14.25" customHeight="1">
      <c r="D716" s="18"/>
      <c r="E716" s="134"/>
      <c r="F716" s="19"/>
      <c r="G716" s="112"/>
      <c r="H716" s="19"/>
      <c r="I716" s="19"/>
      <c r="J716" s="112"/>
      <c r="K716" s="19"/>
      <c r="L716" s="19"/>
      <c r="M716" s="183"/>
      <c r="N716" s="19"/>
      <c r="O716" s="19"/>
      <c r="P716" s="23"/>
    </row>
    <row r="717" ht="14.25" customHeight="1">
      <c r="D717" s="18"/>
      <c r="E717" s="134"/>
      <c r="F717" s="19"/>
      <c r="G717" s="112"/>
      <c r="H717" s="19"/>
      <c r="I717" s="19"/>
      <c r="J717" s="112"/>
      <c r="K717" s="19"/>
      <c r="L717" s="19"/>
      <c r="M717" s="183"/>
      <c r="N717" s="19"/>
      <c r="O717" s="19"/>
      <c r="P717" s="23"/>
    </row>
    <row r="718" ht="14.25" customHeight="1">
      <c r="D718" s="18"/>
      <c r="E718" s="134"/>
      <c r="F718" s="19"/>
      <c r="G718" s="112"/>
      <c r="H718" s="19"/>
      <c r="I718" s="19"/>
      <c r="J718" s="112"/>
      <c r="K718" s="19"/>
      <c r="L718" s="19"/>
      <c r="M718" s="183"/>
      <c r="N718" s="19"/>
      <c r="O718" s="19"/>
      <c r="P718" s="23"/>
    </row>
    <row r="719" ht="14.25" customHeight="1">
      <c r="D719" s="18"/>
      <c r="E719" s="134"/>
      <c r="F719" s="19"/>
      <c r="G719" s="112"/>
      <c r="H719" s="19"/>
      <c r="I719" s="19"/>
      <c r="J719" s="112"/>
      <c r="K719" s="19"/>
      <c r="L719" s="19"/>
      <c r="M719" s="183"/>
      <c r="N719" s="19"/>
      <c r="O719" s="19"/>
      <c r="P719" s="23"/>
    </row>
    <row r="720" ht="14.25" customHeight="1">
      <c r="D720" s="18"/>
      <c r="E720" s="134"/>
      <c r="F720" s="19"/>
      <c r="G720" s="112"/>
      <c r="H720" s="19"/>
      <c r="I720" s="19"/>
      <c r="J720" s="112"/>
      <c r="K720" s="19"/>
      <c r="L720" s="19"/>
      <c r="M720" s="183"/>
      <c r="N720" s="19"/>
      <c r="O720" s="19"/>
      <c r="P720" s="23"/>
    </row>
    <row r="721" ht="14.25" customHeight="1">
      <c r="D721" s="18"/>
      <c r="E721" s="134"/>
      <c r="F721" s="19"/>
      <c r="G721" s="112"/>
      <c r="H721" s="19"/>
      <c r="I721" s="19"/>
      <c r="J721" s="112"/>
      <c r="K721" s="19"/>
      <c r="L721" s="19"/>
      <c r="M721" s="183"/>
      <c r="N721" s="19"/>
      <c r="O721" s="19"/>
      <c r="P721" s="23"/>
    </row>
    <row r="722" ht="14.25" customHeight="1">
      <c r="D722" s="18"/>
      <c r="E722" s="134"/>
      <c r="F722" s="19"/>
      <c r="G722" s="112"/>
      <c r="H722" s="19"/>
      <c r="I722" s="19"/>
      <c r="J722" s="112"/>
      <c r="K722" s="19"/>
      <c r="L722" s="19"/>
      <c r="M722" s="183"/>
      <c r="N722" s="19"/>
      <c r="O722" s="19"/>
      <c r="P722" s="23"/>
    </row>
    <row r="723" ht="14.25" customHeight="1">
      <c r="D723" s="18"/>
      <c r="E723" s="134"/>
      <c r="F723" s="19"/>
      <c r="G723" s="112"/>
      <c r="H723" s="19"/>
      <c r="I723" s="19"/>
      <c r="J723" s="112"/>
      <c r="K723" s="19"/>
      <c r="L723" s="19"/>
      <c r="M723" s="183"/>
      <c r="N723" s="19"/>
      <c r="O723" s="19"/>
      <c r="P723" s="23"/>
    </row>
    <row r="724" ht="14.25" customHeight="1">
      <c r="D724" s="18"/>
      <c r="E724" s="134"/>
      <c r="F724" s="19"/>
      <c r="G724" s="112"/>
      <c r="H724" s="19"/>
      <c r="I724" s="19"/>
      <c r="J724" s="112"/>
      <c r="K724" s="19"/>
      <c r="L724" s="19"/>
      <c r="M724" s="183"/>
      <c r="N724" s="19"/>
      <c r="O724" s="19"/>
      <c r="P724" s="23"/>
    </row>
    <row r="725" ht="14.25" customHeight="1">
      <c r="D725" s="18"/>
      <c r="E725" s="134"/>
      <c r="F725" s="19"/>
      <c r="G725" s="112"/>
      <c r="H725" s="19"/>
      <c r="I725" s="19"/>
      <c r="J725" s="112"/>
      <c r="K725" s="19"/>
      <c r="L725" s="19"/>
      <c r="M725" s="183"/>
      <c r="N725" s="19"/>
      <c r="O725" s="19"/>
      <c r="P725" s="23"/>
    </row>
    <row r="726" ht="14.25" customHeight="1">
      <c r="D726" s="18"/>
      <c r="E726" s="134"/>
      <c r="F726" s="19"/>
      <c r="G726" s="112"/>
      <c r="H726" s="19"/>
      <c r="I726" s="19"/>
      <c r="J726" s="112"/>
      <c r="K726" s="19"/>
      <c r="L726" s="19"/>
      <c r="M726" s="183"/>
      <c r="N726" s="19"/>
      <c r="O726" s="19"/>
      <c r="P726" s="23"/>
    </row>
    <row r="727" ht="14.25" customHeight="1">
      <c r="D727" s="18"/>
      <c r="E727" s="134"/>
      <c r="F727" s="19"/>
      <c r="G727" s="112"/>
      <c r="H727" s="19"/>
      <c r="I727" s="19"/>
      <c r="J727" s="112"/>
      <c r="K727" s="19"/>
      <c r="L727" s="19"/>
      <c r="M727" s="183"/>
      <c r="N727" s="19"/>
      <c r="O727" s="19"/>
      <c r="P727" s="23"/>
    </row>
    <row r="728" ht="14.25" customHeight="1">
      <c r="D728" s="18"/>
      <c r="E728" s="134"/>
      <c r="F728" s="19"/>
      <c r="G728" s="112"/>
      <c r="H728" s="19"/>
      <c r="I728" s="19"/>
      <c r="J728" s="112"/>
      <c r="K728" s="19"/>
      <c r="L728" s="19"/>
      <c r="M728" s="183"/>
      <c r="N728" s="19"/>
      <c r="O728" s="19"/>
      <c r="P728" s="23"/>
    </row>
    <row r="729" ht="14.25" customHeight="1">
      <c r="D729" s="18"/>
      <c r="E729" s="134"/>
      <c r="F729" s="19"/>
      <c r="G729" s="112"/>
      <c r="H729" s="19"/>
      <c r="I729" s="19"/>
      <c r="J729" s="112"/>
      <c r="K729" s="19"/>
      <c r="L729" s="19"/>
      <c r="M729" s="183"/>
      <c r="N729" s="19"/>
      <c r="O729" s="19"/>
      <c r="P729" s="23"/>
    </row>
    <row r="730" ht="14.25" customHeight="1">
      <c r="D730" s="18"/>
      <c r="E730" s="134"/>
      <c r="F730" s="19"/>
      <c r="G730" s="112"/>
      <c r="H730" s="19"/>
      <c r="I730" s="19"/>
      <c r="J730" s="112"/>
      <c r="K730" s="19"/>
      <c r="L730" s="19"/>
      <c r="M730" s="183"/>
      <c r="N730" s="19"/>
      <c r="O730" s="19"/>
      <c r="P730" s="23"/>
    </row>
    <row r="731" ht="14.25" customHeight="1">
      <c r="D731" s="18"/>
      <c r="E731" s="134"/>
      <c r="F731" s="19"/>
      <c r="G731" s="112"/>
      <c r="H731" s="19"/>
      <c r="I731" s="19"/>
      <c r="J731" s="112"/>
      <c r="K731" s="19"/>
      <c r="L731" s="19"/>
      <c r="M731" s="183"/>
      <c r="N731" s="19"/>
      <c r="O731" s="19"/>
      <c r="P731" s="23"/>
    </row>
    <row r="732" ht="14.25" customHeight="1">
      <c r="D732" s="18"/>
      <c r="E732" s="134"/>
      <c r="F732" s="19"/>
      <c r="G732" s="112"/>
      <c r="H732" s="19"/>
      <c r="I732" s="19"/>
      <c r="J732" s="112"/>
      <c r="K732" s="19"/>
      <c r="L732" s="19"/>
      <c r="M732" s="183"/>
      <c r="N732" s="19"/>
      <c r="O732" s="19"/>
      <c r="P732" s="23"/>
    </row>
    <row r="733" ht="14.25" customHeight="1">
      <c r="D733" s="18"/>
      <c r="E733" s="134"/>
      <c r="F733" s="19"/>
      <c r="G733" s="112"/>
      <c r="H733" s="19"/>
      <c r="I733" s="19"/>
      <c r="J733" s="112"/>
      <c r="K733" s="19"/>
      <c r="L733" s="19"/>
      <c r="M733" s="183"/>
      <c r="N733" s="19"/>
      <c r="O733" s="19"/>
      <c r="P733" s="23"/>
    </row>
    <row r="734" ht="14.25" customHeight="1">
      <c r="D734" s="18"/>
      <c r="E734" s="134"/>
      <c r="F734" s="19"/>
      <c r="G734" s="112"/>
      <c r="H734" s="19"/>
      <c r="I734" s="19"/>
      <c r="J734" s="112"/>
      <c r="K734" s="19"/>
      <c r="L734" s="19"/>
      <c r="M734" s="183"/>
      <c r="N734" s="19"/>
      <c r="O734" s="19"/>
      <c r="P734" s="23"/>
    </row>
    <row r="735" ht="14.25" customHeight="1">
      <c r="D735" s="18"/>
      <c r="E735" s="134"/>
      <c r="F735" s="19"/>
      <c r="G735" s="112"/>
      <c r="H735" s="19"/>
      <c r="I735" s="19"/>
      <c r="J735" s="112"/>
      <c r="K735" s="19"/>
      <c r="L735" s="19"/>
      <c r="M735" s="183"/>
      <c r="N735" s="19"/>
      <c r="O735" s="19"/>
      <c r="P735" s="23"/>
    </row>
    <row r="736" ht="14.25" customHeight="1">
      <c r="D736" s="18"/>
      <c r="E736" s="134"/>
      <c r="F736" s="19"/>
      <c r="G736" s="112"/>
      <c r="H736" s="19"/>
      <c r="I736" s="19"/>
      <c r="J736" s="112"/>
      <c r="K736" s="19"/>
      <c r="L736" s="19"/>
      <c r="M736" s="183"/>
      <c r="N736" s="19"/>
      <c r="O736" s="19"/>
      <c r="P736" s="23"/>
    </row>
    <row r="737" ht="14.25" customHeight="1">
      <c r="D737" s="18"/>
      <c r="E737" s="134"/>
      <c r="F737" s="19"/>
      <c r="G737" s="112"/>
      <c r="H737" s="19"/>
      <c r="I737" s="19"/>
      <c r="J737" s="112"/>
      <c r="K737" s="19"/>
      <c r="L737" s="19"/>
      <c r="M737" s="183"/>
      <c r="N737" s="19"/>
      <c r="O737" s="19"/>
      <c r="P737" s="23"/>
    </row>
    <row r="738" ht="14.25" customHeight="1">
      <c r="D738" s="18"/>
      <c r="E738" s="134"/>
      <c r="F738" s="19"/>
      <c r="G738" s="112"/>
      <c r="H738" s="19"/>
      <c r="I738" s="19"/>
      <c r="J738" s="112"/>
      <c r="K738" s="19"/>
      <c r="L738" s="19"/>
      <c r="M738" s="183"/>
      <c r="N738" s="19"/>
      <c r="O738" s="19"/>
      <c r="P738" s="23"/>
    </row>
    <row r="739" ht="14.25" customHeight="1">
      <c r="D739" s="18"/>
      <c r="E739" s="134"/>
      <c r="F739" s="19"/>
      <c r="G739" s="112"/>
      <c r="H739" s="19"/>
      <c r="I739" s="19"/>
      <c r="J739" s="112"/>
      <c r="K739" s="19"/>
      <c r="L739" s="19"/>
      <c r="M739" s="183"/>
      <c r="N739" s="19"/>
      <c r="O739" s="19"/>
      <c r="P739" s="23"/>
    </row>
    <row r="740" ht="14.25" customHeight="1">
      <c r="D740" s="18"/>
      <c r="E740" s="134"/>
      <c r="F740" s="19"/>
      <c r="G740" s="112"/>
      <c r="H740" s="19"/>
      <c r="I740" s="19"/>
      <c r="J740" s="112"/>
      <c r="K740" s="19"/>
      <c r="L740" s="19"/>
      <c r="M740" s="183"/>
      <c r="N740" s="19"/>
      <c r="O740" s="19"/>
      <c r="P740" s="23"/>
    </row>
    <row r="741" ht="14.25" customHeight="1">
      <c r="D741" s="18"/>
      <c r="E741" s="134"/>
      <c r="F741" s="19"/>
      <c r="G741" s="112"/>
      <c r="H741" s="19"/>
      <c r="I741" s="19"/>
      <c r="J741" s="112"/>
      <c r="K741" s="19"/>
      <c r="L741" s="19"/>
      <c r="M741" s="183"/>
      <c r="N741" s="19"/>
      <c r="O741" s="19"/>
      <c r="P741" s="23"/>
    </row>
    <row r="742" ht="14.25" customHeight="1">
      <c r="D742" s="18"/>
      <c r="E742" s="134"/>
      <c r="F742" s="19"/>
      <c r="G742" s="112"/>
      <c r="H742" s="19"/>
      <c r="I742" s="19"/>
      <c r="J742" s="112"/>
      <c r="K742" s="19"/>
      <c r="L742" s="19"/>
      <c r="M742" s="183"/>
      <c r="N742" s="19"/>
      <c r="O742" s="19"/>
      <c r="P742" s="23"/>
    </row>
    <row r="743" ht="14.25" customHeight="1">
      <c r="D743" s="18"/>
      <c r="E743" s="134"/>
      <c r="F743" s="19"/>
      <c r="G743" s="112"/>
      <c r="H743" s="19"/>
      <c r="I743" s="19"/>
      <c r="J743" s="112"/>
      <c r="K743" s="19"/>
      <c r="L743" s="19"/>
      <c r="M743" s="183"/>
      <c r="N743" s="19"/>
      <c r="O743" s="19"/>
      <c r="P743" s="23"/>
    </row>
    <row r="744" ht="14.25" customHeight="1">
      <c r="D744" s="18"/>
      <c r="E744" s="134"/>
      <c r="F744" s="19"/>
      <c r="G744" s="112"/>
      <c r="H744" s="19"/>
      <c r="I744" s="19"/>
      <c r="J744" s="112"/>
      <c r="K744" s="19"/>
      <c r="L744" s="19"/>
      <c r="M744" s="183"/>
      <c r="N744" s="19"/>
      <c r="O744" s="19"/>
      <c r="P744" s="23"/>
    </row>
    <row r="745" ht="14.25" customHeight="1">
      <c r="D745" s="18"/>
      <c r="E745" s="134"/>
      <c r="F745" s="19"/>
      <c r="G745" s="112"/>
      <c r="H745" s="19"/>
      <c r="I745" s="19"/>
      <c r="J745" s="112"/>
      <c r="K745" s="19"/>
      <c r="L745" s="19"/>
      <c r="M745" s="183"/>
      <c r="N745" s="19"/>
      <c r="O745" s="19"/>
      <c r="P745" s="23"/>
    </row>
    <row r="746" ht="14.25" customHeight="1">
      <c r="D746" s="18"/>
      <c r="E746" s="134"/>
      <c r="F746" s="19"/>
      <c r="G746" s="112"/>
      <c r="H746" s="19"/>
      <c r="I746" s="19"/>
      <c r="J746" s="112"/>
      <c r="K746" s="19"/>
      <c r="L746" s="19"/>
      <c r="M746" s="183"/>
      <c r="N746" s="19"/>
      <c r="O746" s="19"/>
      <c r="P746" s="23"/>
    </row>
    <row r="747" ht="14.25" customHeight="1">
      <c r="D747" s="18"/>
      <c r="E747" s="134"/>
      <c r="F747" s="19"/>
      <c r="G747" s="112"/>
      <c r="H747" s="19"/>
      <c r="I747" s="19"/>
      <c r="J747" s="112"/>
      <c r="K747" s="19"/>
      <c r="L747" s="19"/>
      <c r="M747" s="183"/>
      <c r="N747" s="19"/>
      <c r="O747" s="19"/>
      <c r="P747" s="23"/>
    </row>
    <row r="748" ht="14.25" customHeight="1">
      <c r="D748" s="18"/>
      <c r="E748" s="134"/>
      <c r="F748" s="19"/>
      <c r="G748" s="112"/>
      <c r="H748" s="19"/>
      <c r="I748" s="19"/>
      <c r="J748" s="112"/>
      <c r="K748" s="19"/>
      <c r="L748" s="19"/>
      <c r="M748" s="183"/>
      <c r="N748" s="19"/>
      <c r="O748" s="19"/>
      <c r="P748" s="23"/>
    </row>
    <row r="749" ht="14.25" customHeight="1">
      <c r="D749" s="18"/>
      <c r="E749" s="134"/>
      <c r="F749" s="19"/>
      <c r="G749" s="112"/>
      <c r="H749" s="19"/>
      <c r="I749" s="19"/>
      <c r="J749" s="112"/>
      <c r="K749" s="19"/>
      <c r="L749" s="19"/>
      <c r="M749" s="183"/>
      <c r="N749" s="19"/>
      <c r="O749" s="19"/>
      <c r="P749" s="23"/>
    </row>
    <row r="750" ht="14.25" customHeight="1">
      <c r="D750" s="18"/>
      <c r="E750" s="134"/>
      <c r="F750" s="19"/>
      <c r="G750" s="112"/>
      <c r="H750" s="19"/>
      <c r="I750" s="19"/>
      <c r="J750" s="112"/>
      <c r="K750" s="19"/>
      <c r="L750" s="19"/>
      <c r="M750" s="183"/>
      <c r="N750" s="19"/>
      <c r="O750" s="19"/>
      <c r="P750" s="23"/>
    </row>
    <row r="751" ht="14.25" customHeight="1">
      <c r="D751" s="18"/>
      <c r="E751" s="134"/>
      <c r="F751" s="19"/>
      <c r="G751" s="112"/>
      <c r="H751" s="19"/>
      <c r="I751" s="19"/>
      <c r="J751" s="112"/>
      <c r="K751" s="19"/>
      <c r="L751" s="19"/>
      <c r="M751" s="183"/>
      <c r="N751" s="19"/>
      <c r="O751" s="19"/>
      <c r="P751" s="23"/>
    </row>
    <row r="752" ht="14.25" customHeight="1">
      <c r="D752" s="18"/>
      <c r="E752" s="134"/>
      <c r="F752" s="19"/>
      <c r="G752" s="112"/>
      <c r="H752" s="19"/>
      <c r="I752" s="19"/>
      <c r="J752" s="112"/>
      <c r="K752" s="19"/>
      <c r="L752" s="19"/>
      <c r="M752" s="183"/>
      <c r="N752" s="19"/>
      <c r="O752" s="19"/>
      <c r="P752" s="23"/>
    </row>
    <row r="753" ht="14.25" customHeight="1">
      <c r="D753" s="18"/>
      <c r="E753" s="134"/>
      <c r="F753" s="19"/>
      <c r="G753" s="112"/>
      <c r="H753" s="19"/>
      <c r="I753" s="19"/>
      <c r="J753" s="112"/>
      <c r="K753" s="19"/>
      <c r="L753" s="19"/>
      <c r="M753" s="183"/>
      <c r="N753" s="19"/>
      <c r="O753" s="19"/>
      <c r="P753" s="23"/>
    </row>
    <row r="754" ht="14.25" customHeight="1">
      <c r="D754" s="18"/>
      <c r="E754" s="134"/>
      <c r="F754" s="19"/>
      <c r="G754" s="112"/>
      <c r="H754" s="19"/>
      <c r="I754" s="19"/>
      <c r="J754" s="112"/>
      <c r="K754" s="19"/>
      <c r="L754" s="19"/>
      <c r="M754" s="183"/>
      <c r="N754" s="19"/>
      <c r="O754" s="19"/>
      <c r="P754" s="23"/>
    </row>
    <row r="755" ht="14.25" customHeight="1">
      <c r="D755" s="18"/>
      <c r="E755" s="134"/>
      <c r="F755" s="19"/>
      <c r="G755" s="112"/>
      <c r="H755" s="19"/>
      <c r="I755" s="19"/>
      <c r="J755" s="112"/>
      <c r="K755" s="19"/>
      <c r="L755" s="19"/>
      <c r="M755" s="183"/>
      <c r="N755" s="19"/>
      <c r="O755" s="19"/>
      <c r="P755" s="23"/>
    </row>
    <row r="756" ht="14.25" customHeight="1">
      <c r="D756" s="18"/>
      <c r="E756" s="134"/>
      <c r="F756" s="19"/>
      <c r="G756" s="112"/>
      <c r="H756" s="19"/>
      <c r="I756" s="19"/>
      <c r="J756" s="112"/>
      <c r="K756" s="19"/>
      <c r="L756" s="19"/>
      <c r="M756" s="183"/>
      <c r="N756" s="19"/>
      <c r="O756" s="19"/>
      <c r="P756" s="23"/>
    </row>
    <row r="757" ht="14.25" customHeight="1">
      <c r="D757" s="18"/>
      <c r="E757" s="134"/>
      <c r="F757" s="19"/>
      <c r="G757" s="112"/>
      <c r="H757" s="19"/>
      <c r="I757" s="19"/>
      <c r="J757" s="112"/>
      <c r="K757" s="19"/>
      <c r="L757" s="19"/>
      <c r="M757" s="183"/>
      <c r="N757" s="19"/>
      <c r="O757" s="19"/>
      <c r="P757" s="23"/>
    </row>
    <row r="758" ht="14.25" customHeight="1">
      <c r="D758" s="18"/>
      <c r="E758" s="134"/>
      <c r="F758" s="19"/>
      <c r="G758" s="112"/>
      <c r="H758" s="19"/>
      <c r="I758" s="19"/>
      <c r="J758" s="112"/>
      <c r="K758" s="19"/>
      <c r="L758" s="19"/>
      <c r="M758" s="183"/>
      <c r="N758" s="19"/>
      <c r="O758" s="19"/>
      <c r="P758" s="23"/>
    </row>
    <row r="759" ht="14.25" customHeight="1">
      <c r="D759" s="18"/>
      <c r="E759" s="134"/>
      <c r="F759" s="19"/>
      <c r="G759" s="112"/>
      <c r="H759" s="19"/>
      <c r="I759" s="19"/>
      <c r="J759" s="112"/>
      <c r="K759" s="19"/>
      <c r="L759" s="19"/>
      <c r="M759" s="183"/>
      <c r="N759" s="19"/>
      <c r="O759" s="19"/>
      <c r="P759" s="23"/>
    </row>
    <row r="760" ht="14.25" customHeight="1">
      <c r="D760" s="18"/>
      <c r="E760" s="134"/>
      <c r="F760" s="19"/>
      <c r="G760" s="112"/>
      <c r="H760" s="19"/>
      <c r="I760" s="19"/>
      <c r="J760" s="112"/>
      <c r="K760" s="19"/>
      <c r="L760" s="19"/>
      <c r="M760" s="183"/>
      <c r="N760" s="19"/>
      <c r="O760" s="19"/>
      <c r="P760" s="23"/>
    </row>
    <row r="761" ht="14.25" customHeight="1">
      <c r="D761" s="18"/>
      <c r="E761" s="134"/>
      <c r="F761" s="19"/>
      <c r="G761" s="112"/>
      <c r="H761" s="19"/>
      <c r="I761" s="19"/>
      <c r="J761" s="112"/>
      <c r="K761" s="19"/>
      <c r="L761" s="19"/>
      <c r="M761" s="183"/>
      <c r="N761" s="19"/>
      <c r="O761" s="19"/>
      <c r="P761" s="23"/>
    </row>
    <row r="762" ht="14.25" customHeight="1">
      <c r="D762" s="18"/>
      <c r="E762" s="134"/>
      <c r="F762" s="19"/>
      <c r="G762" s="112"/>
      <c r="H762" s="19"/>
      <c r="I762" s="19"/>
      <c r="J762" s="112"/>
      <c r="K762" s="19"/>
      <c r="L762" s="19"/>
      <c r="M762" s="183"/>
      <c r="N762" s="19"/>
      <c r="O762" s="19"/>
      <c r="P762" s="23"/>
    </row>
    <row r="763" ht="14.25" customHeight="1">
      <c r="D763" s="18"/>
      <c r="E763" s="134"/>
      <c r="F763" s="19"/>
      <c r="G763" s="112"/>
      <c r="H763" s="19"/>
      <c r="I763" s="19"/>
      <c r="J763" s="112"/>
      <c r="K763" s="19"/>
      <c r="L763" s="19"/>
      <c r="M763" s="183"/>
      <c r="N763" s="19"/>
      <c r="O763" s="19"/>
      <c r="P763" s="23"/>
    </row>
    <row r="764" ht="14.25" customHeight="1">
      <c r="D764" s="18"/>
      <c r="E764" s="134"/>
      <c r="F764" s="19"/>
      <c r="G764" s="112"/>
      <c r="H764" s="19"/>
      <c r="I764" s="19"/>
      <c r="J764" s="112"/>
      <c r="K764" s="19"/>
      <c r="L764" s="19"/>
      <c r="M764" s="183"/>
      <c r="N764" s="19"/>
      <c r="O764" s="19"/>
      <c r="P764" s="23"/>
    </row>
    <row r="765" ht="14.25" customHeight="1">
      <c r="D765" s="18"/>
      <c r="E765" s="134"/>
      <c r="F765" s="19"/>
      <c r="G765" s="112"/>
      <c r="H765" s="19"/>
      <c r="I765" s="19"/>
      <c r="J765" s="112"/>
      <c r="K765" s="19"/>
      <c r="L765" s="19"/>
      <c r="M765" s="183"/>
      <c r="N765" s="19"/>
      <c r="O765" s="19"/>
      <c r="P765" s="23"/>
    </row>
    <row r="766" ht="14.25" customHeight="1">
      <c r="D766" s="18"/>
      <c r="E766" s="134"/>
      <c r="F766" s="19"/>
      <c r="G766" s="112"/>
      <c r="H766" s="19"/>
      <c r="I766" s="19"/>
      <c r="J766" s="112"/>
      <c r="K766" s="19"/>
      <c r="L766" s="19"/>
      <c r="M766" s="183"/>
      <c r="N766" s="19"/>
      <c r="O766" s="19"/>
      <c r="P766" s="23"/>
    </row>
    <row r="767" ht="14.25" customHeight="1">
      <c r="D767" s="18"/>
      <c r="E767" s="134"/>
      <c r="F767" s="19"/>
      <c r="G767" s="112"/>
      <c r="H767" s="19"/>
      <c r="I767" s="19"/>
      <c r="J767" s="112"/>
      <c r="K767" s="19"/>
      <c r="L767" s="19"/>
      <c r="M767" s="183"/>
      <c r="N767" s="19"/>
      <c r="O767" s="19"/>
      <c r="P767" s="23"/>
    </row>
    <row r="768" ht="14.25" customHeight="1">
      <c r="D768" s="18"/>
      <c r="E768" s="134"/>
      <c r="F768" s="19"/>
      <c r="G768" s="112"/>
      <c r="H768" s="19"/>
      <c r="I768" s="19"/>
      <c r="J768" s="112"/>
      <c r="K768" s="19"/>
      <c r="L768" s="19"/>
      <c r="M768" s="183"/>
      <c r="N768" s="19"/>
      <c r="O768" s="19"/>
      <c r="P768" s="23"/>
    </row>
    <row r="769" ht="14.25" customHeight="1">
      <c r="D769" s="18"/>
      <c r="E769" s="134"/>
      <c r="F769" s="19"/>
      <c r="G769" s="112"/>
      <c r="H769" s="19"/>
      <c r="I769" s="19"/>
      <c r="J769" s="112"/>
      <c r="K769" s="19"/>
      <c r="L769" s="19"/>
      <c r="M769" s="183"/>
      <c r="N769" s="19"/>
      <c r="O769" s="19"/>
      <c r="P769" s="23"/>
    </row>
    <row r="770" ht="14.25" customHeight="1">
      <c r="D770" s="18"/>
      <c r="E770" s="134"/>
      <c r="F770" s="19"/>
      <c r="G770" s="112"/>
      <c r="H770" s="19"/>
      <c r="I770" s="19"/>
      <c r="J770" s="112"/>
      <c r="K770" s="19"/>
      <c r="L770" s="19"/>
      <c r="M770" s="183"/>
      <c r="N770" s="19"/>
      <c r="O770" s="19"/>
      <c r="P770" s="23"/>
    </row>
    <row r="771" ht="14.25" customHeight="1">
      <c r="D771" s="18"/>
      <c r="E771" s="134"/>
      <c r="F771" s="19"/>
      <c r="G771" s="112"/>
      <c r="H771" s="19"/>
      <c r="I771" s="19"/>
      <c r="J771" s="112"/>
      <c r="K771" s="19"/>
      <c r="L771" s="19"/>
      <c r="M771" s="183"/>
      <c r="N771" s="19"/>
      <c r="O771" s="19"/>
      <c r="P771" s="23"/>
    </row>
    <row r="772" ht="14.25" customHeight="1">
      <c r="D772" s="18"/>
      <c r="E772" s="134"/>
      <c r="F772" s="19"/>
      <c r="G772" s="112"/>
      <c r="H772" s="19"/>
      <c r="I772" s="19"/>
      <c r="J772" s="112"/>
      <c r="K772" s="19"/>
      <c r="L772" s="19"/>
      <c r="M772" s="183"/>
      <c r="N772" s="19"/>
      <c r="O772" s="19"/>
      <c r="P772" s="23"/>
    </row>
    <row r="773" ht="14.25" customHeight="1">
      <c r="D773" s="18"/>
      <c r="E773" s="134"/>
      <c r="F773" s="19"/>
      <c r="G773" s="112"/>
      <c r="H773" s="19"/>
      <c r="I773" s="19"/>
      <c r="J773" s="112"/>
      <c r="K773" s="19"/>
      <c r="L773" s="19"/>
      <c r="M773" s="183"/>
      <c r="N773" s="19"/>
      <c r="O773" s="19"/>
      <c r="P773" s="23"/>
    </row>
    <row r="774" ht="14.25" customHeight="1">
      <c r="D774" s="18"/>
      <c r="E774" s="134"/>
      <c r="F774" s="19"/>
      <c r="G774" s="112"/>
      <c r="H774" s="19"/>
      <c r="I774" s="19"/>
      <c r="J774" s="112"/>
      <c r="K774" s="19"/>
      <c r="L774" s="19"/>
      <c r="M774" s="183"/>
      <c r="N774" s="19"/>
      <c r="O774" s="19"/>
      <c r="P774" s="23"/>
    </row>
    <row r="775" ht="14.25" customHeight="1">
      <c r="D775" s="18"/>
      <c r="E775" s="134"/>
      <c r="F775" s="19"/>
      <c r="G775" s="112"/>
      <c r="H775" s="19"/>
      <c r="I775" s="19"/>
      <c r="J775" s="112"/>
      <c r="K775" s="19"/>
      <c r="L775" s="19"/>
      <c r="M775" s="183"/>
      <c r="N775" s="19"/>
      <c r="O775" s="19"/>
      <c r="P775" s="23"/>
    </row>
    <row r="776" ht="14.25" customHeight="1">
      <c r="D776" s="18"/>
      <c r="E776" s="134"/>
      <c r="F776" s="19"/>
      <c r="G776" s="112"/>
      <c r="H776" s="19"/>
      <c r="I776" s="19"/>
      <c r="J776" s="112"/>
      <c r="K776" s="19"/>
      <c r="L776" s="19"/>
      <c r="M776" s="183"/>
      <c r="N776" s="19"/>
      <c r="O776" s="19"/>
      <c r="P776" s="23"/>
    </row>
    <row r="777" ht="14.25" customHeight="1">
      <c r="D777" s="18"/>
      <c r="E777" s="134"/>
      <c r="F777" s="19"/>
      <c r="G777" s="112"/>
      <c r="H777" s="19"/>
      <c r="I777" s="19"/>
      <c r="J777" s="112"/>
      <c r="K777" s="19"/>
      <c r="L777" s="19"/>
      <c r="M777" s="183"/>
      <c r="N777" s="19"/>
      <c r="O777" s="19"/>
      <c r="P777" s="23"/>
    </row>
    <row r="778" ht="14.25" customHeight="1">
      <c r="D778" s="18"/>
      <c r="E778" s="134"/>
      <c r="F778" s="19"/>
      <c r="G778" s="112"/>
      <c r="H778" s="19"/>
      <c r="I778" s="19"/>
      <c r="J778" s="112"/>
      <c r="K778" s="19"/>
      <c r="L778" s="19"/>
      <c r="M778" s="183"/>
      <c r="N778" s="19"/>
      <c r="O778" s="19"/>
      <c r="P778" s="23"/>
    </row>
    <row r="779" ht="14.25" customHeight="1">
      <c r="D779" s="18"/>
      <c r="E779" s="134"/>
      <c r="F779" s="19"/>
      <c r="G779" s="112"/>
      <c r="H779" s="19"/>
      <c r="I779" s="19"/>
      <c r="J779" s="112"/>
      <c r="K779" s="19"/>
      <c r="L779" s="19"/>
      <c r="M779" s="183"/>
      <c r="N779" s="19"/>
      <c r="O779" s="19"/>
      <c r="P779" s="23"/>
    </row>
    <row r="780" ht="14.25" customHeight="1">
      <c r="D780" s="18"/>
      <c r="E780" s="134"/>
      <c r="F780" s="19"/>
      <c r="G780" s="112"/>
      <c r="H780" s="19"/>
      <c r="I780" s="19"/>
      <c r="J780" s="112"/>
      <c r="K780" s="19"/>
      <c r="L780" s="19"/>
      <c r="M780" s="183"/>
      <c r="N780" s="19"/>
      <c r="O780" s="19"/>
      <c r="P780" s="23"/>
    </row>
    <row r="781" ht="14.25" customHeight="1">
      <c r="D781" s="18"/>
      <c r="E781" s="134"/>
      <c r="F781" s="19"/>
      <c r="G781" s="112"/>
      <c r="H781" s="19"/>
      <c r="I781" s="19"/>
      <c r="J781" s="112"/>
      <c r="K781" s="19"/>
      <c r="L781" s="19"/>
      <c r="M781" s="183"/>
      <c r="N781" s="19"/>
      <c r="O781" s="19"/>
      <c r="P781" s="23"/>
    </row>
    <row r="782" ht="14.25" customHeight="1">
      <c r="D782" s="18"/>
      <c r="E782" s="134"/>
      <c r="F782" s="19"/>
      <c r="G782" s="112"/>
      <c r="H782" s="19"/>
      <c r="I782" s="19"/>
      <c r="J782" s="112"/>
      <c r="K782" s="19"/>
      <c r="L782" s="19"/>
      <c r="M782" s="183"/>
      <c r="N782" s="19"/>
      <c r="O782" s="19"/>
      <c r="P782" s="23"/>
    </row>
    <row r="783" ht="14.25" customHeight="1">
      <c r="D783" s="18"/>
      <c r="E783" s="134"/>
      <c r="F783" s="19"/>
      <c r="G783" s="112"/>
      <c r="H783" s="19"/>
      <c r="I783" s="19"/>
      <c r="J783" s="112"/>
      <c r="K783" s="19"/>
      <c r="L783" s="19"/>
      <c r="M783" s="183"/>
      <c r="N783" s="19"/>
      <c r="O783" s="19"/>
      <c r="P783" s="23"/>
    </row>
    <row r="784" ht="14.25" customHeight="1">
      <c r="D784" s="18"/>
      <c r="E784" s="134"/>
      <c r="F784" s="19"/>
      <c r="G784" s="112"/>
      <c r="H784" s="19"/>
      <c r="I784" s="19"/>
      <c r="J784" s="112"/>
      <c r="K784" s="19"/>
      <c r="L784" s="19"/>
      <c r="M784" s="183"/>
      <c r="N784" s="19"/>
      <c r="O784" s="19"/>
      <c r="P784" s="23"/>
    </row>
    <row r="785" ht="14.25" customHeight="1">
      <c r="D785" s="18"/>
      <c r="E785" s="134"/>
      <c r="F785" s="19"/>
      <c r="G785" s="112"/>
      <c r="H785" s="19"/>
      <c r="I785" s="19"/>
      <c r="J785" s="112"/>
      <c r="K785" s="19"/>
      <c r="L785" s="19"/>
      <c r="M785" s="183"/>
      <c r="N785" s="19"/>
      <c r="O785" s="19"/>
      <c r="P785" s="23"/>
    </row>
    <row r="786" ht="14.25" customHeight="1">
      <c r="D786" s="18"/>
      <c r="E786" s="134"/>
      <c r="F786" s="19"/>
      <c r="G786" s="112"/>
      <c r="H786" s="19"/>
      <c r="I786" s="19"/>
      <c r="J786" s="112"/>
      <c r="K786" s="19"/>
      <c r="L786" s="19"/>
      <c r="M786" s="183"/>
      <c r="N786" s="19"/>
      <c r="O786" s="19"/>
      <c r="P786" s="23"/>
    </row>
    <row r="787" ht="14.25" customHeight="1">
      <c r="D787" s="18"/>
      <c r="E787" s="134"/>
      <c r="F787" s="19"/>
      <c r="G787" s="112"/>
      <c r="H787" s="19"/>
      <c r="I787" s="19"/>
      <c r="J787" s="112"/>
      <c r="K787" s="19"/>
      <c r="L787" s="19"/>
      <c r="M787" s="183"/>
      <c r="N787" s="19"/>
      <c r="O787" s="19"/>
      <c r="P787" s="23"/>
    </row>
    <row r="788" ht="14.25" customHeight="1">
      <c r="D788" s="18"/>
      <c r="E788" s="134"/>
      <c r="F788" s="19"/>
      <c r="G788" s="112"/>
      <c r="H788" s="19"/>
      <c r="I788" s="19"/>
      <c r="J788" s="112"/>
      <c r="K788" s="19"/>
      <c r="L788" s="19"/>
      <c r="M788" s="183"/>
      <c r="N788" s="19"/>
      <c r="O788" s="19"/>
      <c r="P788" s="23"/>
    </row>
    <row r="789" ht="14.25" customHeight="1">
      <c r="D789" s="18"/>
      <c r="E789" s="134"/>
      <c r="F789" s="19"/>
      <c r="G789" s="112"/>
      <c r="H789" s="19"/>
      <c r="I789" s="19"/>
      <c r="J789" s="112"/>
      <c r="K789" s="19"/>
      <c r="L789" s="19"/>
      <c r="M789" s="183"/>
      <c r="N789" s="19"/>
      <c r="O789" s="19"/>
      <c r="P789" s="23"/>
    </row>
    <row r="790" ht="14.25" customHeight="1">
      <c r="D790" s="18"/>
      <c r="E790" s="134"/>
      <c r="F790" s="19"/>
      <c r="G790" s="112"/>
      <c r="H790" s="19"/>
      <c r="I790" s="19"/>
      <c r="J790" s="112"/>
      <c r="K790" s="19"/>
      <c r="L790" s="19"/>
      <c r="M790" s="183"/>
      <c r="N790" s="19"/>
      <c r="O790" s="19"/>
      <c r="P790" s="23"/>
    </row>
    <row r="791" ht="14.25" customHeight="1">
      <c r="D791" s="18"/>
      <c r="E791" s="134"/>
      <c r="F791" s="19"/>
      <c r="G791" s="112"/>
      <c r="H791" s="19"/>
      <c r="I791" s="19"/>
      <c r="J791" s="112"/>
      <c r="K791" s="19"/>
      <c r="L791" s="19"/>
      <c r="M791" s="183"/>
      <c r="N791" s="19"/>
      <c r="O791" s="19"/>
      <c r="P791" s="23"/>
    </row>
    <row r="792" ht="14.25" customHeight="1">
      <c r="D792" s="18"/>
      <c r="E792" s="134"/>
      <c r="F792" s="19"/>
      <c r="G792" s="112"/>
      <c r="H792" s="19"/>
      <c r="I792" s="19"/>
      <c r="J792" s="112"/>
      <c r="K792" s="19"/>
      <c r="L792" s="19"/>
      <c r="M792" s="183"/>
      <c r="N792" s="19"/>
      <c r="O792" s="19"/>
      <c r="P792" s="23"/>
    </row>
    <row r="793" ht="14.25" customHeight="1">
      <c r="D793" s="18"/>
      <c r="E793" s="134"/>
      <c r="F793" s="19"/>
      <c r="G793" s="112"/>
      <c r="H793" s="19"/>
      <c r="I793" s="19"/>
      <c r="J793" s="112"/>
      <c r="K793" s="19"/>
      <c r="L793" s="19"/>
      <c r="M793" s="183"/>
      <c r="N793" s="19"/>
      <c r="O793" s="19"/>
      <c r="P793" s="23"/>
    </row>
    <row r="794" ht="14.25" customHeight="1">
      <c r="D794" s="18"/>
      <c r="E794" s="134"/>
      <c r="F794" s="19"/>
      <c r="G794" s="112"/>
      <c r="H794" s="19"/>
      <c r="I794" s="19"/>
      <c r="J794" s="112"/>
      <c r="K794" s="19"/>
      <c r="L794" s="19"/>
      <c r="M794" s="183"/>
      <c r="N794" s="19"/>
      <c r="O794" s="19"/>
      <c r="P794" s="23"/>
    </row>
    <row r="795" ht="14.25" customHeight="1">
      <c r="D795" s="18"/>
      <c r="E795" s="134"/>
      <c r="F795" s="19"/>
      <c r="G795" s="112"/>
      <c r="H795" s="19"/>
      <c r="I795" s="19"/>
      <c r="J795" s="112"/>
      <c r="K795" s="19"/>
      <c r="L795" s="19"/>
      <c r="M795" s="183"/>
      <c r="N795" s="19"/>
      <c r="O795" s="19"/>
      <c r="P795" s="23"/>
    </row>
    <row r="796" ht="14.25" customHeight="1">
      <c r="D796" s="18"/>
      <c r="E796" s="134"/>
      <c r="F796" s="19"/>
      <c r="G796" s="112"/>
      <c r="H796" s="19"/>
      <c r="I796" s="19"/>
      <c r="J796" s="112"/>
      <c r="K796" s="19"/>
      <c r="L796" s="19"/>
      <c r="M796" s="183"/>
      <c r="N796" s="19"/>
      <c r="O796" s="19"/>
      <c r="P796" s="23"/>
    </row>
    <row r="797" ht="14.25" customHeight="1">
      <c r="D797" s="18"/>
      <c r="E797" s="134"/>
      <c r="F797" s="19"/>
      <c r="G797" s="112"/>
      <c r="H797" s="19"/>
      <c r="I797" s="19"/>
      <c r="J797" s="112"/>
      <c r="K797" s="19"/>
      <c r="L797" s="19"/>
      <c r="M797" s="183"/>
      <c r="N797" s="19"/>
      <c r="O797" s="19"/>
      <c r="P797" s="23"/>
    </row>
    <row r="798" ht="14.25" customHeight="1">
      <c r="D798" s="18"/>
      <c r="E798" s="134"/>
      <c r="F798" s="19"/>
      <c r="G798" s="112"/>
      <c r="H798" s="19"/>
      <c r="I798" s="19"/>
      <c r="J798" s="112"/>
      <c r="K798" s="19"/>
      <c r="L798" s="19"/>
      <c r="M798" s="183"/>
      <c r="N798" s="19"/>
      <c r="O798" s="19"/>
      <c r="P798" s="23"/>
    </row>
    <row r="799" ht="14.25" customHeight="1">
      <c r="D799" s="18"/>
      <c r="E799" s="134"/>
      <c r="F799" s="19"/>
      <c r="G799" s="112"/>
      <c r="H799" s="19"/>
      <c r="I799" s="19"/>
      <c r="J799" s="112"/>
      <c r="K799" s="19"/>
      <c r="L799" s="19"/>
      <c r="M799" s="183"/>
      <c r="N799" s="19"/>
      <c r="O799" s="19"/>
      <c r="P799" s="23"/>
    </row>
    <row r="800" ht="14.25" customHeight="1">
      <c r="D800" s="18"/>
      <c r="E800" s="134"/>
      <c r="F800" s="19"/>
      <c r="G800" s="112"/>
      <c r="H800" s="19"/>
      <c r="I800" s="19"/>
      <c r="J800" s="112"/>
      <c r="K800" s="19"/>
      <c r="L800" s="19"/>
      <c r="M800" s="183"/>
      <c r="N800" s="19"/>
      <c r="O800" s="19"/>
      <c r="P800" s="23"/>
    </row>
    <row r="801" ht="14.25" customHeight="1">
      <c r="D801" s="18"/>
      <c r="E801" s="134"/>
      <c r="F801" s="19"/>
      <c r="G801" s="112"/>
      <c r="H801" s="19"/>
      <c r="I801" s="19"/>
      <c r="J801" s="112"/>
      <c r="K801" s="19"/>
      <c r="L801" s="19"/>
      <c r="M801" s="183"/>
      <c r="N801" s="19"/>
      <c r="O801" s="19"/>
      <c r="P801" s="23"/>
    </row>
    <row r="802" ht="14.25" customHeight="1">
      <c r="D802" s="18"/>
      <c r="E802" s="134"/>
      <c r="F802" s="19"/>
      <c r="G802" s="112"/>
      <c r="H802" s="19"/>
      <c r="I802" s="19"/>
      <c r="J802" s="112"/>
      <c r="K802" s="19"/>
      <c r="L802" s="19"/>
      <c r="M802" s="183"/>
      <c r="N802" s="19"/>
      <c r="O802" s="19"/>
      <c r="P802" s="23"/>
    </row>
    <row r="803" ht="14.25" customHeight="1">
      <c r="D803" s="18"/>
      <c r="E803" s="134"/>
      <c r="F803" s="19"/>
      <c r="G803" s="112"/>
      <c r="H803" s="19"/>
      <c r="I803" s="19"/>
      <c r="J803" s="112"/>
      <c r="K803" s="19"/>
      <c r="L803" s="19"/>
      <c r="M803" s="183"/>
      <c r="N803" s="19"/>
      <c r="O803" s="19"/>
      <c r="P803" s="23"/>
    </row>
    <row r="804" ht="14.25" customHeight="1">
      <c r="D804" s="18"/>
      <c r="E804" s="134"/>
      <c r="F804" s="19"/>
      <c r="G804" s="112"/>
      <c r="H804" s="19"/>
      <c r="I804" s="19"/>
      <c r="J804" s="112"/>
      <c r="K804" s="19"/>
      <c r="L804" s="19"/>
      <c r="M804" s="183"/>
      <c r="N804" s="19"/>
      <c r="O804" s="19"/>
      <c r="P804" s="23"/>
    </row>
    <row r="805" ht="14.25" customHeight="1">
      <c r="D805" s="18"/>
      <c r="E805" s="134"/>
      <c r="F805" s="19"/>
      <c r="G805" s="112"/>
      <c r="H805" s="19"/>
      <c r="I805" s="19"/>
      <c r="J805" s="112"/>
      <c r="K805" s="19"/>
      <c r="L805" s="19"/>
      <c r="M805" s="183"/>
      <c r="N805" s="19"/>
      <c r="O805" s="19"/>
      <c r="P805" s="23"/>
    </row>
    <row r="806" ht="14.25" customHeight="1">
      <c r="D806" s="18"/>
      <c r="E806" s="134"/>
      <c r="F806" s="19"/>
      <c r="G806" s="112"/>
      <c r="H806" s="19"/>
      <c r="I806" s="19"/>
      <c r="J806" s="112"/>
      <c r="K806" s="19"/>
      <c r="L806" s="19"/>
      <c r="M806" s="183"/>
      <c r="N806" s="19"/>
      <c r="O806" s="19"/>
      <c r="P806" s="23"/>
    </row>
    <row r="807" ht="14.25" customHeight="1">
      <c r="D807" s="18"/>
      <c r="E807" s="134"/>
      <c r="F807" s="19"/>
      <c r="G807" s="112"/>
      <c r="H807" s="19"/>
      <c r="I807" s="19"/>
      <c r="J807" s="112"/>
      <c r="K807" s="19"/>
      <c r="L807" s="19"/>
      <c r="M807" s="183"/>
      <c r="N807" s="19"/>
      <c r="O807" s="19"/>
      <c r="P807" s="23"/>
    </row>
    <row r="808" ht="14.25" customHeight="1">
      <c r="D808" s="18"/>
      <c r="E808" s="134"/>
      <c r="F808" s="19"/>
      <c r="G808" s="112"/>
      <c r="H808" s="19"/>
      <c r="I808" s="19"/>
      <c r="J808" s="112"/>
      <c r="K808" s="19"/>
      <c r="L808" s="19"/>
      <c r="M808" s="183"/>
      <c r="N808" s="19"/>
      <c r="O808" s="19"/>
      <c r="P808" s="23"/>
    </row>
    <row r="809" ht="14.25" customHeight="1">
      <c r="D809" s="18"/>
      <c r="E809" s="134"/>
      <c r="F809" s="19"/>
      <c r="G809" s="112"/>
      <c r="H809" s="19"/>
      <c r="I809" s="19"/>
      <c r="J809" s="112"/>
      <c r="K809" s="19"/>
      <c r="L809" s="19"/>
      <c r="M809" s="183"/>
      <c r="N809" s="19"/>
      <c r="O809" s="19"/>
      <c r="P809" s="23"/>
    </row>
    <row r="810" ht="14.25" customHeight="1">
      <c r="D810" s="18"/>
      <c r="E810" s="134"/>
      <c r="F810" s="19"/>
      <c r="G810" s="112"/>
      <c r="H810" s="19"/>
      <c r="I810" s="19"/>
      <c r="J810" s="112"/>
      <c r="K810" s="19"/>
      <c r="L810" s="19"/>
      <c r="M810" s="183"/>
      <c r="N810" s="19"/>
      <c r="O810" s="19"/>
      <c r="P810" s="23"/>
    </row>
    <row r="811" ht="14.25" customHeight="1">
      <c r="D811" s="18"/>
      <c r="E811" s="134"/>
      <c r="F811" s="19"/>
      <c r="G811" s="112"/>
      <c r="H811" s="19"/>
      <c r="I811" s="19"/>
      <c r="J811" s="112"/>
      <c r="K811" s="19"/>
      <c r="L811" s="19"/>
      <c r="M811" s="183"/>
      <c r="N811" s="19"/>
      <c r="O811" s="19"/>
      <c r="P811" s="23"/>
    </row>
    <row r="812" ht="14.25" customHeight="1">
      <c r="D812" s="18"/>
      <c r="E812" s="134"/>
      <c r="F812" s="19"/>
      <c r="G812" s="112"/>
      <c r="H812" s="19"/>
      <c r="I812" s="19"/>
      <c r="J812" s="112"/>
      <c r="K812" s="19"/>
      <c r="L812" s="19"/>
      <c r="M812" s="183"/>
      <c r="N812" s="19"/>
      <c r="O812" s="19"/>
      <c r="P812" s="23"/>
    </row>
    <row r="813" ht="14.25" customHeight="1">
      <c r="D813" s="18"/>
      <c r="E813" s="134"/>
      <c r="F813" s="19"/>
      <c r="G813" s="112"/>
      <c r="H813" s="19"/>
      <c r="I813" s="19"/>
      <c r="J813" s="112"/>
      <c r="K813" s="19"/>
      <c r="L813" s="19"/>
      <c r="M813" s="183"/>
      <c r="N813" s="19"/>
      <c r="O813" s="19"/>
      <c r="P813" s="23"/>
    </row>
    <row r="814" ht="14.25" customHeight="1">
      <c r="D814" s="18"/>
      <c r="E814" s="134"/>
      <c r="F814" s="19"/>
      <c r="G814" s="112"/>
      <c r="H814" s="19"/>
      <c r="I814" s="19"/>
      <c r="J814" s="112"/>
      <c r="K814" s="19"/>
      <c r="L814" s="19"/>
      <c r="M814" s="183"/>
      <c r="N814" s="19"/>
      <c r="O814" s="19"/>
      <c r="P814" s="23"/>
    </row>
    <row r="815" ht="14.25" customHeight="1">
      <c r="D815" s="18"/>
      <c r="E815" s="134"/>
      <c r="F815" s="19"/>
      <c r="G815" s="112"/>
      <c r="H815" s="19"/>
      <c r="I815" s="19"/>
      <c r="J815" s="112"/>
      <c r="K815" s="19"/>
      <c r="L815" s="19"/>
      <c r="M815" s="183"/>
      <c r="N815" s="19"/>
      <c r="O815" s="19"/>
      <c r="P815" s="23"/>
    </row>
    <row r="816" ht="14.25" customHeight="1">
      <c r="D816" s="18"/>
      <c r="E816" s="134"/>
      <c r="F816" s="19"/>
      <c r="G816" s="112"/>
      <c r="H816" s="19"/>
      <c r="I816" s="19"/>
      <c r="J816" s="112"/>
      <c r="K816" s="19"/>
      <c r="L816" s="19"/>
      <c r="M816" s="183"/>
      <c r="N816" s="19"/>
      <c r="O816" s="19"/>
      <c r="P816" s="23"/>
    </row>
    <row r="817" ht="14.25" customHeight="1">
      <c r="D817" s="18"/>
      <c r="E817" s="134"/>
      <c r="F817" s="19"/>
      <c r="G817" s="112"/>
      <c r="H817" s="19"/>
      <c r="I817" s="19"/>
      <c r="J817" s="112"/>
      <c r="K817" s="19"/>
      <c r="L817" s="19"/>
      <c r="M817" s="183"/>
      <c r="N817" s="19"/>
      <c r="O817" s="19"/>
      <c r="P817" s="23"/>
    </row>
    <row r="818" ht="14.25" customHeight="1">
      <c r="D818" s="18"/>
      <c r="E818" s="134"/>
      <c r="F818" s="19"/>
      <c r="G818" s="112"/>
      <c r="H818" s="19"/>
      <c r="I818" s="19"/>
      <c r="J818" s="112"/>
      <c r="K818" s="19"/>
      <c r="L818" s="19"/>
      <c r="M818" s="183"/>
      <c r="N818" s="19"/>
      <c r="O818" s="19"/>
      <c r="P818" s="23"/>
    </row>
    <row r="819" ht="14.25" customHeight="1">
      <c r="D819" s="18"/>
      <c r="E819" s="134"/>
      <c r="F819" s="19"/>
      <c r="G819" s="112"/>
      <c r="H819" s="19"/>
      <c r="I819" s="19"/>
      <c r="J819" s="112"/>
      <c r="K819" s="19"/>
      <c r="L819" s="19"/>
      <c r="M819" s="183"/>
      <c r="N819" s="19"/>
      <c r="O819" s="19"/>
      <c r="P819" s="23"/>
    </row>
    <row r="820" ht="14.25" customHeight="1">
      <c r="D820" s="18"/>
      <c r="E820" s="134"/>
      <c r="F820" s="19"/>
      <c r="G820" s="112"/>
      <c r="H820" s="19"/>
      <c r="I820" s="19"/>
      <c r="J820" s="112"/>
      <c r="K820" s="19"/>
      <c r="L820" s="19"/>
      <c r="M820" s="183"/>
      <c r="N820" s="19"/>
      <c r="O820" s="19"/>
      <c r="P820" s="23"/>
    </row>
    <row r="821" ht="14.25" customHeight="1">
      <c r="D821" s="18"/>
      <c r="E821" s="134"/>
      <c r="F821" s="19"/>
      <c r="G821" s="112"/>
      <c r="H821" s="19"/>
      <c r="I821" s="19"/>
      <c r="J821" s="112"/>
      <c r="K821" s="19"/>
      <c r="L821" s="19"/>
      <c r="M821" s="183"/>
      <c r="N821" s="19"/>
      <c r="O821" s="19"/>
      <c r="P821" s="23"/>
    </row>
    <row r="822" ht="14.25" customHeight="1">
      <c r="D822" s="18"/>
      <c r="E822" s="134"/>
      <c r="F822" s="19"/>
      <c r="G822" s="112"/>
      <c r="H822" s="19"/>
      <c r="I822" s="19"/>
      <c r="J822" s="112"/>
      <c r="K822" s="19"/>
      <c r="L822" s="19"/>
      <c r="M822" s="183"/>
      <c r="N822" s="19"/>
      <c r="O822" s="19"/>
      <c r="P822" s="23"/>
    </row>
    <row r="823" ht="14.25" customHeight="1">
      <c r="D823" s="18"/>
      <c r="E823" s="134"/>
      <c r="F823" s="19"/>
      <c r="G823" s="112"/>
      <c r="H823" s="19"/>
      <c r="I823" s="19"/>
      <c r="J823" s="112"/>
      <c r="K823" s="19"/>
      <c r="L823" s="19"/>
      <c r="M823" s="183"/>
      <c r="N823" s="19"/>
      <c r="O823" s="19"/>
      <c r="P823" s="23"/>
    </row>
    <row r="824" ht="14.25" customHeight="1">
      <c r="D824" s="18"/>
      <c r="E824" s="134"/>
      <c r="F824" s="19"/>
      <c r="G824" s="112"/>
      <c r="H824" s="19"/>
      <c r="I824" s="19"/>
      <c r="J824" s="112"/>
      <c r="K824" s="19"/>
      <c r="L824" s="19"/>
      <c r="M824" s="183"/>
      <c r="N824" s="19"/>
      <c r="O824" s="19"/>
      <c r="P824" s="23"/>
    </row>
    <row r="825" ht="14.25" customHeight="1">
      <c r="D825" s="18"/>
      <c r="E825" s="134"/>
      <c r="F825" s="19"/>
      <c r="G825" s="112"/>
      <c r="H825" s="19"/>
      <c r="I825" s="19"/>
      <c r="J825" s="112"/>
      <c r="K825" s="19"/>
      <c r="L825" s="19"/>
      <c r="M825" s="183"/>
      <c r="N825" s="19"/>
      <c r="O825" s="19"/>
      <c r="P825" s="23"/>
    </row>
    <row r="826" ht="14.25" customHeight="1">
      <c r="D826" s="18"/>
      <c r="E826" s="134"/>
      <c r="F826" s="19"/>
      <c r="G826" s="112"/>
      <c r="H826" s="19"/>
      <c r="I826" s="19"/>
      <c r="J826" s="112"/>
      <c r="K826" s="19"/>
      <c r="L826" s="19"/>
      <c r="M826" s="183"/>
      <c r="N826" s="19"/>
      <c r="O826" s="19"/>
      <c r="P826" s="23"/>
    </row>
    <row r="827" ht="14.25" customHeight="1">
      <c r="D827" s="18"/>
      <c r="E827" s="134"/>
      <c r="F827" s="19"/>
      <c r="G827" s="112"/>
      <c r="H827" s="19"/>
      <c r="I827" s="19"/>
      <c r="J827" s="112"/>
      <c r="K827" s="19"/>
      <c r="L827" s="19"/>
      <c r="M827" s="183"/>
      <c r="N827" s="19"/>
      <c r="O827" s="19"/>
      <c r="P827" s="23"/>
    </row>
    <row r="828" ht="14.25" customHeight="1">
      <c r="D828" s="18"/>
      <c r="E828" s="134"/>
      <c r="F828" s="19"/>
      <c r="G828" s="112"/>
      <c r="H828" s="19"/>
      <c r="I828" s="19"/>
      <c r="J828" s="112"/>
      <c r="K828" s="19"/>
      <c r="L828" s="19"/>
      <c r="M828" s="183"/>
      <c r="N828" s="19"/>
      <c r="O828" s="19"/>
      <c r="P828" s="23"/>
    </row>
    <row r="829" ht="14.25" customHeight="1">
      <c r="D829" s="18"/>
      <c r="E829" s="134"/>
      <c r="F829" s="19"/>
      <c r="G829" s="112"/>
      <c r="H829" s="19"/>
      <c r="I829" s="19"/>
      <c r="J829" s="112"/>
      <c r="K829" s="19"/>
      <c r="L829" s="19"/>
      <c r="M829" s="183"/>
      <c r="N829" s="19"/>
      <c r="O829" s="19"/>
      <c r="P829" s="23"/>
    </row>
    <row r="830" ht="14.25" customHeight="1">
      <c r="D830" s="18"/>
      <c r="E830" s="134"/>
      <c r="F830" s="19"/>
      <c r="G830" s="112"/>
      <c r="H830" s="19"/>
      <c r="I830" s="19"/>
      <c r="J830" s="112"/>
      <c r="K830" s="19"/>
      <c r="L830" s="19"/>
      <c r="M830" s="183"/>
      <c r="N830" s="19"/>
      <c r="O830" s="19"/>
      <c r="P830" s="23"/>
    </row>
    <row r="831" ht="14.25" customHeight="1">
      <c r="D831" s="18"/>
      <c r="E831" s="134"/>
      <c r="F831" s="19"/>
      <c r="G831" s="112"/>
      <c r="H831" s="19"/>
      <c r="I831" s="19"/>
      <c r="J831" s="112"/>
      <c r="K831" s="19"/>
      <c r="L831" s="19"/>
      <c r="M831" s="183"/>
      <c r="N831" s="19"/>
      <c r="O831" s="19"/>
      <c r="P831" s="23"/>
    </row>
    <row r="832" ht="14.25" customHeight="1">
      <c r="D832" s="18"/>
      <c r="E832" s="134"/>
      <c r="F832" s="19"/>
      <c r="G832" s="112"/>
      <c r="H832" s="19"/>
      <c r="I832" s="19"/>
      <c r="J832" s="112"/>
      <c r="K832" s="19"/>
      <c r="L832" s="19"/>
      <c r="M832" s="183"/>
      <c r="N832" s="19"/>
      <c r="O832" s="19"/>
      <c r="P832" s="23"/>
    </row>
    <row r="833" ht="14.25" customHeight="1">
      <c r="D833" s="18"/>
      <c r="E833" s="134"/>
      <c r="F833" s="19"/>
      <c r="G833" s="112"/>
      <c r="H833" s="19"/>
      <c r="I833" s="19"/>
      <c r="J833" s="112"/>
      <c r="K833" s="19"/>
      <c r="L833" s="19"/>
      <c r="M833" s="183"/>
      <c r="N833" s="19"/>
      <c r="O833" s="19"/>
      <c r="P833" s="23"/>
    </row>
    <row r="834" ht="14.25" customHeight="1">
      <c r="D834" s="18"/>
      <c r="E834" s="134"/>
      <c r="F834" s="19"/>
      <c r="G834" s="112"/>
      <c r="H834" s="19"/>
      <c r="I834" s="19"/>
      <c r="J834" s="112"/>
      <c r="K834" s="19"/>
      <c r="L834" s="19"/>
      <c r="M834" s="183"/>
      <c r="N834" s="19"/>
      <c r="O834" s="19"/>
      <c r="P834" s="23"/>
    </row>
    <row r="835" ht="14.25" customHeight="1">
      <c r="D835" s="18"/>
      <c r="E835" s="134"/>
      <c r="F835" s="19"/>
      <c r="G835" s="112"/>
      <c r="H835" s="19"/>
      <c r="I835" s="19"/>
      <c r="J835" s="112"/>
      <c r="K835" s="19"/>
      <c r="L835" s="19"/>
      <c r="M835" s="183"/>
      <c r="N835" s="19"/>
      <c r="O835" s="19"/>
      <c r="P835" s="23"/>
    </row>
    <row r="836" ht="14.25" customHeight="1">
      <c r="D836" s="18"/>
      <c r="E836" s="134"/>
      <c r="F836" s="19"/>
      <c r="G836" s="112"/>
      <c r="H836" s="19"/>
      <c r="I836" s="19"/>
      <c r="J836" s="112"/>
      <c r="K836" s="19"/>
      <c r="L836" s="19"/>
      <c r="M836" s="183"/>
      <c r="N836" s="19"/>
      <c r="O836" s="19"/>
      <c r="P836" s="23"/>
    </row>
    <row r="837" ht="14.25" customHeight="1">
      <c r="D837" s="18"/>
      <c r="E837" s="134"/>
      <c r="F837" s="19"/>
      <c r="G837" s="112"/>
      <c r="H837" s="19"/>
      <c r="I837" s="19"/>
      <c r="J837" s="112"/>
      <c r="K837" s="19"/>
      <c r="L837" s="19"/>
      <c r="M837" s="183"/>
      <c r="N837" s="19"/>
      <c r="O837" s="19"/>
      <c r="P837" s="23"/>
    </row>
    <row r="838" ht="14.25" customHeight="1">
      <c r="D838" s="18"/>
      <c r="E838" s="134"/>
      <c r="F838" s="19"/>
      <c r="G838" s="112"/>
      <c r="H838" s="19"/>
      <c r="I838" s="19"/>
      <c r="J838" s="112"/>
      <c r="K838" s="19"/>
      <c r="L838" s="19"/>
      <c r="M838" s="183"/>
      <c r="N838" s="19"/>
      <c r="O838" s="19"/>
      <c r="P838" s="23"/>
    </row>
    <row r="839" ht="14.25" customHeight="1">
      <c r="D839" s="18"/>
      <c r="E839" s="134"/>
      <c r="F839" s="19"/>
      <c r="G839" s="112"/>
      <c r="H839" s="19"/>
      <c r="I839" s="19"/>
      <c r="J839" s="112"/>
      <c r="K839" s="19"/>
      <c r="L839" s="19"/>
      <c r="M839" s="183"/>
      <c r="N839" s="19"/>
      <c r="O839" s="19"/>
      <c r="P839" s="23"/>
    </row>
    <row r="840" ht="14.25" customHeight="1">
      <c r="D840" s="18"/>
      <c r="E840" s="134"/>
      <c r="F840" s="19"/>
      <c r="G840" s="112"/>
      <c r="H840" s="19"/>
      <c r="I840" s="19"/>
      <c r="J840" s="112"/>
      <c r="K840" s="19"/>
      <c r="L840" s="19"/>
      <c r="M840" s="183"/>
      <c r="N840" s="19"/>
      <c r="O840" s="19"/>
      <c r="P840" s="23"/>
    </row>
    <row r="841" ht="14.25" customHeight="1">
      <c r="D841" s="18"/>
      <c r="E841" s="134"/>
      <c r="F841" s="19"/>
      <c r="G841" s="112"/>
      <c r="H841" s="19"/>
      <c r="I841" s="19"/>
      <c r="J841" s="112"/>
      <c r="K841" s="19"/>
      <c r="L841" s="19"/>
      <c r="M841" s="183"/>
      <c r="N841" s="19"/>
      <c r="O841" s="19"/>
      <c r="P841" s="23"/>
    </row>
    <row r="842" ht="14.25" customHeight="1">
      <c r="D842" s="18"/>
      <c r="E842" s="134"/>
      <c r="F842" s="19"/>
      <c r="G842" s="112"/>
      <c r="H842" s="19"/>
      <c r="I842" s="19"/>
      <c r="J842" s="112"/>
      <c r="K842" s="19"/>
      <c r="L842" s="19"/>
      <c r="M842" s="183"/>
      <c r="N842" s="19"/>
      <c r="O842" s="19"/>
      <c r="P842" s="23"/>
    </row>
    <row r="843" ht="14.25" customHeight="1">
      <c r="D843" s="18"/>
      <c r="E843" s="134"/>
      <c r="F843" s="19"/>
      <c r="G843" s="112"/>
      <c r="H843" s="19"/>
      <c r="I843" s="19"/>
      <c r="J843" s="112"/>
      <c r="K843" s="19"/>
      <c r="L843" s="19"/>
      <c r="M843" s="183"/>
      <c r="N843" s="19"/>
      <c r="O843" s="19"/>
      <c r="P843" s="23"/>
    </row>
    <row r="844" ht="14.25" customHeight="1">
      <c r="D844" s="18"/>
      <c r="E844" s="134"/>
      <c r="F844" s="19"/>
      <c r="G844" s="112"/>
      <c r="H844" s="19"/>
      <c r="I844" s="19"/>
      <c r="J844" s="112"/>
      <c r="K844" s="19"/>
      <c r="L844" s="19"/>
      <c r="M844" s="183"/>
      <c r="N844" s="19"/>
      <c r="O844" s="19"/>
      <c r="P844" s="23"/>
    </row>
    <row r="845" ht="14.25" customHeight="1">
      <c r="D845" s="18"/>
      <c r="E845" s="134"/>
      <c r="F845" s="19"/>
      <c r="G845" s="112"/>
      <c r="H845" s="19"/>
      <c r="I845" s="19"/>
      <c r="J845" s="112"/>
      <c r="K845" s="19"/>
      <c r="L845" s="19"/>
      <c r="M845" s="183"/>
      <c r="N845" s="19"/>
      <c r="O845" s="19"/>
      <c r="P845" s="23"/>
    </row>
    <row r="846" ht="14.25" customHeight="1">
      <c r="D846" s="18"/>
      <c r="E846" s="134"/>
      <c r="F846" s="19"/>
      <c r="G846" s="112"/>
      <c r="H846" s="19"/>
      <c r="I846" s="19"/>
      <c r="J846" s="112"/>
      <c r="K846" s="19"/>
      <c r="L846" s="19"/>
      <c r="M846" s="183"/>
      <c r="N846" s="19"/>
      <c r="O846" s="19"/>
      <c r="P846" s="23"/>
    </row>
    <row r="847" ht="14.25" customHeight="1">
      <c r="D847" s="18"/>
      <c r="E847" s="134"/>
      <c r="F847" s="19"/>
      <c r="G847" s="112"/>
      <c r="H847" s="19"/>
      <c r="I847" s="19"/>
      <c r="J847" s="112"/>
      <c r="K847" s="19"/>
      <c r="L847" s="19"/>
      <c r="M847" s="183"/>
      <c r="N847" s="19"/>
      <c r="O847" s="19"/>
      <c r="P847" s="23"/>
    </row>
    <row r="848" ht="14.25" customHeight="1">
      <c r="D848" s="18"/>
      <c r="E848" s="134"/>
      <c r="F848" s="19"/>
      <c r="G848" s="112"/>
      <c r="H848" s="19"/>
      <c r="I848" s="19"/>
      <c r="J848" s="112"/>
      <c r="K848" s="19"/>
      <c r="L848" s="19"/>
      <c r="M848" s="183"/>
      <c r="N848" s="19"/>
      <c r="O848" s="19"/>
      <c r="P848" s="23"/>
    </row>
    <row r="849" ht="14.25" customHeight="1">
      <c r="D849" s="18"/>
      <c r="E849" s="134"/>
      <c r="F849" s="19"/>
      <c r="G849" s="112"/>
      <c r="H849" s="19"/>
      <c r="I849" s="19"/>
      <c r="J849" s="112"/>
      <c r="K849" s="19"/>
      <c r="L849" s="19"/>
      <c r="M849" s="183"/>
      <c r="N849" s="19"/>
      <c r="O849" s="19"/>
      <c r="P849" s="23"/>
    </row>
    <row r="850" ht="14.25" customHeight="1">
      <c r="D850" s="18"/>
      <c r="E850" s="134"/>
      <c r="F850" s="19"/>
      <c r="G850" s="112"/>
      <c r="H850" s="19"/>
      <c r="I850" s="19"/>
      <c r="J850" s="112"/>
      <c r="K850" s="19"/>
      <c r="L850" s="19"/>
      <c r="M850" s="183"/>
      <c r="N850" s="19"/>
      <c r="O850" s="19"/>
      <c r="P850" s="23"/>
    </row>
    <row r="851" ht="14.25" customHeight="1">
      <c r="D851" s="18"/>
      <c r="E851" s="134"/>
      <c r="F851" s="19"/>
      <c r="G851" s="112"/>
      <c r="H851" s="19"/>
      <c r="I851" s="19"/>
      <c r="J851" s="112"/>
      <c r="K851" s="19"/>
      <c r="L851" s="19"/>
      <c r="M851" s="183"/>
      <c r="N851" s="19"/>
      <c r="O851" s="19"/>
      <c r="P851" s="23"/>
    </row>
    <row r="852" ht="14.25" customHeight="1">
      <c r="D852" s="18"/>
      <c r="E852" s="134"/>
      <c r="F852" s="19"/>
      <c r="G852" s="112"/>
      <c r="H852" s="19"/>
      <c r="I852" s="19"/>
      <c r="J852" s="112"/>
      <c r="K852" s="19"/>
      <c r="L852" s="19"/>
      <c r="M852" s="183"/>
      <c r="N852" s="19"/>
      <c r="O852" s="19"/>
      <c r="P852" s="23"/>
    </row>
    <row r="853" ht="14.25" customHeight="1">
      <c r="D853" s="18"/>
      <c r="E853" s="134"/>
      <c r="F853" s="19"/>
      <c r="G853" s="112"/>
      <c r="H853" s="19"/>
      <c r="I853" s="19"/>
      <c r="J853" s="112"/>
      <c r="K853" s="19"/>
      <c r="L853" s="19"/>
      <c r="M853" s="183"/>
      <c r="N853" s="19"/>
      <c r="O853" s="19"/>
      <c r="P853" s="23"/>
    </row>
    <row r="854" ht="14.25" customHeight="1">
      <c r="D854" s="18"/>
      <c r="E854" s="134"/>
      <c r="F854" s="19"/>
      <c r="G854" s="112"/>
      <c r="H854" s="19"/>
      <c r="I854" s="19"/>
      <c r="J854" s="112"/>
      <c r="K854" s="19"/>
      <c r="L854" s="19"/>
      <c r="M854" s="183"/>
      <c r="N854" s="19"/>
      <c r="O854" s="19"/>
      <c r="P854" s="23"/>
    </row>
    <row r="855" ht="14.25" customHeight="1">
      <c r="D855" s="18"/>
      <c r="E855" s="134"/>
      <c r="F855" s="19"/>
      <c r="G855" s="112"/>
      <c r="H855" s="19"/>
      <c r="I855" s="19"/>
      <c r="J855" s="112"/>
      <c r="K855" s="19"/>
      <c r="L855" s="19"/>
      <c r="M855" s="183"/>
      <c r="N855" s="19"/>
      <c r="O855" s="19"/>
      <c r="P855" s="23"/>
    </row>
    <row r="856" ht="14.25" customHeight="1">
      <c r="D856" s="18"/>
      <c r="E856" s="134"/>
      <c r="F856" s="19"/>
      <c r="G856" s="112"/>
      <c r="H856" s="19"/>
      <c r="I856" s="19"/>
      <c r="J856" s="112"/>
      <c r="K856" s="19"/>
      <c r="L856" s="19"/>
      <c r="M856" s="183"/>
      <c r="N856" s="19"/>
      <c r="O856" s="19"/>
      <c r="P856" s="23"/>
    </row>
    <row r="857" ht="14.25" customHeight="1">
      <c r="D857" s="18"/>
      <c r="E857" s="134"/>
      <c r="F857" s="19"/>
      <c r="G857" s="112"/>
      <c r="H857" s="19"/>
      <c r="I857" s="19"/>
      <c r="J857" s="112"/>
      <c r="K857" s="19"/>
      <c r="L857" s="19"/>
      <c r="M857" s="183"/>
      <c r="N857" s="19"/>
      <c r="O857" s="19"/>
      <c r="P857" s="23"/>
    </row>
    <row r="858" ht="14.25" customHeight="1">
      <c r="D858" s="18"/>
      <c r="E858" s="134"/>
      <c r="F858" s="19"/>
      <c r="G858" s="112"/>
      <c r="H858" s="19"/>
      <c r="I858" s="19"/>
      <c r="J858" s="112"/>
      <c r="K858" s="19"/>
      <c r="L858" s="19"/>
      <c r="M858" s="183"/>
      <c r="N858" s="19"/>
      <c r="O858" s="19"/>
      <c r="P858" s="23"/>
    </row>
    <row r="859" ht="14.25" customHeight="1">
      <c r="D859" s="18"/>
      <c r="E859" s="134"/>
      <c r="F859" s="19"/>
      <c r="G859" s="112"/>
      <c r="H859" s="19"/>
      <c r="I859" s="19"/>
      <c r="J859" s="112"/>
      <c r="K859" s="19"/>
      <c r="L859" s="19"/>
      <c r="M859" s="183"/>
      <c r="N859" s="19"/>
      <c r="O859" s="19"/>
      <c r="P859" s="23"/>
    </row>
    <row r="860" ht="14.25" customHeight="1">
      <c r="D860" s="18"/>
      <c r="E860" s="134"/>
      <c r="F860" s="19"/>
      <c r="G860" s="112"/>
      <c r="H860" s="19"/>
      <c r="I860" s="19"/>
      <c r="J860" s="112"/>
      <c r="K860" s="19"/>
      <c r="L860" s="19"/>
      <c r="M860" s="183"/>
      <c r="N860" s="19"/>
      <c r="O860" s="19"/>
      <c r="P860" s="23"/>
    </row>
    <row r="861" ht="14.25" customHeight="1">
      <c r="D861" s="18"/>
      <c r="E861" s="134"/>
      <c r="F861" s="19"/>
      <c r="G861" s="112"/>
      <c r="H861" s="19"/>
      <c r="I861" s="19"/>
      <c r="J861" s="112"/>
      <c r="K861" s="19"/>
      <c r="L861" s="19"/>
      <c r="M861" s="183"/>
      <c r="N861" s="19"/>
      <c r="O861" s="19"/>
      <c r="P861" s="23"/>
    </row>
    <row r="862" ht="14.25" customHeight="1">
      <c r="D862" s="18"/>
      <c r="E862" s="134"/>
      <c r="F862" s="19"/>
      <c r="G862" s="112"/>
      <c r="H862" s="19"/>
      <c r="I862" s="19"/>
      <c r="J862" s="112"/>
      <c r="K862" s="19"/>
      <c r="L862" s="19"/>
      <c r="M862" s="183"/>
      <c r="N862" s="19"/>
      <c r="O862" s="19"/>
      <c r="P862" s="23"/>
    </row>
    <row r="863" ht="14.25" customHeight="1">
      <c r="D863" s="18"/>
      <c r="E863" s="134"/>
      <c r="F863" s="19"/>
      <c r="G863" s="112"/>
      <c r="H863" s="19"/>
      <c r="I863" s="19"/>
      <c r="J863" s="112"/>
      <c r="K863" s="19"/>
      <c r="L863" s="19"/>
      <c r="M863" s="183"/>
      <c r="N863" s="19"/>
      <c r="O863" s="19"/>
      <c r="P863" s="23"/>
    </row>
    <row r="864" ht="14.25" customHeight="1">
      <c r="D864" s="18"/>
      <c r="E864" s="134"/>
      <c r="F864" s="19"/>
      <c r="G864" s="112"/>
      <c r="H864" s="19"/>
      <c r="I864" s="19"/>
      <c r="J864" s="112"/>
      <c r="K864" s="19"/>
      <c r="L864" s="19"/>
      <c r="M864" s="183"/>
      <c r="N864" s="19"/>
      <c r="O864" s="19"/>
      <c r="P864" s="23"/>
    </row>
    <row r="865" ht="14.25" customHeight="1">
      <c r="D865" s="18"/>
      <c r="E865" s="134"/>
      <c r="F865" s="19"/>
      <c r="G865" s="112"/>
      <c r="H865" s="19"/>
      <c r="I865" s="19"/>
      <c r="J865" s="112"/>
      <c r="K865" s="19"/>
      <c r="L865" s="19"/>
      <c r="M865" s="183"/>
      <c r="N865" s="19"/>
      <c r="O865" s="19"/>
      <c r="P865" s="23"/>
    </row>
    <row r="866" ht="14.25" customHeight="1">
      <c r="D866" s="18"/>
      <c r="E866" s="134"/>
      <c r="F866" s="19"/>
      <c r="G866" s="112"/>
      <c r="H866" s="19"/>
      <c r="I866" s="19"/>
      <c r="J866" s="112"/>
      <c r="K866" s="19"/>
      <c r="L866" s="19"/>
      <c r="M866" s="183"/>
      <c r="N866" s="19"/>
      <c r="O866" s="19"/>
      <c r="P866" s="23"/>
    </row>
    <row r="867" ht="14.25" customHeight="1">
      <c r="D867" s="18"/>
      <c r="E867" s="134"/>
      <c r="F867" s="19"/>
      <c r="G867" s="112"/>
      <c r="H867" s="19"/>
      <c r="I867" s="19"/>
      <c r="J867" s="112"/>
      <c r="K867" s="19"/>
      <c r="L867" s="19"/>
      <c r="M867" s="183"/>
      <c r="N867" s="19"/>
      <c r="O867" s="19"/>
      <c r="P867" s="23"/>
    </row>
    <row r="868" ht="14.25" customHeight="1">
      <c r="D868" s="18"/>
      <c r="E868" s="134"/>
      <c r="F868" s="19"/>
      <c r="G868" s="112"/>
      <c r="H868" s="19"/>
      <c r="I868" s="19"/>
      <c r="J868" s="112"/>
      <c r="K868" s="19"/>
      <c r="L868" s="19"/>
      <c r="M868" s="183"/>
      <c r="N868" s="19"/>
      <c r="O868" s="19"/>
      <c r="P868" s="23"/>
    </row>
    <row r="869" ht="14.25" customHeight="1">
      <c r="D869" s="18"/>
      <c r="E869" s="134"/>
      <c r="F869" s="19"/>
      <c r="G869" s="112"/>
      <c r="H869" s="19"/>
      <c r="I869" s="19"/>
      <c r="J869" s="112"/>
      <c r="K869" s="19"/>
      <c r="L869" s="19"/>
      <c r="M869" s="183"/>
      <c r="N869" s="19"/>
      <c r="O869" s="19"/>
      <c r="P869" s="23"/>
    </row>
    <row r="870" ht="14.25" customHeight="1">
      <c r="D870" s="18"/>
      <c r="E870" s="134"/>
      <c r="F870" s="19"/>
      <c r="G870" s="112"/>
      <c r="H870" s="19"/>
      <c r="I870" s="19"/>
      <c r="J870" s="112"/>
      <c r="K870" s="19"/>
      <c r="L870" s="19"/>
      <c r="M870" s="183"/>
      <c r="N870" s="19"/>
      <c r="O870" s="19"/>
      <c r="P870" s="23"/>
    </row>
    <row r="871" ht="14.25" customHeight="1">
      <c r="D871" s="18"/>
      <c r="E871" s="134"/>
      <c r="F871" s="19"/>
      <c r="G871" s="112"/>
      <c r="H871" s="19"/>
      <c r="I871" s="19"/>
      <c r="J871" s="112"/>
      <c r="K871" s="19"/>
      <c r="L871" s="19"/>
      <c r="M871" s="183"/>
      <c r="N871" s="19"/>
      <c r="O871" s="19"/>
      <c r="P871" s="23"/>
    </row>
    <row r="872" ht="14.25" customHeight="1">
      <c r="D872" s="18"/>
      <c r="E872" s="134"/>
      <c r="F872" s="19"/>
      <c r="G872" s="112"/>
      <c r="H872" s="19"/>
      <c r="I872" s="19"/>
      <c r="J872" s="112"/>
      <c r="K872" s="19"/>
      <c r="L872" s="19"/>
      <c r="M872" s="183"/>
      <c r="N872" s="19"/>
      <c r="O872" s="19"/>
      <c r="P872" s="23"/>
    </row>
    <row r="873" ht="14.25" customHeight="1">
      <c r="D873" s="18"/>
      <c r="E873" s="134"/>
      <c r="F873" s="19"/>
      <c r="G873" s="112"/>
      <c r="H873" s="19"/>
      <c r="I873" s="19"/>
      <c r="J873" s="112"/>
      <c r="K873" s="19"/>
      <c r="L873" s="19"/>
      <c r="M873" s="183"/>
      <c r="N873" s="19"/>
      <c r="O873" s="19"/>
      <c r="P873" s="23"/>
    </row>
    <row r="874" ht="14.25" customHeight="1">
      <c r="D874" s="18"/>
      <c r="E874" s="134"/>
      <c r="F874" s="19"/>
      <c r="G874" s="112"/>
      <c r="H874" s="19"/>
      <c r="I874" s="19"/>
      <c r="J874" s="112"/>
      <c r="K874" s="19"/>
      <c r="L874" s="19"/>
      <c r="M874" s="183"/>
      <c r="N874" s="19"/>
      <c r="O874" s="19"/>
      <c r="P874" s="23"/>
    </row>
    <row r="875" ht="14.25" customHeight="1">
      <c r="D875" s="18"/>
      <c r="E875" s="134"/>
      <c r="F875" s="19"/>
      <c r="G875" s="112"/>
      <c r="H875" s="19"/>
      <c r="I875" s="19"/>
      <c r="J875" s="112"/>
      <c r="K875" s="19"/>
      <c r="L875" s="19"/>
      <c r="M875" s="183"/>
      <c r="N875" s="19"/>
      <c r="O875" s="19"/>
      <c r="P875" s="23"/>
    </row>
    <row r="876" ht="14.25" customHeight="1">
      <c r="D876" s="18"/>
      <c r="E876" s="134"/>
      <c r="F876" s="19"/>
      <c r="G876" s="112"/>
      <c r="H876" s="19"/>
      <c r="I876" s="19"/>
      <c r="J876" s="112"/>
      <c r="K876" s="19"/>
      <c r="L876" s="19"/>
      <c r="M876" s="183"/>
      <c r="N876" s="19"/>
      <c r="O876" s="19"/>
      <c r="P876" s="23"/>
    </row>
    <row r="877" ht="14.25" customHeight="1">
      <c r="D877" s="18"/>
      <c r="E877" s="134"/>
      <c r="F877" s="19"/>
      <c r="G877" s="112"/>
      <c r="H877" s="19"/>
      <c r="I877" s="19"/>
      <c r="J877" s="112"/>
      <c r="K877" s="19"/>
      <c r="L877" s="19"/>
      <c r="M877" s="183"/>
      <c r="N877" s="19"/>
      <c r="O877" s="19"/>
      <c r="P877" s="23"/>
    </row>
    <row r="878" ht="14.25" customHeight="1">
      <c r="D878" s="18"/>
      <c r="E878" s="134"/>
      <c r="F878" s="19"/>
      <c r="G878" s="112"/>
      <c r="H878" s="19"/>
      <c r="I878" s="19"/>
      <c r="J878" s="112"/>
      <c r="K878" s="19"/>
      <c r="L878" s="19"/>
      <c r="M878" s="183"/>
      <c r="N878" s="19"/>
      <c r="O878" s="19"/>
      <c r="P878" s="23"/>
    </row>
    <row r="879" ht="14.25" customHeight="1">
      <c r="D879" s="18"/>
      <c r="E879" s="134"/>
      <c r="F879" s="19"/>
      <c r="G879" s="112"/>
      <c r="H879" s="19"/>
      <c r="I879" s="19"/>
      <c r="J879" s="112"/>
      <c r="K879" s="19"/>
      <c r="L879" s="19"/>
      <c r="M879" s="183"/>
      <c r="N879" s="19"/>
      <c r="O879" s="19"/>
      <c r="P879" s="23"/>
    </row>
    <row r="880" ht="14.25" customHeight="1">
      <c r="D880" s="18"/>
      <c r="E880" s="134"/>
      <c r="F880" s="19"/>
      <c r="G880" s="112"/>
      <c r="H880" s="19"/>
      <c r="I880" s="19"/>
      <c r="J880" s="112"/>
      <c r="K880" s="19"/>
      <c r="L880" s="19"/>
      <c r="M880" s="183"/>
      <c r="N880" s="19"/>
      <c r="O880" s="19"/>
      <c r="P880" s="23"/>
    </row>
    <row r="881" ht="14.25" customHeight="1">
      <c r="D881" s="18"/>
      <c r="E881" s="134"/>
      <c r="F881" s="19"/>
      <c r="G881" s="112"/>
      <c r="H881" s="19"/>
      <c r="I881" s="19"/>
      <c r="J881" s="112"/>
      <c r="K881" s="19"/>
      <c r="L881" s="19"/>
      <c r="M881" s="183"/>
      <c r="N881" s="19"/>
      <c r="O881" s="19"/>
      <c r="P881" s="23"/>
    </row>
    <row r="882" ht="14.25" customHeight="1">
      <c r="D882" s="18"/>
      <c r="E882" s="134"/>
      <c r="F882" s="19"/>
      <c r="G882" s="112"/>
      <c r="H882" s="19"/>
      <c r="I882" s="19"/>
      <c r="J882" s="112"/>
      <c r="K882" s="19"/>
      <c r="L882" s="19"/>
      <c r="M882" s="183"/>
      <c r="N882" s="19"/>
      <c r="O882" s="19"/>
      <c r="P882" s="23"/>
    </row>
    <row r="883" ht="14.25" customHeight="1">
      <c r="D883" s="18"/>
      <c r="E883" s="134"/>
      <c r="F883" s="19"/>
      <c r="G883" s="112"/>
      <c r="H883" s="19"/>
      <c r="I883" s="19"/>
      <c r="J883" s="112"/>
      <c r="K883" s="19"/>
      <c r="L883" s="19"/>
      <c r="M883" s="183"/>
      <c r="N883" s="19"/>
      <c r="O883" s="19"/>
      <c r="P883" s="23"/>
    </row>
    <row r="884" ht="14.25" customHeight="1">
      <c r="D884" s="18"/>
      <c r="E884" s="134"/>
      <c r="F884" s="19"/>
      <c r="G884" s="112"/>
      <c r="H884" s="19"/>
      <c r="I884" s="19"/>
      <c r="J884" s="112"/>
      <c r="K884" s="19"/>
      <c r="L884" s="19"/>
      <c r="M884" s="183"/>
      <c r="N884" s="19"/>
      <c r="O884" s="19"/>
      <c r="P884" s="23"/>
    </row>
    <row r="885" ht="14.25" customHeight="1">
      <c r="D885" s="18"/>
      <c r="E885" s="134"/>
      <c r="F885" s="19"/>
      <c r="G885" s="112"/>
      <c r="H885" s="19"/>
      <c r="I885" s="19"/>
      <c r="J885" s="112"/>
      <c r="K885" s="19"/>
      <c r="L885" s="19"/>
      <c r="M885" s="183"/>
      <c r="N885" s="19"/>
      <c r="O885" s="19"/>
      <c r="P885" s="23"/>
    </row>
    <row r="886" ht="14.25" customHeight="1">
      <c r="D886" s="18"/>
      <c r="E886" s="134"/>
      <c r="F886" s="19"/>
      <c r="G886" s="112"/>
      <c r="H886" s="19"/>
      <c r="I886" s="19"/>
      <c r="J886" s="112"/>
      <c r="K886" s="19"/>
      <c r="L886" s="19"/>
      <c r="M886" s="183"/>
      <c r="N886" s="19"/>
      <c r="O886" s="19"/>
      <c r="P886" s="23"/>
    </row>
    <row r="887" ht="14.25" customHeight="1">
      <c r="D887" s="18"/>
      <c r="E887" s="134"/>
      <c r="F887" s="19"/>
      <c r="G887" s="112"/>
      <c r="H887" s="19"/>
      <c r="I887" s="19"/>
      <c r="J887" s="112"/>
      <c r="K887" s="19"/>
      <c r="L887" s="19"/>
      <c r="M887" s="183"/>
      <c r="N887" s="19"/>
      <c r="O887" s="19"/>
      <c r="P887" s="23"/>
    </row>
    <row r="888" ht="14.25" customHeight="1">
      <c r="D888" s="18"/>
      <c r="E888" s="134"/>
      <c r="F888" s="19"/>
      <c r="G888" s="112"/>
      <c r="H888" s="19"/>
      <c r="I888" s="19"/>
      <c r="J888" s="112"/>
      <c r="K888" s="19"/>
      <c r="L888" s="19"/>
      <c r="M888" s="183"/>
      <c r="N888" s="19"/>
      <c r="O888" s="19"/>
      <c r="P888" s="23"/>
    </row>
    <row r="889" ht="14.25" customHeight="1">
      <c r="D889" s="18"/>
      <c r="E889" s="134"/>
      <c r="F889" s="19"/>
      <c r="G889" s="112"/>
      <c r="H889" s="19"/>
      <c r="I889" s="19"/>
      <c r="J889" s="112"/>
      <c r="K889" s="19"/>
      <c r="L889" s="19"/>
      <c r="M889" s="183"/>
      <c r="N889" s="19"/>
      <c r="O889" s="19"/>
      <c r="P889" s="23"/>
    </row>
    <row r="890" ht="14.25" customHeight="1">
      <c r="D890" s="18"/>
      <c r="E890" s="134"/>
      <c r="F890" s="19"/>
      <c r="G890" s="112"/>
      <c r="H890" s="19"/>
      <c r="I890" s="19"/>
      <c r="J890" s="112"/>
      <c r="K890" s="19"/>
      <c r="L890" s="19"/>
      <c r="M890" s="183"/>
      <c r="N890" s="19"/>
      <c r="O890" s="19"/>
      <c r="P890" s="23"/>
    </row>
    <row r="891" ht="14.25" customHeight="1">
      <c r="D891" s="18"/>
      <c r="E891" s="134"/>
      <c r="F891" s="19"/>
      <c r="G891" s="112"/>
      <c r="H891" s="19"/>
      <c r="I891" s="19"/>
      <c r="J891" s="112"/>
      <c r="K891" s="19"/>
      <c r="L891" s="19"/>
      <c r="M891" s="183"/>
      <c r="N891" s="19"/>
      <c r="O891" s="19"/>
      <c r="P891" s="23"/>
    </row>
    <row r="892" ht="14.25" customHeight="1">
      <c r="D892" s="18"/>
      <c r="E892" s="134"/>
      <c r="F892" s="19"/>
      <c r="G892" s="112"/>
      <c r="H892" s="19"/>
      <c r="I892" s="19"/>
      <c r="J892" s="112"/>
      <c r="K892" s="19"/>
      <c r="L892" s="19"/>
      <c r="M892" s="183"/>
      <c r="N892" s="19"/>
      <c r="O892" s="19"/>
      <c r="P892" s="23"/>
    </row>
    <row r="893" ht="14.25" customHeight="1">
      <c r="D893" s="18"/>
      <c r="E893" s="134"/>
      <c r="F893" s="19"/>
      <c r="G893" s="112"/>
      <c r="H893" s="19"/>
      <c r="I893" s="19"/>
      <c r="J893" s="112"/>
      <c r="K893" s="19"/>
      <c r="L893" s="19"/>
      <c r="M893" s="183"/>
      <c r="N893" s="19"/>
      <c r="O893" s="19"/>
      <c r="P893" s="23"/>
    </row>
    <row r="894" ht="14.25" customHeight="1">
      <c r="D894" s="18"/>
      <c r="E894" s="134"/>
      <c r="F894" s="19"/>
      <c r="G894" s="112"/>
      <c r="H894" s="19"/>
      <c r="I894" s="19"/>
      <c r="J894" s="112"/>
      <c r="K894" s="19"/>
      <c r="L894" s="19"/>
      <c r="M894" s="183"/>
      <c r="N894" s="19"/>
      <c r="O894" s="19"/>
      <c r="P894" s="23"/>
    </row>
    <row r="895" ht="14.25" customHeight="1">
      <c r="D895" s="18"/>
      <c r="E895" s="134"/>
      <c r="F895" s="19"/>
      <c r="G895" s="112"/>
      <c r="H895" s="19"/>
      <c r="I895" s="19"/>
      <c r="J895" s="112"/>
      <c r="K895" s="19"/>
      <c r="L895" s="19"/>
      <c r="M895" s="183"/>
      <c r="N895" s="19"/>
      <c r="O895" s="19"/>
      <c r="P895" s="23"/>
    </row>
    <row r="896" ht="14.25" customHeight="1">
      <c r="D896" s="18"/>
      <c r="E896" s="134"/>
      <c r="F896" s="19"/>
      <c r="G896" s="112"/>
      <c r="H896" s="19"/>
      <c r="I896" s="19"/>
      <c r="J896" s="112"/>
      <c r="K896" s="19"/>
      <c r="L896" s="19"/>
      <c r="M896" s="183"/>
      <c r="N896" s="19"/>
      <c r="O896" s="19"/>
      <c r="P896" s="23"/>
    </row>
    <row r="897" ht="14.25" customHeight="1">
      <c r="D897" s="18"/>
      <c r="E897" s="134"/>
      <c r="F897" s="19"/>
      <c r="G897" s="112"/>
      <c r="H897" s="19"/>
      <c r="I897" s="19"/>
      <c r="J897" s="112"/>
      <c r="K897" s="19"/>
      <c r="L897" s="19"/>
      <c r="M897" s="183"/>
      <c r="N897" s="19"/>
      <c r="O897" s="19"/>
      <c r="P897" s="23"/>
    </row>
    <row r="898" ht="14.25" customHeight="1">
      <c r="D898" s="18"/>
      <c r="E898" s="134"/>
      <c r="F898" s="19"/>
      <c r="G898" s="112"/>
      <c r="H898" s="19"/>
      <c r="I898" s="19"/>
      <c r="J898" s="112"/>
      <c r="K898" s="19"/>
      <c r="L898" s="19"/>
      <c r="M898" s="183"/>
      <c r="N898" s="19"/>
      <c r="O898" s="19"/>
      <c r="P898" s="23"/>
    </row>
    <row r="899" ht="14.25" customHeight="1">
      <c r="D899" s="18"/>
      <c r="E899" s="134"/>
      <c r="F899" s="19"/>
      <c r="G899" s="112"/>
      <c r="H899" s="19"/>
      <c r="I899" s="19"/>
      <c r="J899" s="112"/>
      <c r="K899" s="19"/>
      <c r="L899" s="19"/>
      <c r="M899" s="183"/>
      <c r="N899" s="19"/>
      <c r="O899" s="19"/>
      <c r="P899" s="23"/>
    </row>
    <row r="900" ht="14.25" customHeight="1">
      <c r="D900" s="18"/>
      <c r="E900" s="134"/>
      <c r="F900" s="19"/>
      <c r="G900" s="112"/>
      <c r="H900" s="19"/>
      <c r="I900" s="19"/>
      <c r="J900" s="112"/>
      <c r="K900" s="19"/>
      <c r="L900" s="19"/>
      <c r="M900" s="183"/>
      <c r="N900" s="19"/>
      <c r="O900" s="19"/>
      <c r="P900" s="23"/>
    </row>
    <row r="901" ht="14.25" customHeight="1">
      <c r="D901" s="18"/>
      <c r="E901" s="134"/>
      <c r="F901" s="19"/>
      <c r="G901" s="112"/>
      <c r="H901" s="19"/>
      <c r="I901" s="19"/>
      <c r="J901" s="112"/>
      <c r="K901" s="19"/>
      <c r="L901" s="19"/>
      <c r="M901" s="183"/>
      <c r="N901" s="19"/>
      <c r="O901" s="19"/>
      <c r="P901" s="23"/>
    </row>
    <row r="902" ht="14.25" customHeight="1">
      <c r="D902" s="18"/>
      <c r="E902" s="134"/>
      <c r="F902" s="19"/>
      <c r="G902" s="112"/>
      <c r="H902" s="19"/>
      <c r="I902" s="19"/>
      <c r="J902" s="112"/>
      <c r="K902" s="19"/>
      <c r="L902" s="19"/>
      <c r="M902" s="183"/>
      <c r="N902" s="19"/>
      <c r="O902" s="19"/>
      <c r="P902" s="23"/>
    </row>
    <row r="903" ht="14.25" customHeight="1">
      <c r="D903" s="18"/>
      <c r="E903" s="134"/>
      <c r="F903" s="19"/>
      <c r="G903" s="112"/>
      <c r="H903" s="19"/>
      <c r="I903" s="19"/>
      <c r="J903" s="112"/>
      <c r="K903" s="19"/>
      <c r="L903" s="19"/>
      <c r="M903" s="183"/>
      <c r="N903" s="19"/>
      <c r="O903" s="19"/>
      <c r="P903" s="23"/>
    </row>
    <row r="904" ht="14.25" customHeight="1">
      <c r="D904" s="18"/>
      <c r="E904" s="134"/>
      <c r="F904" s="19"/>
      <c r="G904" s="112"/>
      <c r="H904" s="19"/>
      <c r="I904" s="19"/>
      <c r="J904" s="112"/>
      <c r="K904" s="19"/>
      <c r="L904" s="19"/>
      <c r="M904" s="183"/>
      <c r="N904" s="19"/>
      <c r="O904" s="19"/>
      <c r="P904" s="23"/>
    </row>
    <row r="905" ht="14.25" customHeight="1">
      <c r="D905" s="18"/>
      <c r="E905" s="134"/>
      <c r="F905" s="19"/>
      <c r="G905" s="112"/>
      <c r="H905" s="19"/>
      <c r="I905" s="19"/>
      <c r="J905" s="112"/>
      <c r="K905" s="19"/>
      <c r="L905" s="19"/>
      <c r="M905" s="183"/>
      <c r="N905" s="19"/>
      <c r="O905" s="19"/>
      <c r="P905" s="23"/>
    </row>
    <row r="906" ht="14.25" customHeight="1">
      <c r="D906" s="18"/>
      <c r="E906" s="134"/>
      <c r="F906" s="19"/>
      <c r="G906" s="112"/>
      <c r="H906" s="19"/>
      <c r="I906" s="19"/>
      <c r="J906" s="112"/>
      <c r="K906" s="19"/>
      <c r="L906" s="19"/>
      <c r="M906" s="183"/>
      <c r="N906" s="19"/>
      <c r="O906" s="19"/>
      <c r="P906" s="23"/>
    </row>
    <row r="907" ht="14.25" customHeight="1">
      <c r="D907" s="18"/>
      <c r="E907" s="134"/>
      <c r="F907" s="19"/>
      <c r="G907" s="112"/>
      <c r="H907" s="19"/>
      <c r="I907" s="19"/>
      <c r="J907" s="112"/>
      <c r="K907" s="19"/>
      <c r="L907" s="19"/>
      <c r="M907" s="183"/>
      <c r="N907" s="19"/>
      <c r="O907" s="19"/>
      <c r="P907" s="23"/>
    </row>
    <row r="908" ht="14.25" customHeight="1">
      <c r="D908" s="18"/>
      <c r="E908" s="134"/>
      <c r="F908" s="19"/>
      <c r="G908" s="112"/>
      <c r="H908" s="19"/>
      <c r="I908" s="19"/>
      <c r="J908" s="112"/>
      <c r="K908" s="19"/>
      <c r="L908" s="19"/>
      <c r="M908" s="183"/>
      <c r="N908" s="19"/>
      <c r="O908" s="19"/>
      <c r="P908" s="23"/>
    </row>
    <row r="909" ht="14.25" customHeight="1">
      <c r="D909" s="18"/>
      <c r="E909" s="134"/>
      <c r="F909" s="19"/>
      <c r="G909" s="112"/>
      <c r="H909" s="19"/>
      <c r="I909" s="19"/>
      <c r="J909" s="112"/>
      <c r="K909" s="19"/>
      <c r="L909" s="19"/>
      <c r="M909" s="183"/>
      <c r="N909" s="19"/>
      <c r="O909" s="19"/>
      <c r="P909" s="23"/>
    </row>
    <row r="910" ht="14.25" customHeight="1">
      <c r="D910" s="18"/>
      <c r="E910" s="134"/>
      <c r="F910" s="19"/>
      <c r="G910" s="112"/>
      <c r="H910" s="19"/>
      <c r="I910" s="19"/>
      <c r="J910" s="112"/>
      <c r="K910" s="19"/>
      <c r="L910" s="19"/>
      <c r="M910" s="183"/>
      <c r="N910" s="19"/>
      <c r="O910" s="19"/>
      <c r="P910" s="23"/>
    </row>
    <row r="911" ht="14.25" customHeight="1">
      <c r="D911" s="18"/>
      <c r="E911" s="134"/>
      <c r="F911" s="19"/>
      <c r="G911" s="112"/>
      <c r="H911" s="19"/>
      <c r="I911" s="19"/>
      <c r="J911" s="112"/>
      <c r="K911" s="19"/>
      <c r="L911" s="19"/>
      <c r="M911" s="183"/>
      <c r="N911" s="19"/>
      <c r="O911" s="19"/>
      <c r="P911" s="23"/>
    </row>
    <row r="912" ht="14.25" customHeight="1">
      <c r="D912" s="18"/>
      <c r="E912" s="134"/>
      <c r="F912" s="19"/>
      <c r="G912" s="112"/>
      <c r="H912" s="19"/>
      <c r="I912" s="19"/>
      <c r="J912" s="112"/>
      <c r="K912" s="19"/>
      <c r="L912" s="19"/>
      <c r="M912" s="183"/>
      <c r="N912" s="19"/>
      <c r="O912" s="19"/>
      <c r="P912" s="23"/>
    </row>
    <row r="913" ht="14.25" customHeight="1">
      <c r="D913" s="18"/>
      <c r="E913" s="134"/>
      <c r="F913" s="19"/>
      <c r="G913" s="112"/>
      <c r="H913" s="19"/>
      <c r="I913" s="19"/>
      <c r="J913" s="112"/>
      <c r="K913" s="19"/>
      <c r="L913" s="19"/>
      <c r="M913" s="183"/>
      <c r="N913" s="19"/>
      <c r="O913" s="19"/>
      <c r="P913" s="23"/>
    </row>
    <row r="914" ht="14.25" customHeight="1">
      <c r="D914" s="18"/>
      <c r="E914" s="134"/>
      <c r="F914" s="19"/>
      <c r="G914" s="112"/>
      <c r="H914" s="19"/>
      <c r="I914" s="19"/>
      <c r="J914" s="112"/>
      <c r="K914" s="19"/>
      <c r="L914" s="19"/>
      <c r="M914" s="183"/>
      <c r="N914" s="19"/>
      <c r="O914" s="19"/>
      <c r="P914" s="23"/>
    </row>
    <row r="915" ht="14.25" customHeight="1">
      <c r="D915" s="18"/>
      <c r="E915" s="134"/>
      <c r="F915" s="19"/>
      <c r="G915" s="112"/>
      <c r="H915" s="19"/>
      <c r="I915" s="19"/>
      <c r="J915" s="112"/>
      <c r="K915" s="19"/>
      <c r="L915" s="19"/>
      <c r="M915" s="183"/>
      <c r="N915" s="19"/>
      <c r="O915" s="19"/>
      <c r="P915" s="23"/>
    </row>
    <row r="916" ht="14.25" customHeight="1">
      <c r="D916" s="18"/>
      <c r="E916" s="134"/>
      <c r="F916" s="19"/>
      <c r="G916" s="112"/>
      <c r="H916" s="19"/>
      <c r="I916" s="19"/>
      <c r="J916" s="112"/>
      <c r="K916" s="19"/>
      <c r="L916" s="19"/>
      <c r="M916" s="183"/>
      <c r="N916" s="19"/>
      <c r="O916" s="19"/>
      <c r="P916" s="23"/>
    </row>
    <row r="917" ht="14.25" customHeight="1">
      <c r="D917" s="18"/>
      <c r="E917" s="134"/>
      <c r="F917" s="19"/>
      <c r="G917" s="112"/>
      <c r="H917" s="19"/>
      <c r="I917" s="19"/>
      <c r="J917" s="112"/>
      <c r="K917" s="19"/>
      <c r="L917" s="19"/>
      <c r="M917" s="183"/>
      <c r="N917" s="19"/>
      <c r="O917" s="19"/>
      <c r="P917" s="23"/>
    </row>
    <row r="918" ht="14.25" customHeight="1">
      <c r="D918" s="18"/>
      <c r="E918" s="134"/>
      <c r="F918" s="19"/>
      <c r="G918" s="112"/>
      <c r="H918" s="19"/>
      <c r="I918" s="19"/>
      <c r="J918" s="112"/>
      <c r="K918" s="19"/>
      <c r="L918" s="19"/>
      <c r="M918" s="183"/>
      <c r="N918" s="19"/>
      <c r="O918" s="19"/>
      <c r="P918" s="23"/>
    </row>
    <row r="919" ht="14.25" customHeight="1">
      <c r="D919" s="18"/>
      <c r="E919" s="134"/>
      <c r="F919" s="19"/>
      <c r="G919" s="112"/>
      <c r="H919" s="19"/>
      <c r="I919" s="19"/>
      <c r="J919" s="112"/>
      <c r="K919" s="19"/>
      <c r="L919" s="19"/>
      <c r="M919" s="183"/>
      <c r="N919" s="19"/>
      <c r="O919" s="19"/>
      <c r="P919" s="23"/>
    </row>
    <row r="920" ht="14.25" customHeight="1">
      <c r="D920" s="18"/>
      <c r="E920" s="134"/>
      <c r="F920" s="19"/>
      <c r="G920" s="112"/>
      <c r="H920" s="19"/>
      <c r="I920" s="19"/>
      <c r="J920" s="112"/>
      <c r="K920" s="19"/>
      <c r="L920" s="19"/>
      <c r="M920" s="183"/>
      <c r="N920" s="19"/>
      <c r="O920" s="19"/>
      <c r="P920" s="23"/>
    </row>
    <row r="921" ht="14.25" customHeight="1">
      <c r="D921" s="18"/>
      <c r="E921" s="134"/>
      <c r="F921" s="19"/>
      <c r="G921" s="112"/>
      <c r="H921" s="19"/>
      <c r="I921" s="19"/>
      <c r="J921" s="112"/>
      <c r="K921" s="19"/>
      <c r="L921" s="19"/>
      <c r="M921" s="183"/>
      <c r="N921" s="19"/>
      <c r="O921" s="19"/>
      <c r="P921" s="23"/>
    </row>
    <row r="922" ht="14.25" customHeight="1">
      <c r="D922" s="18"/>
      <c r="E922" s="134"/>
      <c r="F922" s="19"/>
      <c r="G922" s="112"/>
      <c r="H922" s="19"/>
      <c r="I922" s="19"/>
      <c r="J922" s="112"/>
      <c r="K922" s="19"/>
      <c r="L922" s="19"/>
      <c r="M922" s="183"/>
      <c r="N922" s="19"/>
      <c r="O922" s="19"/>
      <c r="P922" s="23"/>
    </row>
    <row r="923" ht="14.25" customHeight="1">
      <c r="D923" s="18"/>
      <c r="E923" s="134"/>
      <c r="F923" s="19"/>
      <c r="G923" s="112"/>
      <c r="H923" s="19"/>
      <c r="I923" s="19"/>
      <c r="J923" s="112"/>
      <c r="K923" s="19"/>
      <c r="L923" s="19"/>
      <c r="M923" s="183"/>
      <c r="N923" s="19"/>
      <c r="O923" s="19"/>
      <c r="P923" s="23"/>
    </row>
    <row r="924" ht="14.25" customHeight="1">
      <c r="D924" s="18"/>
      <c r="E924" s="134"/>
      <c r="F924" s="19"/>
      <c r="G924" s="112"/>
      <c r="H924" s="19"/>
      <c r="I924" s="19"/>
      <c r="J924" s="112"/>
      <c r="K924" s="19"/>
      <c r="L924" s="19"/>
      <c r="M924" s="183"/>
      <c r="N924" s="19"/>
      <c r="O924" s="19"/>
      <c r="P924" s="23"/>
    </row>
    <row r="925" ht="14.25" customHeight="1">
      <c r="D925" s="18"/>
      <c r="E925" s="134"/>
      <c r="F925" s="19"/>
      <c r="G925" s="112"/>
      <c r="H925" s="19"/>
      <c r="I925" s="19"/>
      <c r="J925" s="112"/>
      <c r="K925" s="19"/>
      <c r="L925" s="19"/>
      <c r="M925" s="183"/>
      <c r="N925" s="19"/>
      <c r="O925" s="19"/>
      <c r="P925" s="23"/>
    </row>
    <row r="926" ht="14.25" customHeight="1">
      <c r="D926" s="18"/>
      <c r="E926" s="134"/>
      <c r="F926" s="19"/>
      <c r="G926" s="112"/>
      <c r="H926" s="19"/>
      <c r="I926" s="19"/>
      <c r="J926" s="112"/>
      <c r="K926" s="19"/>
      <c r="L926" s="19"/>
      <c r="M926" s="183"/>
      <c r="N926" s="19"/>
      <c r="O926" s="19"/>
      <c r="P926" s="23"/>
    </row>
    <row r="927" ht="14.25" customHeight="1">
      <c r="D927" s="18"/>
      <c r="E927" s="134"/>
      <c r="F927" s="19"/>
      <c r="G927" s="112"/>
      <c r="H927" s="19"/>
      <c r="I927" s="19"/>
      <c r="J927" s="112"/>
      <c r="K927" s="19"/>
      <c r="L927" s="19"/>
      <c r="M927" s="183"/>
      <c r="N927" s="19"/>
      <c r="O927" s="19"/>
      <c r="P927" s="23"/>
    </row>
    <row r="928" ht="14.25" customHeight="1">
      <c r="D928" s="18"/>
      <c r="E928" s="134"/>
      <c r="F928" s="19"/>
      <c r="G928" s="112"/>
      <c r="H928" s="19"/>
      <c r="I928" s="19"/>
      <c r="J928" s="112"/>
      <c r="K928" s="19"/>
      <c r="L928" s="19"/>
      <c r="M928" s="183"/>
      <c r="N928" s="19"/>
      <c r="O928" s="19"/>
      <c r="P928" s="23"/>
    </row>
    <row r="929" ht="14.25" customHeight="1">
      <c r="D929" s="18"/>
      <c r="E929" s="134"/>
      <c r="F929" s="19"/>
      <c r="G929" s="112"/>
      <c r="H929" s="19"/>
      <c r="I929" s="19"/>
      <c r="J929" s="112"/>
      <c r="K929" s="19"/>
      <c r="L929" s="19"/>
      <c r="M929" s="183"/>
      <c r="N929" s="19"/>
      <c r="O929" s="19"/>
      <c r="P929" s="23"/>
    </row>
    <row r="930" ht="14.25" customHeight="1">
      <c r="D930" s="18"/>
      <c r="E930" s="134"/>
      <c r="F930" s="19"/>
      <c r="G930" s="112"/>
      <c r="H930" s="19"/>
      <c r="I930" s="19"/>
      <c r="J930" s="112"/>
      <c r="K930" s="19"/>
      <c r="L930" s="19"/>
      <c r="M930" s="183"/>
      <c r="N930" s="19"/>
      <c r="O930" s="19"/>
      <c r="P930" s="23"/>
    </row>
    <row r="931" ht="14.25" customHeight="1">
      <c r="D931" s="18"/>
      <c r="E931" s="134"/>
      <c r="F931" s="19"/>
      <c r="G931" s="112"/>
      <c r="H931" s="19"/>
      <c r="I931" s="19"/>
      <c r="J931" s="112"/>
      <c r="K931" s="19"/>
      <c r="L931" s="19"/>
      <c r="M931" s="183"/>
      <c r="N931" s="19"/>
      <c r="O931" s="19"/>
      <c r="P931" s="23"/>
    </row>
    <row r="932" ht="14.25" customHeight="1">
      <c r="D932" s="18"/>
      <c r="E932" s="134"/>
      <c r="F932" s="19"/>
      <c r="G932" s="112"/>
      <c r="H932" s="19"/>
      <c r="I932" s="19"/>
      <c r="J932" s="112"/>
      <c r="K932" s="19"/>
      <c r="L932" s="19"/>
      <c r="M932" s="183"/>
      <c r="N932" s="19"/>
      <c r="O932" s="19"/>
      <c r="P932" s="23"/>
    </row>
    <row r="933" ht="14.25" customHeight="1">
      <c r="D933" s="18"/>
      <c r="E933" s="134"/>
      <c r="F933" s="19"/>
      <c r="G933" s="112"/>
      <c r="H933" s="19"/>
      <c r="I933" s="19"/>
      <c r="J933" s="112"/>
      <c r="K933" s="19"/>
      <c r="L933" s="19"/>
      <c r="M933" s="183"/>
      <c r="N933" s="19"/>
      <c r="O933" s="19"/>
      <c r="P933" s="23"/>
    </row>
    <row r="934" ht="14.25" customHeight="1">
      <c r="D934" s="18"/>
      <c r="E934" s="134"/>
      <c r="F934" s="19"/>
      <c r="G934" s="112"/>
      <c r="H934" s="19"/>
      <c r="I934" s="19"/>
      <c r="J934" s="112"/>
      <c r="K934" s="19"/>
      <c r="L934" s="19"/>
      <c r="M934" s="183"/>
      <c r="N934" s="19"/>
      <c r="O934" s="19"/>
      <c r="P934" s="23"/>
    </row>
    <row r="935" ht="14.25" customHeight="1">
      <c r="D935" s="18"/>
      <c r="E935" s="134"/>
      <c r="F935" s="19"/>
      <c r="G935" s="112"/>
      <c r="H935" s="19"/>
      <c r="I935" s="19"/>
      <c r="J935" s="112"/>
      <c r="K935" s="19"/>
      <c r="L935" s="19"/>
      <c r="M935" s="183"/>
      <c r="N935" s="19"/>
      <c r="O935" s="19"/>
      <c r="P935" s="23"/>
    </row>
    <row r="936" ht="14.25" customHeight="1">
      <c r="D936" s="18"/>
      <c r="E936" s="134"/>
      <c r="F936" s="19"/>
      <c r="G936" s="112"/>
      <c r="H936" s="19"/>
      <c r="I936" s="19"/>
      <c r="J936" s="112"/>
      <c r="K936" s="19"/>
      <c r="L936" s="19"/>
      <c r="M936" s="183"/>
      <c r="N936" s="19"/>
      <c r="O936" s="19"/>
      <c r="P936" s="23"/>
    </row>
    <row r="937" ht="14.25" customHeight="1">
      <c r="D937" s="18"/>
      <c r="E937" s="134"/>
      <c r="F937" s="19"/>
      <c r="G937" s="112"/>
      <c r="H937" s="19"/>
      <c r="I937" s="19"/>
      <c r="J937" s="112"/>
      <c r="K937" s="19"/>
      <c r="L937" s="19"/>
      <c r="M937" s="183"/>
      <c r="N937" s="19"/>
      <c r="O937" s="19"/>
      <c r="P937" s="23"/>
    </row>
    <row r="938" ht="14.25" customHeight="1">
      <c r="D938" s="18"/>
      <c r="E938" s="134"/>
      <c r="F938" s="19"/>
      <c r="G938" s="112"/>
      <c r="H938" s="19"/>
      <c r="I938" s="19"/>
      <c r="J938" s="112"/>
      <c r="K938" s="19"/>
      <c r="L938" s="19"/>
      <c r="M938" s="183"/>
      <c r="N938" s="19"/>
      <c r="O938" s="19"/>
      <c r="P938" s="23"/>
    </row>
    <row r="939" ht="14.25" customHeight="1">
      <c r="D939" s="18"/>
      <c r="E939" s="134"/>
      <c r="F939" s="19"/>
      <c r="G939" s="112"/>
      <c r="H939" s="19"/>
      <c r="I939" s="19"/>
      <c r="J939" s="112"/>
      <c r="K939" s="19"/>
      <c r="L939" s="19"/>
      <c r="M939" s="183"/>
      <c r="N939" s="19"/>
      <c r="O939" s="19"/>
      <c r="P939" s="23"/>
    </row>
    <row r="940" ht="14.25" customHeight="1">
      <c r="D940" s="18"/>
      <c r="E940" s="134"/>
      <c r="F940" s="19"/>
      <c r="G940" s="112"/>
      <c r="H940" s="19"/>
      <c r="I940" s="19"/>
      <c r="J940" s="112"/>
      <c r="K940" s="19"/>
      <c r="L940" s="19"/>
      <c r="M940" s="183"/>
      <c r="N940" s="19"/>
      <c r="O940" s="19"/>
      <c r="P940" s="23"/>
    </row>
    <row r="941" ht="14.25" customHeight="1">
      <c r="D941" s="18"/>
      <c r="E941" s="134"/>
      <c r="F941" s="19"/>
      <c r="G941" s="112"/>
      <c r="H941" s="19"/>
      <c r="I941" s="19"/>
      <c r="J941" s="112"/>
      <c r="K941" s="19"/>
      <c r="L941" s="19"/>
      <c r="M941" s="183"/>
      <c r="N941" s="19"/>
      <c r="O941" s="19"/>
      <c r="P941" s="23"/>
    </row>
    <row r="942" ht="14.25" customHeight="1">
      <c r="D942" s="18"/>
      <c r="E942" s="134"/>
      <c r="F942" s="19"/>
      <c r="G942" s="112"/>
      <c r="H942" s="19"/>
      <c r="I942" s="19"/>
      <c r="J942" s="112"/>
      <c r="K942" s="19"/>
      <c r="L942" s="19"/>
      <c r="M942" s="183"/>
      <c r="N942" s="19"/>
      <c r="O942" s="19"/>
      <c r="P942" s="23"/>
    </row>
    <row r="943" ht="14.25" customHeight="1">
      <c r="D943" s="18"/>
      <c r="E943" s="134"/>
      <c r="F943" s="19"/>
      <c r="G943" s="112"/>
      <c r="H943" s="19"/>
      <c r="I943" s="19"/>
      <c r="J943" s="112"/>
      <c r="K943" s="19"/>
      <c r="L943" s="19"/>
      <c r="M943" s="183"/>
      <c r="N943" s="19"/>
      <c r="O943" s="19"/>
      <c r="P943" s="23"/>
    </row>
    <row r="944" ht="14.25" customHeight="1">
      <c r="D944" s="18"/>
      <c r="E944" s="134"/>
      <c r="F944" s="19"/>
      <c r="G944" s="112"/>
      <c r="H944" s="19"/>
      <c r="I944" s="19"/>
      <c r="J944" s="112"/>
      <c r="K944" s="19"/>
      <c r="L944" s="19"/>
      <c r="M944" s="183"/>
      <c r="N944" s="19"/>
      <c r="O944" s="19"/>
      <c r="P944" s="23"/>
    </row>
    <row r="945" ht="14.25" customHeight="1">
      <c r="D945" s="18"/>
      <c r="E945" s="134"/>
      <c r="F945" s="19"/>
      <c r="G945" s="112"/>
      <c r="H945" s="19"/>
      <c r="I945" s="19"/>
      <c r="J945" s="112"/>
      <c r="K945" s="19"/>
      <c r="L945" s="19"/>
      <c r="M945" s="183"/>
      <c r="N945" s="19"/>
      <c r="O945" s="19"/>
      <c r="P945" s="23"/>
    </row>
    <row r="946" ht="14.25" customHeight="1">
      <c r="D946" s="18"/>
      <c r="E946" s="134"/>
      <c r="F946" s="19"/>
      <c r="G946" s="112"/>
      <c r="H946" s="19"/>
      <c r="I946" s="19"/>
      <c r="J946" s="112"/>
      <c r="K946" s="19"/>
      <c r="L946" s="19"/>
      <c r="M946" s="183"/>
      <c r="N946" s="19"/>
      <c r="O946" s="19"/>
      <c r="P946" s="23"/>
    </row>
    <row r="947" ht="14.25" customHeight="1">
      <c r="D947" s="18"/>
      <c r="E947" s="134"/>
      <c r="F947" s="19"/>
      <c r="G947" s="112"/>
      <c r="H947" s="19"/>
      <c r="I947" s="19"/>
      <c r="J947" s="112"/>
      <c r="K947" s="19"/>
      <c r="L947" s="19"/>
      <c r="M947" s="183"/>
      <c r="N947" s="19"/>
      <c r="O947" s="19"/>
      <c r="P947" s="23"/>
    </row>
    <row r="948" ht="14.25" customHeight="1">
      <c r="D948" s="18"/>
      <c r="E948" s="134"/>
      <c r="F948" s="19"/>
      <c r="G948" s="112"/>
      <c r="H948" s="19"/>
      <c r="I948" s="19"/>
      <c r="J948" s="112"/>
      <c r="K948" s="19"/>
      <c r="L948" s="19"/>
      <c r="M948" s="183"/>
      <c r="N948" s="19"/>
      <c r="O948" s="19"/>
      <c r="P948" s="23"/>
    </row>
    <row r="949" ht="14.25" customHeight="1">
      <c r="D949" s="18"/>
      <c r="E949" s="134"/>
      <c r="F949" s="19"/>
      <c r="G949" s="112"/>
      <c r="H949" s="19"/>
      <c r="I949" s="19"/>
      <c r="J949" s="112"/>
      <c r="K949" s="19"/>
      <c r="L949" s="19"/>
      <c r="M949" s="183"/>
      <c r="N949" s="19"/>
      <c r="O949" s="19"/>
      <c r="P949" s="23"/>
    </row>
    <row r="950" ht="14.25" customHeight="1">
      <c r="D950" s="18"/>
      <c r="E950" s="134"/>
      <c r="F950" s="19"/>
      <c r="G950" s="112"/>
      <c r="H950" s="19"/>
      <c r="I950" s="19"/>
      <c r="J950" s="112"/>
      <c r="K950" s="19"/>
      <c r="L950" s="19"/>
      <c r="M950" s="183"/>
      <c r="N950" s="19"/>
      <c r="O950" s="19"/>
      <c r="P950" s="23"/>
    </row>
    <row r="951" ht="14.25" customHeight="1">
      <c r="D951" s="18"/>
      <c r="E951" s="134"/>
      <c r="F951" s="19"/>
      <c r="G951" s="112"/>
      <c r="H951" s="19"/>
      <c r="I951" s="19"/>
      <c r="J951" s="112"/>
      <c r="K951" s="19"/>
      <c r="L951" s="19"/>
      <c r="M951" s="183"/>
      <c r="N951" s="19"/>
      <c r="O951" s="19"/>
      <c r="P951" s="23"/>
    </row>
    <row r="952" ht="14.25" customHeight="1">
      <c r="D952" s="18"/>
      <c r="E952" s="134"/>
      <c r="F952" s="19"/>
      <c r="G952" s="112"/>
      <c r="H952" s="19"/>
      <c r="I952" s="19"/>
      <c r="J952" s="112"/>
      <c r="K952" s="19"/>
      <c r="L952" s="19"/>
      <c r="M952" s="183"/>
      <c r="N952" s="19"/>
      <c r="O952" s="19"/>
      <c r="P952" s="23"/>
    </row>
    <row r="953" ht="14.25" customHeight="1">
      <c r="D953" s="18"/>
      <c r="E953" s="134"/>
      <c r="F953" s="19"/>
      <c r="G953" s="112"/>
      <c r="H953" s="19"/>
      <c r="I953" s="19"/>
      <c r="J953" s="112"/>
      <c r="K953" s="19"/>
      <c r="L953" s="19"/>
      <c r="M953" s="183"/>
      <c r="N953" s="19"/>
      <c r="O953" s="19"/>
      <c r="P953" s="23"/>
    </row>
    <row r="954" ht="14.25" customHeight="1">
      <c r="D954" s="18"/>
      <c r="E954" s="134"/>
      <c r="F954" s="19"/>
      <c r="G954" s="112"/>
      <c r="H954" s="19"/>
      <c r="I954" s="19"/>
      <c r="J954" s="112"/>
      <c r="K954" s="19"/>
      <c r="L954" s="19"/>
      <c r="M954" s="183"/>
      <c r="N954" s="19"/>
      <c r="O954" s="19"/>
      <c r="P954" s="23"/>
    </row>
    <row r="955" ht="14.25" customHeight="1">
      <c r="D955" s="18"/>
      <c r="E955" s="134"/>
      <c r="F955" s="19"/>
      <c r="G955" s="112"/>
      <c r="H955" s="19"/>
      <c r="I955" s="19"/>
      <c r="J955" s="112"/>
      <c r="K955" s="19"/>
      <c r="L955" s="19"/>
      <c r="M955" s="183"/>
      <c r="N955" s="19"/>
      <c r="O955" s="19"/>
      <c r="P955" s="23"/>
    </row>
    <row r="956" ht="14.25" customHeight="1">
      <c r="D956" s="18"/>
      <c r="E956" s="134"/>
      <c r="F956" s="19"/>
      <c r="G956" s="112"/>
      <c r="H956" s="19"/>
      <c r="I956" s="19"/>
      <c r="J956" s="112"/>
      <c r="K956" s="19"/>
      <c r="L956" s="19"/>
      <c r="M956" s="183"/>
      <c r="N956" s="19"/>
      <c r="O956" s="19"/>
      <c r="P956" s="23"/>
    </row>
    <row r="957" ht="14.25" customHeight="1">
      <c r="D957" s="18"/>
      <c r="E957" s="134"/>
      <c r="F957" s="19"/>
      <c r="G957" s="112"/>
      <c r="H957" s="19"/>
      <c r="I957" s="19"/>
      <c r="J957" s="112"/>
      <c r="K957" s="19"/>
      <c r="L957" s="19"/>
      <c r="M957" s="183"/>
      <c r="N957" s="19"/>
      <c r="O957" s="19"/>
      <c r="P957" s="23"/>
    </row>
    <row r="958" ht="14.25" customHeight="1">
      <c r="D958" s="18"/>
      <c r="E958" s="134"/>
      <c r="F958" s="19"/>
      <c r="G958" s="112"/>
      <c r="H958" s="19"/>
      <c r="I958" s="19"/>
      <c r="J958" s="112"/>
      <c r="K958" s="19"/>
      <c r="L958" s="19"/>
      <c r="M958" s="183"/>
      <c r="N958" s="19"/>
      <c r="O958" s="19"/>
      <c r="P958" s="23"/>
    </row>
    <row r="959" ht="14.25" customHeight="1">
      <c r="D959" s="18"/>
      <c r="E959" s="134"/>
      <c r="F959" s="19"/>
      <c r="G959" s="112"/>
      <c r="H959" s="19"/>
      <c r="I959" s="19"/>
      <c r="J959" s="112"/>
      <c r="K959" s="19"/>
      <c r="L959" s="19"/>
      <c r="M959" s="183"/>
      <c r="N959" s="19"/>
      <c r="O959" s="19"/>
      <c r="P959" s="23"/>
    </row>
    <row r="960" ht="14.25" customHeight="1">
      <c r="D960" s="18"/>
      <c r="E960" s="134"/>
      <c r="F960" s="19"/>
      <c r="G960" s="112"/>
      <c r="H960" s="19"/>
      <c r="I960" s="19"/>
      <c r="J960" s="112"/>
      <c r="K960" s="19"/>
      <c r="L960" s="19"/>
      <c r="M960" s="183"/>
      <c r="N960" s="19"/>
      <c r="O960" s="19"/>
      <c r="P960" s="23"/>
    </row>
    <row r="961" ht="14.25" customHeight="1">
      <c r="D961" s="18"/>
      <c r="E961" s="134"/>
      <c r="F961" s="19"/>
      <c r="G961" s="112"/>
      <c r="H961" s="19"/>
      <c r="I961" s="19"/>
      <c r="J961" s="112"/>
      <c r="K961" s="19"/>
      <c r="L961" s="19"/>
      <c r="M961" s="183"/>
      <c r="N961" s="19"/>
      <c r="O961" s="19"/>
      <c r="P961" s="23"/>
    </row>
    <row r="962" ht="14.25" customHeight="1">
      <c r="D962" s="18"/>
      <c r="E962" s="134"/>
      <c r="F962" s="19"/>
      <c r="G962" s="112"/>
      <c r="H962" s="19"/>
      <c r="I962" s="19"/>
      <c r="J962" s="112"/>
      <c r="K962" s="19"/>
      <c r="L962" s="19"/>
      <c r="M962" s="183"/>
      <c r="N962" s="19"/>
      <c r="O962" s="19"/>
      <c r="P962" s="23"/>
    </row>
    <row r="963" ht="14.25" customHeight="1">
      <c r="D963" s="18"/>
      <c r="E963" s="134"/>
      <c r="F963" s="19"/>
      <c r="G963" s="112"/>
      <c r="H963" s="19"/>
      <c r="I963" s="19"/>
      <c r="J963" s="112"/>
      <c r="K963" s="19"/>
      <c r="L963" s="19"/>
      <c r="M963" s="183"/>
      <c r="N963" s="19"/>
      <c r="O963" s="19"/>
      <c r="P963" s="23"/>
    </row>
    <row r="964" ht="14.25" customHeight="1">
      <c r="D964" s="18"/>
      <c r="E964" s="134"/>
      <c r="F964" s="19"/>
      <c r="G964" s="112"/>
      <c r="H964" s="19"/>
      <c r="I964" s="19"/>
      <c r="J964" s="112"/>
      <c r="K964" s="19"/>
      <c r="L964" s="19"/>
      <c r="M964" s="183"/>
      <c r="N964" s="19"/>
      <c r="O964" s="19"/>
      <c r="P964" s="23"/>
    </row>
    <row r="965" ht="14.25" customHeight="1">
      <c r="D965" s="18"/>
      <c r="E965" s="134"/>
      <c r="F965" s="19"/>
      <c r="G965" s="112"/>
      <c r="H965" s="19"/>
      <c r="I965" s="19"/>
      <c r="J965" s="112"/>
      <c r="K965" s="19"/>
      <c r="L965" s="19"/>
      <c r="M965" s="183"/>
      <c r="N965" s="19"/>
      <c r="O965" s="19"/>
      <c r="P965" s="23"/>
    </row>
    <row r="966" ht="14.25" customHeight="1">
      <c r="D966" s="18"/>
      <c r="E966" s="134"/>
      <c r="F966" s="19"/>
      <c r="G966" s="112"/>
      <c r="H966" s="19"/>
      <c r="I966" s="19"/>
      <c r="J966" s="112"/>
      <c r="K966" s="19"/>
      <c r="L966" s="19"/>
      <c r="M966" s="183"/>
      <c r="N966" s="19"/>
      <c r="O966" s="19"/>
      <c r="P966" s="23"/>
    </row>
    <row r="967" ht="14.25" customHeight="1">
      <c r="D967" s="18"/>
      <c r="E967" s="134"/>
      <c r="F967" s="19"/>
      <c r="G967" s="112"/>
      <c r="H967" s="19"/>
      <c r="I967" s="19"/>
      <c r="J967" s="112"/>
      <c r="K967" s="19"/>
      <c r="L967" s="19"/>
      <c r="M967" s="183"/>
      <c r="N967" s="19"/>
      <c r="O967" s="19"/>
      <c r="P967" s="23"/>
    </row>
    <row r="968" ht="14.25" customHeight="1">
      <c r="D968" s="18"/>
      <c r="E968" s="134"/>
      <c r="F968" s="19"/>
      <c r="G968" s="112"/>
      <c r="H968" s="19"/>
      <c r="I968" s="19"/>
      <c r="J968" s="112"/>
      <c r="K968" s="19"/>
      <c r="L968" s="19"/>
      <c r="M968" s="183"/>
      <c r="N968" s="19"/>
      <c r="O968" s="19"/>
      <c r="P968" s="23"/>
    </row>
    <row r="969" ht="14.25" customHeight="1">
      <c r="D969" s="18"/>
      <c r="E969" s="134"/>
      <c r="F969" s="19"/>
      <c r="G969" s="112"/>
      <c r="H969" s="19"/>
      <c r="I969" s="19"/>
      <c r="J969" s="112"/>
      <c r="K969" s="19"/>
      <c r="L969" s="19"/>
      <c r="M969" s="183"/>
      <c r="N969" s="19"/>
      <c r="O969" s="19"/>
      <c r="P969" s="23"/>
    </row>
    <row r="970" ht="14.25" customHeight="1">
      <c r="D970" s="18"/>
      <c r="E970" s="134"/>
      <c r="F970" s="19"/>
      <c r="G970" s="112"/>
      <c r="H970" s="19"/>
      <c r="I970" s="19"/>
      <c r="J970" s="112"/>
      <c r="K970" s="19"/>
      <c r="L970" s="19"/>
      <c r="M970" s="183"/>
      <c r="N970" s="19"/>
      <c r="O970" s="19"/>
      <c r="P970" s="23"/>
    </row>
    <row r="971" ht="14.25" customHeight="1">
      <c r="D971" s="18"/>
      <c r="E971" s="134"/>
      <c r="F971" s="19"/>
      <c r="G971" s="112"/>
      <c r="H971" s="19"/>
      <c r="I971" s="19"/>
      <c r="J971" s="112"/>
      <c r="K971" s="19"/>
      <c r="L971" s="19"/>
      <c r="M971" s="183"/>
      <c r="N971" s="19"/>
      <c r="O971" s="19"/>
      <c r="P971" s="23"/>
    </row>
    <row r="972" ht="14.25" customHeight="1">
      <c r="D972" s="18"/>
      <c r="E972" s="134"/>
      <c r="F972" s="19"/>
      <c r="G972" s="112"/>
      <c r="H972" s="19"/>
      <c r="I972" s="19"/>
      <c r="J972" s="112"/>
      <c r="K972" s="19"/>
      <c r="L972" s="19"/>
      <c r="M972" s="183"/>
      <c r="N972" s="19"/>
      <c r="O972" s="19"/>
      <c r="P972" s="23"/>
    </row>
    <row r="973" ht="14.25" customHeight="1">
      <c r="D973" s="18"/>
      <c r="E973" s="134"/>
      <c r="F973" s="19"/>
      <c r="G973" s="112"/>
      <c r="H973" s="19"/>
      <c r="I973" s="19"/>
      <c r="J973" s="112"/>
      <c r="K973" s="19"/>
      <c r="L973" s="19"/>
      <c r="M973" s="183"/>
      <c r="N973" s="19"/>
      <c r="O973" s="19"/>
      <c r="P973" s="23"/>
    </row>
    <row r="974" ht="14.25" customHeight="1">
      <c r="D974" s="18"/>
      <c r="E974" s="134"/>
      <c r="F974" s="19"/>
      <c r="G974" s="112"/>
      <c r="H974" s="19"/>
      <c r="I974" s="19"/>
      <c r="J974" s="112"/>
      <c r="K974" s="19"/>
      <c r="L974" s="19"/>
      <c r="M974" s="183"/>
      <c r="N974" s="19"/>
      <c r="O974" s="19"/>
      <c r="P974" s="23"/>
    </row>
    <row r="975" ht="14.25" customHeight="1">
      <c r="D975" s="18"/>
      <c r="E975" s="134"/>
      <c r="F975" s="19"/>
      <c r="G975" s="112"/>
      <c r="H975" s="19"/>
      <c r="I975" s="19"/>
      <c r="J975" s="112"/>
      <c r="K975" s="19"/>
      <c r="L975" s="19"/>
      <c r="M975" s="183"/>
      <c r="N975" s="19"/>
      <c r="O975" s="19"/>
      <c r="P975" s="23"/>
    </row>
    <row r="976" ht="14.25" customHeight="1">
      <c r="D976" s="18"/>
      <c r="E976" s="134"/>
      <c r="F976" s="19"/>
      <c r="G976" s="112"/>
      <c r="H976" s="19"/>
      <c r="I976" s="19"/>
      <c r="J976" s="112"/>
      <c r="K976" s="19"/>
      <c r="L976" s="19"/>
      <c r="M976" s="183"/>
      <c r="N976" s="19"/>
      <c r="O976" s="19"/>
      <c r="P976" s="23"/>
    </row>
    <row r="977" ht="14.25" customHeight="1">
      <c r="D977" s="18"/>
      <c r="E977" s="134"/>
      <c r="F977" s="19"/>
      <c r="G977" s="112"/>
      <c r="H977" s="19"/>
      <c r="I977" s="19"/>
      <c r="J977" s="112"/>
      <c r="K977" s="19"/>
      <c r="L977" s="19"/>
      <c r="M977" s="183"/>
      <c r="N977" s="19"/>
      <c r="O977" s="19"/>
      <c r="P977" s="23"/>
    </row>
    <row r="978" ht="14.25" customHeight="1">
      <c r="D978" s="18"/>
      <c r="E978" s="134"/>
      <c r="F978" s="19"/>
      <c r="G978" s="112"/>
      <c r="H978" s="19"/>
      <c r="I978" s="19"/>
      <c r="J978" s="112"/>
      <c r="K978" s="19"/>
      <c r="L978" s="19"/>
      <c r="M978" s="183"/>
      <c r="N978" s="19"/>
      <c r="O978" s="19"/>
      <c r="P978" s="23"/>
    </row>
    <row r="979" ht="14.25" customHeight="1">
      <c r="D979" s="18"/>
      <c r="E979" s="134"/>
      <c r="F979" s="19"/>
      <c r="G979" s="112"/>
      <c r="H979" s="19"/>
      <c r="I979" s="19"/>
      <c r="J979" s="112"/>
      <c r="K979" s="19"/>
      <c r="L979" s="19"/>
      <c r="M979" s="183"/>
      <c r="N979" s="19"/>
      <c r="O979" s="19"/>
      <c r="P979" s="23"/>
    </row>
    <row r="980" ht="14.25" customHeight="1">
      <c r="D980" s="18"/>
      <c r="E980" s="134"/>
      <c r="F980" s="19"/>
      <c r="G980" s="112"/>
      <c r="H980" s="19"/>
      <c r="I980" s="19"/>
      <c r="J980" s="112"/>
      <c r="K980" s="19"/>
      <c r="L980" s="19"/>
      <c r="M980" s="183"/>
      <c r="N980" s="19"/>
      <c r="O980" s="19"/>
      <c r="P980" s="23"/>
    </row>
    <row r="981" ht="14.25" customHeight="1">
      <c r="D981" s="18"/>
      <c r="E981" s="134"/>
      <c r="F981" s="19"/>
      <c r="G981" s="112"/>
      <c r="H981" s="19"/>
      <c r="I981" s="19"/>
      <c r="J981" s="112"/>
      <c r="K981" s="19"/>
      <c r="L981" s="19"/>
      <c r="M981" s="183"/>
      <c r="N981" s="19"/>
      <c r="O981" s="19"/>
      <c r="P981" s="23"/>
    </row>
    <row r="982" ht="14.25" customHeight="1">
      <c r="D982" s="18"/>
      <c r="E982" s="134"/>
      <c r="F982" s="19"/>
      <c r="G982" s="112"/>
      <c r="H982" s="19"/>
      <c r="I982" s="19"/>
      <c r="J982" s="112"/>
      <c r="K982" s="19"/>
      <c r="L982" s="19"/>
      <c r="M982" s="183"/>
      <c r="N982" s="19"/>
      <c r="O982" s="19"/>
      <c r="P982" s="23"/>
    </row>
    <row r="983" ht="14.25" customHeight="1">
      <c r="D983" s="18"/>
      <c r="E983" s="134"/>
      <c r="F983" s="19"/>
      <c r="G983" s="112"/>
      <c r="H983" s="19"/>
      <c r="I983" s="19"/>
      <c r="J983" s="112"/>
      <c r="K983" s="19"/>
      <c r="L983" s="19"/>
      <c r="M983" s="183"/>
      <c r="N983" s="19"/>
      <c r="O983" s="19"/>
      <c r="P983" s="23"/>
    </row>
    <row r="984" ht="14.25" customHeight="1">
      <c r="D984" s="18"/>
      <c r="E984" s="134"/>
      <c r="F984" s="19"/>
      <c r="G984" s="112"/>
      <c r="H984" s="19"/>
      <c r="I984" s="19"/>
      <c r="J984" s="112"/>
      <c r="K984" s="19"/>
      <c r="L984" s="19"/>
      <c r="M984" s="183"/>
      <c r="N984" s="19"/>
      <c r="O984" s="19"/>
      <c r="P984" s="23"/>
    </row>
    <row r="985" ht="14.25" customHeight="1">
      <c r="D985" s="18"/>
      <c r="E985" s="134"/>
      <c r="F985" s="19"/>
      <c r="G985" s="112"/>
      <c r="H985" s="19"/>
      <c r="I985" s="19"/>
      <c r="J985" s="112"/>
      <c r="K985" s="19"/>
      <c r="L985" s="19"/>
      <c r="M985" s="183"/>
      <c r="N985" s="19"/>
      <c r="O985" s="19"/>
      <c r="P985" s="23"/>
    </row>
    <row r="986" ht="14.25" customHeight="1">
      <c r="D986" s="18"/>
      <c r="E986" s="134"/>
      <c r="F986" s="19"/>
      <c r="G986" s="112"/>
      <c r="H986" s="19"/>
      <c r="I986" s="19"/>
      <c r="J986" s="112"/>
      <c r="K986" s="19"/>
      <c r="L986" s="19"/>
      <c r="M986" s="183"/>
      <c r="N986" s="19"/>
      <c r="O986" s="19"/>
      <c r="P986" s="23"/>
    </row>
    <row r="987" ht="14.25" customHeight="1">
      <c r="D987" s="18"/>
      <c r="E987" s="134"/>
      <c r="F987" s="19"/>
      <c r="G987" s="112"/>
      <c r="H987" s="19"/>
      <c r="I987" s="19"/>
      <c r="J987" s="112"/>
      <c r="K987" s="19"/>
      <c r="L987" s="19"/>
      <c r="M987" s="183"/>
      <c r="N987" s="19"/>
      <c r="O987" s="19"/>
      <c r="P987" s="23"/>
    </row>
    <row r="988" ht="14.25" customHeight="1">
      <c r="D988" s="18"/>
      <c r="E988" s="134"/>
      <c r="F988" s="19"/>
      <c r="G988" s="112"/>
      <c r="H988" s="19"/>
      <c r="I988" s="19"/>
      <c r="J988" s="112"/>
      <c r="K988" s="19"/>
      <c r="L988" s="19"/>
      <c r="M988" s="183"/>
      <c r="N988" s="19"/>
      <c r="O988" s="19"/>
      <c r="P988" s="23"/>
    </row>
    <row r="989" ht="14.25" customHeight="1">
      <c r="D989" s="18"/>
      <c r="E989" s="134"/>
      <c r="F989" s="19"/>
      <c r="G989" s="112"/>
      <c r="H989" s="19"/>
      <c r="I989" s="19"/>
      <c r="J989" s="112"/>
      <c r="K989" s="19"/>
      <c r="L989" s="19"/>
      <c r="M989" s="183"/>
      <c r="N989" s="19"/>
      <c r="O989" s="19"/>
      <c r="P989" s="23"/>
    </row>
    <row r="990" ht="14.25" customHeight="1">
      <c r="D990" s="18"/>
      <c r="E990" s="134"/>
      <c r="F990" s="19"/>
      <c r="G990" s="112"/>
      <c r="H990" s="19"/>
      <c r="I990" s="19"/>
      <c r="J990" s="112"/>
      <c r="K990" s="19"/>
      <c r="L990" s="19"/>
      <c r="M990" s="183"/>
      <c r="N990" s="19"/>
      <c r="O990" s="19"/>
      <c r="P990" s="23"/>
    </row>
    <row r="991" ht="14.25" customHeight="1">
      <c r="D991" s="18"/>
      <c r="E991" s="134"/>
      <c r="F991" s="19"/>
      <c r="G991" s="112"/>
      <c r="H991" s="19"/>
      <c r="I991" s="19"/>
      <c r="J991" s="112"/>
      <c r="K991" s="19"/>
      <c r="L991" s="19"/>
      <c r="M991" s="183"/>
      <c r="N991" s="19"/>
      <c r="O991" s="19"/>
      <c r="P991" s="23"/>
    </row>
    <row r="992" ht="14.25" customHeight="1">
      <c r="D992" s="18"/>
      <c r="E992" s="134"/>
      <c r="F992" s="19"/>
      <c r="G992" s="112"/>
      <c r="H992" s="19"/>
      <c r="I992" s="19"/>
      <c r="J992" s="112"/>
      <c r="K992" s="19"/>
      <c r="L992" s="19"/>
      <c r="M992" s="183"/>
      <c r="N992" s="19"/>
      <c r="O992" s="19"/>
      <c r="P992" s="23"/>
    </row>
    <row r="993" ht="14.25" customHeight="1">
      <c r="D993" s="18"/>
      <c r="E993" s="134"/>
      <c r="F993" s="19"/>
      <c r="G993" s="112"/>
      <c r="H993" s="19"/>
      <c r="I993" s="19"/>
      <c r="J993" s="112"/>
      <c r="K993" s="19"/>
      <c r="L993" s="19"/>
      <c r="M993" s="183"/>
      <c r="N993" s="19"/>
      <c r="O993" s="19"/>
      <c r="P993" s="23"/>
    </row>
    <row r="994" ht="14.25" customHeight="1">
      <c r="D994" s="18"/>
      <c r="E994" s="134"/>
      <c r="F994" s="19"/>
      <c r="G994" s="112"/>
      <c r="H994" s="19"/>
      <c r="I994" s="19"/>
      <c r="J994" s="112"/>
      <c r="K994" s="19"/>
      <c r="L994" s="19"/>
      <c r="M994" s="183"/>
      <c r="N994" s="19"/>
      <c r="O994" s="19"/>
      <c r="P994" s="23"/>
    </row>
    <row r="995" ht="14.25" customHeight="1">
      <c r="D995" s="18"/>
      <c r="E995" s="134"/>
      <c r="F995" s="19"/>
      <c r="G995" s="112"/>
      <c r="H995" s="19"/>
      <c r="I995" s="19"/>
      <c r="J995" s="112"/>
      <c r="K995" s="19"/>
      <c r="L995" s="19"/>
      <c r="M995" s="183"/>
      <c r="N995" s="19"/>
      <c r="O995" s="19"/>
      <c r="P995" s="23"/>
    </row>
    <row r="996" ht="14.25" customHeight="1">
      <c r="D996" s="18"/>
      <c r="E996" s="134"/>
      <c r="F996" s="19"/>
      <c r="G996" s="112"/>
      <c r="H996" s="19"/>
      <c r="I996" s="19"/>
      <c r="J996" s="112"/>
      <c r="K996" s="19"/>
      <c r="L996" s="19"/>
      <c r="M996" s="183"/>
      <c r="N996" s="19"/>
      <c r="O996" s="19"/>
      <c r="P996" s="23"/>
    </row>
    <row r="997" ht="14.25" customHeight="1">
      <c r="D997" s="18"/>
      <c r="E997" s="134"/>
      <c r="F997" s="19"/>
      <c r="G997" s="112"/>
      <c r="H997" s="19"/>
      <c r="I997" s="19"/>
      <c r="J997" s="112"/>
      <c r="K997" s="19"/>
      <c r="L997" s="19"/>
      <c r="M997" s="183"/>
      <c r="N997" s="19"/>
      <c r="O997" s="19"/>
      <c r="P997" s="23"/>
    </row>
    <row r="998" ht="14.25" customHeight="1">
      <c r="D998" s="18"/>
      <c r="E998" s="134"/>
      <c r="F998" s="19"/>
      <c r="G998" s="112"/>
      <c r="H998" s="19"/>
      <c r="I998" s="19"/>
      <c r="J998" s="112"/>
      <c r="K998" s="19"/>
      <c r="L998" s="19"/>
      <c r="M998" s="183"/>
      <c r="N998" s="19"/>
      <c r="O998" s="19"/>
      <c r="P998" s="23"/>
    </row>
    <row r="999" ht="14.25" customHeight="1">
      <c r="D999" s="18"/>
      <c r="E999" s="134"/>
      <c r="F999" s="19"/>
      <c r="G999" s="112"/>
      <c r="H999" s="19"/>
      <c r="I999" s="19"/>
      <c r="J999" s="112"/>
      <c r="K999" s="19"/>
      <c r="L999" s="19"/>
      <c r="M999" s="183"/>
      <c r="N999" s="19"/>
      <c r="O999" s="19"/>
      <c r="P999" s="23"/>
    </row>
    <row r="1000" ht="14.25" customHeight="1">
      <c r="D1000" s="18"/>
      <c r="E1000" s="134"/>
      <c r="F1000" s="19"/>
      <c r="G1000" s="112"/>
      <c r="H1000" s="19"/>
      <c r="I1000" s="19"/>
      <c r="J1000" s="112"/>
      <c r="K1000" s="19"/>
      <c r="L1000" s="19"/>
      <c r="M1000" s="183"/>
      <c r="N1000" s="19"/>
      <c r="O1000" s="19"/>
      <c r="P1000" s="23"/>
    </row>
    <row r="1001" ht="14.25" customHeight="1">
      <c r="D1001" s="18"/>
      <c r="E1001" s="134"/>
      <c r="F1001" s="19"/>
      <c r="G1001" s="112"/>
      <c r="H1001" s="19"/>
      <c r="I1001" s="19"/>
      <c r="J1001" s="112"/>
      <c r="K1001" s="19"/>
      <c r="L1001" s="19"/>
      <c r="M1001" s="183"/>
      <c r="N1001" s="19"/>
      <c r="O1001" s="19"/>
      <c r="P1001" s="23"/>
    </row>
    <row r="1002" ht="14.25" customHeight="1">
      <c r="D1002" s="18"/>
      <c r="E1002" s="134"/>
      <c r="F1002" s="19"/>
      <c r="G1002" s="112"/>
      <c r="H1002" s="19"/>
      <c r="I1002" s="19"/>
      <c r="J1002" s="112"/>
      <c r="K1002" s="19"/>
      <c r="L1002" s="19"/>
      <c r="M1002" s="183"/>
      <c r="N1002" s="19"/>
      <c r="O1002" s="19"/>
      <c r="P1002" s="23"/>
    </row>
    <row r="1003" ht="14.25" customHeight="1">
      <c r="D1003" s="18"/>
      <c r="E1003" s="134"/>
      <c r="F1003" s="19"/>
      <c r="G1003" s="112"/>
      <c r="H1003" s="19"/>
      <c r="I1003" s="19"/>
      <c r="J1003" s="112"/>
      <c r="K1003" s="19"/>
      <c r="L1003" s="19"/>
      <c r="M1003" s="183"/>
      <c r="N1003" s="19"/>
      <c r="O1003" s="19"/>
      <c r="P1003" s="23"/>
    </row>
    <row r="1004" ht="14.25" customHeight="1">
      <c r="D1004" s="18"/>
      <c r="E1004" s="134"/>
      <c r="F1004" s="19"/>
      <c r="G1004" s="112"/>
      <c r="H1004" s="19"/>
      <c r="I1004" s="19"/>
      <c r="J1004" s="112"/>
      <c r="K1004" s="19"/>
      <c r="L1004" s="19"/>
      <c r="M1004" s="183"/>
      <c r="N1004" s="19"/>
      <c r="O1004" s="19"/>
      <c r="P1004" s="23"/>
    </row>
    <row r="1005" ht="14.25" customHeight="1">
      <c r="D1005" s="18"/>
      <c r="E1005" s="134"/>
      <c r="F1005" s="19"/>
      <c r="G1005" s="112"/>
      <c r="H1005" s="19"/>
      <c r="I1005" s="19"/>
      <c r="J1005" s="112"/>
      <c r="K1005" s="19"/>
      <c r="L1005" s="19"/>
      <c r="M1005" s="183"/>
      <c r="N1005" s="19"/>
      <c r="O1005" s="19"/>
      <c r="P1005" s="23"/>
    </row>
  </sheetData>
  <dataValidations>
    <dataValidation type="list" allowBlank="1" sqref="H2:H78 H80:H99">
      <formula1>"DuBois,Huntingdon County,Indiana County,Johnstown,State College,Multiple"</formula1>
    </dataValidation>
    <dataValidation type="list" allowBlank="1" sqref="K2 M136">
      <formula1>"Armstrong County,Clarion,Cranberry Township,Lawrence,Michael A. Marzano,Multiple"</formula1>
    </dataValidation>
    <dataValidation type="list" allowBlank="1" sqref="H79">
      <formula1>"DuBois,Huntingdon,Indiana,Johnstown,State College,Multiple"</formula1>
    </dataValidation>
    <dataValidation type="list" allowBlank="1" sqref="N2:N96">
      <formula1>"Ashtabula,Crawford,McKean,Venango,Warren,Multiple"</formula1>
    </dataValidation>
    <dataValidation type="list" allowBlank="1" sqref="K3:K61 K63:K96">
      <formula1>"Armstrong County,Clarion,Cranberry Township,Lawrence,Michael A. Marzano Department of Veterans Affairs Outpatient,Multiple"</formula1>
    </dataValidation>
    <dataValidation type="list" allowBlank="1" sqref="K62">
      <formula1>"Armstrong,Clarion,Cranberry Township,Lawrence,Michael A. Marzano DofVA Outpatient,Multiple"</formula1>
    </dataValidation>
    <dataValidation type="list" allowBlank="1" sqref="Q2:Q96">
      <formula1>"Anaconda,Benjamin Charles Steel,Bozeman,Cut Bank,David J. Thatcher,Glasgow,Glendive,Great Falls,Hamilton,Kalispell,Lewistown,Merrill Lundman DVA Outpatient,Miles City,Plentywood,Multiple"</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3.88"/>
    <col customWidth="1" min="2" max="2" width="15.5"/>
    <col customWidth="1" hidden="1" min="3" max="3" width="13.75"/>
    <col customWidth="1" min="4" max="4" width="5.0"/>
    <col customWidth="1" min="5" max="5" width="18.13"/>
    <col customWidth="1" min="6" max="7" width="5.0"/>
    <col customWidth="1" min="8" max="8" width="18.13"/>
    <col customWidth="1" min="9" max="10" width="5.0"/>
    <col customWidth="1" min="11" max="11" width="18.13"/>
    <col customWidth="1" min="12" max="12" width="5.13"/>
    <col customWidth="1" min="13" max="13" width="5.0"/>
    <col customWidth="1" min="14" max="14" width="18.13"/>
    <col customWidth="1" min="15" max="15" width="6.38"/>
    <col customWidth="1" min="16" max="16" width="5.0"/>
    <col customWidth="1" min="17" max="17" width="18.13"/>
    <col customWidth="1" min="18" max="18" width="6.63"/>
    <col customWidth="1" min="19" max="19" width="15.38"/>
    <col customWidth="1" min="20" max="20" width="22.88"/>
    <col customWidth="1" min="21" max="45" width="7.63"/>
  </cols>
  <sheetData>
    <row r="1" ht="14.25" customHeight="1">
      <c r="A1" s="77" t="s">
        <v>0</v>
      </c>
      <c r="B1" s="78" t="s">
        <v>2</v>
      </c>
      <c r="C1" s="79" t="s">
        <v>8</v>
      </c>
      <c r="D1" s="81" t="str">
        <f>HYPERLINK("https://www.lebanon.va.gov/services/index.asp","Lebanon ")</f>
        <v>Lebanon </v>
      </c>
      <c r="E1" s="82" t="s">
        <v>11</v>
      </c>
      <c r="F1" s="83" t="str">
        <f>HYPERLINK("https://www.lebanon.va.gov/locations/index.asp","Lebanon Clinics")</f>
        <v>Lebanon Clinics</v>
      </c>
      <c r="G1" s="84" t="str">
        <f>HYPERLINK("https://www.coatesville.va.gov/services/index.asp","Coatesvilles")</f>
        <v>Coatesvilles</v>
      </c>
      <c r="H1" s="85" t="s">
        <v>11</v>
      </c>
      <c r="I1" s="83" t="str">
        <f>HYPERLINK("https://www.coatesville.va.gov/locations/index.asp","Coatesville Clinics")</f>
        <v>Coatesville Clinics</v>
      </c>
      <c r="J1" s="87" t="str">
        <f>HYPERLINK("https://www.philadelphia.va.gov/services/index.asp","Philadelphia")</f>
        <v>Philadelphia</v>
      </c>
      <c r="K1" s="89" t="s">
        <v>11</v>
      </c>
      <c r="L1" s="91" t="str">
        <f>HYPERLINK("https://www.philadelphia.va.gov/locations/index.asp","Phildelphia Clinics")</f>
        <v>Phildelphia Clinics</v>
      </c>
      <c r="M1" s="93" t="str">
        <f>HYPERLINK("https://www.wilkes-barre.va.gov/services/index.asp","Wilkes-Barre")</f>
        <v>Wilkes-Barre</v>
      </c>
      <c r="N1" s="95" t="s">
        <v>11</v>
      </c>
      <c r="O1" s="83" t="str">
        <f>HYPERLINK("https://www.wilkes-barre.va.gov/locations/index.asp","Wilkes-Barre Clinics")</f>
        <v>Wilkes-Barre Clinics</v>
      </c>
      <c r="P1" s="81" t="str">
        <f>HYPERLINK("https://www.wilmington.va.gov/services/index.asp","Wilmington")</f>
        <v>Wilmington</v>
      </c>
      <c r="Q1" s="95" t="s">
        <v>11</v>
      </c>
      <c r="R1" s="83" t="str">
        <f>HYPERLINK("https://www.wilmington.va.gov/locations/index.asp","Wilmington Clinics")</f>
        <v>Wilmington Clinics</v>
      </c>
      <c r="S1" s="99" t="s">
        <v>380</v>
      </c>
      <c r="T1" s="100" t="s">
        <v>111</v>
      </c>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row>
    <row r="2" ht="14.25" customHeight="1">
      <c r="A2" s="8" t="s">
        <v>14</v>
      </c>
      <c r="B2" s="8" t="s">
        <v>30</v>
      </c>
      <c r="C2" s="10"/>
      <c r="D2" s="103">
        <v>0.0</v>
      </c>
      <c r="E2" s="104"/>
      <c r="F2" s="106"/>
      <c r="G2" s="107">
        <v>0.0</v>
      </c>
      <c r="H2" s="21"/>
      <c r="I2" s="108"/>
      <c r="J2" s="109">
        <v>0.0</v>
      </c>
      <c r="K2" s="110"/>
      <c r="L2" s="110"/>
      <c r="M2" s="20">
        <v>0.0</v>
      </c>
      <c r="N2" s="21"/>
      <c r="O2" s="111"/>
      <c r="P2" s="98">
        <v>0.0</v>
      </c>
      <c r="Q2" s="21"/>
      <c r="R2" s="112"/>
      <c r="S2" s="113"/>
      <c r="T2" s="115"/>
    </row>
    <row r="3" ht="14.25" customHeight="1">
      <c r="A3" s="8" t="s">
        <v>13</v>
      </c>
      <c r="B3" s="8" t="s">
        <v>15</v>
      </c>
      <c r="C3" s="10"/>
      <c r="D3" s="103">
        <v>1.0</v>
      </c>
      <c r="E3" s="120" t="s">
        <v>385</v>
      </c>
      <c r="F3" s="106"/>
      <c r="G3" s="107">
        <v>1.0</v>
      </c>
      <c r="H3" s="58" t="s">
        <v>391</v>
      </c>
      <c r="I3" s="108"/>
      <c r="J3" s="109">
        <v>4.0</v>
      </c>
      <c r="K3" s="123" t="s">
        <v>394</v>
      </c>
      <c r="L3" s="110"/>
      <c r="M3" s="20">
        <v>1.0</v>
      </c>
      <c r="N3" s="58" t="s">
        <v>397</v>
      </c>
      <c r="O3" s="111"/>
      <c r="P3" s="98">
        <v>0.0</v>
      </c>
      <c r="Q3" s="126" t="s">
        <v>398</v>
      </c>
      <c r="R3" s="112"/>
      <c r="S3" s="128" t="b">
        <v>1</v>
      </c>
      <c r="T3" s="115" t="s">
        <v>13</v>
      </c>
    </row>
    <row r="4" ht="14.25" customHeight="1">
      <c r="A4" s="8" t="s">
        <v>39</v>
      </c>
      <c r="B4" s="8" t="s">
        <v>41</v>
      </c>
      <c r="C4" s="10"/>
      <c r="D4" s="103">
        <v>0.0</v>
      </c>
      <c r="E4" s="104"/>
      <c r="F4" s="106"/>
      <c r="G4" s="107">
        <v>0.0</v>
      </c>
      <c r="H4" s="21"/>
      <c r="I4" s="108"/>
      <c r="J4" s="109">
        <v>0.0</v>
      </c>
      <c r="K4" s="110"/>
      <c r="L4" s="110"/>
      <c r="M4" s="20">
        <v>0.0</v>
      </c>
      <c r="N4" s="21"/>
      <c r="O4" s="111"/>
      <c r="P4" s="98">
        <v>0.0</v>
      </c>
      <c r="Q4" s="21"/>
      <c r="R4" s="112"/>
      <c r="S4" s="113"/>
      <c r="T4" s="115"/>
    </row>
    <row r="5" ht="14.25" customHeight="1">
      <c r="A5" s="8" t="s">
        <v>46</v>
      </c>
      <c r="B5" s="8" t="s">
        <v>48</v>
      </c>
      <c r="C5" s="10"/>
      <c r="D5" s="103">
        <v>0.0</v>
      </c>
      <c r="E5" s="104"/>
      <c r="F5" s="106"/>
      <c r="G5" s="107">
        <v>0.0</v>
      </c>
      <c r="H5" s="21"/>
      <c r="I5" s="108"/>
      <c r="J5" s="109">
        <v>0.0</v>
      </c>
      <c r="K5" s="110"/>
      <c r="L5" s="110"/>
      <c r="M5" s="20">
        <v>0.0</v>
      </c>
      <c r="N5" s="21"/>
      <c r="O5" s="111"/>
      <c r="P5" s="98">
        <v>0.0</v>
      </c>
      <c r="Q5" s="21"/>
      <c r="R5" s="112"/>
      <c r="S5" s="113"/>
      <c r="T5" s="115"/>
    </row>
    <row r="6" ht="14.25" customHeight="1">
      <c r="A6" s="8" t="s">
        <v>52</v>
      </c>
      <c r="B6" s="8" t="s">
        <v>48</v>
      </c>
      <c r="C6" s="10"/>
      <c r="D6" s="103">
        <v>0.0</v>
      </c>
      <c r="E6" s="104"/>
      <c r="F6" s="106"/>
      <c r="G6" s="107">
        <v>0.0</v>
      </c>
      <c r="H6" s="21"/>
      <c r="I6" s="108"/>
      <c r="J6" s="109">
        <v>0.0</v>
      </c>
      <c r="K6" s="110"/>
      <c r="L6" s="110"/>
      <c r="M6" s="20">
        <v>0.0</v>
      </c>
      <c r="N6" s="21"/>
      <c r="O6" s="111"/>
      <c r="P6" s="98">
        <v>0.0</v>
      </c>
      <c r="Q6" s="21"/>
      <c r="R6" s="112"/>
      <c r="S6" s="113"/>
      <c r="T6" s="115"/>
    </row>
    <row r="7" ht="14.25" customHeight="1">
      <c r="A7" s="8" t="s">
        <v>55</v>
      </c>
      <c r="B7" s="8" t="s">
        <v>48</v>
      </c>
      <c r="C7" s="10"/>
      <c r="D7" s="103">
        <v>0.0</v>
      </c>
      <c r="E7" s="104"/>
      <c r="F7" s="106"/>
      <c r="G7" s="107">
        <v>0.0</v>
      </c>
      <c r="H7" s="21"/>
      <c r="I7" s="108"/>
      <c r="J7" s="109">
        <v>1.0</v>
      </c>
      <c r="K7" s="123" t="s">
        <v>410</v>
      </c>
      <c r="L7" s="110"/>
      <c r="M7" s="20">
        <v>0.0</v>
      </c>
      <c r="N7" s="21"/>
      <c r="O7" s="111"/>
      <c r="P7" s="98">
        <v>0.0</v>
      </c>
      <c r="Q7" s="21"/>
      <c r="R7" s="112"/>
      <c r="S7" s="113"/>
      <c r="T7" s="115"/>
    </row>
    <row r="8" ht="14.25" customHeight="1">
      <c r="A8" s="8" t="s">
        <v>59</v>
      </c>
      <c r="B8" s="8" t="s">
        <v>48</v>
      </c>
      <c r="C8" s="10" t="s">
        <v>65</v>
      </c>
      <c r="D8" s="103">
        <v>2.0</v>
      </c>
      <c r="E8" s="137" t="s">
        <v>416</v>
      </c>
      <c r="F8" s="106"/>
      <c r="G8" s="107">
        <v>2.0</v>
      </c>
      <c r="H8" s="58" t="s">
        <v>421</v>
      </c>
      <c r="I8" s="108"/>
      <c r="J8" s="139">
        <v>3.0</v>
      </c>
      <c r="K8" s="141" t="s">
        <v>427</v>
      </c>
      <c r="L8" s="110"/>
      <c r="M8" s="20">
        <v>0.0</v>
      </c>
      <c r="N8" s="126" t="s">
        <v>432</v>
      </c>
      <c r="O8" s="111" t="s">
        <v>433</v>
      </c>
      <c r="P8" s="98">
        <v>1.0</v>
      </c>
      <c r="Q8" s="58" t="s">
        <v>244</v>
      </c>
      <c r="R8" s="144" t="s">
        <v>435</v>
      </c>
      <c r="S8" s="128" t="b">
        <v>1</v>
      </c>
      <c r="T8" s="146" t="s">
        <v>59</v>
      </c>
    </row>
    <row r="9" ht="14.25" customHeight="1">
      <c r="A9" s="8" t="s">
        <v>68</v>
      </c>
      <c r="B9" s="8" t="s">
        <v>48</v>
      </c>
      <c r="C9" s="10"/>
      <c r="D9" s="103">
        <v>0.0</v>
      </c>
      <c r="E9" s="104"/>
      <c r="F9" s="106"/>
      <c r="G9" s="107">
        <v>0.0</v>
      </c>
      <c r="H9" s="21"/>
      <c r="I9" s="108"/>
      <c r="J9" s="109">
        <v>0.0</v>
      </c>
      <c r="K9" s="110"/>
      <c r="L9" s="110"/>
      <c r="M9" s="20">
        <v>0.0</v>
      </c>
      <c r="N9" s="21"/>
      <c r="O9" s="111"/>
      <c r="P9" s="98">
        <v>0.0</v>
      </c>
      <c r="Q9" s="21"/>
      <c r="R9" s="112"/>
      <c r="S9" s="113"/>
      <c r="T9" s="115"/>
    </row>
    <row r="10" ht="14.25" customHeight="1">
      <c r="A10" s="8" t="s">
        <v>71</v>
      </c>
      <c r="B10" s="8" t="s">
        <v>48</v>
      </c>
      <c r="C10" s="10"/>
      <c r="D10" s="150">
        <v>2.0</v>
      </c>
      <c r="E10" s="152" t="s">
        <v>452</v>
      </c>
      <c r="F10" s="106"/>
      <c r="G10" s="107">
        <v>0.0</v>
      </c>
      <c r="H10" s="21"/>
      <c r="I10" s="108"/>
      <c r="J10" s="109">
        <v>1.0</v>
      </c>
      <c r="K10" s="123" t="s">
        <v>457</v>
      </c>
      <c r="L10" s="110"/>
      <c r="M10" s="20">
        <v>0.0</v>
      </c>
      <c r="N10" s="154" t="s">
        <v>459</v>
      </c>
      <c r="O10" s="111"/>
      <c r="P10" s="98">
        <v>1.0</v>
      </c>
      <c r="Q10" s="58" t="s">
        <v>462</v>
      </c>
      <c r="R10" s="112"/>
      <c r="S10" s="128" t="b">
        <v>1</v>
      </c>
      <c r="T10" s="156" t="s">
        <v>464</v>
      </c>
    </row>
    <row r="11" ht="14.25" customHeight="1">
      <c r="A11" s="8" t="s">
        <v>74</v>
      </c>
      <c r="B11" s="8" t="s">
        <v>48</v>
      </c>
      <c r="C11" s="10" t="s">
        <v>80</v>
      </c>
      <c r="D11" s="103">
        <v>1.0</v>
      </c>
      <c r="E11" s="158" t="s">
        <v>414</v>
      </c>
      <c r="F11" s="106"/>
      <c r="G11" s="107">
        <v>0.0</v>
      </c>
      <c r="H11" s="21"/>
      <c r="I11" s="108"/>
      <c r="J11" s="109">
        <v>2.0</v>
      </c>
      <c r="K11" s="123" t="s">
        <v>473</v>
      </c>
      <c r="L11" s="110"/>
      <c r="M11" s="20">
        <v>0.0</v>
      </c>
      <c r="N11" s="21"/>
      <c r="O11" s="111"/>
      <c r="P11" s="98">
        <v>0.0</v>
      </c>
      <c r="Q11" s="21"/>
      <c r="R11" s="112"/>
      <c r="S11" s="113"/>
      <c r="T11" s="115"/>
    </row>
    <row r="12" ht="14.25" customHeight="1">
      <c r="A12" s="8" t="s">
        <v>84</v>
      </c>
      <c r="B12" s="8" t="s">
        <v>48</v>
      </c>
      <c r="C12" s="10"/>
      <c r="D12" s="103">
        <v>0.0</v>
      </c>
      <c r="E12" s="104"/>
      <c r="F12" s="106"/>
      <c r="G12" s="107">
        <v>0.0</v>
      </c>
      <c r="H12" s="21"/>
      <c r="I12" s="108"/>
      <c r="J12" s="109">
        <v>0.0</v>
      </c>
      <c r="K12" s="110"/>
      <c r="L12" s="110"/>
      <c r="M12" s="20">
        <v>0.0</v>
      </c>
      <c r="N12" s="21"/>
      <c r="O12" s="111"/>
      <c r="P12" s="98">
        <v>0.0</v>
      </c>
      <c r="Q12" s="21"/>
      <c r="R12" s="112"/>
      <c r="S12" s="113"/>
      <c r="T12" s="115"/>
    </row>
    <row r="13" ht="14.25" customHeight="1">
      <c r="A13" s="8" t="s">
        <v>90</v>
      </c>
      <c r="B13" s="8" t="s">
        <v>30</v>
      </c>
      <c r="C13" s="10"/>
      <c r="D13" s="150">
        <v>1.0</v>
      </c>
      <c r="E13" s="162" t="s">
        <v>484</v>
      </c>
      <c r="F13" s="106"/>
      <c r="G13" s="107">
        <v>1.0</v>
      </c>
      <c r="H13" s="58" t="s">
        <v>487</v>
      </c>
      <c r="I13" s="108"/>
      <c r="J13" s="109">
        <v>1.0</v>
      </c>
      <c r="K13" s="123" t="s">
        <v>488</v>
      </c>
      <c r="L13" s="110"/>
      <c r="M13" s="20">
        <v>0.0</v>
      </c>
      <c r="N13" s="21"/>
      <c r="O13" s="111"/>
      <c r="P13" s="98">
        <v>1.0</v>
      </c>
      <c r="Q13" s="58" t="s">
        <v>490</v>
      </c>
      <c r="R13" s="112"/>
      <c r="S13" s="128" t="b">
        <v>1</v>
      </c>
      <c r="T13" s="156" t="s">
        <v>492</v>
      </c>
    </row>
    <row r="14" ht="14.25" customHeight="1">
      <c r="A14" s="8" t="s">
        <v>95</v>
      </c>
      <c r="B14" s="8" t="s">
        <v>48</v>
      </c>
      <c r="C14" s="10"/>
      <c r="D14" s="103">
        <v>0.0</v>
      </c>
      <c r="E14" s="104"/>
      <c r="F14" s="106"/>
      <c r="G14" s="107">
        <v>0.0</v>
      </c>
      <c r="H14" s="21"/>
      <c r="I14" s="108"/>
      <c r="J14" s="109">
        <v>0.0</v>
      </c>
      <c r="K14" s="110"/>
      <c r="L14" s="110"/>
      <c r="M14" s="20">
        <v>0.0</v>
      </c>
      <c r="N14" s="21"/>
      <c r="O14" s="111"/>
      <c r="P14" s="98">
        <v>0.0</v>
      </c>
      <c r="Q14" s="21"/>
      <c r="R14" s="112"/>
      <c r="S14" s="113"/>
      <c r="T14" s="115"/>
    </row>
    <row r="15" ht="14.25" customHeight="1">
      <c r="A15" s="8" t="s">
        <v>101</v>
      </c>
      <c r="B15" s="8" t="s">
        <v>48</v>
      </c>
      <c r="C15" s="10"/>
      <c r="D15" s="103">
        <v>0.0</v>
      </c>
      <c r="E15" s="104"/>
      <c r="F15" s="106"/>
      <c r="G15" s="107">
        <v>0.0</v>
      </c>
      <c r="H15" s="21"/>
      <c r="I15" s="108"/>
      <c r="J15" s="109">
        <v>1.0</v>
      </c>
      <c r="K15" s="141" t="s">
        <v>499</v>
      </c>
      <c r="L15" s="110"/>
      <c r="M15" s="20">
        <v>0.0</v>
      </c>
      <c r="N15" s="21"/>
      <c r="O15" s="111"/>
      <c r="P15" s="98">
        <v>0.0</v>
      </c>
      <c r="Q15" s="21"/>
      <c r="R15" s="112"/>
      <c r="S15" s="113"/>
      <c r="T15" s="115"/>
    </row>
    <row r="16" ht="14.25" customHeight="1">
      <c r="A16" s="8" t="s">
        <v>73</v>
      </c>
      <c r="B16" s="8" t="s">
        <v>41</v>
      </c>
      <c r="C16" s="10"/>
      <c r="D16" s="103">
        <v>0.0</v>
      </c>
      <c r="E16" s="104"/>
      <c r="F16" s="106"/>
      <c r="G16" s="107">
        <v>0.0</v>
      </c>
      <c r="H16" s="21"/>
      <c r="I16" s="108"/>
      <c r="J16" s="109">
        <v>0.0</v>
      </c>
      <c r="K16" s="110"/>
      <c r="L16" s="110"/>
      <c r="M16" s="20">
        <v>0.0</v>
      </c>
      <c r="N16" s="21"/>
      <c r="O16" s="111"/>
      <c r="P16" s="98">
        <v>0.0</v>
      </c>
      <c r="Q16" s="21"/>
      <c r="R16" s="112"/>
      <c r="S16" s="113"/>
      <c r="T16" s="115"/>
    </row>
    <row r="17" ht="14.25" customHeight="1">
      <c r="A17" s="8" t="s">
        <v>109</v>
      </c>
      <c r="B17" s="8" t="s">
        <v>48</v>
      </c>
      <c r="C17" s="10"/>
      <c r="D17" s="103">
        <v>0.0</v>
      </c>
      <c r="E17" s="104"/>
      <c r="F17" s="106"/>
      <c r="G17" s="107">
        <v>0.0</v>
      </c>
      <c r="H17" s="58"/>
      <c r="I17" s="108"/>
      <c r="J17" s="109">
        <v>0.0</v>
      </c>
      <c r="K17" s="110"/>
      <c r="L17" s="110"/>
      <c r="M17" s="20">
        <v>0.0</v>
      </c>
      <c r="N17" s="21"/>
      <c r="O17" s="111"/>
      <c r="P17" s="98">
        <v>0.0</v>
      </c>
      <c r="Q17" s="21"/>
      <c r="R17" s="112"/>
      <c r="S17" s="113"/>
      <c r="T17" s="115"/>
    </row>
    <row r="18" ht="14.25" customHeight="1">
      <c r="A18" s="8" t="s">
        <v>113</v>
      </c>
      <c r="B18" s="8" t="s">
        <v>48</v>
      </c>
      <c r="C18" s="10"/>
      <c r="D18" s="103">
        <v>1.0</v>
      </c>
      <c r="E18" s="158" t="s">
        <v>304</v>
      </c>
      <c r="F18" s="106"/>
      <c r="G18" s="107">
        <v>0.0</v>
      </c>
      <c r="H18" s="58"/>
      <c r="I18" s="108"/>
      <c r="J18" s="109">
        <v>1.0</v>
      </c>
      <c r="K18" s="123" t="s">
        <v>304</v>
      </c>
      <c r="L18" s="110"/>
      <c r="M18" s="20">
        <v>1.0</v>
      </c>
      <c r="N18" s="58" t="s">
        <v>305</v>
      </c>
      <c r="O18" s="111" t="s">
        <v>433</v>
      </c>
      <c r="P18" s="98">
        <v>1.0</v>
      </c>
      <c r="Q18" s="58" t="s">
        <v>513</v>
      </c>
      <c r="R18" s="112"/>
      <c r="S18" s="128" t="b">
        <v>1</v>
      </c>
      <c r="T18" s="156" t="s">
        <v>515</v>
      </c>
    </row>
    <row r="19" ht="14.25" customHeight="1">
      <c r="A19" s="8" t="s">
        <v>121</v>
      </c>
      <c r="B19" s="8" t="s">
        <v>48</v>
      </c>
      <c r="C19" s="10" t="s">
        <v>127</v>
      </c>
      <c r="D19" s="103">
        <v>1.0</v>
      </c>
      <c r="E19" s="158" t="s">
        <v>517</v>
      </c>
      <c r="F19" s="106"/>
      <c r="G19" s="107">
        <v>0.0</v>
      </c>
      <c r="H19" s="58"/>
      <c r="I19" s="108"/>
      <c r="J19" s="109">
        <v>1.0</v>
      </c>
      <c r="K19" s="123" t="s">
        <v>517</v>
      </c>
      <c r="L19" s="110"/>
      <c r="M19" s="20">
        <v>0.0</v>
      </c>
      <c r="N19" s="21"/>
      <c r="O19" s="111" t="s">
        <v>433</v>
      </c>
      <c r="P19" s="98">
        <v>0.0</v>
      </c>
      <c r="Q19" s="21"/>
      <c r="R19" s="144" t="s">
        <v>307</v>
      </c>
      <c r="S19" s="128" t="b">
        <v>1</v>
      </c>
      <c r="T19" s="156" t="s">
        <v>121</v>
      </c>
    </row>
    <row r="20" ht="14.25" customHeight="1">
      <c r="A20" s="8" t="s">
        <v>128</v>
      </c>
      <c r="B20" s="8" t="s">
        <v>48</v>
      </c>
      <c r="C20" s="10"/>
      <c r="D20" s="103">
        <v>0.0</v>
      </c>
      <c r="E20" s="104"/>
      <c r="F20" s="106"/>
      <c r="G20" s="107">
        <v>0.0</v>
      </c>
      <c r="H20" s="21"/>
      <c r="I20" s="108"/>
      <c r="J20" s="139">
        <v>1.0</v>
      </c>
      <c r="K20" s="141" t="s">
        <v>525</v>
      </c>
      <c r="L20" s="110"/>
      <c r="M20" s="20">
        <v>0.0</v>
      </c>
      <c r="N20" s="21"/>
      <c r="O20" s="111" t="s">
        <v>433</v>
      </c>
      <c r="P20" s="98">
        <v>1.0</v>
      </c>
      <c r="Q20" s="58" t="s">
        <v>528</v>
      </c>
      <c r="R20" s="144" t="s">
        <v>307</v>
      </c>
      <c r="S20" s="128" t="b">
        <v>1</v>
      </c>
      <c r="T20" s="156" t="s">
        <v>128</v>
      </c>
    </row>
    <row r="21" ht="14.25" customHeight="1">
      <c r="A21" s="8" t="s">
        <v>81</v>
      </c>
      <c r="B21" s="8" t="s">
        <v>41</v>
      </c>
      <c r="C21" s="10"/>
      <c r="D21" s="103">
        <v>1.0</v>
      </c>
      <c r="E21" s="158" t="s">
        <v>532</v>
      </c>
      <c r="F21" s="106"/>
      <c r="G21" s="107">
        <v>0.0</v>
      </c>
      <c r="H21" s="58"/>
      <c r="I21" s="108"/>
      <c r="J21" s="109">
        <v>0.0</v>
      </c>
      <c r="K21" s="110"/>
      <c r="L21" s="110"/>
      <c r="M21" s="20">
        <v>0.0</v>
      </c>
      <c r="N21" s="21"/>
      <c r="O21" s="111"/>
      <c r="P21" s="98">
        <v>1.0</v>
      </c>
      <c r="Q21" s="58" t="s">
        <v>532</v>
      </c>
      <c r="R21" s="144" t="s">
        <v>535</v>
      </c>
      <c r="S21" s="128" t="b">
        <v>1</v>
      </c>
      <c r="T21" s="156" t="s">
        <v>536</v>
      </c>
    </row>
    <row r="22" ht="14.25" customHeight="1">
      <c r="A22" s="8" t="s">
        <v>131</v>
      </c>
      <c r="B22" s="8" t="s">
        <v>48</v>
      </c>
      <c r="C22" s="10"/>
      <c r="D22" s="103">
        <v>0.0</v>
      </c>
      <c r="E22" s="104"/>
      <c r="F22" s="106"/>
      <c r="G22" s="107">
        <v>0.0</v>
      </c>
      <c r="H22" s="21"/>
      <c r="I22" s="108"/>
      <c r="J22" s="139">
        <v>1.0</v>
      </c>
      <c r="K22" s="141" t="s">
        <v>538</v>
      </c>
      <c r="L22" s="110"/>
      <c r="M22" s="20">
        <v>0.0</v>
      </c>
      <c r="N22" s="21"/>
      <c r="O22" s="111"/>
      <c r="P22" s="98">
        <v>0.0</v>
      </c>
      <c r="Q22" s="21"/>
      <c r="R22" s="112"/>
      <c r="S22" s="113"/>
      <c r="T22" s="115"/>
    </row>
    <row r="23" ht="14.25" customHeight="1">
      <c r="A23" s="8" t="s">
        <v>137</v>
      </c>
      <c r="B23" s="8" t="s">
        <v>48</v>
      </c>
      <c r="C23" s="10"/>
      <c r="D23" s="177">
        <v>1.0</v>
      </c>
      <c r="E23" s="178" t="s">
        <v>543</v>
      </c>
      <c r="F23" s="106"/>
      <c r="G23" s="107">
        <v>2.0</v>
      </c>
      <c r="H23" s="58" t="s">
        <v>545</v>
      </c>
      <c r="I23" s="108"/>
      <c r="J23" s="109">
        <v>3.0</v>
      </c>
      <c r="K23" s="123" t="s">
        <v>546</v>
      </c>
      <c r="L23" s="110"/>
      <c r="M23" s="20">
        <v>0.0</v>
      </c>
      <c r="N23" s="58"/>
      <c r="O23" s="111"/>
      <c r="P23" s="98">
        <v>0.0</v>
      </c>
      <c r="Q23" s="123"/>
      <c r="R23" s="112"/>
      <c r="S23" s="128" t="b">
        <v>1</v>
      </c>
      <c r="T23" s="146" t="s">
        <v>137</v>
      </c>
    </row>
    <row r="24" ht="14.25" customHeight="1">
      <c r="A24" s="8" t="s">
        <v>142</v>
      </c>
      <c r="B24" s="8" t="s">
        <v>48</v>
      </c>
      <c r="C24" s="10" t="s">
        <v>149</v>
      </c>
      <c r="D24" s="103">
        <v>1.0</v>
      </c>
      <c r="E24" s="120" t="s">
        <v>549</v>
      </c>
      <c r="F24" s="106"/>
      <c r="G24" s="107">
        <v>0.0</v>
      </c>
      <c r="H24" s="21"/>
      <c r="I24" s="108"/>
      <c r="J24" s="109">
        <v>0.0</v>
      </c>
      <c r="K24" s="110"/>
      <c r="L24" s="110"/>
      <c r="M24" s="20">
        <v>0.0</v>
      </c>
      <c r="N24" s="21"/>
      <c r="O24" s="111"/>
      <c r="P24" s="98">
        <v>0.0</v>
      </c>
      <c r="Q24" s="21"/>
      <c r="R24" s="112"/>
      <c r="S24" s="113"/>
      <c r="T24" s="115"/>
    </row>
    <row r="25" ht="14.25" customHeight="1">
      <c r="A25" s="8" t="s">
        <v>150</v>
      </c>
      <c r="B25" s="8" t="s">
        <v>48</v>
      </c>
      <c r="C25" s="10"/>
      <c r="D25" s="103">
        <v>0.0</v>
      </c>
      <c r="E25" s="104"/>
      <c r="F25" s="106"/>
      <c r="G25" s="107">
        <v>0.0</v>
      </c>
      <c r="H25" s="21"/>
      <c r="I25" s="108"/>
      <c r="J25" s="109">
        <v>0.0</v>
      </c>
      <c r="K25" s="110"/>
      <c r="L25" s="110"/>
      <c r="M25" s="20">
        <v>0.0</v>
      </c>
      <c r="N25" s="21"/>
      <c r="O25" s="111"/>
      <c r="P25" s="98">
        <v>0.0</v>
      </c>
      <c r="Q25" s="21"/>
      <c r="R25" s="112"/>
      <c r="S25" s="113"/>
      <c r="T25" s="115"/>
    </row>
    <row r="26" ht="14.25" customHeight="1">
      <c r="A26" s="8" t="s">
        <v>88</v>
      </c>
      <c r="B26" s="8" t="s">
        <v>41</v>
      </c>
      <c r="C26" s="10"/>
      <c r="D26" s="103">
        <v>0.0</v>
      </c>
      <c r="E26" s="104"/>
      <c r="F26" s="106"/>
      <c r="G26" s="107">
        <v>2.0</v>
      </c>
      <c r="H26" s="58" t="s">
        <v>552</v>
      </c>
      <c r="I26" s="108"/>
      <c r="J26" s="139">
        <v>2.0</v>
      </c>
      <c r="K26" s="141" t="s">
        <v>554</v>
      </c>
      <c r="L26" s="110"/>
      <c r="M26" s="20">
        <v>1.0</v>
      </c>
      <c r="N26" s="123" t="s">
        <v>556</v>
      </c>
      <c r="O26" s="111"/>
      <c r="P26" s="98">
        <v>1.0</v>
      </c>
      <c r="Q26" s="123" t="s">
        <v>556</v>
      </c>
      <c r="R26" s="112"/>
      <c r="S26" s="128" t="b">
        <v>1</v>
      </c>
      <c r="T26" s="156" t="s">
        <v>88</v>
      </c>
    </row>
    <row r="27" ht="14.25" customHeight="1">
      <c r="A27" s="8" t="s">
        <v>94</v>
      </c>
      <c r="B27" s="8" t="s">
        <v>41</v>
      </c>
      <c r="C27" s="10" t="s">
        <v>100</v>
      </c>
      <c r="D27" s="103">
        <v>0.0</v>
      </c>
      <c r="E27" s="104"/>
      <c r="F27" s="106"/>
      <c r="G27" s="107">
        <v>0.0</v>
      </c>
      <c r="H27" s="21"/>
      <c r="I27" s="108"/>
      <c r="J27" s="109">
        <v>0.0</v>
      </c>
      <c r="K27" s="110"/>
      <c r="L27" s="110"/>
      <c r="M27" s="20">
        <v>0.0</v>
      </c>
      <c r="N27" s="126" t="s">
        <v>558</v>
      </c>
      <c r="O27" s="111"/>
      <c r="P27" s="98">
        <v>0.0</v>
      </c>
      <c r="Q27" s="21"/>
      <c r="R27" s="112"/>
      <c r="S27" s="113"/>
      <c r="T27" s="115"/>
    </row>
    <row r="28" ht="14.25" customHeight="1">
      <c r="A28" s="8" t="s">
        <v>159</v>
      </c>
      <c r="B28" s="8" t="s">
        <v>48</v>
      </c>
      <c r="C28" s="10"/>
      <c r="D28" s="103">
        <v>1.0</v>
      </c>
      <c r="E28" s="104" t="s">
        <v>560</v>
      </c>
      <c r="F28" s="106"/>
      <c r="G28" s="107">
        <v>0.0</v>
      </c>
      <c r="H28" s="21"/>
      <c r="I28" s="108"/>
      <c r="J28" s="139">
        <v>3.0</v>
      </c>
      <c r="K28" s="141" t="s">
        <v>563</v>
      </c>
      <c r="L28" s="110"/>
      <c r="M28" s="20">
        <v>0.0</v>
      </c>
      <c r="N28" s="21"/>
      <c r="O28" s="111"/>
      <c r="P28" s="98">
        <v>1.0</v>
      </c>
      <c r="Q28" s="67" t="s">
        <v>565</v>
      </c>
      <c r="R28" s="112"/>
      <c r="S28" s="113"/>
      <c r="T28" s="115"/>
    </row>
    <row r="29" ht="14.25" customHeight="1">
      <c r="A29" s="8" t="s">
        <v>165</v>
      </c>
      <c r="B29" s="8" t="s">
        <v>48</v>
      </c>
      <c r="C29" s="10"/>
      <c r="D29" s="103">
        <v>2.0</v>
      </c>
      <c r="E29" s="137" t="s">
        <v>567</v>
      </c>
      <c r="F29" s="106"/>
      <c r="G29" s="107">
        <v>0.0</v>
      </c>
      <c r="H29" s="21"/>
      <c r="I29" s="108"/>
      <c r="J29" s="109">
        <v>0.0</v>
      </c>
      <c r="K29" s="110"/>
      <c r="L29" s="110"/>
      <c r="M29" s="20">
        <v>0.0</v>
      </c>
      <c r="N29" s="21"/>
      <c r="O29" s="111"/>
      <c r="P29" s="98">
        <v>0.0</v>
      </c>
      <c r="Q29" s="21"/>
      <c r="R29" s="112"/>
      <c r="S29" s="113"/>
      <c r="T29" s="115"/>
    </row>
    <row r="30" ht="14.25" customHeight="1">
      <c r="A30" s="8" t="s">
        <v>130</v>
      </c>
      <c r="B30" s="8" t="s">
        <v>30</v>
      </c>
      <c r="C30" s="10"/>
      <c r="D30" s="103">
        <v>1.0</v>
      </c>
      <c r="E30" s="137" t="s">
        <v>571</v>
      </c>
      <c r="F30" s="106"/>
      <c r="G30" s="107">
        <v>2.0</v>
      </c>
      <c r="H30" s="58" t="s">
        <v>572</v>
      </c>
      <c r="I30" s="108"/>
      <c r="J30" s="109">
        <v>0.0</v>
      </c>
      <c r="K30" s="110"/>
      <c r="L30" s="110"/>
      <c r="M30" s="20">
        <v>0.0</v>
      </c>
      <c r="N30" s="21"/>
      <c r="O30" s="111"/>
      <c r="P30" s="98">
        <v>0.0</v>
      </c>
      <c r="Q30" s="21"/>
      <c r="R30" s="112"/>
      <c r="S30" s="113"/>
      <c r="T30" s="115"/>
    </row>
    <row r="31" ht="14.25" customHeight="1">
      <c r="A31" s="8" t="s">
        <v>175</v>
      </c>
      <c r="B31" s="8" t="s">
        <v>48</v>
      </c>
      <c r="C31" s="10"/>
      <c r="D31" s="103">
        <v>0.0</v>
      </c>
      <c r="E31" s="104"/>
      <c r="F31" s="106"/>
      <c r="G31" s="107">
        <v>0.0</v>
      </c>
      <c r="H31" s="21"/>
      <c r="I31" s="108"/>
      <c r="J31" s="109">
        <v>0.0</v>
      </c>
      <c r="K31" s="110"/>
      <c r="L31" s="110"/>
      <c r="M31" s="20">
        <v>0.0</v>
      </c>
      <c r="N31" s="21"/>
      <c r="O31" s="111"/>
      <c r="P31" s="98">
        <v>0.0</v>
      </c>
      <c r="Q31" s="21"/>
      <c r="R31" s="112"/>
      <c r="S31" s="113"/>
      <c r="T31" s="115"/>
    </row>
    <row r="32" ht="14.25" customHeight="1">
      <c r="A32" s="8" t="s">
        <v>177</v>
      </c>
      <c r="B32" s="8" t="s">
        <v>48</v>
      </c>
      <c r="C32" s="10"/>
      <c r="D32" s="103">
        <v>1.0</v>
      </c>
      <c r="E32" s="104" t="s">
        <v>579</v>
      </c>
      <c r="F32" s="106"/>
      <c r="G32" s="107">
        <v>0.0</v>
      </c>
      <c r="H32" s="21"/>
      <c r="I32" s="108"/>
      <c r="J32" s="109">
        <v>1.0</v>
      </c>
      <c r="K32" s="123" t="s">
        <v>579</v>
      </c>
      <c r="L32" s="110"/>
      <c r="M32" s="20">
        <v>0.0</v>
      </c>
      <c r="N32" s="21"/>
      <c r="O32" s="111"/>
      <c r="P32" s="98">
        <v>0.0</v>
      </c>
      <c r="Q32" s="21"/>
      <c r="R32" s="112"/>
      <c r="S32" s="113"/>
      <c r="T32" s="115"/>
    </row>
    <row r="33" ht="14.25" customHeight="1">
      <c r="A33" s="8" t="s">
        <v>102</v>
      </c>
      <c r="B33" s="8" t="s">
        <v>41</v>
      </c>
      <c r="C33" s="10"/>
      <c r="D33" s="103">
        <v>0.0</v>
      </c>
      <c r="E33" s="104"/>
      <c r="F33" s="106"/>
      <c r="G33" s="107">
        <v>0.0</v>
      </c>
      <c r="H33" s="21"/>
      <c r="I33" s="108"/>
      <c r="J33" s="109">
        <v>0.0</v>
      </c>
      <c r="K33" s="110"/>
      <c r="L33" s="110"/>
      <c r="M33" s="20">
        <v>0.0</v>
      </c>
      <c r="N33" s="21"/>
      <c r="O33" s="111"/>
      <c r="P33" s="98">
        <v>0.0</v>
      </c>
      <c r="Q33" s="21"/>
      <c r="R33" s="112"/>
      <c r="S33" s="113"/>
      <c r="T33" s="115"/>
    </row>
    <row r="34" ht="14.25" customHeight="1">
      <c r="A34" s="8" t="s">
        <v>138</v>
      </c>
      <c r="B34" s="8" t="s">
        <v>30</v>
      </c>
      <c r="C34" s="10"/>
      <c r="D34" s="103">
        <v>0.0</v>
      </c>
      <c r="E34" s="104"/>
      <c r="F34" s="106"/>
      <c r="G34" s="107">
        <v>0.0</v>
      </c>
      <c r="H34" s="21"/>
      <c r="I34" s="108"/>
      <c r="J34" s="109">
        <v>0.0</v>
      </c>
      <c r="K34" s="110"/>
      <c r="L34" s="110"/>
      <c r="M34" s="20">
        <v>0.0</v>
      </c>
      <c r="N34" s="21"/>
      <c r="O34" s="111"/>
      <c r="P34" s="98">
        <v>0.0</v>
      </c>
      <c r="Q34" s="21"/>
      <c r="R34" s="112"/>
      <c r="S34" s="113"/>
      <c r="T34" s="115"/>
    </row>
    <row r="35" ht="14.25" customHeight="1">
      <c r="A35" s="8" t="s">
        <v>180</v>
      </c>
      <c r="B35" s="8" t="s">
        <v>48</v>
      </c>
      <c r="C35" s="10"/>
      <c r="D35" s="103">
        <v>1.0</v>
      </c>
      <c r="E35" s="104" t="s">
        <v>584</v>
      </c>
      <c r="F35" s="106"/>
      <c r="G35" s="107">
        <v>0.0</v>
      </c>
      <c r="H35" s="21"/>
      <c r="I35" s="108"/>
      <c r="J35" s="109">
        <v>4.0</v>
      </c>
      <c r="K35" s="123" t="s">
        <v>586</v>
      </c>
      <c r="L35" s="110"/>
      <c r="M35" s="20">
        <v>1.0</v>
      </c>
      <c r="N35" s="58" t="s">
        <v>584</v>
      </c>
      <c r="O35" s="111" t="s">
        <v>307</v>
      </c>
      <c r="P35" s="98">
        <v>0.0</v>
      </c>
      <c r="Q35" s="66"/>
      <c r="R35" s="144" t="s">
        <v>307</v>
      </c>
      <c r="S35" s="128" t="b">
        <v>1</v>
      </c>
      <c r="T35" s="156" t="s">
        <v>589</v>
      </c>
    </row>
    <row r="36" ht="14.25" customHeight="1">
      <c r="A36" s="8" t="s">
        <v>144</v>
      </c>
      <c r="B36" s="8" t="s">
        <v>30</v>
      </c>
      <c r="C36" s="10"/>
      <c r="D36" s="103">
        <v>0.0</v>
      </c>
      <c r="E36" s="104"/>
      <c r="F36" s="106"/>
      <c r="G36" s="107">
        <v>0.0</v>
      </c>
      <c r="H36" s="21"/>
      <c r="I36" s="108"/>
      <c r="J36" s="109">
        <v>0.0</v>
      </c>
      <c r="K36" s="110"/>
      <c r="L36" s="110"/>
      <c r="M36" s="20">
        <v>0.0</v>
      </c>
      <c r="N36" s="126" t="s">
        <v>591</v>
      </c>
      <c r="O36" s="111"/>
      <c r="P36" s="98">
        <v>0.0</v>
      </c>
      <c r="Q36" s="21"/>
      <c r="R36" s="112"/>
      <c r="S36" s="113"/>
      <c r="T36" s="115"/>
    </row>
    <row r="37" ht="14.25" customHeight="1">
      <c r="A37" s="8" t="s">
        <v>183</v>
      </c>
      <c r="B37" s="8" t="s">
        <v>48</v>
      </c>
      <c r="C37" s="10"/>
      <c r="D37" s="177">
        <v>1.0</v>
      </c>
      <c r="E37" s="60" t="s">
        <v>592</v>
      </c>
      <c r="F37" s="106"/>
      <c r="G37" s="107">
        <v>1.0</v>
      </c>
      <c r="H37" s="58" t="s">
        <v>594</v>
      </c>
      <c r="I37" s="108"/>
      <c r="J37" s="109">
        <v>0.0</v>
      </c>
      <c r="K37" s="110"/>
      <c r="L37" s="110"/>
      <c r="M37" s="20">
        <v>1.0</v>
      </c>
      <c r="N37" s="58" t="s">
        <v>596</v>
      </c>
      <c r="O37" s="111"/>
      <c r="P37" s="98">
        <v>0.0</v>
      </c>
      <c r="Q37" s="58"/>
      <c r="R37" s="144" t="s">
        <v>307</v>
      </c>
      <c r="S37" s="113"/>
      <c r="T37" s="115"/>
    </row>
    <row r="38" ht="14.25" customHeight="1">
      <c r="A38" s="57" t="s">
        <v>15</v>
      </c>
      <c r="B38" s="57" t="s">
        <v>15</v>
      </c>
      <c r="C38" s="190" t="s">
        <v>22</v>
      </c>
      <c r="D38" s="103">
        <v>2.0</v>
      </c>
      <c r="E38" s="137" t="s">
        <v>601</v>
      </c>
      <c r="F38" s="106"/>
      <c r="G38" s="107">
        <v>2.0</v>
      </c>
      <c r="H38" s="58" t="s">
        <v>602</v>
      </c>
      <c r="I38" s="108"/>
      <c r="J38" s="109">
        <v>9.0</v>
      </c>
      <c r="K38" s="123" t="s">
        <v>604</v>
      </c>
      <c r="L38" s="110"/>
      <c r="M38" s="20">
        <v>1.0</v>
      </c>
      <c r="N38" s="67" t="s">
        <v>323</v>
      </c>
      <c r="O38" s="111" t="s">
        <v>307</v>
      </c>
      <c r="P38" s="98">
        <v>1.0</v>
      </c>
      <c r="Q38" s="126" t="s">
        <v>605</v>
      </c>
      <c r="R38" s="144" t="s">
        <v>307</v>
      </c>
      <c r="S38" s="128" t="b">
        <v>1</v>
      </c>
      <c r="T38" s="156" t="s">
        <v>607</v>
      </c>
    </row>
    <row r="39" ht="14.25" customHeight="1">
      <c r="A39" s="57" t="s">
        <v>15</v>
      </c>
      <c r="B39" s="57"/>
      <c r="C39" s="10"/>
      <c r="D39" s="103">
        <v>0.0</v>
      </c>
      <c r="E39" s="137"/>
      <c r="F39" s="106"/>
      <c r="G39" s="107">
        <v>0.0</v>
      </c>
      <c r="H39" s="58"/>
      <c r="I39" s="108"/>
      <c r="J39" s="109">
        <v>0.0</v>
      </c>
      <c r="K39" s="110"/>
      <c r="L39" s="110"/>
      <c r="M39" s="20">
        <v>0.0</v>
      </c>
      <c r="N39" s="21"/>
      <c r="O39" s="111"/>
      <c r="P39" s="98">
        <v>1.0</v>
      </c>
      <c r="Q39" s="58" t="s">
        <v>323</v>
      </c>
      <c r="R39" s="112"/>
      <c r="S39" s="113"/>
      <c r="T39" s="115"/>
    </row>
    <row r="40" ht="14.25" customHeight="1">
      <c r="A40" s="8" t="s">
        <v>23</v>
      </c>
      <c r="B40" s="8" t="s">
        <v>15</v>
      </c>
      <c r="C40" s="10"/>
      <c r="D40" s="103">
        <v>1.0</v>
      </c>
      <c r="E40" s="137" t="s">
        <v>324</v>
      </c>
      <c r="F40" s="106"/>
      <c r="G40" s="107">
        <v>0.0</v>
      </c>
      <c r="H40" s="21"/>
      <c r="I40" s="108"/>
      <c r="J40" s="109">
        <v>0.0</v>
      </c>
      <c r="K40" s="110"/>
      <c r="L40" s="110"/>
      <c r="M40" s="20">
        <v>0.0</v>
      </c>
      <c r="N40" s="126" t="s">
        <v>614</v>
      </c>
      <c r="O40" s="111"/>
      <c r="P40" s="98">
        <v>1.0</v>
      </c>
      <c r="Q40" s="21"/>
      <c r="R40" s="144" t="s">
        <v>307</v>
      </c>
      <c r="S40" s="128" t="b">
        <v>1</v>
      </c>
      <c r="T40" s="146" t="s">
        <v>23</v>
      </c>
    </row>
    <row r="41" ht="14.25" customHeight="1">
      <c r="A41" s="8" t="s">
        <v>151</v>
      </c>
      <c r="B41" s="8" t="s">
        <v>30</v>
      </c>
      <c r="C41" s="10"/>
      <c r="D41" s="103">
        <v>1.0</v>
      </c>
      <c r="E41" s="137" t="s">
        <v>325</v>
      </c>
      <c r="F41" s="106"/>
      <c r="G41" s="107">
        <v>1.0</v>
      </c>
      <c r="H41" s="58" t="s">
        <v>326</v>
      </c>
      <c r="I41" s="108"/>
      <c r="J41" s="109">
        <v>0.0</v>
      </c>
      <c r="K41" s="110"/>
      <c r="L41" s="110"/>
      <c r="M41" s="20">
        <v>0.0</v>
      </c>
      <c r="N41" s="21"/>
      <c r="O41" s="111"/>
      <c r="P41" s="98">
        <v>0.0</v>
      </c>
      <c r="Q41" s="21"/>
      <c r="R41" s="112"/>
      <c r="S41" s="128" t="b">
        <v>1</v>
      </c>
      <c r="T41" s="115" t="s">
        <v>151</v>
      </c>
    </row>
    <row r="42" ht="14.25" customHeight="1">
      <c r="A42" s="8" t="s">
        <v>186</v>
      </c>
      <c r="B42" s="8" t="s">
        <v>48</v>
      </c>
      <c r="C42" s="10"/>
      <c r="D42" s="103">
        <v>1.0</v>
      </c>
      <c r="E42" s="137" t="s">
        <v>598</v>
      </c>
      <c r="F42" s="106"/>
      <c r="G42" s="107">
        <v>0.0</v>
      </c>
      <c r="H42" s="21"/>
      <c r="I42" s="108"/>
      <c r="J42" s="109">
        <v>0.0</v>
      </c>
      <c r="K42" s="110"/>
      <c r="L42" s="110"/>
      <c r="M42" s="20">
        <v>1.0</v>
      </c>
      <c r="N42" s="58" t="s">
        <v>630</v>
      </c>
      <c r="O42" s="111"/>
      <c r="P42" s="98">
        <v>2.0</v>
      </c>
      <c r="Q42" s="58" t="s">
        <v>634</v>
      </c>
      <c r="R42" s="112"/>
      <c r="S42" s="128" t="b">
        <v>1</v>
      </c>
      <c r="T42" s="115" t="s">
        <v>186</v>
      </c>
    </row>
    <row r="43" ht="14.25" customHeight="1">
      <c r="A43" s="8" t="s">
        <v>40</v>
      </c>
      <c r="B43" s="8" t="s">
        <v>42</v>
      </c>
      <c r="C43" s="10"/>
      <c r="D43" s="103">
        <v>1.0</v>
      </c>
      <c r="E43" s="137" t="s">
        <v>494</v>
      </c>
      <c r="F43" s="106"/>
      <c r="G43" s="107">
        <v>0.0</v>
      </c>
      <c r="H43" s="21"/>
      <c r="I43" s="108"/>
      <c r="J43" s="109">
        <v>0.0</v>
      </c>
      <c r="K43" s="110"/>
      <c r="L43" s="110"/>
      <c r="M43" s="20">
        <v>1.0</v>
      </c>
      <c r="N43" s="58" t="s">
        <v>648</v>
      </c>
      <c r="O43" s="111"/>
      <c r="P43" s="98">
        <v>1.0</v>
      </c>
      <c r="Q43" s="21"/>
      <c r="R43" s="112"/>
      <c r="S43" s="128" t="b">
        <v>1</v>
      </c>
      <c r="T43" s="115" t="s">
        <v>40</v>
      </c>
    </row>
    <row r="44" ht="14.25" customHeight="1">
      <c r="A44" s="8" t="s">
        <v>189</v>
      </c>
      <c r="B44" s="8" t="s">
        <v>48</v>
      </c>
      <c r="C44" s="10"/>
      <c r="D44" s="103">
        <v>1.0</v>
      </c>
      <c r="E44" s="137" t="s">
        <v>653</v>
      </c>
      <c r="F44" s="106"/>
      <c r="G44" s="107">
        <v>0.0</v>
      </c>
      <c r="H44" s="21"/>
      <c r="I44" s="108"/>
      <c r="J44" s="139">
        <v>5.0</v>
      </c>
      <c r="K44" s="141" t="s">
        <v>655</v>
      </c>
      <c r="L44" s="110"/>
      <c r="M44" s="20">
        <v>0.0</v>
      </c>
      <c r="N44" s="58"/>
      <c r="O44" s="111"/>
      <c r="P44" s="98">
        <v>0.0</v>
      </c>
      <c r="Q44" s="21"/>
      <c r="R44" s="112"/>
      <c r="S44" s="128" t="b">
        <v>1</v>
      </c>
      <c r="T44" s="115" t="s">
        <v>189</v>
      </c>
    </row>
    <row r="45" ht="14.25" customHeight="1">
      <c r="A45" s="8" t="s">
        <v>193</v>
      </c>
      <c r="B45" s="8" t="s">
        <v>48</v>
      </c>
      <c r="C45" s="10"/>
      <c r="D45" s="103">
        <v>1.0</v>
      </c>
      <c r="E45" s="137" t="s">
        <v>661</v>
      </c>
      <c r="F45" s="106"/>
      <c r="G45" s="107">
        <v>0.0</v>
      </c>
      <c r="H45" s="21"/>
      <c r="I45" s="108"/>
      <c r="J45" s="139">
        <v>2.0</v>
      </c>
      <c r="K45" s="141" t="s">
        <v>664</v>
      </c>
      <c r="L45" s="110"/>
      <c r="M45" s="20">
        <v>0.0</v>
      </c>
      <c r="N45" s="126" t="s">
        <v>667</v>
      </c>
      <c r="O45" s="111"/>
      <c r="P45" s="98">
        <v>0.0</v>
      </c>
      <c r="Q45" s="21"/>
      <c r="R45" s="112"/>
      <c r="S45" s="128" t="b">
        <v>1</v>
      </c>
      <c r="T45" s="115" t="s">
        <v>193</v>
      </c>
    </row>
    <row r="46" ht="14.25" customHeight="1">
      <c r="A46" s="8" t="s">
        <v>197</v>
      </c>
      <c r="B46" s="8" t="s">
        <v>48</v>
      </c>
      <c r="C46" s="10"/>
      <c r="D46" s="103">
        <v>0.0</v>
      </c>
      <c r="E46" s="104"/>
      <c r="F46" s="106"/>
      <c r="G46" s="107">
        <v>0.0</v>
      </c>
      <c r="H46" s="21"/>
      <c r="I46" s="108"/>
      <c r="J46" s="109">
        <v>0.0</v>
      </c>
      <c r="K46" s="110"/>
      <c r="L46" s="110"/>
      <c r="M46" s="20">
        <v>0.0</v>
      </c>
      <c r="N46" s="126" t="s">
        <v>675</v>
      </c>
      <c r="O46" s="111"/>
      <c r="P46" s="98">
        <v>0.0</v>
      </c>
      <c r="Q46" s="21"/>
      <c r="R46" s="112"/>
      <c r="S46" s="113"/>
      <c r="T46" s="115"/>
    </row>
    <row r="47" ht="14.25" customHeight="1">
      <c r="A47" s="8" t="s">
        <v>200</v>
      </c>
      <c r="B47" s="8" t="s">
        <v>48</v>
      </c>
      <c r="C47" s="10"/>
      <c r="D47" s="103">
        <v>0.0</v>
      </c>
      <c r="E47" s="104"/>
      <c r="F47" s="106"/>
      <c r="G47" s="107">
        <v>0.0</v>
      </c>
      <c r="H47" s="21"/>
      <c r="I47" s="108"/>
      <c r="J47" s="109">
        <v>0.0</v>
      </c>
      <c r="K47" s="110"/>
      <c r="L47" s="110"/>
      <c r="M47" s="20">
        <v>1.0</v>
      </c>
      <c r="N47" s="58" t="s">
        <v>335</v>
      </c>
      <c r="O47" s="111" t="s">
        <v>433</v>
      </c>
      <c r="P47" s="98">
        <v>2.0</v>
      </c>
      <c r="Q47" s="58" t="s">
        <v>682</v>
      </c>
      <c r="R47" s="112"/>
      <c r="S47" s="128" t="b">
        <v>1</v>
      </c>
      <c r="T47" s="115" t="s">
        <v>200</v>
      </c>
    </row>
    <row r="48" ht="14.25" customHeight="1">
      <c r="A48" s="8" t="s">
        <v>202</v>
      </c>
      <c r="B48" s="8" t="s">
        <v>48</v>
      </c>
      <c r="C48" s="10" t="s">
        <v>206</v>
      </c>
      <c r="D48" s="103">
        <v>0.0</v>
      </c>
      <c r="E48" s="104"/>
      <c r="F48" s="106"/>
      <c r="G48" s="107">
        <v>0.0</v>
      </c>
      <c r="H48" s="58"/>
      <c r="I48" s="108"/>
      <c r="J48" s="109">
        <v>1.0</v>
      </c>
      <c r="K48" s="123" t="s">
        <v>337</v>
      </c>
      <c r="L48" s="110"/>
      <c r="M48" s="20">
        <v>0.0</v>
      </c>
      <c r="N48" s="126" t="s">
        <v>690</v>
      </c>
      <c r="O48" s="111" t="s">
        <v>433</v>
      </c>
      <c r="P48" s="98">
        <v>0.0</v>
      </c>
      <c r="Q48" s="21"/>
      <c r="R48" s="112"/>
      <c r="S48" s="128" t="b">
        <v>1</v>
      </c>
      <c r="T48" s="115" t="s">
        <v>202</v>
      </c>
      <c r="U48" s="8" t="s">
        <v>48</v>
      </c>
      <c r="V48" s="10" t="s">
        <v>206</v>
      </c>
      <c r="W48" s="103">
        <v>0.0</v>
      </c>
      <c r="X48" s="202"/>
      <c r="Y48" s="107">
        <v>0.0</v>
      </c>
      <c r="Z48" s="144"/>
      <c r="AA48" s="204">
        <v>1.0</v>
      </c>
      <c r="AB48" s="205" t="s">
        <v>337</v>
      </c>
      <c r="AC48" s="20">
        <v>0.0</v>
      </c>
      <c r="AD48" s="206" t="s">
        <v>690</v>
      </c>
      <c r="AE48" s="98">
        <v>0.0</v>
      </c>
      <c r="AF48" s="112"/>
    </row>
    <row r="49" ht="14.25" customHeight="1">
      <c r="A49" s="8" t="s">
        <v>207</v>
      </c>
      <c r="B49" s="8" t="s">
        <v>48</v>
      </c>
      <c r="C49" s="10" t="s">
        <v>211</v>
      </c>
      <c r="D49" s="177">
        <v>1.0</v>
      </c>
      <c r="E49" s="207" t="s">
        <v>709</v>
      </c>
      <c r="F49" s="106"/>
      <c r="G49" s="107">
        <v>0.0</v>
      </c>
      <c r="H49" s="58"/>
      <c r="I49" s="108"/>
      <c r="J49" s="109">
        <v>1.0</v>
      </c>
      <c r="K49" s="123" t="s">
        <v>709</v>
      </c>
      <c r="L49" s="110"/>
      <c r="M49" s="20">
        <v>0.0</v>
      </c>
      <c r="N49" s="126" t="s">
        <v>716</v>
      </c>
      <c r="O49" s="111" t="s">
        <v>433</v>
      </c>
      <c r="P49" s="98">
        <v>1.0</v>
      </c>
      <c r="Q49" s="58" t="s">
        <v>719</v>
      </c>
      <c r="R49" s="144" t="s">
        <v>307</v>
      </c>
      <c r="S49" s="128" t="b">
        <v>1</v>
      </c>
      <c r="T49" s="115" t="s">
        <v>207</v>
      </c>
    </row>
    <row r="50" ht="14.25" customHeight="1">
      <c r="A50" s="8" t="s">
        <v>212</v>
      </c>
      <c r="B50" s="8" t="s">
        <v>48</v>
      </c>
      <c r="C50" s="10" t="s">
        <v>216</v>
      </c>
      <c r="D50" s="103">
        <v>0.0</v>
      </c>
      <c r="E50" s="104"/>
      <c r="F50" s="106"/>
      <c r="G50" s="107">
        <v>0.0</v>
      </c>
      <c r="H50" s="21"/>
      <c r="I50" s="108"/>
      <c r="J50" s="139">
        <v>1.0</v>
      </c>
      <c r="K50" s="208" t="s">
        <v>725</v>
      </c>
      <c r="L50" s="110"/>
      <c r="M50" s="20">
        <v>0.0</v>
      </c>
      <c r="N50" s="126" t="s">
        <v>730</v>
      </c>
      <c r="O50" s="111" t="s">
        <v>433</v>
      </c>
      <c r="P50" s="98">
        <v>0.0</v>
      </c>
      <c r="Q50" s="21"/>
      <c r="R50" s="112"/>
      <c r="S50" s="128" t="b">
        <v>1</v>
      </c>
      <c r="T50" s="115" t="s">
        <v>212</v>
      </c>
    </row>
    <row r="51" ht="14.25" customHeight="1">
      <c r="A51" s="8" t="s">
        <v>217</v>
      </c>
      <c r="B51" s="10"/>
      <c r="C51" s="10"/>
      <c r="D51" s="103">
        <v>0.0</v>
      </c>
      <c r="E51" s="104"/>
      <c r="F51" s="106"/>
      <c r="G51" s="107">
        <v>0.0</v>
      </c>
      <c r="H51" s="21"/>
      <c r="I51" s="108"/>
      <c r="J51" s="139">
        <v>2.0</v>
      </c>
      <c r="K51" s="141" t="s">
        <v>739</v>
      </c>
      <c r="L51" s="110"/>
      <c r="M51" s="20">
        <v>0.0</v>
      </c>
      <c r="N51" s="21"/>
      <c r="O51" s="111"/>
      <c r="P51" s="98">
        <v>0.0</v>
      </c>
      <c r="Q51" s="21"/>
      <c r="R51" s="112"/>
      <c r="S51" s="113"/>
      <c r="T51" s="115"/>
    </row>
    <row r="52" ht="14.25" customHeight="1">
      <c r="A52" s="8" t="s">
        <v>221</v>
      </c>
      <c r="B52" s="8" t="s">
        <v>48</v>
      </c>
      <c r="C52" s="10"/>
      <c r="D52" s="103">
        <v>0.0</v>
      </c>
      <c r="E52" s="104"/>
      <c r="F52" s="106"/>
      <c r="G52" s="107">
        <v>0.0</v>
      </c>
      <c r="H52" s="21"/>
      <c r="I52" s="108"/>
      <c r="J52" s="109">
        <v>0.0</v>
      </c>
      <c r="K52" s="110"/>
      <c r="L52" s="110"/>
      <c r="M52" s="20">
        <v>0.0</v>
      </c>
      <c r="N52" s="21"/>
      <c r="O52" s="111"/>
      <c r="P52" s="98">
        <v>0.0</v>
      </c>
      <c r="Q52" s="21"/>
      <c r="R52" s="112"/>
      <c r="S52" s="113"/>
      <c r="T52" s="115"/>
    </row>
    <row r="53" ht="14.25" customHeight="1">
      <c r="A53" s="8" t="s">
        <v>224</v>
      </c>
      <c r="B53" s="8" t="s">
        <v>48</v>
      </c>
      <c r="C53" s="10"/>
      <c r="D53" s="103">
        <v>0.0</v>
      </c>
      <c r="E53" s="104"/>
      <c r="F53" s="106"/>
      <c r="G53" s="107">
        <v>0.0</v>
      </c>
      <c r="H53" s="21"/>
      <c r="I53" s="108"/>
      <c r="J53" s="109">
        <v>0.0</v>
      </c>
      <c r="K53" s="110"/>
      <c r="L53" s="110"/>
      <c r="M53" s="20">
        <v>0.0</v>
      </c>
      <c r="N53" s="126" t="s">
        <v>752</v>
      </c>
      <c r="O53" s="111"/>
      <c r="P53" s="98">
        <v>0.0</v>
      </c>
      <c r="Q53" s="21"/>
      <c r="R53" s="112"/>
      <c r="S53" s="113"/>
      <c r="T53" s="115"/>
    </row>
    <row r="54" ht="14.25" customHeight="1">
      <c r="A54" s="8" t="s">
        <v>226</v>
      </c>
      <c r="B54" s="8" t="s">
        <v>48</v>
      </c>
      <c r="C54" s="10"/>
      <c r="D54" s="103">
        <v>1.0</v>
      </c>
      <c r="E54" s="104" t="s">
        <v>755</v>
      </c>
      <c r="F54" s="106"/>
      <c r="G54" s="107">
        <v>1.0</v>
      </c>
      <c r="H54" s="58" t="s">
        <v>437</v>
      </c>
      <c r="I54" s="108"/>
      <c r="J54" s="109">
        <v>0.0</v>
      </c>
      <c r="K54" s="110"/>
      <c r="L54" s="110"/>
      <c r="M54" s="20">
        <v>2.0</v>
      </c>
      <c r="N54" s="58" t="s">
        <v>757</v>
      </c>
      <c r="O54" s="111"/>
      <c r="P54" s="98">
        <v>0.0</v>
      </c>
      <c r="Q54" s="21"/>
      <c r="R54" s="112"/>
      <c r="S54" s="128" t="b">
        <v>1</v>
      </c>
      <c r="T54" s="115" t="s">
        <v>226</v>
      </c>
    </row>
    <row r="55" ht="14.25" customHeight="1">
      <c r="A55" s="8" t="s">
        <v>154</v>
      </c>
      <c r="B55" s="8" t="s">
        <v>48</v>
      </c>
      <c r="C55" s="10"/>
      <c r="D55" s="103">
        <v>1.0</v>
      </c>
      <c r="E55" s="209" t="s">
        <v>694</v>
      </c>
      <c r="F55" s="106"/>
      <c r="G55" s="107">
        <v>0.0</v>
      </c>
      <c r="H55" s="21"/>
      <c r="I55" s="108"/>
      <c r="J55" s="109">
        <v>1.0</v>
      </c>
      <c r="K55" s="141" t="s">
        <v>694</v>
      </c>
      <c r="L55" s="110"/>
      <c r="M55" s="20">
        <v>0.0</v>
      </c>
      <c r="N55" s="21"/>
      <c r="O55" s="111"/>
      <c r="P55" s="98">
        <v>0.0</v>
      </c>
      <c r="Q55" s="21"/>
      <c r="R55" s="112"/>
      <c r="S55" s="128" t="b">
        <v>1</v>
      </c>
      <c r="T55" s="115" t="s">
        <v>154</v>
      </c>
    </row>
    <row r="56" ht="14.25" customHeight="1">
      <c r="A56" s="8" t="s">
        <v>106</v>
      </c>
      <c r="B56" s="8" t="s">
        <v>30</v>
      </c>
      <c r="C56" s="10"/>
      <c r="D56" s="103">
        <v>1.0</v>
      </c>
      <c r="E56" s="104" t="s">
        <v>343</v>
      </c>
      <c r="F56" s="106"/>
      <c r="G56" s="107">
        <v>1.0</v>
      </c>
      <c r="H56" s="58" t="s">
        <v>343</v>
      </c>
      <c r="I56" s="108"/>
      <c r="J56" s="109">
        <v>1.0</v>
      </c>
      <c r="K56" s="123" t="s">
        <v>343</v>
      </c>
      <c r="L56" s="110"/>
      <c r="M56" s="20">
        <v>1.0</v>
      </c>
      <c r="N56" s="58" t="s">
        <v>343</v>
      </c>
      <c r="O56" s="111" t="s">
        <v>433</v>
      </c>
      <c r="P56" s="98">
        <v>1.0</v>
      </c>
      <c r="Q56" s="58" t="s">
        <v>770</v>
      </c>
      <c r="R56" s="144" t="s">
        <v>435</v>
      </c>
      <c r="S56" s="128" t="b">
        <v>1</v>
      </c>
      <c r="T56" s="115"/>
    </row>
    <row r="57" ht="14.25" customHeight="1">
      <c r="A57" s="8" t="s">
        <v>229</v>
      </c>
      <c r="B57" s="8" t="s">
        <v>41</v>
      </c>
      <c r="C57" s="10"/>
      <c r="D57" s="103">
        <v>0.0</v>
      </c>
      <c r="E57" s="104"/>
      <c r="F57" s="106"/>
      <c r="G57" s="107">
        <v>1.0</v>
      </c>
      <c r="H57" s="58" t="s">
        <v>344</v>
      </c>
      <c r="I57" s="108"/>
      <c r="J57" s="109">
        <v>1.0</v>
      </c>
      <c r="K57" s="210" t="s">
        <v>772</v>
      </c>
      <c r="L57" s="110"/>
      <c r="M57" s="20">
        <v>0.0</v>
      </c>
      <c r="N57" s="21"/>
      <c r="O57" s="111"/>
      <c r="P57" s="98">
        <v>0.0</v>
      </c>
      <c r="Q57" s="21"/>
      <c r="R57" s="112"/>
      <c r="S57" s="113"/>
      <c r="T57" s="115"/>
    </row>
    <row r="58" ht="14.25" customHeight="1">
      <c r="A58" s="8" t="s">
        <v>232</v>
      </c>
      <c r="B58" s="8" t="s">
        <v>48</v>
      </c>
      <c r="C58" s="10"/>
      <c r="D58" s="103">
        <v>2.0</v>
      </c>
      <c r="E58" s="137" t="s">
        <v>776</v>
      </c>
      <c r="F58" s="106"/>
      <c r="G58" s="107">
        <v>2.0</v>
      </c>
      <c r="H58" s="58" t="s">
        <v>777</v>
      </c>
      <c r="I58" s="108"/>
      <c r="J58" s="109">
        <v>0.0</v>
      </c>
      <c r="K58" s="110"/>
      <c r="L58" s="110"/>
      <c r="M58" s="20">
        <v>0.0</v>
      </c>
      <c r="N58" s="126" t="s">
        <v>780</v>
      </c>
      <c r="O58" s="111" t="s">
        <v>433</v>
      </c>
      <c r="P58" s="98">
        <v>0.0</v>
      </c>
      <c r="Q58" s="21"/>
      <c r="R58" s="112"/>
      <c r="S58" s="128" t="b">
        <v>1</v>
      </c>
      <c r="T58" s="115" t="s">
        <v>232</v>
      </c>
    </row>
    <row r="59" ht="14.25" customHeight="1">
      <c r="A59" s="8" t="s">
        <v>235</v>
      </c>
      <c r="B59" s="8" t="s">
        <v>48</v>
      </c>
      <c r="C59" s="10"/>
      <c r="D59" s="103">
        <v>0.0</v>
      </c>
      <c r="E59" s="104"/>
      <c r="F59" s="106"/>
      <c r="G59" s="107">
        <v>0.0</v>
      </c>
      <c r="H59" s="21"/>
      <c r="I59" s="108"/>
      <c r="J59" s="109">
        <v>0.0</v>
      </c>
      <c r="K59" s="110"/>
      <c r="L59" s="110"/>
      <c r="M59" s="20">
        <v>1.0</v>
      </c>
      <c r="N59" s="21"/>
      <c r="O59" s="111"/>
      <c r="P59" s="98">
        <v>0.0</v>
      </c>
      <c r="Q59" s="21"/>
      <c r="R59" s="112"/>
      <c r="S59" s="113"/>
      <c r="T59" s="115"/>
    </row>
    <row r="60" ht="14.25" customHeight="1">
      <c r="A60" s="8" t="s">
        <v>237</v>
      </c>
      <c r="B60" s="8" t="s">
        <v>48</v>
      </c>
      <c r="C60" s="10"/>
      <c r="D60" s="103">
        <v>0.0</v>
      </c>
      <c r="E60" s="104"/>
      <c r="F60" s="106"/>
      <c r="G60" s="107">
        <v>0.0</v>
      </c>
      <c r="H60" s="21"/>
      <c r="I60" s="108"/>
      <c r="J60" s="109">
        <v>0.0</v>
      </c>
      <c r="K60" s="110"/>
      <c r="L60" s="110"/>
      <c r="M60" s="20">
        <v>0.0</v>
      </c>
      <c r="N60" s="126" t="s">
        <v>787</v>
      </c>
      <c r="O60" s="111" t="s">
        <v>433</v>
      </c>
      <c r="P60" s="98">
        <v>0.0</v>
      </c>
      <c r="Q60" s="21"/>
      <c r="R60" s="144" t="s">
        <v>307</v>
      </c>
      <c r="S60" s="113"/>
      <c r="T60" s="115"/>
    </row>
    <row r="61" ht="14.25" customHeight="1">
      <c r="A61" s="8" t="s">
        <v>241</v>
      </c>
      <c r="B61" s="8" t="s">
        <v>48</v>
      </c>
      <c r="C61" s="10"/>
      <c r="D61" s="103">
        <v>0.0</v>
      </c>
      <c r="E61" s="104"/>
      <c r="F61" s="106"/>
      <c r="G61" s="107">
        <v>0.0</v>
      </c>
      <c r="H61" s="21"/>
      <c r="I61" s="108"/>
      <c r="J61" s="109">
        <v>1.0</v>
      </c>
      <c r="K61" s="123" t="s">
        <v>699</v>
      </c>
      <c r="L61" s="110"/>
      <c r="M61" s="20">
        <v>0.0</v>
      </c>
      <c r="N61" s="21"/>
      <c r="O61" s="111"/>
      <c r="P61" s="98">
        <v>0.0</v>
      </c>
      <c r="Q61" s="21"/>
      <c r="R61" s="112"/>
      <c r="S61" s="113"/>
      <c r="T61" s="115"/>
    </row>
    <row r="62" ht="14.25" customHeight="1">
      <c r="A62" s="57" t="s">
        <v>41</v>
      </c>
      <c r="B62" s="57" t="s">
        <v>41</v>
      </c>
      <c r="C62" s="190" t="s">
        <v>116</v>
      </c>
      <c r="D62" s="103">
        <v>1.0</v>
      </c>
      <c r="E62" s="104" t="s">
        <v>793</v>
      </c>
      <c r="F62" s="106"/>
      <c r="G62" s="107">
        <v>1.0</v>
      </c>
      <c r="H62" s="58" t="s">
        <v>348</v>
      </c>
      <c r="I62" s="108"/>
      <c r="J62" s="109">
        <v>9.0</v>
      </c>
      <c r="K62" s="123" t="s">
        <v>795</v>
      </c>
      <c r="L62" s="110"/>
      <c r="M62" s="20">
        <v>2.0</v>
      </c>
      <c r="N62" s="58" t="s">
        <v>797</v>
      </c>
      <c r="O62" s="111" t="s">
        <v>798</v>
      </c>
      <c r="P62" s="98">
        <v>0.0</v>
      </c>
      <c r="Q62" s="66"/>
      <c r="R62" s="144" t="s">
        <v>307</v>
      </c>
      <c r="S62" s="128" t="b">
        <v>1</v>
      </c>
      <c r="T62" s="211" t="s">
        <v>41</v>
      </c>
    </row>
    <row r="63" ht="14.25" customHeight="1">
      <c r="A63" s="57" t="s">
        <v>41</v>
      </c>
      <c r="B63" s="57" t="s">
        <v>41</v>
      </c>
      <c r="C63" s="10"/>
      <c r="D63" s="103">
        <v>0.0</v>
      </c>
      <c r="E63" s="104"/>
      <c r="F63" s="106"/>
      <c r="G63" s="107">
        <v>1.0</v>
      </c>
      <c r="H63" s="58" t="s">
        <v>431</v>
      </c>
      <c r="I63" s="108"/>
      <c r="J63" s="109">
        <v>0.0</v>
      </c>
      <c r="K63" s="110"/>
      <c r="L63" s="110"/>
      <c r="M63" s="20">
        <v>1.0</v>
      </c>
      <c r="N63" s="58" t="s">
        <v>808</v>
      </c>
      <c r="O63" s="111"/>
      <c r="P63" s="98">
        <v>1.0</v>
      </c>
      <c r="Q63" s="58" t="s">
        <v>809</v>
      </c>
      <c r="R63" s="144"/>
      <c r="S63" s="128" t="b">
        <v>1</v>
      </c>
      <c r="T63" s="212" t="s">
        <v>812</v>
      </c>
    </row>
    <row r="64" ht="14.25" customHeight="1">
      <c r="A64" s="8" t="s">
        <v>25</v>
      </c>
      <c r="B64" s="10"/>
      <c r="C64" s="10"/>
      <c r="D64" s="103">
        <v>2.0</v>
      </c>
      <c r="E64" s="137" t="s">
        <v>816</v>
      </c>
      <c r="F64" s="106"/>
      <c r="G64" s="107">
        <v>1.0</v>
      </c>
      <c r="H64" s="123" t="s">
        <v>817</v>
      </c>
      <c r="I64" s="108"/>
      <c r="J64" s="109">
        <v>1.0</v>
      </c>
      <c r="K64" s="123" t="s">
        <v>819</v>
      </c>
      <c r="L64" s="110"/>
      <c r="M64" s="20">
        <v>0.0</v>
      </c>
      <c r="N64" s="21"/>
      <c r="O64" s="111"/>
      <c r="P64" s="98">
        <v>0.0</v>
      </c>
      <c r="Q64" s="126" t="s">
        <v>823</v>
      </c>
      <c r="R64" s="144" t="s">
        <v>535</v>
      </c>
      <c r="S64" s="128" t="b">
        <v>1</v>
      </c>
      <c r="T64" s="115" t="s">
        <v>25</v>
      </c>
    </row>
    <row r="65" ht="14.25" customHeight="1">
      <c r="A65" s="8" t="s">
        <v>28</v>
      </c>
      <c r="B65" s="8" t="s">
        <v>15</v>
      </c>
      <c r="C65" s="10"/>
      <c r="D65" s="103">
        <v>1.0</v>
      </c>
      <c r="E65" s="137" t="s">
        <v>825</v>
      </c>
      <c r="F65" s="106"/>
      <c r="G65" s="107">
        <v>0.0</v>
      </c>
      <c r="H65" s="58"/>
      <c r="I65" s="108"/>
      <c r="J65" s="109">
        <v>0.0</v>
      </c>
      <c r="K65" s="110"/>
      <c r="L65" s="110"/>
      <c r="M65" s="20">
        <v>0.0</v>
      </c>
      <c r="N65" s="58" t="s">
        <v>829</v>
      </c>
      <c r="O65" s="111"/>
      <c r="P65" s="98">
        <v>0.0</v>
      </c>
      <c r="Q65" s="126" t="s">
        <v>831</v>
      </c>
      <c r="R65" s="112"/>
      <c r="S65" s="128" t="b">
        <v>1</v>
      </c>
      <c r="T65" s="115" t="s">
        <v>28</v>
      </c>
    </row>
    <row r="66" ht="14.25" customHeight="1">
      <c r="A66" s="8" t="s">
        <v>31</v>
      </c>
      <c r="B66" s="8" t="s">
        <v>15</v>
      </c>
      <c r="C66" s="10"/>
      <c r="D66" s="103">
        <v>0.0</v>
      </c>
      <c r="E66" s="137"/>
      <c r="F66" s="106"/>
      <c r="G66" s="107">
        <v>1.0</v>
      </c>
      <c r="H66" s="58" t="s">
        <v>833</v>
      </c>
      <c r="I66" s="108"/>
      <c r="J66" s="109">
        <v>0.0</v>
      </c>
      <c r="K66" s="110"/>
      <c r="L66" s="110"/>
      <c r="M66" s="20">
        <v>1.0</v>
      </c>
      <c r="N66" s="58" t="s">
        <v>834</v>
      </c>
      <c r="O66" s="111"/>
      <c r="P66" s="98">
        <v>0.0</v>
      </c>
      <c r="Q66" s="21"/>
      <c r="R66" s="144" t="s">
        <v>307</v>
      </c>
      <c r="S66" s="128" t="b">
        <v>1</v>
      </c>
      <c r="T66" s="115" t="s">
        <v>31</v>
      </c>
    </row>
    <row r="67" ht="14.25" customHeight="1">
      <c r="A67" s="8" t="s">
        <v>245</v>
      </c>
      <c r="B67" s="8" t="s">
        <v>15</v>
      </c>
      <c r="C67" s="10"/>
      <c r="D67" s="103">
        <v>2.0</v>
      </c>
      <c r="E67" s="137" t="s">
        <v>835</v>
      </c>
      <c r="F67" s="106"/>
      <c r="G67" s="107">
        <v>0.0</v>
      </c>
      <c r="H67" s="21"/>
      <c r="I67" s="108"/>
      <c r="J67" s="109">
        <v>0.0</v>
      </c>
      <c r="K67" s="110"/>
      <c r="L67" s="110"/>
      <c r="M67" s="20">
        <v>0.0</v>
      </c>
      <c r="N67" s="21"/>
      <c r="O67" s="111"/>
      <c r="P67" s="98">
        <v>0.0</v>
      </c>
      <c r="Q67" s="21"/>
      <c r="R67" s="112"/>
      <c r="S67" s="113"/>
      <c r="T67" s="115"/>
    </row>
    <row r="68" ht="14.25" customHeight="1">
      <c r="A68" s="8" t="s">
        <v>249</v>
      </c>
      <c r="B68" s="8" t="s">
        <v>48</v>
      </c>
      <c r="C68" s="10"/>
      <c r="D68" s="103">
        <v>0.0</v>
      </c>
      <c r="E68" s="137"/>
      <c r="F68" s="106"/>
      <c r="G68" s="107">
        <v>0.0</v>
      </c>
      <c r="H68" s="21"/>
      <c r="I68" s="108"/>
      <c r="J68" s="109">
        <v>0.0</v>
      </c>
      <c r="K68" s="110"/>
      <c r="L68" s="110"/>
      <c r="M68" s="20">
        <v>0.0</v>
      </c>
      <c r="N68" s="126" t="s">
        <v>838</v>
      </c>
      <c r="O68" s="111"/>
      <c r="P68" s="98">
        <v>1.0</v>
      </c>
      <c r="Q68" s="58" t="s">
        <v>839</v>
      </c>
      <c r="R68" s="112"/>
      <c r="S68" s="128" t="b">
        <v>1</v>
      </c>
      <c r="T68" s="115" t="s">
        <v>249</v>
      </c>
    </row>
    <row r="69" ht="14.25" customHeight="1">
      <c r="A69" s="8" t="s">
        <v>251</v>
      </c>
      <c r="B69" s="8" t="s">
        <v>48</v>
      </c>
      <c r="C69" s="10"/>
      <c r="D69" s="103">
        <v>1.0</v>
      </c>
      <c r="E69" s="137" t="s">
        <v>717</v>
      </c>
      <c r="F69" s="106"/>
      <c r="G69" s="107">
        <v>0.0</v>
      </c>
      <c r="H69" s="21"/>
      <c r="I69" s="108"/>
      <c r="J69" s="109">
        <v>6.0</v>
      </c>
      <c r="K69" s="123" t="s">
        <v>840</v>
      </c>
      <c r="L69" s="110"/>
      <c r="M69" s="20">
        <v>1.0</v>
      </c>
      <c r="N69" s="58" t="s">
        <v>841</v>
      </c>
      <c r="O69" s="111"/>
      <c r="P69" s="98">
        <v>0.0</v>
      </c>
      <c r="Q69" s="21"/>
      <c r="R69" s="112"/>
      <c r="S69" s="128" t="b">
        <v>1</v>
      </c>
      <c r="T69" s="115" t="s">
        <v>251</v>
      </c>
    </row>
    <row r="70" ht="14.25" customHeight="1">
      <c r="A70" s="8" t="s">
        <v>156</v>
      </c>
      <c r="B70" s="8" t="s">
        <v>48</v>
      </c>
      <c r="C70" s="10"/>
      <c r="D70" s="103">
        <v>0.0</v>
      </c>
      <c r="E70" s="137"/>
      <c r="F70" s="106"/>
      <c r="G70" s="107">
        <v>1.0</v>
      </c>
      <c r="H70" s="58" t="s">
        <v>505</v>
      </c>
      <c r="I70" s="108"/>
      <c r="J70" s="109">
        <v>0.0</v>
      </c>
      <c r="K70" s="110"/>
      <c r="L70" s="110"/>
      <c r="M70" s="20">
        <v>0.0</v>
      </c>
      <c r="N70" s="126" t="s">
        <v>844</v>
      </c>
      <c r="O70" s="111"/>
      <c r="P70" s="98">
        <v>0.0</v>
      </c>
      <c r="Q70" s="21"/>
      <c r="R70" s="112"/>
      <c r="S70" s="128" t="b">
        <v>1</v>
      </c>
      <c r="T70" s="115" t="s">
        <v>156</v>
      </c>
    </row>
    <row r="71" ht="14.25" customHeight="1">
      <c r="A71" s="8" t="s">
        <v>158</v>
      </c>
      <c r="B71" s="8" t="s">
        <v>30</v>
      </c>
      <c r="C71" s="10"/>
      <c r="D71" s="150">
        <v>3.0</v>
      </c>
      <c r="E71" s="152" t="s">
        <v>845</v>
      </c>
      <c r="F71" s="106"/>
      <c r="G71" s="107">
        <v>0.0</v>
      </c>
      <c r="H71" s="21"/>
      <c r="I71" s="108"/>
      <c r="J71" s="109">
        <v>1.0</v>
      </c>
      <c r="K71" s="141" t="s">
        <v>846</v>
      </c>
      <c r="L71" s="110"/>
      <c r="M71" s="20">
        <v>0.0</v>
      </c>
      <c r="N71" s="21"/>
      <c r="O71" s="111"/>
      <c r="P71" s="98">
        <v>0.0</v>
      </c>
      <c r="Q71" s="21"/>
      <c r="R71" s="112"/>
      <c r="S71" s="113"/>
      <c r="T71" s="115"/>
    </row>
    <row r="72" ht="14.25" customHeight="1">
      <c r="A72" s="8" t="s">
        <v>253</v>
      </c>
      <c r="B72" s="8" t="s">
        <v>30</v>
      </c>
      <c r="C72" s="10"/>
      <c r="D72" s="103">
        <v>0.0</v>
      </c>
      <c r="E72" s="104"/>
      <c r="F72" s="106"/>
      <c r="G72" s="107">
        <v>2.0</v>
      </c>
      <c r="H72" s="58" t="s">
        <v>847</v>
      </c>
      <c r="I72" s="108"/>
      <c r="J72" s="109">
        <v>1.0</v>
      </c>
      <c r="K72" s="141" t="s">
        <v>353</v>
      </c>
      <c r="L72" s="110"/>
      <c r="M72" s="20">
        <v>1.0</v>
      </c>
      <c r="N72" s="213" t="s">
        <v>848</v>
      </c>
      <c r="O72" s="111"/>
      <c r="P72" s="98">
        <v>1.0</v>
      </c>
      <c r="Q72" s="58" t="s">
        <v>849</v>
      </c>
      <c r="R72" s="112"/>
      <c r="S72" s="128" t="b">
        <v>1</v>
      </c>
      <c r="T72" s="115" t="s">
        <v>253</v>
      </c>
    </row>
    <row r="73" ht="14.25" customHeight="1">
      <c r="A73" s="8" t="s">
        <v>164</v>
      </c>
      <c r="B73" s="8" t="s">
        <v>48</v>
      </c>
      <c r="C73" s="10"/>
      <c r="D73" s="103">
        <v>0.0</v>
      </c>
      <c r="E73" s="104"/>
      <c r="F73" s="106"/>
      <c r="G73" s="107">
        <v>0.0</v>
      </c>
      <c r="H73" s="21"/>
      <c r="I73" s="108"/>
      <c r="J73" s="109">
        <v>2.0</v>
      </c>
      <c r="K73" s="123" t="s">
        <v>851</v>
      </c>
      <c r="L73" s="110"/>
      <c r="M73" s="20">
        <v>0.0</v>
      </c>
      <c r="N73" s="21"/>
      <c r="O73" s="111"/>
      <c r="P73" s="98">
        <v>0.0</v>
      </c>
      <c r="Q73" s="21"/>
      <c r="R73" s="112"/>
      <c r="S73" s="113"/>
      <c r="T73" s="115"/>
    </row>
    <row r="74" ht="14.25" customHeight="1">
      <c r="A74" s="8" t="s">
        <v>257</v>
      </c>
      <c r="B74" s="8" t="s">
        <v>30</v>
      </c>
      <c r="C74" s="10"/>
      <c r="D74" s="103">
        <v>0.0</v>
      </c>
      <c r="E74" s="104"/>
      <c r="F74" s="106"/>
      <c r="G74" s="107">
        <v>0.0</v>
      </c>
      <c r="H74" s="21"/>
      <c r="I74" s="108"/>
      <c r="J74" s="109">
        <v>1.0</v>
      </c>
      <c r="K74" s="123" t="s">
        <v>854</v>
      </c>
      <c r="L74" s="110"/>
      <c r="M74" s="20">
        <v>0.0</v>
      </c>
      <c r="N74" s="21"/>
      <c r="O74" s="111"/>
      <c r="P74" s="98">
        <v>0.0</v>
      </c>
      <c r="Q74" s="21"/>
      <c r="R74" s="112"/>
      <c r="S74" s="113"/>
      <c r="T74" s="115"/>
    </row>
    <row r="75" ht="14.25" customHeight="1">
      <c r="A75" s="8" t="s">
        <v>261</v>
      </c>
      <c r="B75" s="8" t="s">
        <v>48</v>
      </c>
      <c r="C75" s="10"/>
      <c r="D75" s="103">
        <v>0.0</v>
      </c>
      <c r="E75" s="104"/>
      <c r="F75" s="106"/>
      <c r="G75" s="107">
        <v>0.0</v>
      </c>
      <c r="H75" s="21"/>
      <c r="I75" s="108"/>
      <c r="J75" s="109">
        <v>1.0</v>
      </c>
      <c r="K75" s="208" t="s">
        <v>857</v>
      </c>
      <c r="L75" s="110"/>
      <c r="M75" s="20">
        <v>0.0</v>
      </c>
      <c r="N75" s="21"/>
      <c r="O75" s="111"/>
      <c r="P75" s="98">
        <v>0.0</v>
      </c>
      <c r="Q75" s="21"/>
      <c r="R75" s="112"/>
      <c r="S75" s="113"/>
      <c r="T75" s="115"/>
    </row>
    <row r="76" ht="14.25" customHeight="1">
      <c r="A76" s="8" t="s">
        <v>265</v>
      </c>
      <c r="B76" s="8" t="s">
        <v>48</v>
      </c>
      <c r="C76" s="10"/>
      <c r="D76" s="103">
        <v>1.0</v>
      </c>
      <c r="E76" s="137" t="s">
        <v>859</v>
      </c>
      <c r="F76" s="106"/>
      <c r="G76" s="107">
        <v>0.0</v>
      </c>
      <c r="H76" s="21"/>
      <c r="I76" s="108"/>
      <c r="J76" s="109">
        <v>0.0</v>
      </c>
      <c r="K76" s="110"/>
      <c r="L76" s="110"/>
      <c r="M76" s="20">
        <v>1.0</v>
      </c>
      <c r="N76" s="58" t="s">
        <v>735</v>
      </c>
      <c r="O76" s="111"/>
      <c r="P76" s="98">
        <v>1.0</v>
      </c>
      <c r="Q76" s="58" t="s">
        <v>861</v>
      </c>
      <c r="R76" s="144" t="s">
        <v>307</v>
      </c>
      <c r="S76" s="128" t="b">
        <v>1</v>
      </c>
      <c r="T76" s="115" t="s">
        <v>265</v>
      </c>
    </row>
    <row r="77" ht="14.25" customHeight="1">
      <c r="A77" s="10" t="s">
        <v>30</v>
      </c>
      <c r="B77" s="8" t="s">
        <v>48</v>
      </c>
      <c r="C77" s="10"/>
      <c r="D77" s="103">
        <v>1.0</v>
      </c>
      <c r="E77" s="137" t="s">
        <v>863</v>
      </c>
      <c r="F77" s="106"/>
      <c r="G77" s="107">
        <v>0.0</v>
      </c>
      <c r="H77" s="21"/>
      <c r="I77" s="108"/>
      <c r="J77" s="109">
        <v>0.0</v>
      </c>
      <c r="K77" s="110"/>
      <c r="L77" s="110"/>
      <c r="M77" s="18"/>
      <c r="N77" s="21"/>
      <c r="O77" s="111"/>
      <c r="P77" s="98">
        <v>0.0</v>
      </c>
      <c r="Q77" s="21"/>
      <c r="R77" s="112"/>
      <c r="S77" s="113"/>
      <c r="T77" s="115"/>
    </row>
    <row r="78" ht="14.25" customHeight="1">
      <c r="A78" s="8" t="s">
        <v>170</v>
      </c>
      <c r="B78" s="10"/>
      <c r="C78" s="10"/>
      <c r="D78" s="103">
        <v>1.0</v>
      </c>
      <c r="E78" s="137" t="s">
        <v>866</v>
      </c>
      <c r="F78" s="106"/>
      <c r="G78" s="107">
        <v>1.0</v>
      </c>
      <c r="H78" s="58" t="s">
        <v>360</v>
      </c>
      <c r="I78" s="108"/>
      <c r="J78" s="109">
        <v>2.0</v>
      </c>
      <c r="K78" s="123" t="s">
        <v>867</v>
      </c>
      <c r="L78" s="110"/>
      <c r="M78" s="20">
        <v>1.0</v>
      </c>
      <c r="N78" s="213" t="s">
        <v>869</v>
      </c>
      <c r="O78" s="111" t="s">
        <v>307</v>
      </c>
      <c r="P78" s="98">
        <v>0.0</v>
      </c>
      <c r="Q78" s="21"/>
      <c r="R78" s="144" t="s">
        <v>307</v>
      </c>
      <c r="S78" s="128" t="b">
        <v>1</v>
      </c>
      <c r="T78" s="115" t="s">
        <v>170</v>
      </c>
    </row>
    <row r="79" ht="14.25" customHeight="1">
      <c r="A79" s="10" t="s">
        <v>48</v>
      </c>
      <c r="B79" s="8" t="s">
        <v>30</v>
      </c>
      <c r="C79" s="10"/>
      <c r="D79" s="103">
        <v>0.0</v>
      </c>
      <c r="E79" s="137"/>
      <c r="F79" s="106"/>
      <c r="G79" s="107">
        <v>1.0</v>
      </c>
      <c r="H79" s="58" t="s">
        <v>363</v>
      </c>
      <c r="I79" s="108"/>
      <c r="J79" s="109">
        <v>0.0</v>
      </c>
      <c r="K79" s="110"/>
      <c r="L79" s="110"/>
      <c r="M79" s="20">
        <v>1.0</v>
      </c>
      <c r="N79" s="213" t="s">
        <v>873</v>
      </c>
      <c r="O79" s="111"/>
      <c r="P79" s="98">
        <v>0.0</v>
      </c>
      <c r="Q79" s="21"/>
      <c r="R79" s="112"/>
      <c r="S79" s="128" t="b">
        <v>1</v>
      </c>
      <c r="T79" s="183" t="s">
        <v>48</v>
      </c>
    </row>
    <row r="80" ht="14.25" customHeight="1">
      <c r="A80" s="8" t="s">
        <v>268</v>
      </c>
      <c r="B80" s="10"/>
      <c r="C80" s="10"/>
      <c r="D80" s="103">
        <v>1.0</v>
      </c>
      <c r="E80" s="137" t="s">
        <v>877</v>
      </c>
      <c r="F80" s="106"/>
      <c r="G80" s="107">
        <v>0.0</v>
      </c>
      <c r="H80" s="21"/>
      <c r="I80" s="108"/>
      <c r="J80" s="109">
        <v>1.0</v>
      </c>
      <c r="K80" s="123" t="s">
        <v>879</v>
      </c>
      <c r="L80" s="110"/>
      <c r="M80" s="20">
        <v>1.0</v>
      </c>
      <c r="N80" s="58" t="s">
        <v>463</v>
      </c>
      <c r="O80" s="111"/>
      <c r="P80" s="98">
        <v>0.0</v>
      </c>
      <c r="Q80" s="21"/>
      <c r="R80" s="112"/>
      <c r="S80" s="128" t="b">
        <v>1</v>
      </c>
      <c r="T80" s="115" t="s">
        <v>268</v>
      </c>
    </row>
    <row r="81" ht="14.25" customHeight="1">
      <c r="A81" s="8" t="s">
        <v>35</v>
      </c>
      <c r="B81" s="8" t="s">
        <v>48</v>
      </c>
      <c r="C81" s="10"/>
      <c r="D81" s="103">
        <v>2.0</v>
      </c>
      <c r="E81" s="137" t="s">
        <v>880</v>
      </c>
      <c r="F81" s="106"/>
      <c r="G81" s="107">
        <v>3.0</v>
      </c>
      <c r="H81" s="58" t="s">
        <v>881</v>
      </c>
      <c r="I81" s="108"/>
      <c r="J81" s="109">
        <v>2.0</v>
      </c>
      <c r="K81" s="123" t="s">
        <v>880</v>
      </c>
      <c r="L81" s="110"/>
      <c r="M81" s="20">
        <v>2.0</v>
      </c>
      <c r="N81" s="58" t="s">
        <v>883</v>
      </c>
      <c r="O81" s="111"/>
      <c r="P81" s="98">
        <v>2.0</v>
      </c>
      <c r="Q81" s="58" t="s">
        <v>884</v>
      </c>
      <c r="R81" s="144" t="s">
        <v>535</v>
      </c>
      <c r="S81" s="128" t="b">
        <v>1</v>
      </c>
      <c r="T81" s="115" t="s">
        <v>35</v>
      </c>
    </row>
    <row r="82" ht="14.25" customHeight="1">
      <c r="A82" s="8" t="s">
        <v>270</v>
      </c>
      <c r="B82" s="8" t="s">
        <v>15</v>
      </c>
      <c r="C82" s="10"/>
      <c r="D82" s="103">
        <v>1.0</v>
      </c>
      <c r="E82" s="137" t="s">
        <v>888</v>
      </c>
      <c r="F82" s="106"/>
      <c r="G82" s="107">
        <v>0.0</v>
      </c>
      <c r="H82" s="21"/>
      <c r="I82" s="108"/>
      <c r="J82" s="109">
        <v>0.0</v>
      </c>
      <c r="K82" s="66"/>
      <c r="L82" s="110"/>
      <c r="M82" s="20">
        <v>0.0</v>
      </c>
      <c r="N82" s="126" t="s">
        <v>891</v>
      </c>
      <c r="O82" s="111"/>
      <c r="P82" s="98">
        <v>0.0</v>
      </c>
      <c r="Q82" s="21"/>
      <c r="R82" s="144" t="s">
        <v>435</v>
      </c>
      <c r="S82" s="128" t="b">
        <v>1</v>
      </c>
      <c r="T82" s="115" t="s">
        <v>270</v>
      </c>
    </row>
    <row r="83" ht="14.25" customHeight="1">
      <c r="A83" s="8" t="s">
        <v>272</v>
      </c>
      <c r="B83" s="8" t="s">
        <v>48</v>
      </c>
      <c r="C83" s="10"/>
      <c r="D83" s="103">
        <v>0.0</v>
      </c>
      <c r="E83" s="137"/>
      <c r="F83" s="106"/>
      <c r="G83" s="107">
        <v>0.0</v>
      </c>
      <c r="H83" s="21"/>
      <c r="I83" s="108"/>
      <c r="J83" s="109">
        <v>0.0</v>
      </c>
      <c r="K83" s="110"/>
      <c r="L83" s="110"/>
      <c r="M83" s="20">
        <v>0.0</v>
      </c>
      <c r="N83" s="21"/>
      <c r="O83" s="111"/>
      <c r="P83" s="98">
        <v>0.0</v>
      </c>
      <c r="Q83" s="21"/>
      <c r="R83" s="112"/>
      <c r="S83" s="113"/>
      <c r="T83" s="115"/>
    </row>
    <row r="84" ht="14.25" customHeight="1">
      <c r="A84" s="8" t="s">
        <v>47</v>
      </c>
      <c r="B84" s="8" t="s">
        <v>48</v>
      </c>
      <c r="C84" s="10"/>
      <c r="D84" s="103">
        <v>1.0</v>
      </c>
      <c r="E84" s="137" t="s">
        <v>370</v>
      </c>
      <c r="F84" s="106"/>
      <c r="G84" s="107">
        <v>1.0</v>
      </c>
      <c r="H84" s="58" t="s">
        <v>370</v>
      </c>
      <c r="I84" s="108"/>
      <c r="J84" s="109">
        <v>0.0</v>
      </c>
      <c r="K84" s="110"/>
      <c r="L84" s="110"/>
      <c r="M84" s="20">
        <v>1.0</v>
      </c>
      <c r="N84" s="58" t="s">
        <v>897</v>
      </c>
      <c r="O84" s="111"/>
      <c r="P84" s="98">
        <v>2.0</v>
      </c>
      <c r="Q84" s="58" t="s">
        <v>899</v>
      </c>
      <c r="R84" s="144" t="s">
        <v>307</v>
      </c>
      <c r="S84" s="128" t="b">
        <v>1</v>
      </c>
      <c r="T84" s="115" t="s">
        <v>47</v>
      </c>
    </row>
    <row r="85" ht="14.25" customHeight="1">
      <c r="A85" s="8" t="s">
        <v>275</v>
      </c>
      <c r="B85" s="8" t="s">
        <v>42</v>
      </c>
      <c r="C85" s="10"/>
      <c r="D85" s="103">
        <v>0.0</v>
      </c>
      <c r="E85" s="137"/>
      <c r="F85" s="106"/>
      <c r="G85" s="107">
        <v>0.0</v>
      </c>
      <c r="H85" s="21"/>
      <c r="I85" s="108"/>
      <c r="J85" s="109">
        <v>0.0</v>
      </c>
      <c r="K85" s="110"/>
      <c r="L85" s="110"/>
      <c r="M85" s="20">
        <v>0.0</v>
      </c>
      <c r="N85" s="126" t="s">
        <v>905</v>
      </c>
      <c r="O85" s="111"/>
      <c r="P85" s="98">
        <v>0.0</v>
      </c>
      <c r="Q85" s="21"/>
      <c r="R85" s="112"/>
      <c r="S85" s="113"/>
      <c r="T85" s="115"/>
    </row>
    <row r="86" ht="14.25" customHeight="1">
      <c r="A86" s="8" t="s">
        <v>279</v>
      </c>
      <c r="B86" s="8" t="s">
        <v>48</v>
      </c>
      <c r="C86" s="10"/>
      <c r="D86" s="103">
        <v>0.0</v>
      </c>
      <c r="E86" s="137"/>
      <c r="F86" s="106"/>
      <c r="G86" s="107">
        <v>0.0</v>
      </c>
      <c r="H86" s="21"/>
      <c r="I86" s="108"/>
      <c r="J86" s="109">
        <v>0.0</v>
      </c>
      <c r="K86" s="110"/>
      <c r="L86" s="110"/>
      <c r="M86" s="20">
        <v>0.0</v>
      </c>
      <c r="N86" s="21"/>
      <c r="O86" s="111"/>
      <c r="P86" s="98">
        <v>1.0</v>
      </c>
      <c r="Q86" s="58" t="s">
        <v>909</v>
      </c>
      <c r="R86" s="112"/>
      <c r="S86" s="113"/>
      <c r="T86" s="115"/>
    </row>
    <row r="87" ht="14.25" customHeight="1">
      <c r="A87" s="8" t="s">
        <v>58</v>
      </c>
      <c r="B87" s="8" t="s">
        <v>48</v>
      </c>
      <c r="C87" s="10"/>
      <c r="D87" s="103">
        <v>1.0</v>
      </c>
      <c r="E87" s="137" t="s">
        <v>910</v>
      </c>
      <c r="F87" s="106"/>
      <c r="G87" s="107">
        <v>0.0</v>
      </c>
      <c r="H87" s="21"/>
      <c r="I87" s="108"/>
      <c r="J87" s="109">
        <v>2.0</v>
      </c>
      <c r="K87" s="123" t="s">
        <v>912</v>
      </c>
      <c r="L87" s="110"/>
      <c r="M87" s="20">
        <v>1.0</v>
      </c>
      <c r="N87" s="58" t="s">
        <v>913</v>
      </c>
      <c r="O87" s="111"/>
      <c r="P87" s="98">
        <v>1.0</v>
      </c>
      <c r="Q87" s="58" t="s">
        <v>915</v>
      </c>
      <c r="R87" s="112"/>
      <c r="S87" s="128" t="b">
        <v>1</v>
      </c>
      <c r="T87" s="115" t="s">
        <v>58</v>
      </c>
    </row>
    <row r="88" ht="14.25" customHeight="1">
      <c r="A88" s="8" t="s">
        <v>119</v>
      </c>
      <c r="B88" s="8" t="s">
        <v>42</v>
      </c>
      <c r="C88" s="10"/>
      <c r="D88" s="103">
        <v>0.0</v>
      </c>
      <c r="E88" s="104"/>
      <c r="F88" s="106"/>
      <c r="G88" s="107">
        <v>1.0</v>
      </c>
      <c r="H88" s="214" t="s">
        <v>729</v>
      </c>
      <c r="I88" s="108"/>
      <c r="J88" s="109">
        <v>0.0</v>
      </c>
      <c r="K88" s="110"/>
      <c r="L88" s="110"/>
      <c r="M88" s="20">
        <v>0.0</v>
      </c>
      <c r="N88" s="21"/>
      <c r="O88" s="111"/>
      <c r="P88" s="98">
        <v>0.0</v>
      </c>
      <c r="Q88" s="21"/>
      <c r="R88" s="112"/>
      <c r="S88" s="113"/>
      <c r="T88" s="115"/>
    </row>
    <row r="89" ht="14.25" customHeight="1">
      <c r="A89" s="8" t="s">
        <v>281</v>
      </c>
      <c r="B89" s="8" t="s">
        <v>41</v>
      </c>
      <c r="C89" s="10" t="s">
        <v>285</v>
      </c>
      <c r="D89" s="103">
        <v>0.0</v>
      </c>
      <c r="E89" s="104"/>
      <c r="F89" s="106"/>
      <c r="G89" s="107">
        <v>0.0</v>
      </c>
      <c r="H89" s="21"/>
      <c r="I89" s="108"/>
      <c r="J89" s="109">
        <v>0.0</v>
      </c>
      <c r="K89" s="110"/>
      <c r="L89" s="110"/>
      <c r="M89" s="20">
        <v>0.0</v>
      </c>
      <c r="N89" s="126" t="s">
        <v>922</v>
      </c>
      <c r="O89" s="111"/>
      <c r="P89" s="98">
        <v>0.0</v>
      </c>
      <c r="Q89" s="21"/>
      <c r="R89" s="112"/>
      <c r="S89" s="113"/>
      <c r="T89" s="115"/>
    </row>
    <row r="90" ht="14.25" customHeight="1">
      <c r="A90" s="8" t="s">
        <v>286</v>
      </c>
      <c r="B90" s="8" t="s">
        <v>48</v>
      </c>
      <c r="C90" s="10"/>
      <c r="D90" s="103">
        <v>0.0</v>
      </c>
      <c r="E90" s="104"/>
      <c r="F90" s="106"/>
      <c r="G90" s="107">
        <v>0.0</v>
      </c>
      <c r="H90" s="21"/>
      <c r="I90" s="108"/>
      <c r="J90" s="109">
        <v>0.0</v>
      </c>
      <c r="K90" s="110"/>
      <c r="L90" s="110"/>
      <c r="M90" s="20">
        <v>0.0</v>
      </c>
      <c r="N90" s="126" t="s">
        <v>926</v>
      </c>
      <c r="O90" s="111"/>
      <c r="P90" s="98">
        <v>0.0</v>
      </c>
      <c r="Q90" s="21"/>
      <c r="R90" s="112"/>
      <c r="S90" s="113"/>
      <c r="T90" s="115"/>
    </row>
    <row r="91" ht="14.25" customHeight="1">
      <c r="A91" s="8" t="s">
        <v>64</v>
      </c>
      <c r="B91" s="8" t="s">
        <v>48</v>
      </c>
      <c r="C91" s="10"/>
      <c r="D91" s="103">
        <v>1.0</v>
      </c>
      <c r="E91" s="137" t="s">
        <v>927</v>
      </c>
      <c r="F91" s="106"/>
      <c r="G91" s="107">
        <v>2.0</v>
      </c>
      <c r="H91" s="58" t="s">
        <v>928</v>
      </c>
      <c r="I91" s="108"/>
      <c r="J91" s="109">
        <v>0.0</v>
      </c>
      <c r="K91" s="110"/>
      <c r="L91" s="110"/>
      <c r="M91" s="20">
        <v>0.0</v>
      </c>
      <c r="N91" s="21"/>
      <c r="O91" s="111"/>
      <c r="P91" s="98">
        <v>0.0</v>
      </c>
      <c r="Q91" s="21"/>
      <c r="R91" s="112"/>
      <c r="S91" s="128" t="b">
        <v>1</v>
      </c>
      <c r="T91" s="115" t="s">
        <v>64</v>
      </c>
    </row>
    <row r="92" ht="14.25" customHeight="1">
      <c r="A92" s="10" t="s">
        <v>290</v>
      </c>
      <c r="B92" s="10" t="s">
        <v>42</v>
      </c>
      <c r="C92" s="10"/>
      <c r="D92" s="103">
        <v>0.0</v>
      </c>
      <c r="E92" s="104"/>
      <c r="F92" s="106"/>
      <c r="G92" s="107">
        <v>0.0</v>
      </c>
      <c r="H92" s="21"/>
      <c r="I92" s="108"/>
      <c r="J92" s="109">
        <v>0.0</v>
      </c>
      <c r="K92" s="110"/>
      <c r="L92" s="110"/>
      <c r="M92" s="20">
        <v>0.0</v>
      </c>
      <c r="N92" s="21"/>
      <c r="O92" s="111"/>
      <c r="P92" s="98">
        <v>0.0</v>
      </c>
      <c r="Q92" s="21"/>
      <c r="R92" s="112"/>
      <c r="S92" s="113"/>
      <c r="T92" s="115"/>
    </row>
    <row r="93" ht="14.25" customHeight="1">
      <c r="A93" s="10" t="s">
        <v>294</v>
      </c>
      <c r="B93" s="10" t="s">
        <v>48</v>
      </c>
      <c r="C93" s="10"/>
      <c r="D93" s="103">
        <v>0.0</v>
      </c>
      <c r="E93" s="104"/>
      <c r="F93" s="106"/>
      <c r="G93" s="107">
        <v>0.0</v>
      </c>
      <c r="H93" s="21"/>
      <c r="I93" s="108"/>
      <c r="J93" s="71">
        <v>0.0</v>
      </c>
      <c r="K93" s="66"/>
      <c r="L93" s="110"/>
      <c r="M93" s="20">
        <v>0.0</v>
      </c>
      <c r="N93" s="21"/>
      <c r="O93" s="111"/>
      <c r="P93" s="98">
        <v>0.0</v>
      </c>
      <c r="Q93" s="21"/>
      <c r="R93" s="112"/>
      <c r="S93" s="113"/>
      <c r="T93" s="115"/>
    </row>
    <row r="94" ht="14.25" customHeight="1">
      <c r="A94" s="10" t="s">
        <v>172</v>
      </c>
      <c r="B94" s="10" t="s">
        <v>48</v>
      </c>
      <c r="C94" s="10"/>
      <c r="D94" s="103">
        <v>1.0</v>
      </c>
      <c r="E94" s="104" t="s">
        <v>379</v>
      </c>
      <c r="F94" s="106"/>
      <c r="G94" s="107">
        <v>2.0</v>
      </c>
      <c r="H94" s="58" t="s">
        <v>937</v>
      </c>
      <c r="I94" s="108"/>
      <c r="J94" s="109">
        <v>1.0</v>
      </c>
      <c r="K94" s="123" t="s">
        <v>938</v>
      </c>
      <c r="L94" s="110"/>
      <c r="M94" s="20">
        <v>0.0</v>
      </c>
      <c r="N94" s="126" t="s">
        <v>940</v>
      </c>
      <c r="O94" s="111" t="s">
        <v>307</v>
      </c>
      <c r="P94" s="98">
        <v>0.0</v>
      </c>
      <c r="Q94" s="21"/>
      <c r="R94" s="144" t="s">
        <v>435</v>
      </c>
      <c r="S94" s="128" t="b">
        <v>1</v>
      </c>
      <c r="T94" s="183" t="s">
        <v>172</v>
      </c>
    </row>
    <row r="95" ht="14.25" customHeight="1">
      <c r="A95" s="10" t="s">
        <v>297</v>
      </c>
      <c r="B95" s="10" t="s">
        <v>30</v>
      </c>
      <c r="C95" s="10"/>
      <c r="D95" s="103">
        <v>0.0</v>
      </c>
      <c r="E95" s="104"/>
      <c r="F95" s="106"/>
      <c r="G95" s="107">
        <v>0.0</v>
      </c>
      <c r="H95" s="21"/>
      <c r="I95" s="108"/>
      <c r="J95" s="109">
        <v>0.0</v>
      </c>
      <c r="K95" s="110"/>
      <c r="L95" s="110"/>
      <c r="M95" s="20">
        <v>0.0</v>
      </c>
      <c r="N95" s="21"/>
      <c r="O95" s="111"/>
      <c r="P95" s="98">
        <v>0.0</v>
      </c>
      <c r="Q95" s="21"/>
      <c r="R95" s="112"/>
      <c r="S95" s="113"/>
      <c r="T95" s="115"/>
    </row>
    <row r="96" ht="14.25" customHeight="1">
      <c r="A96" s="8" t="s">
        <v>42</v>
      </c>
      <c r="B96" s="10" t="s">
        <v>48</v>
      </c>
      <c r="C96" s="10"/>
      <c r="D96" s="177"/>
      <c r="F96" s="106"/>
      <c r="G96" s="107">
        <v>0.0</v>
      </c>
      <c r="H96" s="58"/>
      <c r="I96" s="108"/>
      <c r="J96" s="109">
        <v>0.0</v>
      </c>
      <c r="K96" s="66"/>
      <c r="L96" s="110"/>
      <c r="M96" s="20">
        <v>0.0</v>
      </c>
      <c r="N96" s="21"/>
      <c r="O96" s="111"/>
      <c r="P96" s="98">
        <v>0.0</v>
      </c>
      <c r="Q96" s="21"/>
      <c r="R96" s="112"/>
      <c r="S96" s="113"/>
      <c r="T96" s="115"/>
    </row>
    <row r="97" ht="14.25" customHeight="1">
      <c r="A97" s="10"/>
      <c r="B97" s="10"/>
      <c r="C97" s="10"/>
      <c r="D97" s="18"/>
      <c r="E97" s="10"/>
      <c r="F97" s="134"/>
      <c r="G97" s="19"/>
      <c r="H97" s="21"/>
      <c r="I97" s="108"/>
      <c r="J97" s="109"/>
      <c r="K97" s="110"/>
      <c r="L97" s="110"/>
      <c r="M97" s="18"/>
      <c r="N97" s="21"/>
      <c r="O97" s="195"/>
      <c r="P97" s="19"/>
      <c r="Q97" s="21"/>
      <c r="R97" s="112"/>
      <c r="S97" s="113"/>
      <c r="T97" s="115"/>
    </row>
    <row r="98" ht="14.25" customHeight="1">
      <c r="A98" s="10" t="s">
        <v>947</v>
      </c>
      <c r="B98" s="10"/>
      <c r="C98" s="10"/>
      <c r="D98" s="18">
        <f>SUM(D2:D97)</f>
        <v>54</v>
      </c>
      <c r="E98" s="10"/>
      <c r="F98" s="134"/>
      <c r="G98" s="19">
        <f>SUM(G2:G97)</f>
        <v>37</v>
      </c>
      <c r="H98" s="21"/>
      <c r="I98" s="108"/>
      <c r="J98" s="109">
        <f>SUM(J2:J96)</f>
        <v>85</v>
      </c>
      <c r="K98" s="110"/>
      <c r="L98" s="110"/>
      <c r="M98" s="18">
        <f>SUM(M2:M96)</f>
        <v>27</v>
      </c>
      <c r="N98" s="21"/>
      <c r="O98" s="195"/>
      <c r="P98" s="19">
        <f>SUM(P2:P97)</f>
        <v>28</v>
      </c>
      <c r="Q98" s="21"/>
      <c r="R98" s="112"/>
      <c r="S98" s="113"/>
      <c r="T98" s="115"/>
    </row>
    <row r="99" ht="14.25" customHeight="1">
      <c r="A99" s="10" t="s">
        <v>953</v>
      </c>
      <c r="B99" s="10"/>
      <c r="C99" s="10"/>
      <c r="D99" s="18">
        <v>73.0</v>
      </c>
      <c r="E99" s="10"/>
      <c r="F99" s="134"/>
      <c r="G99" s="19">
        <f>SUM(G98,G102)</f>
        <v>50</v>
      </c>
      <c r="H99" s="21"/>
      <c r="I99" s="215"/>
      <c r="J99" s="139">
        <f>SUM(J98,J102)</f>
        <v>100</v>
      </c>
      <c r="K99" s="110"/>
      <c r="L99" s="110"/>
      <c r="M99" s="20">
        <f>SUM(M98,M102)</f>
        <v>51</v>
      </c>
      <c r="N99" s="21"/>
      <c r="O99" s="195"/>
      <c r="P99" s="19">
        <f>SUM(P98,P102)</f>
        <v>34</v>
      </c>
      <c r="Q99" s="21"/>
      <c r="R99" s="112"/>
      <c r="S99" s="113"/>
      <c r="T99" s="115"/>
    </row>
    <row r="100" ht="14.25" customHeight="1">
      <c r="A100" s="10"/>
      <c r="B100" s="10"/>
      <c r="C100" s="10"/>
      <c r="D100" s="18"/>
      <c r="E100" s="10"/>
      <c r="F100" s="134"/>
      <c r="G100" s="19"/>
      <c r="H100" s="21"/>
      <c r="I100" s="134"/>
      <c r="J100" s="216"/>
      <c r="K100" s="21"/>
      <c r="L100" s="183"/>
      <c r="M100" s="19"/>
      <c r="N100" s="21"/>
      <c r="O100" s="195"/>
      <c r="P100" s="19"/>
      <c r="Q100" s="21"/>
      <c r="R100" s="112"/>
      <c r="S100" s="113"/>
      <c r="T100" s="115"/>
    </row>
    <row r="101" ht="14.25" customHeight="1">
      <c r="B101" s="10"/>
      <c r="C101" s="10"/>
      <c r="D101" s="18"/>
      <c r="E101" s="10"/>
      <c r="F101" s="134"/>
      <c r="G101" s="19"/>
      <c r="H101" s="21"/>
      <c r="I101" s="134"/>
      <c r="J101" s="216"/>
      <c r="K101" s="21"/>
      <c r="L101" s="183"/>
      <c r="M101" s="19"/>
      <c r="N101" s="21"/>
      <c r="O101" s="195"/>
      <c r="P101" s="19"/>
      <c r="Q101" s="21"/>
      <c r="R101" s="112"/>
      <c r="S101" s="113"/>
      <c r="T101" s="115"/>
    </row>
    <row r="102" ht="14.25" customHeight="1">
      <c r="A102" s="217" t="s">
        <v>383</v>
      </c>
      <c r="B102" s="217"/>
      <c r="C102" s="218"/>
      <c r="D102" s="219">
        <f>SUM(D103:D1216)</f>
        <v>19</v>
      </c>
      <c r="E102" s="218"/>
      <c r="F102" s="220"/>
      <c r="G102" s="221">
        <f>SUM(G103:G115)</f>
        <v>13</v>
      </c>
      <c r="H102" s="222"/>
      <c r="I102" s="108"/>
      <c r="J102" s="223">
        <f>SUM(J103:J119)</f>
        <v>15</v>
      </c>
      <c r="K102" s="224"/>
      <c r="L102" s="225"/>
      <c r="M102" s="226">
        <f>SUM(M103:M127)</f>
        <v>24</v>
      </c>
      <c r="N102" s="224"/>
      <c r="O102" s="227"/>
      <c r="P102" s="226">
        <f>SUM(P103:P114)</f>
        <v>6</v>
      </c>
      <c r="Q102" s="224"/>
      <c r="R102" s="228"/>
      <c r="S102" s="229"/>
      <c r="T102" s="230"/>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row>
    <row r="103" ht="14.25" customHeight="1">
      <c r="D103" s="18">
        <v>1.0</v>
      </c>
      <c r="E103" s="27" t="s">
        <v>618</v>
      </c>
      <c r="F103" s="22"/>
      <c r="G103" s="98">
        <v>1.0</v>
      </c>
      <c r="H103" s="58" t="s">
        <v>468</v>
      </c>
      <c r="I103" s="231"/>
      <c r="J103" s="109">
        <v>1.0</v>
      </c>
      <c r="K103" s="123" t="s">
        <v>415</v>
      </c>
      <c r="L103" s="123"/>
      <c r="M103" s="20">
        <v>1.0</v>
      </c>
      <c r="N103" s="232" t="s">
        <v>988</v>
      </c>
      <c r="O103" s="111"/>
      <c r="P103" s="98">
        <v>1.0</v>
      </c>
      <c r="Q103" s="58" t="s">
        <v>468</v>
      </c>
      <c r="R103" s="144" t="s">
        <v>991</v>
      </c>
      <c r="S103" s="113"/>
      <c r="T103" s="115"/>
    </row>
    <row r="104" ht="14.25" customHeight="1">
      <c r="D104" s="18">
        <v>1.0</v>
      </c>
      <c r="E104" s="27" t="s">
        <v>993</v>
      </c>
      <c r="F104" s="22"/>
      <c r="G104" s="98">
        <v>1.0</v>
      </c>
      <c r="H104" s="58" t="s">
        <v>482</v>
      </c>
      <c r="I104" s="231"/>
      <c r="J104" s="109">
        <v>1.0</v>
      </c>
      <c r="K104" s="123" t="s">
        <v>994</v>
      </c>
      <c r="L104" s="123"/>
      <c r="M104" s="20">
        <v>1.0</v>
      </c>
      <c r="N104" s="232" t="s">
        <v>996</v>
      </c>
      <c r="O104" s="111"/>
      <c r="P104" s="98">
        <v>1.0</v>
      </c>
      <c r="Q104" s="58" t="s">
        <v>482</v>
      </c>
      <c r="R104" s="112"/>
      <c r="S104" s="113"/>
      <c r="T104" s="115"/>
    </row>
    <row r="105" ht="14.25" customHeight="1">
      <c r="D105" s="18">
        <v>1.0</v>
      </c>
      <c r="E105" s="27" t="s">
        <v>998</v>
      </c>
      <c r="F105" s="22"/>
      <c r="G105" s="98">
        <v>1.0</v>
      </c>
      <c r="H105" s="182" t="s">
        <v>999</v>
      </c>
      <c r="I105" s="231"/>
      <c r="J105" s="109">
        <v>1.0</v>
      </c>
      <c r="K105" s="123" t="s">
        <v>1000</v>
      </c>
      <c r="L105" s="123"/>
      <c r="M105" s="20">
        <v>1.0</v>
      </c>
      <c r="N105" s="232" t="s">
        <v>1001</v>
      </c>
      <c r="O105" s="111"/>
      <c r="P105" s="98">
        <v>1.0</v>
      </c>
      <c r="Q105" s="58" t="s">
        <v>1003</v>
      </c>
      <c r="R105" s="112"/>
      <c r="S105" s="113"/>
      <c r="T105" s="115"/>
    </row>
    <row r="106" ht="14.25" customHeight="1">
      <c r="D106" s="18">
        <v>1.0</v>
      </c>
      <c r="E106" s="27" t="s">
        <v>864</v>
      </c>
      <c r="F106" s="22"/>
      <c r="G106" s="98">
        <v>1.0</v>
      </c>
      <c r="H106" s="182" t="s">
        <v>1004</v>
      </c>
      <c r="I106" s="231"/>
      <c r="J106" s="109">
        <v>1.0</v>
      </c>
      <c r="K106" s="123" t="s">
        <v>1005</v>
      </c>
      <c r="L106" s="123"/>
      <c r="M106" s="20">
        <v>1.0</v>
      </c>
      <c r="N106" s="58" t="s">
        <v>1007</v>
      </c>
      <c r="O106" s="111"/>
      <c r="P106" s="98">
        <v>1.0</v>
      </c>
      <c r="Q106" s="58" t="s">
        <v>1008</v>
      </c>
      <c r="R106" s="112"/>
      <c r="S106" s="113"/>
      <c r="T106" s="115"/>
    </row>
    <row r="107" ht="14.25" customHeight="1">
      <c r="D107" s="18">
        <v>1.0</v>
      </c>
      <c r="E107" s="178" t="s">
        <v>1010</v>
      </c>
      <c r="F107" s="22"/>
      <c r="G107" s="98">
        <v>1.0</v>
      </c>
      <c r="H107" s="58" t="s">
        <v>476</v>
      </c>
      <c r="I107" s="231"/>
      <c r="J107" s="109">
        <v>1.0</v>
      </c>
      <c r="K107" s="123" t="s">
        <v>1011</v>
      </c>
      <c r="L107" s="123"/>
      <c r="M107" s="20">
        <v>1.0</v>
      </c>
      <c r="N107" s="58" t="s">
        <v>631</v>
      </c>
      <c r="O107" s="111"/>
      <c r="P107" s="98">
        <v>1.0</v>
      </c>
      <c r="Q107" s="58" t="s">
        <v>504</v>
      </c>
      <c r="R107" s="112"/>
      <c r="S107" s="113"/>
      <c r="T107" s="115"/>
    </row>
    <row r="108" ht="14.25" customHeight="1">
      <c r="D108" s="18">
        <v>1.0</v>
      </c>
      <c r="E108" s="27" t="s">
        <v>978</v>
      </c>
      <c r="F108" s="22"/>
      <c r="G108" s="98">
        <v>1.0</v>
      </c>
      <c r="H108" s="58" t="s">
        <v>1015</v>
      </c>
      <c r="I108" s="231"/>
      <c r="J108" s="109">
        <v>1.0</v>
      </c>
      <c r="K108" s="123" t="s">
        <v>468</v>
      </c>
      <c r="L108" s="123"/>
      <c r="M108" s="20">
        <v>1.0</v>
      </c>
      <c r="N108" s="58" t="s">
        <v>578</v>
      </c>
      <c r="O108" s="111"/>
      <c r="P108" s="98">
        <v>1.0</v>
      </c>
      <c r="Q108" s="58" t="s">
        <v>1016</v>
      </c>
      <c r="R108" s="112"/>
      <c r="S108" s="113"/>
      <c r="T108" s="115"/>
    </row>
    <row r="109" ht="14.25" customHeight="1">
      <c r="D109" s="20">
        <v>1.0</v>
      </c>
      <c r="E109" s="27" t="s">
        <v>1018</v>
      </c>
      <c r="F109" s="22"/>
      <c r="G109" s="98">
        <v>1.0</v>
      </c>
      <c r="H109" s="58" t="s">
        <v>1019</v>
      </c>
      <c r="I109" s="231"/>
      <c r="J109" s="109">
        <v>1.0</v>
      </c>
      <c r="K109" s="123" t="s">
        <v>1020</v>
      </c>
      <c r="L109" s="123"/>
      <c r="M109" s="20">
        <v>1.0</v>
      </c>
      <c r="N109" s="58" t="s">
        <v>1022</v>
      </c>
      <c r="O109" s="111"/>
      <c r="P109" s="98">
        <v>0.0</v>
      </c>
      <c r="Q109" s="71" t="s">
        <v>1023</v>
      </c>
      <c r="R109" s="144" t="s">
        <v>435</v>
      </c>
      <c r="S109" s="113"/>
      <c r="T109" s="115"/>
    </row>
    <row r="110" ht="14.25" customHeight="1">
      <c r="D110" s="18">
        <v>1.0</v>
      </c>
      <c r="E110" s="27" t="s">
        <v>455</v>
      </c>
      <c r="F110" s="22"/>
      <c r="G110" s="98">
        <v>1.0</v>
      </c>
      <c r="H110" s="182" t="s">
        <v>1025</v>
      </c>
      <c r="I110" s="231"/>
      <c r="J110" s="109">
        <v>1.0</v>
      </c>
      <c r="K110" s="123" t="s">
        <v>482</v>
      </c>
      <c r="L110" s="123"/>
      <c r="M110" s="20">
        <v>1.0</v>
      </c>
      <c r="N110" s="58" t="s">
        <v>638</v>
      </c>
      <c r="O110" s="111"/>
      <c r="P110" s="19"/>
      <c r="Q110" s="21"/>
      <c r="R110" s="112"/>
      <c r="S110" s="113"/>
      <c r="T110" s="115"/>
    </row>
    <row r="111" ht="14.25" customHeight="1">
      <c r="D111" s="18">
        <v>1.0</v>
      </c>
      <c r="E111" s="27" t="s">
        <v>485</v>
      </c>
      <c r="F111" s="22"/>
      <c r="G111" s="98">
        <v>1.0</v>
      </c>
      <c r="H111" s="182" t="s">
        <v>1027</v>
      </c>
      <c r="I111" s="231"/>
      <c r="J111" s="109">
        <v>1.0</v>
      </c>
      <c r="K111" s="123" t="s">
        <v>1028</v>
      </c>
      <c r="L111" s="123"/>
      <c r="M111" s="20">
        <v>1.0</v>
      </c>
      <c r="N111" s="58" t="s">
        <v>468</v>
      </c>
      <c r="O111" s="111"/>
      <c r="P111" s="19"/>
      <c r="Q111" s="21"/>
      <c r="R111" s="112"/>
      <c r="S111" s="113"/>
      <c r="T111" s="115"/>
    </row>
    <row r="112" ht="14.25" customHeight="1">
      <c r="D112" s="18">
        <v>1.0</v>
      </c>
      <c r="E112" s="27" t="s">
        <v>1030</v>
      </c>
      <c r="F112" s="22"/>
      <c r="G112" s="98">
        <v>1.0</v>
      </c>
      <c r="H112" s="58" t="s">
        <v>1023</v>
      </c>
      <c r="I112" s="231"/>
      <c r="J112" s="109">
        <v>1.0</v>
      </c>
      <c r="K112" s="123" t="s">
        <v>504</v>
      </c>
      <c r="L112" s="123"/>
      <c r="M112" s="20">
        <v>1.0</v>
      </c>
      <c r="N112" s="58" t="s">
        <v>1031</v>
      </c>
      <c r="O112" s="111"/>
      <c r="P112" s="19"/>
      <c r="Q112" s="21"/>
      <c r="R112" s="112"/>
      <c r="S112" s="113"/>
      <c r="T112" s="115"/>
    </row>
    <row r="113" ht="14.25" customHeight="1">
      <c r="D113" s="18">
        <v>1.0</v>
      </c>
      <c r="E113" s="27" t="s">
        <v>476</v>
      </c>
      <c r="F113" s="22"/>
      <c r="G113" s="98">
        <v>1.0</v>
      </c>
      <c r="H113" s="58" t="s">
        <v>516</v>
      </c>
      <c r="I113" s="231"/>
      <c r="J113" s="109">
        <v>1.0</v>
      </c>
      <c r="K113" s="123" t="s">
        <v>508</v>
      </c>
      <c r="L113" s="123"/>
      <c r="M113" s="20">
        <v>1.0</v>
      </c>
      <c r="N113" s="58" t="s">
        <v>1033</v>
      </c>
      <c r="O113" s="111" t="s">
        <v>433</v>
      </c>
      <c r="P113" s="19"/>
      <c r="Q113" s="21"/>
      <c r="R113" s="112"/>
      <c r="S113" s="113"/>
      <c r="T113" s="115"/>
    </row>
    <row r="114" ht="14.25" customHeight="1">
      <c r="D114" s="18">
        <v>1.0</v>
      </c>
      <c r="E114" s="27" t="s">
        <v>1035</v>
      </c>
      <c r="F114" s="22"/>
      <c r="G114" s="98">
        <v>1.0</v>
      </c>
      <c r="H114" s="58" t="s">
        <v>1036</v>
      </c>
      <c r="I114" s="231"/>
      <c r="J114" s="109">
        <v>1.0</v>
      </c>
      <c r="K114" s="123" t="s">
        <v>1038</v>
      </c>
      <c r="L114" s="123"/>
      <c r="M114" s="20">
        <v>1.0</v>
      </c>
      <c r="N114" s="58" t="s">
        <v>1039</v>
      </c>
      <c r="O114" s="111"/>
      <c r="P114" s="19"/>
      <c r="Q114" s="21"/>
      <c r="R114" s="112"/>
      <c r="S114" s="113"/>
      <c r="T114" s="115"/>
    </row>
    <row r="115" ht="14.25" customHeight="1">
      <c r="D115" s="18">
        <v>1.0</v>
      </c>
      <c r="E115" s="27" t="s">
        <v>713</v>
      </c>
      <c r="F115" s="134"/>
      <c r="G115" s="98">
        <v>1.0</v>
      </c>
      <c r="H115" s="58" t="s">
        <v>1041</v>
      </c>
      <c r="I115" s="231"/>
      <c r="J115" s="109">
        <v>1.0</v>
      </c>
      <c r="K115" s="123" t="s">
        <v>518</v>
      </c>
      <c r="L115" s="123"/>
      <c r="M115" s="20">
        <v>1.0</v>
      </c>
      <c r="N115" s="58" t="s">
        <v>1042</v>
      </c>
      <c r="O115" s="111"/>
      <c r="P115" s="19"/>
      <c r="Q115" s="21"/>
      <c r="R115" s="112"/>
      <c r="S115" s="113"/>
      <c r="T115" s="115"/>
    </row>
    <row r="116" ht="14.25" customHeight="1">
      <c r="D116" s="18">
        <v>1.0</v>
      </c>
      <c r="E116" s="27" t="s">
        <v>1044</v>
      </c>
      <c r="F116" s="134"/>
      <c r="G116" s="19"/>
      <c r="H116" s="21"/>
      <c r="I116" s="231"/>
      <c r="J116" s="109">
        <v>1.0</v>
      </c>
      <c r="K116" s="123" t="s">
        <v>1046</v>
      </c>
      <c r="L116" s="123"/>
      <c r="M116" s="20">
        <v>1.0</v>
      </c>
      <c r="N116" s="58" t="s">
        <v>683</v>
      </c>
      <c r="O116" s="111"/>
      <c r="P116" s="19"/>
      <c r="Q116" s="21"/>
      <c r="R116" s="112"/>
      <c r="S116" s="113"/>
      <c r="T116" s="115"/>
    </row>
    <row r="117" ht="14.25" customHeight="1">
      <c r="D117" s="18">
        <v>1.0</v>
      </c>
      <c r="E117" s="27" t="s">
        <v>504</v>
      </c>
      <c r="F117" s="134"/>
      <c r="G117" s="19"/>
      <c r="H117" s="21"/>
      <c r="I117" s="231"/>
      <c r="J117" s="109">
        <v>1.0</v>
      </c>
      <c r="K117" s="233" t="s">
        <v>1049</v>
      </c>
      <c r="L117" s="233"/>
      <c r="M117" s="20">
        <v>0.0</v>
      </c>
      <c r="N117" s="126" t="s">
        <v>1051</v>
      </c>
      <c r="O117" s="111"/>
      <c r="P117" s="19"/>
      <c r="Q117" s="21"/>
      <c r="R117" s="112"/>
      <c r="S117" s="113"/>
      <c r="T117" s="115"/>
    </row>
    <row r="118" ht="14.25" customHeight="1">
      <c r="D118" s="18">
        <v>1.0</v>
      </c>
      <c r="E118" s="27" t="s">
        <v>1052</v>
      </c>
      <c r="F118" s="134"/>
      <c r="G118" s="19"/>
      <c r="H118" s="21"/>
      <c r="I118" s="113"/>
      <c r="J118" s="66"/>
      <c r="K118" s="66"/>
      <c r="L118" s="66"/>
      <c r="M118" s="20">
        <v>1.0</v>
      </c>
      <c r="N118" s="58" t="s">
        <v>775</v>
      </c>
      <c r="O118" s="111"/>
      <c r="P118" s="19"/>
      <c r="Q118" s="21"/>
      <c r="R118" s="112"/>
      <c r="S118" s="113"/>
      <c r="T118" s="115"/>
    </row>
    <row r="119" ht="14.25" customHeight="1">
      <c r="D119" s="18">
        <v>1.0</v>
      </c>
      <c r="E119" s="27" t="s">
        <v>1054</v>
      </c>
      <c r="F119" s="134"/>
      <c r="G119" s="19"/>
      <c r="H119" s="21"/>
      <c r="I119" s="231"/>
      <c r="J119" s="109"/>
      <c r="K119" s="66"/>
      <c r="L119" s="66"/>
      <c r="M119" s="20">
        <v>1.0</v>
      </c>
      <c r="N119" s="58" t="s">
        <v>697</v>
      </c>
      <c r="O119" s="111"/>
      <c r="P119" s="19"/>
      <c r="Q119" s="21"/>
      <c r="R119" s="112"/>
      <c r="S119" s="113"/>
      <c r="T119" s="115"/>
    </row>
    <row r="120" ht="14.25" customHeight="1">
      <c r="D120" s="18">
        <v>1.0</v>
      </c>
      <c r="E120" s="27" t="s">
        <v>1057</v>
      </c>
      <c r="F120" s="134"/>
      <c r="G120" s="19"/>
      <c r="H120" s="21"/>
      <c r="I120" s="113"/>
      <c r="J120" s="66"/>
      <c r="K120" s="110"/>
      <c r="L120" s="110"/>
      <c r="M120" s="20">
        <v>1.0</v>
      </c>
      <c r="N120" s="58" t="s">
        <v>691</v>
      </c>
      <c r="O120" s="111"/>
      <c r="P120" s="19"/>
      <c r="Q120" s="21"/>
      <c r="R120" s="112"/>
      <c r="S120" s="113"/>
      <c r="T120" s="115"/>
    </row>
    <row r="121" ht="14.25" customHeight="1">
      <c r="D121" s="234">
        <v>1.0</v>
      </c>
      <c r="E121" s="27" t="s">
        <v>1060</v>
      </c>
      <c r="F121" s="134"/>
      <c r="G121" s="19"/>
      <c r="H121" s="21"/>
      <c r="I121" s="113"/>
      <c r="J121" s="66"/>
      <c r="K121" s="110"/>
      <c r="L121" s="110"/>
      <c r="M121" s="20">
        <v>1.0</v>
      </c>
      <c r="N121" s="58" t="s">
        <v>1061</v>
      </c>
      <c r="O121" s="111"/>
      <c r="P121" s="19"/>
      <c r="Q121" s="21"/>
      <c r="R121" s="112"/>
      <c r="S121" s="113"/>
      <c r="T121" s="115"/>
    </row>
    <row r="122" ht="14.25" customHeight="1">
      <c r="D122" s="18"/>
      <c r="E122" s="10"/>
      <c r="F122" s="134"/>
      <c r="G122" s="19"/>
      <c r="H122" s="21"/>
      <c r="I122" s="113"/>
      <c r="J122" s="66"/>
      <c r="K122" s="110"/>
      <c r="L122" s="110"/>
      <c r="M122" s="98">
        <v>1.0</v>
      </c>
      <c r="N122" s="58" t="s">
        <v>455</v>
      </c>
      <c r="O122" s="111" t="s">
        <v>433</v>
      </c>
      <c r="P122" s="19"/>
      <c r="Q122" s="21"/>
      <c r="R122" s="112"/>
      <c r="S122" s="113"/>
      <c r="T122" s="115"/>
    </row>
    <row r="123" ht="14.25" customHeight="1">
      <c r="C123" s="10"/>
      <c r="D123" s="18"/>
      <c r="E123" s="10"/>
      <c r="F123" s="134"/>
      <c r="G123" s="19"/>
      <c r="H123" s="21"/>
      <c r="I123" s="113"/>
      <c r="J123" s="66"/>
      <c r="K123" s="21"/>
      <c r="L123" s="110"/>
      <c r="M123" s="98">
        <v>1.0</v>
      </c>
      <c r="N123" s="58" t="s">
        <v>703</v>
      </c>
      <c r="O123" s="111"/>
      <c r="P123" s="19"/>
      <c r="Q123" s="21"/>
      <c r="R123" s="112"/>
      <c r="S123" s="113"/>
      <c r="T123" s="115"/>
    </row>
    <row r="124" ht="14.25" customHeight="1">
      <c r="A124" s="8" t="s">
        <v>1065</v>
      </c>
      <c r="C124" s="10"/>
      <c r="D124" s="18"/>
      <c r="E124" s="10"/>
      <c r="F124" s="134"/>
      <c r="G124" s="19"/>
      <c r="H124" s="21"/>
      <c r="I124" s="235"/>
      <c r="J124" s="216"/>
      <c r="K124" s="21"/>
      <c r="L124" s="21"/>
      <c r="M124" s="98">
        <v>1.0</v>
      </c>
      <c r="N124" s="58" t="s">
        <v>708</v>
      </c>
      <c r="O124" s="111"/>
      <c r="P124" s="19"/>
      <c r="Q124" s="21"/>
      <c r="R124" s="112"/>
      <c r="S124" s="113"/>
      <c r="T124" s="115"/>
    </row>
    <row r="125" ht="14.25" customHeight="1">
      <c r="C125" s="10"/>
      <c r="D125" s="18"/>
      <c r="E125" s="10"/>
      <c r="F125" s="134"/>
      <c r="G125" s="19"/>
      <c r="H125" s="21"/>
      <c r="I125" s="235"/>
      <c r="J125" s="216"/>
      <c r="K125" s="21"/>
      <c r="L125" s="21"/>
      <c r="M125" s="236">
        <v>1.0</v>
      </c>
      <c r="N125" s="237" t="s">
        <v>1070</v>
      </c>
      <c r="O125" s="111"/>
      <c r="P125" s="19"/>
      <c r="Q125" s="21"/>
      <c r="R125" s="112"/>
      <c r="S125" s="113"/>
      <c r="T125" s="115"/>
    </row>
    <row r="126" ht="14.25" customHeight="1">
      <c r="C126" s="10"/>
      <c r="D126" s="238"/>
      <c r="E126" s="101"/>
      <c r="F126" s="239"/>
      <c r="G126" s="19"/>
      <c r="H126" s="21"/>
      <c r="I126" s="235"/>
      <c r="J126" s="216"/>
      <c r="K126" s="21"/>
      <c r="L126" s="21"/>
      <c r="M126" s="98">
        <v>1.0</v>
      </c>
      <c r="N126" s="58" t="s">
        <v>734</v>
      </c>
      <c r="O126" s="111"/>
      <c r="P126" s="240"/>
      <c r="Q126" s="241"/>
      <c r="R126" s="242"/>
      <c r="S126" s="113"/>
      <c r="T126" s="115"/>
    </row>
    <row r="127" ht="14.25" customHeight="1">
      <c r="A127" s="101"/>
      <c r="B127" s="101"/>
      <c r="C127" s="101"/>
      <c r="D127" s="243"/>
      <c r="E127" s="244"/>
      <c r="F127" s="245"/>
      <c r="G127" s="240"/>
      <c r="H127" s="241"/>
      <c r="I127" s="246"/>
      <c r="J127" s="247"/>
      <c r="K127" s="248"/>
      <c r="L127" s="21"/>
      <c r="M127" s="249">
        <v>1.0</v>
      </c>
      <c r="N127" s="250" t="s">
        <v>1080</v>
      </c>
      <c r="O127" s="111"/>
      <c r="P127" s="251"/>
      <c r="Q127" s="252"/>
      <c r="R127" s="253"/>
      <c r="S127" s="229"/>
      <c r="T127" s="230"/>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row>
    <row r="128" ht="14.25" customHeight="1">
      <c r="A128" s="101"/>
      <c r="B128" s="101"/>
      <c r="C128" s="101"/>
      <c r="D128" s="243"/>
      <c r="E128" s="244"/>
      <c r="F128" s="245"/>
      <c r="G128" s="240"/>
      <c r="H128" s="241"/>
      <c r="I128" s="246"/>
      <c r="J128" s="247"/>
      <c r="K128" s="248"/>
      <c r="L128" s="21"/>
      <c r="M128" s="249">
        <v>0.0</v>
      </c>
      <c r="N128" s="250" t="s">
        <v>1086</v>
      </c>
      <c r="O128" s="111" t="s">
        <v>433</v>
      </c>
      <c r="P128" s="251"/>
      <c r="Q128" s="252"/>
      <c r="R128" s="253"/>
      <c r="S128" s="229"/>
      <c r="T128" s="230"/>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row>
    <row r="129" ht="14.25" customHeight="1">
      <c r="A129" s="244"/>
      <c r="B129" s="244"/>
      <c r="C129" s="244"/>
      <c r="D129" s="219">
        <v>0.0</v>
      </c>
      <c r="E129" s="218"/>
      <c r="F129" s="227"/>
      <c r="G129" s="254"/>
      <c r="H129" s="252"/>
      <c r="I129" s="255"/>
      <c r="J129" s="256"/>
      <c r="K129" s="248"/>
      <c r="L129" s="248"/>
      <c r="M129" s="257">
        <f>SUM(M130:M158)</f>
        <v>0</v>
      </c>
      <c r="N129" s="224"/>
      <c r="O129" s="220"/>
      <c r="Q129" s="66"/>
      <c r="R129" s="258"/>
      <c r="S129" s="229"/>
      <c r="T129" s="230"/>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row>
    <row r="130" ht="14.25" customHeight="1">
      <c r="A130" s="217" t="s">
        <v>1098</v>
      </c>
      <c r="B130" s="217"/>
      <c r="C130" s="218"/>
      <c r="D130" s="18"/>
      <c r="E130" s="30" t="s">
        <v>1100</v>
      </c>
      <c r="F130" s="259"/>
      <c r="G130" s="260">
        <f>SUM(G131:G168)</f>
        <v>38</v>
      </c>
      <c r="H130" s="222"/>
      <c r="I130" s="261"/>
      <c r="J130" s="262">
        <f>SUM(J131:J159)</f>
        <v>29</v>
      </c>
      <c r="K130" s="263"/>
      <c r="L130" s="264"/>
      <c r="M130" s="19"/>
      <c r="N130" s="21"/>
      <c r="O130" s="22"/>
      <c r="P130" s="265">
        <v>2.0</v>
      </c>
      <c r="Q130" s="224"/>
      <c r="R130" s="228"/>
      <c r="S130" s="229"/>
      <c r="T130" s="230"/>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row>
    <row r="131" ht="14.25" customHeight="1">
      <c r="C131" s="10"/>
      <c r="D131" s="18"/>
      <c r="E131" s="10"/>
      <c r="F131" s="259"/>
      <c r="G131" s="266">
        <v>1.0</v>
      </c>
      <c r="H131" s="267" t="s">
        <v>1111</v>
      </c>
      <c r="I131" s="235"/>
      <c r="J131" s="216">
        <v>1.0</v>
      </c>
      <c r="K131" s="66" t="s">
        <v>1112</v>
      </c>
      <c r="L131" s="66"/>
      <c r="M131" s="19"/>
      <c r="N131" s="21"/>
      <c r="O131" s="22"/>
      <c r="P131" s="98">
        <v>1.0</v>
      </c>
      <c r="Q131" s="66" t="s">
        <v>1108</v>
      </c>
      <c r="R131" s="258"/>
      <c r="S131" s="113"/>
      <c r="T131" s="115"/>
    </row>
    <row r="132" ht="14.25" customHeight="1">
      <c r="C132" s="10"/>
      <c r="D132" s="18"/>
      <c r="E132" s="10"/>
      <c r="F132" s="22"/>
      <c r="G132" s="266">
        <v>1.0</v>
      </c>
      <c r="H132" s="267" t="s">
        <v>624</v>
      </c>
      <c r="I132" s="235"/>
      <c r="J132" s="216">
        <v>1.0</v>
      </c>
      <c r="K132" s="66" t="s">
        <v>1115</v>
      </c>
      <c r="L132" s="66"/>
      <c r="M132" s="19"/>
      <c r="N132" s="21"/>
      <c r="O132" s="134"/>
      <c r="P132" s="98">
        <v>1.0</v>
      </c>
      <c r="Q132" s="267" t="s">
        <v>472</v>
      </c>
      <c r="R132" s="268"/>
      <c r="S132" s="113"/>
      <c r="T132" s="115"/>
    </row>
    <row r="133" ht="14.25" customHeight="1">
      <c r="C133" s="10"/>
      <c r="D133" s="18"/>
      <c r="E133" s="10"/>
      <c r="F133" s="22"/>
      <c r="G133" s="98">
        <v>1.0</v>
      </c>
      <c r="H133" s="66" t="s">
        <v>631</v>
      </c>
      <c r="I133" s="235"/>
      <c r="J133" s="216">
        <v>1.0</v>
      </c>
      <c r="K133" s="66" t="s">
        <v>1118</v>
      </c>
      <c r="L133" s="66"/>
      <c r="M133" s="19"/>
      <c r="N133" s="21"/>
      <c r="O133" s="134"/>
      <c r="P133" s="19"/>
      <c r="Q133" s="21"/>
      <c r="R133" s="112"/>
      <c r="S133" s="113"/>
      <c r="T133" s="115"/>
    </row>
    <row r="134" ht="14.25" customHeight="1">
      <c r="C134" s="10"/>
      <c r="D134" s="18"/>
      <c r="E134" s="10"/>
      <c r="F134" s="22"/>
      <c r="G134" s="98">
        <v>1.0</v>
      </c>
      <c r="H134" s="66" t="s">
        <v>1122</v>
      </c>
      <c r="I134" s="235"/>
      <c r="J134" s="216">
        <v>1.0</v>
      </c>
      <c r="K134" s="66" t="s">
        <v>1123</v>
      </c>
      <c r="L134" s="66"/>
      <c r="M134" s="19"/>
      <c r="N134" s="21"/>
      <c r="O134" s="134"/>
      <c r="P134" s="19"/>
      <c r="Q134" s="21"/>
      <c r="R134" s="112"/>
      <c r="S134" s="113"/>
      <c r="T134" s="115"/>
    </row>
    <row r="135" ht="14.25" customHeight="1">
      <c r="C135" s="10"/>
      <c r="D135" s="18"/>
      <c r="E135" s="10"/>
      <c r="F135" s="22"/>
      <c r="G135" s="98">
        <v>1.0</v>
      </c>
      <c r="H135" s="66" t="s">
        <v>1126</v>
      </c>
      <c r="I135" s="235"/>
      <c r="J135" s="216">
        <v>1.0</v>
      </c>
      <c r="K135" s="66" t="s">
        <v>618</v>
      </c>
      <c r="L135" s="66"/>
      <c r="M135" s="19"/>
      <c r="N135" s="21"/>
      <c r="O135" s="134"/>
      <c r="P135" s="19"/>
      <c r="Q135" s="21"/>
      <c r="R135" s="112"/>
      <c r="S135" s="113"/>
      <c r="T135" s="115"/>
    </row>
    <row r="136" ht="14.25" customHeight="1">
      <c r="C136" s="10"/>
      <c r="D136" s="18"/>
      <c r="E136" s="10"/>
      <c r="F136" s="259"/>
      <c r="G136" s="98">
        <v>1.0</v>
      </c>
      <c r="H136" s="66" t="s">
        <v>455</v>
      </c>
      <c r="I136" s="235"/>
      <c r="J136" s="216">
        <v>1.0</v>
      </c>
      <c r="K136" s="66" t="s">
        <v>626</v>
      </c>
      <c r="L136" s="66"/>
      <c r="M136" s="19"/>
      <c r="N136" s="21"/>
      <c r="O136" s="134"/>
      <c r="P136" s="19"/>
      <c r="Q136" s="21"/>
      <c r="R136" s="112"/>
      <c r="S136" s="113"/>
      <c r="T136" s="115"/>
    </row>
    <row r="137" ht="14.25" customHeight="1">
      <c r="C137" s="10"/>
      <c r="D137" s="18"/>
      <c r="E137" s="10"/>
      <c r="F137" s="22"/>
      <c r="G137" s="266">
        <v>1.0</v>
      </c>
      <c r="H137" s="267" t="s">
        <v>304</v>
      </c>
      <c r="I137" s="235"/>
      <c r="J137" s="216">
        <v>1.0</v>
      </c>
      <c r="K137" s="267" t="s">
        <v>624</v>
      </c>
      <c r="L137" s="66"/>
      <c r="M137" s="19"/>
      <c r="N137" s="21"/>
      <c r="O137" s="134"/>
      <c r="P137" s="19"/>
      <c r="Q137" s="21"/>
      <c r="R137" s="112"/>
      <c r="S137" s="113"/>
      <c r="T137" s="115"/>
    </row>
    <row r="138" ht="14.25" customHeight="1">
      <c r="C138" s="10"/>
      <c r="D138" s="18"/>
      <c r="E138" s="10"/>
      <c r="F138" s="22"/>
      <c r="G138" s="98">
        <v>1.0</v>
      </c>
      <c r="H138" s="66" t="s">
        <v>1131</v>
      </c>
      <c r="I138" s="235"/>
      <c r="J138" s="216">
        <v>1.0</v>
      </c>
      <c r="K138" s="66" t="s">
        <v>640</v>
      </c>
      <c r="L138" s="66"/>
      <c r="M138" s="19"/>
      <c r="N138" s="21"/>
      <c r="O138" s="134"/>
      <c r="P138" s="19"/>
      <c r="Q138" s="21"/>
      <c r="R138" s="112"/>
      <c r="S138" s="113"/>
      <c r="T138" s="115"/>
    </row>
    <row r="139" ht="14.25" customHeight="1">
      <c r="C139" s="10"/>
      <c r="D139" s="18"/>
      <c r="E139" s="10"/>
      <c r="F139" s="22"/>
      <c r="G139" s="98">
        <v>1.0</v>
      </c>
      <c r="H139" s="66" t="s">
        <v>1133</v>
      </c>
      <c r="I139" s="235"/>
      <c r="J139" s="216">
        <v>1.0</v>
      </c>
      <c r="K139" s="66" t="s">
        <v>1134</v>
      </c>
      <c r="L139" s="66"/>
      <c r="M139" s="19"/>
      <c r="N139" s="21"/>
      <c r="O139" s="134"/>
      <c r="P139" s="19"/>
      <c r="Q139" s="21"/>
      <c r="R139" s="112"/>
      <c r="S139" s="113"/>
      <c r="T139" s="115"/>
    </row>
    <row r="140" ht="14.25" customHeight="1">
      <c r="C140" s="10"/>
      <c r="D140" s="18"/>
      <c r="E140" s="10"/>
      <c r="F140" s="259"/>
      <c r="G140" s="98">
        <v>1.0</v>
      </c>
      <c r="H140" s="66" t="s">
        <v>985</v>
      </c>
      <c r="I140" s="235"/>
      <c r="J140" s="216">
        <v>1.0</v>
      </c>
      <c r="K140" s="66" t="s">
        <v>578</v>
      </c>
      <c r="L140" s="66"/>
      <c r="M140" s="19"/>
      <c r="N140" s="21"/>
      <c r="O140" s="134"/>
      <c r="P140" s="19"/>
      <c r="Q140" s="21"/>
      <c r="R140" s="112"/>
      <c r="S140" s="113"/>
      <c r="T140" s="115"/>
    </row>
    <row r="141" ht="14.25" customHeight="1">
      <c r="C141" s="10"/>
      <c r="D141" s="18"/>
      <c r="E141" s="10"/>
      <c r="F141" s="22"/>
      <c r="G141" s="266">
        <v>1.0</v>
      </c>
      <c r="H141" s="267" t="s">
        <v>1136</v>
      </c>
      <c r="I141" s="235"/>
      <c r="J141" s="216">
        <v>1.0</v>
      </c>
      <c r="K141" s="66" t="s">
        <v>1137</v>
      </c>
      <c r="L141" s="66"/>
      <c r="M141" s="19"/>
      <c r="N141" s="21"/>
      <c r="O141" s="134"/>
      <c r="P141" s="19"/>
      <c r="Q141" s="21"/>
      <c r="R141" s="112"/>
      <c r="S141" s="113"/>
      <c r="T141" s="115"/>
    </row>
    <row r="142" ht="14.25" customHeight="1">
      <c r="C142" s="10"/>
      <c r="D142" s="18"/>
      <c r="E142" s="10"/>
      <c r="F142" s="22"/>
      <c r="G142" s="98">
        <v>1.0</v>
      </c>
      <c r="H142" s="66" t="s">
        <v>1140</v>
      </c>
      <c r="I142" s="235"/>
      <c r="J142" s="216">
        <v>1.0</v>
      </c>
      <c r="K142" s="66" t="s">
        <v>1142</v>
      </c>
      <c r="L142" s="66"/>
      <c r="M142" s="19"/>
      <c r="N142" s="21"/>
      <c r="O142" s="134"/>
      <c r="P142" s="19"/>
      <c r="Q142" s="21"/>
      <c r="R142" s="112"/>
      <c r="S142" s="113"/>
      <c r="T142" s="115"/>
    </row>
    <row r="143" ht="14.25" customHeight="1">
      <c r="C143" s="10"/>
      <c r="D143" s="18"/>
      <c r="E143" s="10"/>
      <c r="F143" s="22"/>
      <c r="G143" s="98">
        <v>1.0</v>
      </c>
      <c r="H143" s="66" t="s">
        <v>1144</v>
      </c>
      <c r="I143" s="235"/>
      <c r="J143" s="216">
        <v>1.0</v>
      </c>
      <c r="K143" s="66" t="s">
        <v>1146</v>
      </c>
      <c r="L143" s="66"/>
      <c r="M143" s="19"/>
      <c r="N143" s="21"/>
      <c r="O143" s="134"/>
      <c r="P143" s="19"/>
      <c r="Q143" s="21"/>
      <c r="R143" s="112"/>
      <c r="S143" s="113"/>
      <c r="T143" s="115"/>
    </row>
    <row r="144" ht="14.25" customHeight="1">
      <c r="C144" s="10"/>
      <c r="D144" s="18"/>
      <c r="E144" s="10"/>
      <c r="F144" s="22"/>
      <c r="G144" s="98">
        <v>1.0</v>
      </c>
      <c r="H144" s="66" t="s">
        <v>1147</v>
      </c>
      <c r="I144" s="235"/>
      <c r="J144" s="216">
        <v>1.0</v>
      </c>
      <c r="K144" s="66" t="s">
        <v>580</v>
      </c>
      <c r="L144" s="66"/>
      <c r="M144" s="19"/>
      <c r="N144" s="21"/>
      <c r="O144" s="134"/>
      <c r="P144" s="19"/>
      <c r="Q144" s="21"/>
      <c r="R144" s="112"/>
      <c r="S144" s="113"/>
      <c r="T144" s="115"/>
    </row>
    <row r="145" ht="14.25" customHeight="1">
      <c r="C145" s="10"/>
      <c r="D145" s="18"/>
      <c r="E145" s="10"/>
      <c r="F145" s="22"/>
      <c r="G145" s="98">
        <v>1.0</v>
      </c>
      <c r="H145" s="66" t="s">
        <v>1150</v>
      </c>
      <c r="I145" s="235"/>
      <c r="J145" s="216">
        <v>1.0</v>
      </c>
      <c r="K145" s="66" t="s">
        <v>1151</v>
      </c>
      <c r="L145" s="66"/>
      <c r="M145" s="19"/>
      <c r="N145" s="21"/>
      <c r="O145" s="134"/>
      <c r="P145" s="19"/>
      <c r="Q145" s="21"/>
      <c r="R145" s="112"/>
      <c r="S145" s="113"/>
      <c r="T145" s="115"/>
    </row>
    <row r="146" ht="14.25" customHeight="1">
      <c r="C146" s="10"/>
      <c r="D146" s="18"/>
      <c r="E146" s="10"/>
      <c r="F146" s="259"/>
      <c r="G146" s="98">
        <v>1.0</v>
      </c>
      <c r="H146" s="66" t="s">
        <v>1152</v>
      </c>
      <c r="I146" s="235"/>
      <c r="J146" s="216">
        <v>1.0</v>
      </c>
      <c r="K146" s="66" t="s">
        <v>455</v>
      </c>
      <c r="L146" s="66"/>
      <c r="M146" s="19"/>
      <c r="N146" s="21"/>
      <c r="O146" s="134"/>
      <c r="P146" s="19"/>
      <c r="Q146" s="21"/>
      <c r="R146" s="112"/>
      <c r="S146" s="113"/>
      <c r="T146" s="115"/>
    </row>
    <row r="147" ht="14.25" customHeight="1">
      <c r="C147" s="10"/>
      <c r="D147" s="18"/>
      <c r="E147" s="10"/>
      <c r="F147" s="22"/>
      <c r="G147" s="266">
        <v>1.0</v>
      </c>
      <c r="H147" s="267" t="s">
        <v>1154</v>
      </c>
      <c r="I147" s="235"/>
      <c r="J147" s="216">
        <v>1.0</v>
      </c>
      <c r="K147" s="66" t="s">
        <v>495</v>
      </c>
      <c r="L147" s="66"/>
      <c r="M147" s="19"/>
      <c r="N147" s="21"/>
      <c r="O147" s="134"/>
      <c r="P147" s="19"/>
      <c r="Q147" s="21"/>
      <c r="R147" s="112"/>
      <c r="S147" s="113"/>
      <c r="T147" s="115"/>
    </row>
    <row r="148" ht="14.25" customHeight="1">
      <c r="C148" s="10"/>
      <c r="D148" s="18"/>
      <c r="E148" s="10"/>
      <c r="F148" s="22"/>
      <c r="G148" s="98">
        <v>1.0</v>
      </c>
      <c r="H148" s="66" t="s">
        <v>1157</v>
      </c>
      <c r="I148" s="235"/>
      <c r="J148" s="216">
        <v>1.0</v>
      </c>
      <c r="K148" s="66" t="s">
        <v>1158</v>
      </c>
      <c r="L148" s="66"/>
      <c r="M148" s="19"/>
      <c r="N148" s="21"/>
      <c r="O148" s="134"/>
      <c r="P148" s="19"/>
      <c r="Q148" s="21"/>
      <c r="R148" s="112"/>
      <c r="S148" s="113"/>
      <c r="T148" s="115"/>
    </row>
    <row r="149" ht="14.25" customHeight="1">
      <c r="C149" s="10"/>
      <c r="D149" s="18"/>
      <c r="E149" s="10"/>
      <c r="F149" s="259"/>
      <c r="G149" s="98">
        <v>1.0</v>
      </c>
      <c r="H149" s="66" t="s">
        <v>1159</v>
      </c>
      <c r="I149" s="235"/>
      <c r="J149" s="216">
        <v>1.0</v>
      </c>
      <c r="K149" s="66" t="s">
        <v>1160</v>
      </c>
      <c r="L149" s="66"/>
      <c r="M149" s="19"/>
      <c r="N149" s="21"/>
      <c r="O149" s="134"/>
      <c r="P149" s="19"/>
      <c r="Q149" s="21"/>
      <c r="R149" s="112"/>
      <c r="S149" s="113"/>
      <c r="T149" s="115"/>
    </row>
    <row r="150" ht="14.25" customHeight="1">
      <c r="C150" s="10"/>
      <c r="D150" s="18"/>
      <c r="E150" s="10"/>
      <c r="F150" s="22"/>
      <c r="G150" s="266">
        <v>1.0</v>
      </c>
      <c r="H150" s="267" t="s">
        <v>584</v>
      </c>
      <c r="I150" s="235"/>
      <c r="J150" s="216">
        <v>1.0</v>
      </c>
      <c r="K150" s="66" t="s">
        <v>1162</v>
      </c>
      <c r="L150" s="66"/>
      <c r="M150" s="19"/>
      <c r="N150" s="21"/>
      <c r="O150" s="134"/>
      <c r="P150" s="19"/>
      <c r="Q150" s="21"/>
      <c r="R150" s="112"/>
      <c r="S150" s="113"/>
      <c r="T150" s="115"/>
    </row>
    <row r="151" ht="14.25" customHeight="1">
      <c r="C151" s="10"/>
      <c r="D151" s="18"/>
      <c r="E151" s="10"/>
      <c r="F151" s="22"/>
      <c r="G151" s="98">
        <v>1.0</v>
      </c>
      <c r="H151" s="66" t="s">
        <v>683</v>
      </c>
      <c r="I151" s="269"/>
      <c r="J151" s="270">
        <v>1.0</v>
      </c>
      <c r="K151" s="66" t="s">
        <v>1165</v>
      </c>
      <c r="L151" s="66"/>
      <c r="M151" s="19"/>
      <c r="N151" s="21"/>
      <c r="O151" s="134"/>
      <c r="P151" s="19"/>
      <c r="Q151" s="21"/>
      <c r="R151" s="112"/>
      <c r="S151" s="113"/>
      <c r="T151" s="115"/>
    </row>
    <row r="152" ht="14.25" customHeight="1">
      <c r="C152" s="10"/>
      <c r="D152" s="18"/>
      <c r="E152" s="10"/>
      <c r="F152" s="259"/>
      <c r="G152" s="98">
        <v>1.0</v>
      </c>
      <c r="H152" s="66" t="s">
        <v>1168</v>
      </c>
      <c r="I152" s="269"/>
      <c r="J152" s="270">
        <v>1.0</v>
      </c>
      <c r="K152" s="66" t="s">
        <v>663</v>
      </c>
      <c r="L152" s="66"/>
      <c r="M152" s="19"/>
      <c r="N152" s="21"/>
      <c r="O152" s="134"/>
      <c r="P152" s="19"/>
      <c r="Q152" s="21"/>
      <c r="R152" s="112"/>
      <c r="S152" s="113"/>
      <c r="T152" s="115"/>
    </row>
    <row r="153" ht="14.25" customHeight="1">
      <c r="C153" s="10"/>
      <c r="D153" s="18"/>
      <c r="E153" s="10"/>
      <c r="F153" s="259"/>
      <c r="G153" s="266">
        <v>1.0</v>
      </c>
      <c r="H153" s="267" t="s">
        <v>648</v>
      </c>
      <c r="I153" s="269"/>
      <c r="J153" s="270">
        <v>1.0</v>
      </c>
      <c r="K153" s="66" t="s">
        <v>670</v>
      </c>
      <c r="L153" s="66"/>
      <c r="M153" s="19"/>
      <c r="N153" s="21"/>
      <c r="O153" s="134"/>
      <c r="P153" s="19"/>
      <c r="Q153" s="21"/>
      <c r="R153" s="112"/>
      <c r="S153" s="113"/>
      <c r="T153" s="115"/>
    </row>
    <row r="154" ht="14.25" customHeight="1">
      <c r="C154" s="10"/>
      <c r="D154" s="18"/>
      <c r="E154" s="10"/>
      <c r="F154" s="22"/>
      <c r="G154" s="266">
        <v>1.0</v>
      </c>
      <c r="H154" s="267" t="s">
        <v>1172</v>
      </c>
      <c r="I154" s="269"/>
      <c r="J154" s="270">
        <v>1.0</v>
      </c>
      <c r="K154" s="66" t="s">
        <v>1173</v>
      </c>
      <c r="L154" s="66"/>
      <c r="M154" s="19"/>
      <c r="N154" s="21"/>
      <c r="O154" s="134"/>
      <c r="P154" s="19"/>
      <c r="Q154" s="21"/>
      <c r="R154" s="112"/>
      <c r="S154" s="113"/>
      <c r="T154" s="115"/>
    </row>
    <row r="155" ht="14.25" customHeight="1">
      <c r="C155" s="10"/>
      <c r="D155" s="18"/>
      <c r="E155" s="10"/>
      <c r="F155" s="22"/>
      <c r="G155" s="98">
        <v>1.0</v>
      </c>
      <c r="H155" s="66" t="s">
        <v>1176</v>
      </c>
      <c r="I155" s="269"/>
      <c r="J155" s="270">
        <v>1.0</v>
      </c>
      <c r="K155" s="66" t="s">
        <v>708</v>
      </c>
      <c r="L155" s="66"/>
      <c r="M155" s="19"/>
      <c r="N155" s="21"/>
      <c r="O155" s="134"/>
      <c r="P155" s="19"/>
      <c r="Q155" s="21"/>
      <c r="R155" s="112"/>
      <c r="S155" s="113"/>
      <c r="T155" s="115"/>
    </row>
    <row r="156" ht="14.25" customHeight="1">
      <c r="C156" s="10"/>
      <c r="D156" s="18"/>
      <c r="E156" s="10"/>
      <c r="F156" s="259"/>
      <c r="G156" s="98">
        <v>1.0</v>
      </c>
      <c r="H156" s="66" t="s">
        <v>1178</v>
      </c>
      <c r="I156" s="269"/>
      <c r="J156" s="270">
        <v>1.0</v>
      </c>
      <c r="K156" s="66" t="s">
        <v>814</v>
      </c>
      <c r="L156" s="66"/>
      <c r="M156" s="19"/>
      <c r="N156" s="21"/>
      <c r="O156" s="134"/>
      <c r="P156" s="19"/>
      <c r="Q156" s="21"/>
      <c r="R156" s="112"/>
      <c r="S156" s="113"/>
      <c r="T156" s="115"/>
    </row>
    <row r="157" ht="14.25" customHeight="1">
      <c r="C157" s="10"/>
      <c r="D157" s="18"/>
      <c r="E157" s="10"/>
      <c r="F157" s="259"/>
      <c r="G157" s="266">
        <v>1.0</v>
      </c>
      <c r="H157" s="267" t="s">
        <v>901</v>
      </c>
      <c r="I157" s="269"/>
      <c r="J157" s="270">
        <v>1.0</v>
      </c>
      <c r="K157" s="66" t="s">
        <v>1181</v>
      </c>
      <c r="L157" s="66"/>
      <c r="M157" s="19"/>
      <c r="N157" s="21"/>
      <c r="O157" s="134"/>
      <c r="P157" s="19"/>
      <c r="Q157" s="21"/>
      <c r="R157" s="112"/>
      <c r="S157" s="113"/>
      <c r="T157" s="115"/>
    </row>
    <row r="158" ht="14.25" customHeight="1">
      <c r="C158" s="10"/>
      <c r="D158" s="18"/>
      <c r="E158" s="10"/>
      <c r="F158" s="259"/>
      <c r="G158" s="266">
        <v>1.0</v>
      </c>
      <c r="H158" s="267" t="s">
        <v>904</v>
      </c>
      <c r="I158" s="269"/>
      <c r="J158" s="270">
        <v>1.0</v>
      </c>
      <c r="K158" s="66" t="s">
        <v>1184</v>
      </c>
      <c r="L158" s="66"/>
      <c r="M158" s="19"/>
      <c r="N158" s="21"/>
      <c r="O158" s="134"/>
      <c r="P158" s="19"/>
      <c r="Q158" s="21"/>
      <c r="R158" s="112"/>
      <c r="S158" s="113"/>
      <c r="T158" s="115"/>
    </row>
    <row r="159" ht="14.25" customHeight="1">
      <c r="C159" s="10"/>
      <c r="D159" s="18"/>
      <c r="E159" s="10"/>
      <c r="F159" s="259"/>
      <c r="G159" s="266">
        <v>1.0</v>
      </c>
      <c r="H159" s="267" t="s">
        <v>694</v>
      </c>
      <c r="I159" s="269"/>
      <c r="J159" s="270">
        <v>1.0</v>
      </c>
      <c r="K159" s="66" t="s">
        <v>1187</v>
      </c>
      <c r="L159" s="66"/>
      <c r="M159" s="19"/>
      <c r="N159" s="21"/>
      <c r="O159" s="134"/>
      <c r="P159" s="19"/>
      <c r="Q159" s="21"/>
      <c r="R159" s="112"/>
      <c r="S159" s="113"/>
      <c r="T159" s="115"/>
    </row>
    <row r="160" ht="14.25" customHeight="1">
      <c r="C160" s="10"/>
      <c r="D160" s="18"/>
      <c r="E160" s="10"/>
      <c r="F160" s="259"/>
      <c r="G160" s="266">
        <v>1.0</v>
      </c>
      <c r="H160" s="267" t="s">
        <v>450</v>
      </c>
      <c r="I160" s="235"/>
      <c r="J160" s="216"/>
      <c r="K160" s="183"/>
      <c r="L160" s="21"/>
      <c r="M160" s="19"/>
      <c r="N160" s="21"/>
      <c r="O160" s="134"/>
      <c r="P160" s="19"/>
      <c r="Q160" s="21"/>
      <c r="R160" s="112"/>
      <c r="S160" s="113"/>
      <c r="T160" s="115"/>
    </row>
    <row r="161" ht="14.25" customHeight="1">
      <c r="C161" s="10"/>
      <c r="D161" s="18"/>
      <c r="E161" s="10"/>
      <c r="F161" s="22"/>
      <c r="G161" s="266">
        <v>1.0</v>
      </c>
      <c r="H161" s="267" t="s">
        <v>1190</v>
      </c>
      <c r="I161" s="235"/>
      <c r="J161" s="216"/>
      <c r="K161" s="183"/>
      <c r="L161" s="21"/>
      <c r="M161" s="19"/>
      <c r="N161" s="21"/>
      <c r="O161" s="134"/>
      <c r="P161" s="19"/>
      <c r="Q161" s="21"/>
      <c r="R161" s="112"/>
      <c r="S161" s="113"/>
      <c r="T161" s="115"/>
    </row>
    <row r="162" ht="14.25" customHeight="1">
      <c r="C162" s="10"/>
      <c r="D162" s="18"/>
      <c r="E162" s="10"/>
      <c r="F162" s="22"/>
      <c r="G162" s="98">
        <v>1.0</v>
      </c>
      <c r="H162" s="66" t="s">
        <v>778</v>
      </c>
      <c r="I162" s="235"/>
      <c r="J162" s="216"/>
      <c r="K162" s="183"/>
      <c r="L162" s="21"/>
      <c r="M162" s="19"/>
      <c r="N162" s="21"/>
      <c r="O162" s="134"/>
      <c r="P162" s="19"/>
      <c r="Q162" s="21"/>
      <c r="R162" s="112"/>
      <c r="S162" s="113"/>
      <c r="T162" s="115"/>
    </row>
    <row r="163" ht="14.25" customHeight="1">
      <c r="C163" s="10"/>
      <c r="D163" s="18"/>
      <c r="E163" s="10"/>
      <c r="F163" s="22"/>
      <c r="G163" s="98">
        <v>1.0</v>
      </c>
      <c r="H163" s="66" t="s">
        <v>504</v>
      </c>
      <c r="I163" s="235"/>
      <c r="J163" s="216"/>
      <c r="K163" s="183"/>
      <c r="L163" s="21"/>
      <c r="M163" s="19"/>
      <c r="N163" s="21"/>
      <c r="O163" s="134"/>
      <c r="P163" s="19"/>
      <c r="Q163" s="21"/>
      <c r="R163" s="112"/>
      <c r="S163" s="113"/>
      <c r="T163" s="115"/>
    </row>
    <row r="164" ht="14.25" customHeight="1">
      <c r="C164" s="10"/>
      <c r="D164" s="18"/>
      <c r="E164" s="10"/>
      <c r="F164" s="22"/>
      <c r="G164" s="98">
        <v>1.0</v>
      </c>
      <c r="H164" s="66" t="s">
        <v>708</v>
      </c>
      <c r="I164" s="235"/>
      <c r="J164" s="216"/>
      <c r="K164" s="183"/>
      <c r="L164" s="21"/>
      <c r="M164" s="19"/>
      <c r="N164" s="21"/>
      <c r="O164" s="134"/>
      <c r="P164" s="19"/>
      <c r="Q164" s="21"/>
      <c r="R164" s="112"/>
      <c r="S164" s="113"/>
      <c r="T164" s="115"/>
    </row>
    <row r="165" ht="14.25" customHeight="1">
      <c r="C165" s="10"/>
      <c r="D165" s="18"/>
      <c r="E165" s="10"/>
      <c r="F165" s="22"/>
      <c r="G165" s="98">
        <v>1.0</v>
      </c>
      <c r="H165" s="66" t="s">
        <v>1198</v>
      </c>
      <c r="I165" s="235"/>
      <c r="J165" s="216"/>
      <c r="K165" s="183"/>
      <c r="L165" s="21"/>
      <c r="M165" s="19"/>
      <c r="N165" s="21"/>
      <c r="O165" s="134"/>
      <c r="P165" s="19"/>
      <c r="Q165" s="21"/>
      <c r="R165" s="112"/>
      <c r="S165" s="113"/>
      <c r="T165" s="115"/>
    </row>
    <row r="166" ht="14.25" customHeight="1">
      <c r="C166" s="10"/>
      <c r="D166" s="18"/>
      <c r="E166" s="10"/>
      <c r="F166" s="259"/>
      <c r="G166" s="98">
        <v>1.0</v>
      </c>
      <c r="H166" s="66" t="s">
        <v>712</v>
      </c>
      <c r="I166" s="235"/>
      <c r="J166" s="216"/>
      <c r="K166" s="183"/>
      <c r="L166" s="21"/>
      <c r="M166" s="19"/>
      <c r="N166" s="21"/>
      <c r="O166" s="134"/>
      <c r="P166" s="19"/>
      <c r="Q166" s="21"/>
      <c r="R166" s="112"/>
      <c r="S166" s="113"/>
      <c r="T166" s="115"/>
    </row>
    <row r="167" ht="14.25" customHeight="1">
      <c r="C167" s="10"/>
      <c r="D167" s="18"/>
      <c r="E167" s="10"/>
      <c r="F167" s="22"/>
      <c r="G167" s="266">
        <v>1.0</v>
      </c>
      <c r="H167" s="267" t="s">
        <v>1200</v>
      </c>
      <c r="I167" s="235"/>
      <c r="J167" s="216"/>
      <c r="K167" s="183"/>
      <c r="L167" s="21"/>
      <c r="M167" s="19"/>
      <c r="N167" s="21"/>
      <c r="O167" s="134"/>
      <c r="P167" s="19"/>
      <c r="Q167" s="21"/>
      <c r="R167" s="112"/>
      <c r="S167" s="113"/>
      <c r="T167" s="115"/>
    </row>
    <row r="168" ht="14.25" customHeight="1">
      <c r="C168" s="10"/>
      <c r="D168" s="18"/>
      <c r="E168" s="10"/>
      <c r="F168" s="134"/>
      <c r="G168" s="98">
        <v>1.0</v>
      </c>
      <c r="H168" s="66" t="s">
        <v>1202</v>
      </c>
      <c r="I168" s="235"/>
      <c r="J168" s="216"/>
      <c r="K168" s="183"/>
      <c r="L168" s="21"/>
      <c r="M168" s="19"/>
      <c r="N168" s="21"/>
      <c r="O168" s="134"/>
      <c r="P168" s="19"/>
      <c r="Q168" s="21"/>
      <c r="R168" s="112"/>
      <c r="S168" s="113"/>
      <c r="T168" s="115"/>
    </row>
    <row r="169" ht="14.25" customHeight="1">
      <c r="C169" s="10"/>
      <c r="D169" s="18"/>
      <c r="E169" s="10"/>
      <c r="F169" s="134"/>
      <c r="G169" s="19"/>
      <c r="H169" s="21"/>
      <c r="I169" s="235"/>
      <c r="J169" s="216"/>
      <c r="K169" s="183"/>
      <c r="L169" s="21"/>
      <c r="M169" s="19"/>
      <c r="N169" s="21"/>
      <c r="O169" s="134"/>
      <c r="P169" s="19"/>
      <c r="Q169" s="21"/>
      <c r="R169" s="112"/>
      <c r="S169" s="113"/>
      <c r="T169" s="115"/>
    </row>
    <row r="170" ht="14.25" customHeight="1">
      <c r="C170" s="10"/>
      <c r="D170" s="18"/>
      <c r="E170" s="10"/>
      <c r="F170" s="134"/>
      <c r="G170" s="19"/>
      <c r="H170" s="21"/>
      <c r="I170" s="235"/>
      <c r="J170" s="216"/>
      <c r="K170" s="183"/>
      <c r="L170" s="21"/>
      <c r="M170" s="19"/>
      <c r="N170" s="21"/>
      <c r="O170" s="134"/>
      <c r="P170" s="19"/>
      <c r="Q170" s="21"/>
      <c r="R170" s="112"/>
      <c r="S170" s="113"/>
      <c r="T170" s="115"/>
    </row>
    <row r="171" ht="14.25" customHeight="1">
      <c r="C171" s="10"/>
      <c r="D171" s="18"/>
      <c r="E171" s="10"/>
      <c r="F171" s="134"/>
      <c r="G171" s="19"/>
      <c r="H171" s="21"/>
      <c r="I171" s="235"/>
      <c r="J171" s="216"/>
      <c r="K171" s="183"/>
      <c r="L171" s="21"/>
      <c r="M171" s="19"/>
      <c r="N171" s="21"/>
      <c r="O171" s="134"/>
      <c r="P171" s="19"/>
      <c r="Q171" s="21"/>
      <c r="R171" s="112"/>
      <c r="S171" s="113"/>
      <c r="T171" s="115"/>
    </row>
    <row r="172" ht="14.25" customHeight="1">
      <c r="C172" s="10"/>
      <c r="D172" s="18"/>
      <c r="E172" s="10"/>
      <c r="F172" s="134"/>
      <c r="G172" s="19"/>
      <c r="H172" s="21"/>
      <c r="I172" s="235"/>
      <c r="J172" s="216"/>
      <c r="K172" s="183"/>
      <c r="L172" s="21"/>
      <c r="M172" s="19"/>
      <c r="N172" s="21"/>
      <c r="O172" s="134"/>
      <c r="P172" s="19"/>
      <c r="Q172" s="21"/>
      <c r="R172" s="112"/>
      <c r="S172" s="113"/>
      <c r="T172" s="115"/>
    </row>
    <row r="173" ht="14.25" customHeight="1">
      <c r="C173" s="10"/>
      <c r="D173" s="18"/>
      <c r="E173" s="10"/>
      <c r="F173" s="134"/>
      <c r="G173" s="19"/>
      <c r="H173" s="21"/>
      <c r="I173" s="235"/>
      <c r="J173" s="216"/>
      <c r="K173" s="183"/>
      <c r="L173" s="21"/>
      <c r="M173" s="19"/>
      <c r="N173" s="21"/>
      <c r="O173" s="134"/>
      <c r="P173" s="19"/>
      <c r="Q173" s="21"/>
      <c r="R173" s="112"/>
      <c r="S173" s="113"/>
      <c r="T173" s="115"/>
    </row>
    <row r="174" ht="14.25" customHeight="1">
      <c r="C174" s="10"/>
      <c r="D174" s="18"/>
      <c r="E174" s="10"/>
      <c r="F174" s="134"/>
      <c r="G174" s="19"/>
      <c r="H174" s="21"/>
      <c r="I174" s="235"/>
      <c r="J174" s="216"/>
      <c r="K174" s="183"/>
      <c r="L174" s="21"/>
      <c r="M174" s="19"/>
      <c r="N174" s="21"/>
      <c r="O174" s="134"/>
      <c r="P174" s="19"/>
      <c r="Q174" s="21"/>
      <c r="R174" s="112"/>
      <c r="S174" s="113"/>
      <c r="T174" s="115"/>
    </row>
    <row r="175" ht="14.25" customHeight="1">
      <c r="C175" s="10"/>
      <c r="D175" s="18"/>
      <c r="E175" s="10"/>
      <c r="F175" s="134"/>
      <c r="G175" s="19"/>
      <c r="H175" s="21"/>
      <c r="I175" s="235"/>
      <c r="J175" s="216"/>
      <c r="K175" s="183"/>
      <c r="L175" s="21"/>
      <c r="M175" s="19"/>
      <c r="N175" s="21"/>
      <c r="O175" s="134"/>
      <c r="P175" s="19"/>
      <c r="Q175" s="21"/>
      <c r="R175" s="112"/>
      <c r="S175" s="113"/>
      <c r="T175" s="115"/>
    </row>
    <row r="176" ht="14.25" customHeight="1">
      <c r="C176" s="10"/>
      <c r="D176" s="18"/>
      <c r="E176" s="10"/>
      <c r="F176" s="134"/>
      <c r="G176" s="19"/>
      <c r="H176" s="21"/>
      <c r="I176" s="235"/>
      <c r="J176" s="216"/>
      <c r="K176" s="183"/>
      <c r="L176" s="21"/>
      <c r="M176" s="19"/>
      <c r="N176" s="21"/>
      <c r="O176" s="134"/>
      <c r="P176" s="19"/>
      <c r="Q176" s="21"/>
      <c r="R176" s="112"/>
      <c r="S176" s="113"/>
      <c r="T176" s="115"/>
    </row>
    <row r="177" ht="14.25" customHeight="1">
      <c r="C177" s="10"/>
      <c r="D177" s="18"/>
      <c r="E177" s="10"/>
      <c r="F177" s="134"/>
      <c r="G177" s="19"/>
      <c r="H177" s="21"/>
      <c r="I177" s="235"/>
      <c r="J177" s="216"/>
      <c r="K177" s="183"/>
      <c r="L177" s="21"/>
      <c r="M177" s="19"/>
      <c r="N177" s="21"/>
      <c r="O177" s="134"/>
      <c r="P177" s="19"/>
      <c r="Q177" s="21"/>
      <c r="R177" s="112"/>
      <c r="S177" s="113"/>
      <c r="T177" s="115"/>
    </row>
    <row r="178" ht="14.25" customHeight="1">
      <c r="C178" s="10"/>
      <c r="D178" s="18"/>
      <c r="E178" s="10"/>
      <c r="F178" s="134"/>
      <c r="G178" s="19"/>
      <c r="H178" s="21"/>
      <c r="I178" s="235"/>
      <c r="J178" s="216"/>
      <c r="K178" s="183"/>
      <c r="L178" s="21"/>
      <c r="M178" s="19"/>
      <c r="N178" s="21"/>
      <c r="O178" s="134"/>
      <c r="P178" s="19"/>
      <c r="Q178" s="21"/>
      <c r="R178" s="112"/>
      <c r="S178" s="113"/>
      <c r="T178" s="115"/>
    </row>
    <row r="179" ht="14.25" customHeight="1">
      <c r="C179" s="10"/>
      <c r="D179" s="18"/>
      <c r="E179" s="10"/>
      <c r="F179" s="134"/>
      <c r="G179" s="19"/>
      <c r="H179" s="21"/>
      <c r="I179" s="235"/>
      <c r="J179" s="216"/>
      <c r="K179" s="183"/>
      <c r="L179" s="21"/>
      <c r="M179" s="19"/>
      <c r="N179" s="21"/>
      <c r="O179" s="134"/>
      <c r="P179" s="19"/>
      <c r="Q179" s="21"/>
      <c r="R179" s="112"/>
      <c r="S179" s="113"/>
      <c r="T179" s="115"/>
    </row>
    <row r="180" ht="14.25" customHeight="1">
      <c r="C180" s="10"/>
      <c r="D180" s="18"/>
      <c r="E180" s="10"/>
      <c r="F180" s="134"/>
      <c r="G180" s="19"/>
      <c r="H180" s="21"/>
      <c r="I180" s="235"/>
      <c r="J180" s="216"/>
      <c r="K180" s="183"/>
      <c r="L180" s="21"/>
      <c r="M180" s="19"/>
      <c r="N180" s="21"/>
      <c r="O180" s="134"/>
      <c r="P180" s="19"/>
      <c r="Q180" s="21"/>
      <c r="R180" s="112"/>
      <c r="S180" s="113"/>
      <c r="T180" s="115"/>
    </row>
    <row r="181" ht="14.25" customHeight="1">
      <c r="C181" s="10"/>
      <c r="D181" s="18"/>
      <c r="E181" s="10"/>
      <c r="F181" s="134"/>
      <c r="G181" s="19"/>
      <c r="H181" s="21"/>
      <c r="I181" s="235"/>
      <c r="J181" s="216"/>
      <c r="K181" s="183"/>
      <c r="L181" s="21"/>
      <c r="M181" s="19"/>
      <c r="N181" s="21"/>
      <c r="O181" s="134"/>
      <c r="P181" s="19"/>
      <c r="Q181" s="21"/>
      <c r="R181" s="112"/>
      <c r="S181" s="113"/>
      <c r="T181" s="115"/>
    </row>
    <row r="182" ht="14.25" customHeight="1">
      <c r="C182" s="10"/>
      <c r="D182" s="18"/>
      <c r="E182" s="10"/>
      <c r="F182" s="134"/>
      <c r="G182" s="19"/>
      <c r="H182" s="21"/>
      <c r="I182" s="235"/>
      <c r="J182" s="216"/>
      <c r="K182" s="183"/>
      <c r="L182" s="21"/>
      <c r="M182" s="19"/>
      <c r="N182" s="21"/>
      <c r="O182" s="134"/>
      <c r="P182" s="19"/>
      <c r="Q182" s="21"/>
      <c r="R182" s="112"/>
      <c r="S182" s="113"/>
      <c r="T182" s="115"/>
    </row>
    <row r="183" ht="14.25" customHeight="1">
      <c r="C183" s="10"/>
      <c r="D183" s="18"/>
      <c r="E183" s="10"/>
      <c r="F183" s="134"/>
      <c r="G183" s="19"/>
      <c r="H183" s="21"/>
      <c r="I183" s="235"/>
      <c r="J183" s="216"/>
      <c r="K183" s="183"/>
      <c r="L183" s="21"/>
      <c r="M183" s="19"/>
      <c r="N183" s="21"/>
      <c r="O183" s="134"/>
      <c r="P183" s="19"/>
      <c r="Q183" s="21"/>
      <c r="R183" s="112"/>
      <c r="S183" s="113"/>
      <c r="T183" s="115"/>
    </row>
    <row r="184" ht="14.25" customHeight="1">
      <c r="C184" s="10"/>
      <c r="D184" s="18"/>
      <c r="E184" s="10"/>
      <c r="F184" s="134"/>
      <c r="G184" s="19"/>
      <c r="H184" s="21"/>
      <c r="I184" s="235"/>
      <c r="J184" s="216"/>
      <c r="K184" s="183"/>
      <c r="L184" s="21"/>
      <c r="M184" s="19"/>
      <c r="N184" s="21"/>
      <c r="O184" s="134"/>
      <c r="P184" s="19"/>
      <c r="Q184" s="21"/>
      <c r="R184" s="112"/>
      <c r="S184" s="113"/>
      <c r="T184" s="115"/>
    </row>
    <row r="185" ht="14.25" customHeight="1">
      <c r="C185" s="10"/>
      <c r="D185" s="18"/>
      <c r="E185" s="10"/>
      <c r="F185" s="134"/>
      <c r="G185" s="19"/>
      <c r="H185" s="21"/>
      <c r="I185" s="235"/>
      <c r="J185" s="216"/>
      <c r="K185" s="183"/>
      <c r="L185" s="21"/>
      <c r="M185" s="19"/>
      <c r="N185" s="21"/>
      <c r="O185" s="134"/>
      <c r="P185" s="19"/>
      <c r="Q185" s="21"/>
      <c r="R185" s="112"/>
      <c r="S185" s="113"/>
      <c r="T185" s="115"/>
    </row>
    <row r="186" ht="14.25" customHeight="1">
      <c r="C186" s="10"/>
      <c r="D186" s="18"/>
      <c r="E186" s="10"/>
      <c r="F186" s="134"/>
      <c r="G186" s="19"/>
      <c r="H186" s="21"/>
      <c r="I186" s="235"/>
      <c r="J186" s="216"/>
      <c r="K186" s="183"/>
      <c r="L186" s="21"/>
      <c r="M186" s="19"/>
      <c r="N186" s="21"/>
      <c r="O186" s="134"/>
      <c r="P186" s="19"/>
      <c r="Q186" s="21"/>
      <c r="R186" s="112"/>
      <c r="S186" s="113"/>
      <c r="T186" s="115"/>
    </row>
    <row r="187" ht="14.25" customHeight="1">
      <c r="C187" s="10"/>
      <c r="D187" s="18"/>
      <c r="E187" s="10"/>
      <c r="F187" s="134"/>
      <c r="G187" s="19"/>
      <c r="H187" s="21"/>
      <c r="I187" s="235"/>
      <c r="J187" s="216"/>
      <c r="K187" s="183"/>
      <c r="L187" s="21"/>
      <c r="M187" s="19"/>
      <c r="N187" s="21"/>
      <c r="O187" s="134"/>
      <c r="P187" s="19"/>
      <c r="Q187" s="21"/>
      <c r="R187" s="112"/>
      <c r="S187" s="113"/>
      <c r="T187" s="115"/>
    </row>
    <row r="188" ht="14.25" customHeight="1">
      <c r="C188" s="10"/>
      <c r="D188" s="18"/>
      <c r="E188" s="10"/>
      <c r="F188" s="134"/>
      <c r="G188" s="19"/>
      <c r="H188" s="21"/>
      <c r="I188" s="235"/>
      <c r="J188" s="216"/>
      <c r="K188" s="183"/>
      <c r="L188" s="21"/>
      <c r="M188" s="19"/>
      <c r="N188" s="21"/>
      <c r="O188" s="134"/>
      <c r="P188" s="19"/>
      <c r="Q188" s="21"/>
      <c r="R188" s="112"/>
      <c r="S188" s="113"/>
      <c r="T188" s="115"/>
    </row>
    <row r="189" ht="14.25" customHeight="1">
      <c r="C189" s="10"/>
      <c r="D189" s="18"/>
      <c r="E189" s="10"/>
      <c r="F189" s="134"/>
      <c r="G189" s="19"/>
      <c r="H189" s="21"/>
      <c r="I189" s="235"/>
      <c r="J189" s="216"/>
      <c r="K189" s="183"/>
      <c r="L189" s="21"/>
      <c r="M189" s="19"/>
      <c r="N189" s="21"/>
      <c r="O189" s="134"/>
      <c r="P189" s="19"/>
      <c r="Q189" s="21"/>
      <c r="R189" s="112"/>
      <c r="S189" s="113"/>
      <c r="T189" s="115"/>
    </row>
    <row r="190" ht="14.25" customHeight="1">
      <c r="C190" s="10"/>
      <c r="D190" s="18"/>
      <c r="E190" s="10"/>
      <c r="F190" s="134"/>
      <c r="G190" s="19"/>
      <c r="H190" s="21"/>
      <c r="I190" s="235"/>
      <c r="J190" s="216"/>
      <c r="K190" s="183"/>
      <c r="L190" s="21"/>
      <c r="M190" s="19"/>
      <c r="N190" s="21"/>
      <c r="O190" s="134"/>
      <c r="P190" s="19"/>
      <c r="Q190" s="21"/>
      <c r="R190" s="112"/>
      <c r="S190" s="113"/>
      <c r="T190" s="115"/>
    </row>
    <row r="191" ht="14.25" customHeight="1">
      <c r="C191" s="10"/>
      <c r="D191" s="18"/>
      <c r="E191" s="10"/>
      <c r="F191" s="134"/>
      <c r="G191" s="19"/>
      <c r="H191" s="21"/>
      <c r="I191" s="235"/>
      <c r="J191" s="216"/>
      <c r="K191" s="183"/>
      <c r="L191" s="21"/>
      <c r="M191" s="19"/>
      <c r="N191" s="21"/>
      <c r="O191" s="134"/>
      <c r="P191" s="19"/>
      <c r="Q191" s="21"/>
      <c r="R191" s="112"/>
      <c r="S191" s="113"/>
      <c r="T191" s="115"/>
    </row>
    <row r="192" ht="14.25" customHeight="1">
      <c r="C192" s="10"/>
      <c r="D192" s="18"/>
      <c r="E192" s="10"/>
      <c r="F192" s="134"/>
      <c r="G192" s="19"/>
      <c r="H192" s="21"/>
      <c r="I192" s="235"/>
      <c r="J192" s="216"/>
      <c r="K192" s="183"/>
      <c r="L192" s="21"/>
      <c r="M192" s="19"/>
      <c r="N192" s="21"/>
      <c r="O192" s="134"/>
      <c r="P192" s="19"/>
      <c r="Q192" s="21"/>
      <c r="R192" s="112"/>
      <c r="S192" s="113"/>
      <c r="T192" s="115"/>
    </row>
    <row r="193" ht="14.25" customHeight="1">
      <c r="C193" s="10"/>
      <c r="D193" s="18"/>
      <c r="E193" s="10"/>
      <c r="F193" s="134"/>
      <c r="G193" s="19"/>
      <c r="H193" s="21"/>
      <c r="I193" s="235"/>
      <c r="J193" s="216"/>
      <c r="K193" s="183"/>
      <c r="L193" s="21"/>
      <c r="M193" s="19"/>
      <c r="N193" s="21"/>
      <c r="O193" s="134"/>
      <c r="P193" s="19"/>
      <c r="Q193" s="21"/>
      <c r="R193" s="112"/>
      <c r="S193" s="113"/>
      <c r="T193" s="115"/>
    </row>
    <row r="194" ht="14.25" customHeight="1">
      <c r="C194" s="10"/>
      <c r="D194" s="18"/>
      <c r="E194" s="10"/>
      <c r="F194" s="134"/>
      <c r="G194" s="19"/>
      <c r="H194" s="21"/>
      <c r="I194" s="235"/>
      <c r="J194" s="216"/>
      <c r="K194" s="183"/>
      <c r="L194" s="21"/>
      <c r="M194" s="19"/>
      <c r="N194" s="21"/>
      <c r="O194" s="134"/>
      <c r="P194" s="19"/>
      <c r="Q194" s="21"/>
      <c r="R194" s="112"/>
      <c r="S194" s="113"/>
      <c r="T194" s="115"/>
    </row>
    <row r="195" ht="14.25" customHeight="1">
      <c r="C195" s="10"/>
      <c r="D195" s="18"/>
      <c r="E195" s="10"/>
      <c r="F195" s="134"/>
      <c r="G195" s="19"/>
      <c r="H195" s="21"/>
      <c r="I195" s="235"/>
      <c r="J195" s="216"/>
      <c r="K195" s="183"/>
      <c r="L195" s="21"/>
      <c r="M195" s="19"/>
      <c r="N195" s="21"/>
      <c r="O195" s="134"/>
      <c r="P195" s="19"/>
      <c r="Q195" s="21"/>
      <c r="R195" s="112"/>
      <c r="S195" s="113"/>
      <c r="T195" s="115"/>
    </row>
    <row r="196" ht="14.25" customHeight="1">
      <c r="C196" s="10"/>
      <c r="D196" s="18"/>
      <c r="E196" s="10"/>
      <c r="F196" s="134"/>
      <c r="G196" s="19"/>
      <c r="H196" s="21"/>
      <c r="I196" s="235"/>
      <c r="J196" s="216"/>
      <c r="K196" s="183"/>
      <c r="L196" s="21"/>
      <c r="M196" s="19"/>
      <c r="N196" s="21"/>
      <c r="O196" s="134"/>
      <c r="P196" s="19"/>
      <c r="Q196" s="21"/>
      <c r="R196" s="112"/>
      <c r="S196" s="113"/>
      <c r="T196" s="115"/>
    </row>
    <row r="197" ht="14.25" customHeight="1">
      <c r="C197" s="10"/>
      <c r="D197" s="18"/>
      <c r="E197" s="10"/>
      <c r="F197" s="134"/>
      <c r="G197" s="19"/>
      <c r="H197" s="21"/>
      <c r="I197" s="235"/>
      <c r="J197" s="216"/>
      <c r="K197" s="183"/>
      <c r="L197" s="21"/>
      <c r="M197" s="19"/>
      <c r="N197" s="21"/>
      <c r="O197" s="134"/>
      <c r="P197" s="19"/>
      <c r="Q197" s="21"/>
      <c r="R197" s="112"/>
      <c r="S197" s="113"/>
      <c r="T197" s="115"/>
    </row>
    <row r="198" ht="14.25" customHeight="1">
      <c r="C198" s="10"/>
      <c r="D198" s="18"/>
      <c r="E198" s="10"/>
      <c r="F198" s="134"/>
      <c r="G198" s="19"/>
      <c r="H198" s="21"/>
      <c r="I198" s="235"/>
      <c r="J198" s="216"/>
      <c r="K198" s="183"/>
      <c r="L198" s="21"/>
      <c r="M198" s="19"/>
      <c r="N198" s="21"/>
      <c r="O198" s="134"/>
      <c r="P198" s="19"/>
      <c r="Q198" s="21"/>
      <c r="R198" s="112"/>
      <c r="S198" s="113"/>
      <c r="T198" s="115"/>
    </row>
    <row r="199" ht="14.25" customHeight="1">
      <c r="C199" s="10"/>
      <c r="D199" s="18"/>
      <c r="E199" s="10"/>
      <c r="F199" s="134"/>
      <c r="G199" s="19"/>
      <c r="H199" s="21"/>
      <c r="I199" s="235"/>
      <c r="J199" s="216"/>
      <c r="K199" s="183"/>
      <c r="L199" s="21"/>
      <c r="M199" s="19"/>
      <c r="N199" s="21"/>
      <c r="O199" s="134"/>
      <c r="P199" s="19"/>
      <c r="Q199" s="21"/>
      <c r="R199" s="112"/>
      <c r="S199" s="113"/>
      <c r="T199" s="115"/>
    </row>
    <row r="200" ht="14.25" customHeight="1">
      <c r="C200" s="10"/>
      <c r="D200" s="18"/>
      <c r="E200" s="10"/>
      <c r="F200" s="134"/>
      <c r="G200" s="19"/>
      <c r="H200" s="21"/>
      <c r="I200" s="235"/>
      <c r="J200" s="216"/>
      <c r="K200" s="183"/>
      <c r="L200" s="21"/>
      <c r="M200" s="19"/>
      <c r="N200" s="21"/>
      <c r="O200" s="134"/>
      <c r="P200" s="19"/>
      <c r="Q200" s="21"/>
      <c r="R200" s="112"/>
      <c r="S200" s="113"/>
      <c r="T200" s="115"/>
    </row>
    <row r="201" ht="14.25" customHeight="1">
      <c r="C201" s="10"/>
      <c r="D201" s="18"/>
      <c r="E201" s="10"/>
      <c r="F201" s="134"/>
      <c r="G201" s="19"/>
      <c r="H201" s="21"/>
      <c r="I201" s="235"/>
      <c r="J201" s="216"/>
      <c r="K201" s="183"/>
      <c r="L201" s="21"/>
      <c r="M201" s="19"/>
      <c r="N201" s="21"/>
      <c r="O201" s="134"/>
      <c r="P201" s="19"/>
      <c r="Q201" s="21"/>
      <c r="R201" s="112"/>
      <c r="S201" s="113"/>
      <c r="T201" s="115"/>
    </row>
    <row r="202" ht="14.25" customHeight="1">
      <c r="C202" s="10"/>
      <c r="D202" s="18"/>
      <c r="E202" s="10"/>
      <c r="F202" s="134"/>
      <c r="G202" s="19"/>
      <c r="H202" s="21"/>
      <c r="I202" s="235"/>
      <c r="J202" s="216"/>
      <c r="K202" s="183"/>
      <c r="L202" s="21"/>
      <c r="M202" s="19"/>
      <c r="N202" s="21"/>
      <c r="O202" s="134"/>
      <c r="P202" s="19"/>
      <c r="Q202" s="21"/>
      <c r="R202" s="112"/>
      <c r="S202" s="113"/>
      <c r="T202" s="115"/>
    </row>
    <row r="203" ht="14.25" customHeight="1">
      <c r="C203" s="10"/>
      <c r="D203" s="18"/>
      <c r="E203" s="10"/>
      <c r="F203" s="134"/>
      <c r="G203" s="19"/>
      <c r="H203" s="21"/>
      <c r="I203" s="235"/>
      <c r="J203" s="216"/>
      <c r="K203" s="183"/>
      <c r="L203" s="21"/>
      <c r="M203" s="19"/>
      <c r="N203" s="21"/>
      <c r="O203" s="134"/>
      <c r="P203" s="19"/>
      <c r="Q203" s="21"/>
      <c r="R203" s="112"/>
      <c r="S203" s="113"/>
      <c r="T203" s="115"/>
    </row>
    <row r="204" ht="14.25" customHeight="1">
      <c r="C204" s="10"/>
      <c r="D204" s="18"/>
      <c r="E204" s="10"/>
      <c r="F204" s="134"/>
      <c r="G204" s="19"/>
      <c r="H204" s="21"/>
      <c r="I204" s="235"/>
      <c r="J204" s="216"/>
      <c r="K204" s="183"/>
      <c r="L204" s="21"/>
      <c r="M204" s="19"/>
      <c r="N204" s="21"/>
      <c r="O204" s="134"/>
      <c r="P204" s="19"/>
      <c r="Q204" s="21"/>
      <c r="R204" s="112"/>
      <c r="S204" s="113"/>
      <c r="T204" s="115"/>
    </row>
    <row r="205" ht="14.25" customHeight="1">
      <c r="C205" s="10"/>
      <c r="D205" s="18"/>
      <c r="E205" s="10"/>
      <c r="F205" s="134"/>
      <c r="G205" s="19"/>
      <c r="H205" s="21"/>
      <c r="I205" s="235"/>
      <c r="J205" s="216"/>
      <c r="K205" s="183"/>
      <c r="L205" s="21"/>
      <c r="M205" s="19"/>
      <c r="N205" s="21"/>
      <c r="O205" s="134"/>
      <c r="P205" s="19"/>
      <c r="Q205" s="21"/>
      <c r="R205" s="112"/>
      <c r="S205" s="113"/>
      <c r="T205" s="115"/>
    </row>
    <row r="206" ht="14.25" customHeight="1">
      <c r="C206" s="10"/>
      <c r="D206" s="18"/>
      <c r="E206" s="10"/>
      <c r="F206" s="134"/>
      <c r="G206" s="19"/>
      <c r="H206" s="21"/>
      <c r="I206" s="235"/>
      <c r="J206" s="216"/>
      <c r="K206" s="183"/>
      <c r="L206" s="21"/>
      <c r="M206" s="19"/>
      <c r="N206" s="21"/>
      <c r="O206" s="134"/>
      <c r="P206" s="19"/>
      <c r="Q206" s="21"/>
      <c r="R206" s="112"/>
      <c r="S206" s="113"/>
      <c r="T206" s="115"/>
    </row>
    <row r="207" ht="14.25" customHeight="1">
      <c r="C207" s="10"/>
      <c r="D207" s="18"/>
      <c r="E207" s="10"/>
      <c r="F207" s="134"/>
      <c r="G207" s="19"/>
      <c r="H207" s="21"/>
      <c r="I207" s="235"/>
      <c r="J207" s="216"/>
      <c r="K207" s="183"/>
      <c r="L207" s="21"/>
      <c r="M207" s="19"/>
      <c r="N207" s="21"/>
      <c r="O207" s="134"/>
      <c r="P207" s="19"/>
      <c r="Q207" s="21"/>
      <c r="R207" s="112"/>
      <c r="S207" s="113"/>
      <c r="T207" s="115"/>
    </row>
    <row r="208" ht="14.25" customHeight="1">
      <c r="C208" s="10"/>
      <c r="D208" s="18"/>
      <c r="E208" s="10"/>
      <c r="F208" s="134"/>
      <c r="G208" s="19"/>
      <c r="H208" s="21"/>
      <c r="I208" s="235"/>
      <c r="J208" s="216"/>
      <c r="K208" s="183"/>
      <c r="L208" s="21"/>
      <c r="M208" s="19"/>
      <c r="N208" s="21"/>
      <c r="O208" s="134"/>
      <c r="P208" s="19"/>
      <c r="Q208" s="21"/>
      <c r="R208" s="112"/>
      <c r="S208" s="113"/>
      <c r="T208" s="115"/>
    </row>
    <row r="209" ht="14.25" customHeight="1">
      <c r="C209" s="10"/>
      <c r="D209" s="18"/>
      <c r="E209" s="10"/>
      <c r="F209" s="134"/>
      <c r="G209" s="19"/>
      <c r="H209" s="21"/>
      <c r="I209" s="235"/>
      <c r="J209" s="216"/>
      <c r="K209" s="183"/>
      <c r="L209" s="21"/>
      <c r="M209" s="19"/>
      <c r="N209" s="21"/>
      <c r="O209" s="134"/>
      <c r="P209" s="19"/>
      <c r="Q209" s="21"/>
      <c r="R209" s="112"/>
      <c r="S209" s="113"/>
      <c r="T209" s="115"/>
    </row>
    <row r="210" ht="14.25" customHeight="1">
      <c r="C210" s="10"/>
      <c r="D210" s="18"/>
      <c r="E210" s="10"/>
      <c r="F210" s="134"/>
      <c r="G210" s="19"/>
      <c r="H210" s="21"/>
      <c r="I210" s="235"/>
      <c r="J210" s="216"/>
      <c r="K210" s="183"/>
      <c r="L210" s="21"/>
      <c r="M210" s="19"/>
      <c r="N210" s="21"/>
      <c r="O210" s="134"/>
      <c r="P210" s="19"/>
      <c r="Q210" s="21"/>
      <c r="R210" s="112"/>
      <c r="S210" s="113"/>
      <c r="T210" s="115"/>
    </row>
    <row r="211" ht="14.25" customHeight="1">
      <c r="C211" s="10"/>
      <c r="D211" s="18"/>
      <c r="E211" s="10"/>
      <c r="F211" s="134"/>
      <c r="G211" s="19"/>
      <c r="H211" s="21"/>
      <c r="I211" s="235"/>
      <c r="J211" s="216"/>
      <c r="K211" s="183"/>
      <c r="L211" s="21"/>
      <c r="M211" s="19"/>
      <c r="N211" s="21"/>
      <c r="O211" s="134"/>
      <c r="P211" s="19"/>
      <c r="Q211" s="21"/>
      <c r="R211" s="112"/>
      <c r="S211" s="113"/>
      <c r="T211" s="115"/>
    </row>
    <row r="212" ht="14.25" customHeight="1">
      <c r="C212" s="10"/>
      <c r="D212" s="18"/>
      <c r="E212" s="10"/>
      <c r="F212" s="134"/>
      <c r="G212" s="19"/>
      <c r="H212" s="21"/>
      <c r="I212" s="235"/>
      <c r="J212" s="216"/>
      <c r="K212" s="183"/>
      <c r="L212" s="21"/>
      <c r="M212" s="19"/>
      <c r="N212" s="21"/>
      <c r="O212" s="134"/>
      <c r="P212" s="19"/>
      <c r="Q212" s="21"/>
      <c r="R212" s="112"/>
      <c r="S212" s="113"/>
      <c r="T212" s="115"/>
    </row>
    <row r="213" ht="14.25" customHeight="1">
      <c r="C213" s="10"/>
      <c r="D213" s="18"/>
      <c r="E213" s="10"/>
      <c r="F213" s="134"/>
      <c r="G213" s="19"/>
      <c r="H213" s="21"/>
      <c r="I213" s="235"/>
      <c r="J213" s="216"/>
      <c r="K213" s="183"/>
      <c r="L213" s="21"/>
      <c r="M213" s="19"/>
      <c r="N213" s="21"/>
      <c r="O213" s="134"/>
      <c r="P213" s="19"/>
      <c r="Q213" s="21"/>
      <c r="R213" s="112"/>
      <c r="S213" s="113"/>
      <c r="T213" s="115"/>
    </row>
    <row r="214" ht="14.25" customHeight="1">
      <c r="C214" s="10"/>
      <c r="D214" s="18"/>
      <c r="E214" s="10"/>
      <c r="F214" s="134"/>
      <c r="G214" s="19"/>
      <c r="H214" s="21"/>
      <c r="I214" s="235"/>
      <c r="J214" s="216"/>
      <c r="K214" s="183"/>
      <c r="L214" s="21"/>
      <c r="M214" s="19"/>
      <c r="N214" s="21"/>
      <c r="O214" s="134"/>
      <c r="P214" s="19"/>
      <c r="Q214" s="21"/>
      <c r="R214" s="112"/>
      <c r="S214" s="113"/>
      <c r="T214" s="115"/>
    </row>
    <row r="215" ht="14.25" customHeight="1">
      <c r="C215" s="10"/>
      <c r="D215" s="18"/>
      <c r="E215" s="10"/>
      <c r="F215" s="134"/>
      <c r="G215" s="19"/>
      <c r="H215" s="21"/>
      <c r="I215" s="235"/>
      <c r="J215" s="216"/>
      <c r="K215" s="183"/>
      <c r="L215" s="21"/>
      <c r="M215" s="19"/>
      <c r="N215" s="21"/>
      <c r="O215" s="134"/>
      <c r="P215" s="19"/>
      <c r="Q215" s="21"/>
      <c r="R215" s="112"/>
      <c r="S215" s="113"/>
      <c r="T215" s="115"/>
    </row>
    <row r="216" ht="14.25" customHeight="1">
      <c r="C216" s="10"/>
      <c r="D216" s="18"/>
      <c r="E216" s="10"/>
      <c r="F216" s="134"/>
      <c r="G216" s="19"/>
      <c r="H216" s="21"/>
      <c r="I216" s="235"/>
      <c r="J216" s="216"/>
      <c r="K216" s="183"/>
      <c r="L216" s="21"/>
      <c r="M216" s="19"/>
      <c r="N216" s="21"/>
      <c r="O216" s="134"/>
      <c r="P216" s="19"/>
      <c r="Q216" s="21"/>
      <c r="R216" s="112"/>
      <c r="S216" s="113"/>
      <c r="T216" s="115"/>
    </row>
    <row r="217" ht="14.25" customHeight="1">
      <c r="C217" s="10"/>
      <c r="D217" s="18"/>
      <c r="E217" s="10"/>
      <c r="F217" s="134"/>
      <c r="G217" s="19"/>
      <c r="H217" s="21"/>
      <c r="I217" s="235"/>
      <c r="J217" s="216"/>
      <c r="K217" s="183"/>
      <c r="L217" s="21"/>
      <c r="M217" s="19"/>
      <c r="N217" s="21"/>
      <c r="O217" s="134"/>
      <c r="P217" s="19"/>
      <c r="Q217" s="21"/>
      <c r="R217" s="112"/>
      <c r="S217" s="113"/>
      <c r="T217" s="115"/>
    </row>
    <row r="218" ht="14.25" customHeight="1">
      <c r="C218" s="10"/>
      <c r="D218" s="18"/>
      <c r="E218" s="10"/>
      <c r="F218" s="134"/>
      <c r="G218" s="19"/>
      <c r="H218" s="21"/>
      <c r="I218" s="235"/>
      <c r="J218" s="216"/>
      <c r="K218" s="183"/>
      <c r="L218" s="21"/>
      <c r="M218" s="19"/>
      <c r="N218" s="21"/>
      <c r="O218" s="134"/>
      <c r="P218" s="19"/>
      <c r="Q218" s="21"/>
      <c r="R218" s="112"/>
      <c r="S218" s="113"/>
      <c r="T218" s="115"/>
    </row>
    <row r="219" ht="14.25" customHeight="1">
      <c r="C219" s="10"/>
      <c r="D219" s="18"/>
      <c r="E219" s="10"/>
      <c r="F219" s="134"/>
      <c r="G219" s="19"/>
      <c r="H219" s="21"/>
      <c r="I219" s="235"/>
      <c r="J219" s="216"/>
      <c r="K219" s="183"/>
      <c r="L219" s="21"/>
      <c r="M219" s="19"/>
      <c r="N219" s="21"/>
      <c r="O219" s="134"/>
      <c r="P219" s="19"/>
      <c r="Q219" s="21"/>
      <c r="R219" s="112"/>
      <c r="S219" s="113"/>
      <c r="T219" s="115"/>
    </row>
    <row r="220" ht="14.25" customHeight="1">
      <c r="C220" s="10"/>
      <c r="D220" s="18"/>
      <c r="E220" s="10"/>
      <c r="F220" s="134"/>
      <c r="G220" s="19"/>
      <c r="H220" s="21"/>
      <c r="I220" s="235"/>
      <c r="J220" s="216"/>
      <c r="K220" s="183"/>
      <c r="L220" s="21"/>
      <c r="M220" s="19"/>
      <c r="N220" s="21"/>
      <c r="O220" s="134"/>
      <c r="P220" s="19"/>
      <c r="Q220" s="21"/>
      <c r="R220" s="112"/>
      <c r="S220" s="113"/>
      <c r="T220" s="115"/>
    </row>
    <row r="221" ht="14.25" customHeight="1">
      <c r="C221" s="10"/>
      <c r="D221" s="18"/>
      <c r="E221" s="10"/>
      <c r="F221" s="134"/>
      <c r="G221" s="19"/>
      <c r="H221" s="21"/>
      <c r="I221" s="235"/>
      <c r="J221" s="216"/>
      <c r="K221" s="183"/>
      <c r="L221" s="21"/>
      <c r="M221" s="19"/>
      <c r="N221" s="21"/>
      <c r="O221" s="134"/>
      <c r="P221" s="19"/>
      <c r="Q221" s="21"/>
      <c r="R221" s="112"/>
      <c r="S221" s="113"/>
      <c r="T221" s="115"/>
    </row>
    <row r="222" ht="14.25" customHeight="1">
      <c r="C222" s="10"/>
      <c r="D222" s="18"/>
      <c r="E222" s="10"/>
      <c r="F222" s="134"/>
      <c r="G222" s="19"/>
      <c r="H222" s="21"/>
      <c r="I222" s="235"/>
      <c r="J222" s="216"/>
      <c r="K222" s="183"/>
      <c r="L222" s="21"/>
      <c r="M222" s="19"/>
      <c r="N222" s="21"/>
      <c r="O222" s="134"/>
      <c r="P222" s="19"/>
      <c r="Q222" s="21"/>
      <c r="R222" s="112"/>
      <c r="S222" s="113"/>
      <c r="T222" s="115"/>
    </row>
    <row r="223" ht="14.25" customHeight="1">
      <c r="C223" s="10"/>
      <c r="D223" s="18"/>
      <c r="E223" s="10"/>
      <c r="F223" s="134"/>
      <c r="G223" s="19"/>
      <c r="H223" s="21"/>
      <c r="I223" s="235"/>
      <c r="J223" s="216"/>
      <c r="K223" s="183"/>
      <c r="L223" s="21"/>
      <c r="M223" s="19"/>
      <c r="N223" s="21"/>
      <c r="O223" s="134"/>
      <c r="P223" s="19"/>
      <c r="Q223" s="21"/>
      <c r="R223" s="112"/>
      <c r="S223" s="113"/>
      <c r="T223" s="115"/>
    </row>
    <row r="224" ht="14.25" customHeight="1">
      <c r="C224" s="10"/>
      <c r="D224" s="18"/>
      <c r="E224" s="10"/>
      <c r="F224" s="134"/>
      <c r="G224" s="19"/>
      <c r="H224" s="21"/>
      <c r="I224" s="235"/>
      <c r="J224" s="216"/>
      <c r="K224" s="183"/>
      <c r="L224" s="21"/>
      <c r="M224" s="19"/>
      <c r="N224" s="21"/>
      <c r="O224" s="134"/>
      <c r="P224" s="19"/>
      <c r="Q224" s="21"/>
      <c r="R224" s="112"/>
      <c r="S224" s="113"/>
      <c r="T224" s="115"/>
    </row>
    <row r="225" ht="14.25" customHeight="1">
      <c r="C225" s="10"/>
      <c r="D225" s="18"/>
      <c r="E225" s="10"/>
      <c r="F225" s="134"/>
      <c r="G225" s="19"/>
      <c r="H225" s="21"/>
      <c r="I225" s="235"/>
      <c r="J225" s="216"/>
      <c r="K225" s="183"/>
      <c r="L225" s="21"/>
      <c r="M225" s="19"/>
      <c r="N225" s="21"/>
      <c r="O225" s="134"/>
      <c r="P225" s="19"/>
      <c r="Q225" s="21"/>
      <c r="R225" s="112"/>
      <c r="S225" s="113"/>
      <c r="T225" s="115"/>
    </row>
    <row r="226" ht="14.25" customHeight="1">
      <c r="C226" s="10"/>
      <c r="D226" s="18"/>
      <c r="E226" s="10"/>
      <c r="F226" s="134"/>
      <c r="G226" s="19"/>
      <c r="H226" s="21"/>
      <c r="I226" s="235"/>
      <c r="J226" s="216"/>
      <c r="K226" s="183"/>
      <c r="L226" s="21"/>
      <c r="M226" s="19"/>
      <c r="N226" s="21"/>
      <c r="O226" s="134"/>
      <c r="P226" s="19"/>
      <c r="Q226" s="21"/>
      <c r="R226" s="112"/>
      <c r="S226" s="113"/>
      <c r="T226" s="115"/>
    </row>
    <row r="227" ht="14.25" customHeight="1">
      <c r="C227" s="10"/>
      <c r="D227" s="18"/>
      <c r="E227" s="10"/>
      <c r="F227" s="134"/>
      <c r="G227" s="19"/>
      <c r="H227" s="21"/>
      <c r="I227" s="235"/>
      <c r="J227" s="216"/>
      <c r="K227" s="183"/>
      <c r="L227" s="21"/>
      <c r="M227" s="19"/>
      <c r="N227" s="21"/>
      <c r="O227" s="134"/>
      <c r="P227" s="19"/>
      <c r="Q227" s="21"/>
      <c r="R227" s="112"/>
      <c r="S227" s="113"/>
      <c r="T227" s="115"/>
    </row>
    <row r="228" ht="14.25" customHeight="1">
      <c r="C228" s="10"/>
      <c r="D228" s="18"/>
      <c r="E228" s="10"/>
      <c r="F228" s="134"/>
      <c r="G228" s="19"/>
      <c r="H228" s="21"/>
      <c r="I228" s="235"/>
      <c r="J228" s="216"/>
      <c r="K228" s="183"/>
      <c r="L228" s="21"/>
      <c r="M228" s="19"/>
      <c r="N228" s="21"/>
      <c r="O228" s="134"/>
      <c r="P228" s="19"/>
      <c r="Q228" s="21"/>
      <c r="R228" s="112"/>
      <c r="S228" s="113"/>
      <c r="T228" s="115"/>
    </row>
    <row r="229" ht="14.25" customHeight="1">
      <c r="C229" s="10"/>
      <c r="D229" s="18"/>
      <c r="E229" s="10"/>
      <c r="F229" s="134"/>
      <c r="G229" s="19"/>
      <c r="H229" s="21"/>
      <c r="I229" s="235"/>
      <c r="J229" s="216"/>
      <c r="K229" s="183"/>
      <c r="L229" s="21"/>
      <c r="M229" s="19"/>
      <c r="N229" s="21"/>
      <c r="O229" s="134"/>
      <c r="P229" s="19"/>
      <c r="Q229" s="21"/>
      <c r="R229" s="112"/>
      <c r="S229" s="113"/>
      <c r="T229" s="115"/>
    </row>
    <row r="230" ht="14.25" customHeight="1">
      <c r="C230" s="10"/>
      <c r="D230" s="18"/>
      <c r="E230" s="10"/>
      <c r="F230" s="134"/>
      <c r="G230" s="19"/>
      <c r="H230" s="21"/>
      <c r="I230" s="235"/>
      <c r="J230" s="216"/>
      <c r="K230" s="183"/>
      <c r="L230" s="21"/>
      <c r="M230" s="19"/>
      <c r="N230" s="21"/>
      <c r="O230" s="134"/>
      <c r="P230" s="19"/>
      <c r="Q230" s="21"/>
      <c r="R230" s="112"/>
      <c r="S230" s="113"/>
      <c r="T230" s="115"/>
    </row>
    <row r="231" ht="14.25" customHeight="1">
      <c r="C231" s="10"/>
      <c r="D231" s="18"/>
      <c r="E231" s="10"/>
      <c r="F231" s="134"/>
      <c r="G231" s="19"/>
      <c r="H231" s="21"/>
      <c r="I231" s="235"/>
      <c r="J231" s="216"/>
      <c r="K231" s="183"/>
      <c r="L231" s="21"/>
      <c r="M231" s="19"/>
      <c r="N231" s="21"/>
      <c r="O231" s="134"/>
      <c r="P231" s="19"/>
      <c r="Q231" s="21"/>
      <c r="R231" s="112"/>
      <c r="S231" s="113"/>
      <c r="T231" s="115"/>
    </row>
    <row r="232" ht="14.25" customHeight="1">
      <c r="C232" s="10"/>
      <c r="D232" s="18"/>
      <c r="E232" s="10"/>
      <c r="F232" s="134"/>
      <c r="G232" s="19"/>
      <c r="H232" s="21"/>
      <c r="I232" s="235"/>
      <c r="J232" s="216"/>
      <c r="K232" s="183"/>
      <c r="L232" s="21"/>
      <c r="M232" s="19"/>
      <c r="N232" s="21"/>
      <c r="O232" s="134"/>
      <c r="P232" s="19"/>
      <c r="Q232" s="21"/>
      <c r="R232" s="112"/>
      <c r="S232" s="113"/>
      <c r="T232" s="115"/>
    </row>
    <row r="233" ht="14.25" customHeight="1">
      <c r="C233" s="10"/>
      <c r="D233" s="18"/>
      <c r="E233" s="10"/>
      <c r="F233" s="134"/>
      <c r="G233" s="19"/>
      <c r="H233" s="21"/>
      <c r="I233" s="235"/>
      <c r="J233" s="216"/>
      <c r="K233" s="183"/>
      <c r="L233" s="21"/>
      <c r="M233" s="19"/>
      <c r="N233" s="21"/>
      <c r="O233" s="134"/>
      <c r="P233" s="19"/>
      <c r="Q233" s="21"/>
      <c r="R233" s="112"/>
      <c r="S233" s="113"/>
      <c r="T233" s="115"/>
    </row>
    <row r="234" ht="14.25" customHeight="1">
      <c r="C234" s="10"/>
      <c r="D234" s="18"/>
      <c r="E234" s="10"/>
      <c r="F234" s="134"/>
      <c r="G234" s="19"/>
      <c r="H234" s="21"/>
      <c r="I234" s="235"/>
      <c r="J234" s="216"/>
      <c r="K234" s="183"/>
      <c r="L234" s="21"/>
      <c r="M234" s="19"/>
      <c r="N234" s="21"/>
      <c r="O234" s="134"/>
      <c r="P234" s="19"/>
      <c r="Q234" s="21"/>
      <c r="R234" s="112"/>
      <c r="S234" s="113"/>
      <c r="T234" s="115"/>
    </row>
    <row r="235" ht="14.25" customHeight="1">
      <c r="C235" s="10"/>
      <c r="D235" s="18"/>
      <c r="E235" s="10"/>
      <c r="F235" s="134"/>
      <c r="G235" s="19"/>
      <c r="H235" s="21"/>
      <c r="I235" s="235"/>
      <c r="J235" s="216"/>
      <c r="K235" s="183"/>
      <c r="L235" s="21"/>
      <c r="M235" s="19"/>
      <c r="N235" s="21"/>
      <c r="O235" s="134"/>
      <c r="P235" s="19"/>
      <c r="Q235" s="21"/>
      <c r="R235" s="112"/>
      <c r="S235" s="113"/>
      <c r="T235" s="115"/>
    </row>
    <row r="236" ht="14.25" customHeight="1">
      <c r="C236" s="10"/>
      <c r="D236" s="18"/>
      <c r="E236" s="10"/>
      <c r="F236" s="134"/>
      <c r="G236" s="19"/>
      <c r="H236" s="21"/>
      <c r="I236" s="235"/>
      <c r="J236" s="216"/>
      <c r="K236" s="183"/>
      <c r="L236" s="21"/>
      <c r="M236" s="19"/>
      <c r="N236" s="21"/>
      <c r="O236" s="134"/>
      <c r="P236" s="19"/>
      <c r="Q236" s="21"/>
      <c r="R236" s="112"/>
      <c r="S236" s="113"/>
      <c r="T236" s="115"/>
    </row>
    <row r="237" ht="14.25" customHeight="1">
      <c r="C237" s="10"/>
      <c r="D237" s="18"/>
      <c r="E237" s="10"/>
      <c r="F237" s="134"/>
      <c r="G237" s="19"/>
      <c r="H237" s="21"/>
      <c r="I237" s="235"/>
      <c r="J237" s="216"/>
      <c r="K237" s="183"/>
      <c r="L237" s="21"/>
      <c r="M237" s="19"/>
      <c r="N237" s="21"/>
      <c r="O237" s="134"/>
      <c r="P237" s="19"/>
      <c r="Q237" s="21"/>
      <c r="R237" s="112"/>
      <c r="S237" s="113"/>
      <c r="T237" s="115"/>
    </row>
    <row r="238" ht="14.25" customHeight="1">
      <c r="C238" s="10"/>
      <c r="D238" s="18"/>
      <c r="E238" s="10"/>
      <c r="F238" s="134"/>
      <c r="G238" s="19"/>
      <c r="H238" s="21"/>
      <c r="I238" s="235"/>
      <c r="J238" s="216"/>
      <c r="K238" s="183"/>
      <c r="L238" s="21"/>
      <c r="M238" s="19"/>
      <c r="N238" s="21"/>
      <c r="O238" s="134"/>
      <c r="P238" s="19"/>
      <c r="Q238" s="21"/>
      <c r="R238" s="112"/>
      <c r="S238" s="113"/>
      <c r="T238" s="115"/>
    </row>
    <row r="239" ht="14.25" customHeight="1">
      <c r="C239" s="10"/>
      <c r="D239" s="18"/>
      <c r="E239" s="10"/>
      <c r="F239" s="134"/>
      <c r="G239" s="19"/>
      <c r="H239" s="21"/>
      <c r="I239" s="235"/>
      <c r="J239" s="216"/>
      <c r="K239" s="183"/>
      <c r="L239" s="21"/>
      <c r="M239" s="19"/>
      <c r="N239" s="21"/>
      <c r="O239" s="134"/>
      <c r="P239" s="19"/>
      <c r="Q239" s="21"/>
      <c r="R239" s="112"/>
      <c r="S239" s="113"/>
      <c r="T239" s="115"/>
    </row>
    <row r="240" ht="14.25" customHeight="1">
      <c r="C240" s="10"/>
      <c r="D240" s="18"/>
      <c r="E240" s="10"/>
      <c r="F240" s="134"/>
      <c r="G240" s="19"/>
      <c r="H240" s="21"/>
      <c r="I240" s="235"/>
      <c r="J240" s="216"/>
      <c r="K240" s="183"/>
      <c r="L240" s="21"/>
      <c r="M240" s="19"/>
      <c r="N240" s="21"/>
      <c r="O240" s="134"/>
      <c r="P240" s="19"/>
      <c r="Q240" s="21"/>
      <c r="R240" s="112"/>
      <c r="S240" s="113"/>
      <c r="T240" s="115"/>
    </row>
    <row r="241" ht="14.25" customHeight="1">
      <c r="C241" s="10"/>
      <c r="D241" s="18"/>
      <c r="E241" s="10"/>
      <c r="F241" s="134"/>
      <c r="G241" s="19"/>
      <c r="H241" s="21"/>
      <c r="I241" s="235"/>
      <c r="J241" s="216"/>
      <c r="K241" s="183"/>
      <c r="L241" s="21"/>
      <c r="M241" s="19"/>
      <c r="N241" s="21"/>
      <c r="O241" s="134"/>
      <c r="P241" s="19"/>
      <c r="Q241" s="21"/>
      <c r="R241" s="112"/>
      <c r="S241" s="113"/>
      <c r="T241" s="115"/>
    </row>
    <row r="242" ht="14.25" customHeight="1">
      <c r="C242" s="10"/>
      <c r="D242" s="18"/>
      <c r="E242" s="10"/>
      <c r="F242" s="134"/>
      <c r="G242" s="19"/>
      <c r="H242" s="21"/>
      <c r="I242" s="235"/>
      <c r="J242" s="216"/>
      <c r="K242" s="183"/>
      <c r="L242" s="21"/>
      <c r="M242" s="19"/>
      <c r="N242" s="21"/>
      <c r="O242" s="134"/>
      <c r="P242" s="19"/>
      <c r="Q242" s="21"/>
      <c r="R242" s="112"/>
      <c r="S242" s="113"/>
      <c r="T242" s="115"/>
    </row>
    <row r="243" ht="14.25" customHeight="1">
      <c r="C243" s="10"/>
      <c r="D243" s="18"/>
      <c r="E243" s="10"/>
      <c r="F243" s="134"/>
      <c r="G243" s="19"/>
      <c r="H243" s="21"/>
      <c r="I243" s="235"/>
      <c r="J243" s="216"/>
      <c r="K243" s="183"/>
      <c r="L243" s="21"/>
      <c r="M243" s="19"/>
      <c r="N243" s="21"/>
      <c r="O243" s="134"/>
      <c r="P243" s="19"/>
      <c r="Q243" s="21"/>
      <c r="R243" s="112"/>
      <c r="S243" s="113"/>
      <c r="T243" s="115"/>
    </row>
    <row r="244" ht="14.25" customHeight="1">
      <c r="C244" s="10"/>
      <c r="D244" s="18"/>
      <c r="E244" s="10"/>
      <c r="F244" s="134"/>
      <c r="G244" s="19"/>
      <c r="H244" s="21"/>
      <c r="I244" s="235"/>
      <c r="J244" s="216"/>
      <c r="K244" s="183"/>
      <c r="L244" s="21"/>
      <c r="M244" s="19"/>
      <c r="N244" s="21"/>
      <c r="O244" s="134"/>
      <c r="P244" s="19"/>
      <c r="Q244" s="21"/>
      <c r="R244" s="112"/>
      <c r="S244" s="113"/>
      <c r="T244" s="115"/>
    </row>
    <row r="245" ht="14.25" customHeight="1">
      <c r="C245" s="10"/>
      <c r="D245" s="18"/>
      <c r="E245" s="10"/>
      <c r="F245" s="134"/>
      <c r="G245" s="19"/>
      <c r="H245" s="21"/>
      <c r="I245" s="235"/>
      <c r="J245" s="216"/>
      <c r="K245" s="183"/>
      <c r="L245" s="21"/>
      <c r="M245" s="19"/>
      <c r="N245" s="21"/>
      <c r="O245" s="134"/>
      <c r="P245" s="19"/>
      <c r="Q245" s="21"/>
      <c r="R245" s="112"/>
      <c r="S245" s="113"/>
      <c r="T245" s="115"/>
    </row>
    <row r="246" ht="14.25" customHeight="1">
      <c r="C246" s="10"/>
      <c r="D246" s="18"/>
      <c r="E246" s="10"/>
      <c r="F246" s="134"/>
      <c r="G246" s="19"/>
      <c r="H246" s="21"/>
      <c r="I246" s="235"/>
      <c r="J246" s="216"/>
      <c r="K246" s="183"/>
      <c r="L246" s="21"/>
      <c r="M246" s="19"/>
      <c r="N246" s="21"/>
      <c r="O246" s="134"/>
      <c r="P246" s="19"/>
      <c r="Q246" s="21"/>
      <c r="R246" s="112"/>
      <c r="S246" s="113"/>
      <c r="T246" s="115"/>
    </row>
    <row r="247" ht="14.25" customHeight="1">
      <c r="C247" s="10"/>
      <c r="D247" s="18"/>
      <c r="E247" s="10"/>
      <c r="F247" s="134"/>
      <c r="G247" s="19"/>
      <c r="H247" s="21"/>
      <c r="I247" s="235"/>
      <c r="J247" s="216"/>
      <c r="K247" s="183"/>
      <c r="L247" s="21"/>
      <c r="M247" s="19"/>
      <c r="N247" s="21"/>
      <c r="O247" s="134"/>
      <c r="P247" s="19"/>
      <c r="Q247" s="21"/>
      <c r="R247" s="112"/>
      <c r="S247" s="113"/>
      <c r="T247" s="115"/>
    </row>
    <row r="248" ht="14.25" customHeight="1">
      <c r="C248" s="10"/>
      <c r="D248" s="18"/>
      <c r="E248" s="10"/>
      <c r="F248" s="134"/>
      <c r="G248" s="19"/>
      <c r="H248" s="21"/>
      <c r="I248" s="235"/>
      <c r="J248" s="216"/>
      <c r="K248" s="183"/>
      <c r="L248" s="21"/>
      <c r="M248" s="19"/>
      <c r="N248" s="21"/>
      <c r="O248" s="134"/>
      <c r="P248" s="19"/>
      <c r="Q248" s="21"/>
      <c r="R248" s="112"/>
      <c r="S248" s="113"/>
      <c r="T248" s="115"/>
    </row>
    <row r="249" ht="14.25" customHeight="1">
      <c r="C249" s="10"/>
      <c r="D249" s="18"/>
      <c r="E249" s="10"/>
      <c r="F249" s="134"/>
      <c r="G249" s="19"/>
      <c r="H249" s="21"/>
      <c r="I249" s="235"/>
      <c r="J249" s="216"/>
      <c r="K249" s="183"/>
      <c r="L249" s="21"/>
      <c r="M249" s="19"/>
      <c r="N249" s="21"/>
      <c r="O249" s="134"/>
      <c r="P249" s="19"/>
      <c r="Q249" s="21"/>
      <c r="R249" s="112"/>
      <c r="S249" s="113"/>
      <c r="T249" s="115"/>
    </row>
    <row r="250" ht="14.25" customHeight="1">
      <c r="C250" s="10"/>
      <c r="D250" s="18"/>
      <c r="E250" s="10"/>
      <c r="F250" s="134"/>
      <c r="G250" s="19"/>
      <c r="H250" s="21"/>
      <c r="I250" s="235"/>
      <c r="J250" s="216"/>
      <c r="K250" s="183"/>
      <c r="L250" s="21"/>
      <c r="M250" s="19"/>
      <c r="N250" s="21"/>
      <c r="O250" s="134"/>
      <c r="P250" s="19"/>
      <c r="Q250" s="21"/>
      <c r="R250" s="112"/>
      <c r="S250" s="113"/>
      <c r="T250" s="115"/>
    </row>
    <row r="251" ht="14.25" customHeight="1">
      <c r="C251" s="10"/>
      <c r="D251" s="18"/>
      <c r="E251" s="10"/>
      <c r="F251" s="134"/>
      <c r="G251" s="19"/>
      <c r="H251" s="21"/>
      <c r="I251" s="235"/>
      <c r="J251" s="216"/>
      <c r="K251" s="183"/>
      <c r="L251" s="21"/>
      <c r="M251" s="19"/>
      <c r="N251" s="21"/>
      <c r="O251" s="134"/>
      <c r="P251" s="19"/>
      <c r="Q251" s="21"/>
      <c r="R251" s="112"/>
      <c r="S251" s="113"/>
      <c r="T251" s="115"/>
    </row>
    <row r="252" ht="14.25" customHeight="1">
      <c r="C252" s="10"/>
      <c r="D252" s="18"/>
      <c r="E252" s="10"/>
      <c r="F252" s="134"/>
      <c r="G252" s="19"/>
      <c r="H252" s="21"/>
      <c r="I252" s="235"/>
      <c r="J252" s="216"/>
      <c r="K252" s="183"/>
      <c r="L252" s="21"/>
      <c r="M252" s="19"/>
      <c r="N252" s="21"/>
      <c r="O252" s="134"/>
      <c r="P252" s="19"/>
      <c r="Q252" s="21"/>
      <c r="R252" s="112"/>
      <c r="S252" s="113"/>
      <c r="T252" s="115"/>
    </row>
    <row r="253" ht="14.25" customHeight="1">
      <c r="C253" s="10"/>
      <c r="D253" s="18"/>
      <c r="E253" s="10"/>
      <c r="F253" s="134"/>
      <c r="G253" s="19"/>
      <c r="H253" s="21"/>
      <c r="I253" s="235"/>
      <c r="J253" s="216"/>
      <c r="K253" s="183"/>
      <c r="L253" s="21"/>
      <c r="M253" s="19"/>
      <c r="N253" s="21"/>
      <c r="O253" s="134"/>
      <c r="P253" s="19"/>
      <c r="Q253" s="21"/>
      <c r="R253" s="112"/>
      <c r="S253" s="113"/>
      <c r="T253" s="115"/>
    </row>
    <row r="254" ht="14.25" customHeight="1">
      <c r="C254" s="10"/>
      <c r="D254" s="18"/>
      <c r="E254" s="10"/>
      <c r="F254" s="134"/>
      <c r="G254" s="19"/>
      <c r="H254" s="21"/>
      <c r="I254" s="235"/>
      <c r="J254" s="216"/>
      <c r="K254" s="183"/>
      <c r="L254" s="21"/>
      <c r="M254" s="19"/>
      <c r="N254" s="21"/>
      <c r="O254" s="134"/>
      <c r="P254" s="19"/>
      <c r="Q254" s="21"/>
      <c r="R254" s="112"/>
      <c r="S254" s="113"/>
      <c r="T254" s="115"/>
    </row>
    <row r="255" ht="14.25" customHeight="1">
      <c r="C255" s="10"/>
      <c r="D255" s="18"/>
      <c r="E255" s="10"/>
      <c r="F255" s="134"/>
      <c r="G255" s="19"/>
      <c r="H255" s="21"/>
      <c r="I255" s="235"/>
      <c r="J255" s="216"/>
      <c r="K255" s="183"/>
      <c r="L255" s="21"/>
      <c r="M255" s="19"/>
      <c r="N255" s="21"/>
      <c r="O255" s="134"/>
      <c r="P255" s="19"/>
      <c r="Q255" s="21"/>
      <c r="R255" s="112"/>
      <c r="S255" s="113"/>
      <c r="T255" s="115"/>
    </row>
    <row r="256" ht="14.25" customHeight="1">
      <c r="C256" s="10"/>
      <c r="D256" s="18"/>
      <c r="E256" s="10"/>
      <c r="F256" s="134"/>
      <c r="G256" s="19"/>
      <c r="H256" s="21"/>
      <c r="I256" s="235"/>
      <c r="J256" s="216"/>
      <c r="K256" s="183"/>
      <c r="L256" s="21"/>
      <c r="M256" s="19"/>
      <c r="N256" s="21"/>
      <c r="O256" s="134"/>
      <c r="P256" s="19"/>
      <c r="Q256" s="21"/>
      <c r="R256" s="112"/>
      <c r="S256" s="113"/>
      <c r="T256" s="115"/>
    </row>
    <row r="257" ht="14.25" customHeight="1">
      <c r="C257" s="10"/>
      <c r="D257" s="18"/>
      <c r="E257" s="10"/>
      <c r="F257" s="134"/>
      <c r="G257" s="19"/>
      <c r="H257" s="21"/>
      <c r="I257" s="235"/>
      <c r="J257" s="216"/>
      <c r="K257" s="183"/>
      <c r="L257" s="21"/>
      <c r="M257" s="19"/>
      <c r="N257" s="21"/>
      <c r="O257" s="134"/>
      <c r="P257" s="19"/>
      <c r="Q257" s="21"/>
      <c r="R257" s="112"/>
      <c r="S257" s="113"/>
      <c r="T257" s="115"/>
    </row>
    <row r="258" ht="14.25" customHeight="1">
      <c r="C258" s="10"/>
      <c r="D258" s="18"/>
      <c r="E258" s="10"/>
      <c r="F258" s="134"/>
      <c r="G258" s="19"/>
      <c r="H258" s="21"/>
      <c r="I258" s="235"/>
      <c r="J258" s="216"/>
      <c r="K258" s="183"/>
      <c r="L258" s="21"/>
      <c r="M258" s="19"/>
      <c r="N258" s="21"/>
      <c r="O258" s="134"/>
      <c r="P258" s="19"/>
      <c r="Q258" s="21"/>
      <c r="R258" s="112"/>
      <c r="S258" s="113"/>
      <c r="T258" s="115"/>
    </row>
    <row r="259" ht="14.25" customHeight="1">
      <c r="C259" s="10"/>
      <c r="D259" s="18"/>
      <c r="E259" s="10"/>
      <c r="F259" s="134"/>
      <c r="G259" s="19"/>
      <c r="H259" s="21"/>
      <c r="I259" s="235"/>
      <c r="J259" s="216"/>
      <c r="K259" s="183"/>
      <c r="L259" s="21"/>
      <c r="M259" s="19"/>
      <c r="N259" s="21"/>
      <c r="O259" s="134"/>
      <c r="P259" s="19"/>
      <c r="Q259" s="21"/>
      <c r="R259" s="112"/>
      <c r="S259" s="113"/>
      <c r="T259" s="115"/>
    </row>
    <row r="260" ht="14.25" customHeight="1">
      <c r="C260" s="10"/>
      <c r="D260" s="18"/>
      <c r="E260" s="10"/>
      <c r="F260" s="134"/>
      <c r="G260" s="19"/>
      <c r="H260" s="21"/>
      <c r="I260" s="235"/>
      <c r="J260" s="216"/>
      <c r="K260" s="183"/>
      <c r="L260" s="21"/>
      <c r="M260" s="19"/>
      <c r="N260" s="21"/>
      <c r="O260" s="134"/>
      <c r="P260" s="19"/>
      <c r="Q260" s="21"/>
      <c r="R260" s="112"/>
      <c r="S260" s="113"/>
      <c r="T260" s="115"/>
    </row>
    <row r="261" ht="14.25" customHeight="1">
      <c r="C261" s="10"/>
      <c r="D261" s="18"/>
      <c r="E261" s="10"/>
      <c r="F261" s="134"/>
      <c r="G261" s="19"/>
      <c r="H261" s="21"/>
      <c r="I261" s="235"/>
      <c r="J261" s="216"/>
      <c r="K261" s="183"/>
      <c r="L261" s="21"/>
      <c r="M261" s="19"/>
      <c r="N261" s="21"/>
      <c r="O261" s="134"/>
      <c r="P261" s="19"/>
      <c r="Q261" s="21"/>
      <c r="R261" s="112"/>
      <c r="S261" s="113"/>
      <c r="T261" s="115"/>
    </row>
    <row r="262" ht="14.25" customHeight="1">
      <c r="C262" s="10"/>
      <c r="D262" s="18"/>
      <c r="E262" s="10"/>
      <c r="F262" s="134"/>
      <c r="G262" s="19"/>
      <c r="H262" s="21"/>
      <c r="I262" s="235"/>
      <c r="J262" s="216"/>
      <c r="K262" s="183"/>
      <c r="L262" s="21"/>
      <c r="M262" s="19"/>
      <c r="N262" s="21"/>
      <c r="O262" s="134"/>
      <c r="P262" s="19"/>
      <c r="Q262" s="21"/>
      <c r="R262" s="112"/>
      <c r="S262" s="113"/>
      <c r="T262" s="115"/>
    </row>
    <row r="263" ht="14.25" customHeight="1">
      <c r="C263" s="10"/>
      <c r="D263" s="18"/>
      <c r="E263" s="10"/>
      <c r="F263" s="134"/>
      <c r="G263" s="19"/>
      <c r="H263" s="21"/>
      <c r="I263" s="235"/>
      <c r="J263" s="216"/>
      <c r="K263" s="183"/>
      <c r="L263" s="21"/>
      <c r="M263" s="19"/>
      <c r="N263" s="21"/>
      <c r="O263" s="134"/>
      <c r="P263" s="19"/>
      <c r="Q263" s="21"/>
      <c r="R263" s="112"/>
      <c r="S263" s="113"/>
      <c r="T263" s="115"/>
    </row>
    <row r="264" ht="14.25" customHeight="1">
      <c r="C264" s="10"/>
      <c r="D264" s="18"/>
      <c r="E264" s="10"/>
      <c r="F264" s="134"/>
      <c r="G264" s="19"/>
      <c r="H264" s="21"/>
      <c r="I264" s="235"/>
      <c r="J264" s="216"/>
      <c r="K264" s="183"/>
      <c r="L264" s="21"/>
      <c r="M264" s="19"/>
      <c r="N264" s="21"/>
      <c r="O264" s="134"/>
      <c r="P264" s="19"/>
      <c r="Q264" s="21"/>
      <c r="R264" s="112"/>
      <c r="S264" s="113"/>
      <c r="T264" s="115"/>
    </row>
    <row r="265" ht="14.25" customHeight="1">
      <c r="C265" s="10"/>
      <c r="D265" s="18"/>
      <c r="E265" s="10"/>
      <c r="F265" s="134"/>
      <c r="G265" s="19"/>
      <c r="H265" s="21"/>
      <c r="I265" s="235"/>
      <c r="J265" s="216"/>
      <c r="K265" s="183"/>
      <c r="L265" s="21"/>
      <c r="M265" s="19"/>
      <c r="N265" s="21"/>
      <c r="O265" s="134"/>
      <c r="P265" s="19"/>
      <c r="Q265" s="21"/>
      <c r="R265" s="112"/>
      <c r="S265" s="113"/>
      <c r="T265" s="115"/>
    </row>
    <row r="266" ht="14.25" customHeight="1">
      <c r="C266" s="10"/>
      <c r="D266" s="18"/>
      <c r="E266" s="10"/>
      <c r="F266" s="134"/>
      <c r="G266" s="19"/>
      <c r="H266" s="21"/>
      <c r="I266" s="235"/>
      <c r="J266" s="216"/>
      <c r="K266" s="183"/>
      <c r="L266" s="21"/>
      <c r="M266" s="19"/>
      <c r="N266" s="21"/>
      <c r="O266" s="134"/>
      <c r="P266" s="19"/>
      <c r="Q266" s="21"/>
      <c r="R266" s="112"/>
      <c r="S266" s="113"/>
      <c r="T266" s="115"/>
    </row>
    <row r="267" ht="14.25" customHeight="1">
      <c r="C267" s="10"/>
      <c r="D267" s="18"/>
      <c r="E267" s="10"/>
      <c r="F267" s="134"/>
      <c r="G267" s="19"/>
      <c r="H267" s="21"/>
      <c r="I267" s="235"/>
      <c r="J267" s="216"/>
      <c r="K267" s="183"/>
      <c r="L267" s="21"/>
      <c r="M267" s="19"/>
      <c r="N267" s="21"/>
      <c r="O267" s="134"/>
      <c r="P267" s="19"/>
      <c r="Q267" s="21"/>
      <c r="R267" s="112"/>
      <c r="S267" s="113"/>
      <c r="T267" s="115"/>
    </row>
    <row r="268" ht="14.25" customHeight="1">
      <c r="C268" s="10"/>
      <c r="D268" s="18"/>
      <c r="E268" s="10"/>
      <c r="F268" s="134"/>
      <c r="G268" s="19"/>
      <c r="H268" s="21"/>
      <c r="I268" s="235"/>
      <c r="J268" s="216"/>
      <c r="K268" s="183"/>
      <c r="L268" s="21"/>
      <c r="M268" s="19"/>
      <c r="N268" s="21"/>
      <c r="O268" s="134"/>
      <c r="P268" s="19"/>
      <c r="Q268" s="21"/>
      <c r="R268" s="112"/>
      <c r="S268" s="113"/>
      <c r="T268" s="115"/>
    </row>
    <row r="269" ht="14.25" customHeight="1">
      <c r="C269" s="10"/>
      <c r="D269" s="18"/>
      <c r="E269" s="10"/>
      <c r="F269" s="134"/>
      <c r="G269" s="19"/>
      <c r="H269" s="21"/>
      <c r="I269" s="235"/>
      <c r="J269" s="216"/>
      <c r="K269" s="183"/>
      <c r="L269" s="21"/>
      <c r="M269" s="19"/>
      <c r="N269" s="21"/>
      <c r="O269" s="134"/>
      <c r="P269" s="19"/>
      <c r="Q269" s="21"/>
      <c r="R269" s="112"/>
      <c r="S269" s="113"/>
      <c r="T269" s="115"/>
    </row>
    <row r="270" ht="14.25" customHeight="1">
      <c r="C270" s="10"/>
      <c r="D270" s="18"/>
      <c r="E270" s="10"/>
      <c r="F270" s="134"/>
      <c r="G270" s="19"/>
      <c r="H270" s="21"/>
      <c r="I270" s="235"/>
      <c r="J270" s="216"/>
      <c r="K270" s="183"/>
      <c r="L270" s="21"/>
      <c r="M270" s="19"/>
      <c r="N270" s="21"/>
      <c r="O270" s="134"/>
      <c r="P270" s="19"/>
      <c r="Q270" s="21"/>
      <c r="R270" s="112"/>
      <c r="S270" s="113"/>
      <c r="T270" s="115"/>
    </row>
    <row r="271" ht="14.25" customHeight="1">
      <c r="C271" s="10"/>
      <c r="D271" s="18"/>
      <c r="E271" s="10"/>
      <c r="F271" s="134"/>
      <c r="G271" s="19"/>
      <c r="H271" s="21"/>
      <c r="I271" s="235"/>
      <c r="J271" s="216"/>
      <c r="K271" s="183"/>
      <c r="L271" s="21"/>
      <c r="M271" s="19"/>
      <c r="N271" s="21"/>
      <c r="O271" s="134"/>
      <c r="P271" s="19"/>
      <c r="Q271" s="21"/>
      <c r="R271" s="112"/>
      <c r="S271" s="113"/>
      <c r="T271" s="115"/>
    </row>
    <row r="272" ht="14.25" customHeight="1">
      <c r="C272" s="10"/>
      <c r="D272" s="18"/>
      <c r="E272" s="10"/>
      <c r="F272" s="134"/>
      <c r="G272" s="19"/>
      <c r="H272" s="21"/>
      <c r="I272" s="235"/>
      <c r="J272" s="216"/>
      <c r="K272" s="183"/>
      <c r="L272" s="21"/>
      <c r="M272" s="19"/>
      <c r="N272" s="21"/>
      <c r="O272" s="134"/>
      <c r="P272" s="19"/>
      <c r="Q272" s="21"/>
      <c r="R272" s="112"/>
      <c r="S272" s="113"/>
      <c r="T272" s="115"/>
    </row>
    <row r="273" ht="14.25" customHeight="1">
      <c r="C273" s="10"/>
      <c r="D273" s="18"/>
      <c r="E273" s="10"/>
      <c r="F273" s="134"/>
      <c r="G273" s="19"/>
      <c r="H273" s="21"/>
      <c r="I273" s="235"/>
      <c r="J273" s="216"/>
      <c r="K273" s="183"/>
      <c r="L273" s="21"/>
      <c r="M273" s="19"/>
      <c r="N273" s="21"/>
      <c r="O273" s="134"/>
      <c r="P273" s="19"/>
      <c r="Q273" s="21"/>
      <c r="R273" s="112"/>
      <c r="S273" s="113"/>
      <c r="T273" s="115"/>
    </row>
    <row r="274" ht="14.25" customHeight="1">
      <c r="C274" s="10"/>
      <c r="D274" s="18"/>
      <c r="E274" s="10"/>
      <c r="F274" s="134"/>
      <c r="G274" s="19"/>
      <c r="H274" s="21"/>
      <c r="I274" s="235"/>
      <c r="J274" s="216"/>
      <c r="K274" s="183"/>
      <c r="L274" s="21"/>
      <c r="M274" s="19"/>
      <c r="N274" s="21"/>
      <c r="O274" s="134"/>
      <c r="P274" s="19"/>
      <c r="Q274" s="21"/>
      <c r="R274" s="112"/>
      <c r="S274" s="113"/>
      <c r="T274" s="115"/>
    </row>
    <row r="275" ht="14.25" customHeight="1">
      <c r="C275" s="10"/>
      <c r="D275" s="18"/>
      <c r="E275" s="10"/>
      <c r="F275" s="134"/>
      <c r="G275" s="19"/>
      <c r="H275" s="21"/>
      <c r="I275" s="235"/>
      <c r="J275" s="216"/>
      <c r="K275" s="183"/>
      <c r="L275" s="21"/>
      <c r="M275" s="19"/>
      <c r="N275" s="21"/>
      <c r="O275" s="134"/>
      <c r="P275" s="19"/>
      <c r="Q275" s="21"/>
      <c r="R275" s="112"/>
      <c r="S275" s="113"/>
      <c r="T275" s="115"/>
    </row>
    <row r="276" ht="14.25" customHeight="1">
      <c r="C276" s="10"/>
      <c r="D276" s="18"/>
      <c r="E276" s="10"/>
      <c r="F276" s="134"/>
      <c r="G276" s="19"/>
      <c r="H276" s="21"/>
      <c r="I276" s="235"/>
      <c r="J276" s="216"/>
      <c r="K276" s="183"/>
      <c r="L276" s="21"/>
      <c r="M276" s="19"/>
      <c r="N276" s="21"/>
      <c r="O276" s="134"/>
      <c r="P276" s="19"/>
      <c r="Q276" s="21"/>
      <c r="R276" s="112"/>
      <c r="S276" s="113"/>
      <c r="T276" s="115"/>
    </row>
    <row r="277" ht="14.25" customHeight="1">
      <c r="C277" s="10"/>
      <c r="D277" s="18"/>
      <c r="E277" s="10"/>
      <c r="F277" s="134"/>
      <c r="G277" s="19"/>
      <c r="H277" s="21"/>
      <c r="I277" s="235"/>
      <c r="J277" s="216"/>
      <c r="K277" s="183"/>
      <c r="L277" s="21"/>
      <c r="M277" s="19"/>
      <c r="N277" s="21"/>
      <c r="O277" s="134"/>
      <c r="P277" s="19"/>
      <c r="Q277" s="21"/>
      <c r="R277" s="112"/>
      <c r="S277" s="113"/>
      <c r="T277" s="115"/>
    </row>
    <row r="278" ht="14.25" customHeight="1">
      <c r="C278" s="10"/>
      <c r="D278" s="18"/>
      <c r="E278" s="10"/>
      <c r="F278" s="134"/>
      <c r="G278" s="19"/>
      <c r="H278" s="21"/>
      <c r="I278" s="235"/>
      <c r="J278" s="216"/>
      <c r="K278" s="183"/>
      <c r="L278" s="21"/>
      <c r="M278" s="19"/>
      <c r="N278" s="21"/>
      <c r="O278" s="134"/>
      <c r="P278" s="19"/>
      <c r="Q278" s="21"/>
      <c r="R278" s="112"/>
      <c r="S278" s="113"/>
      <c r="T278" s="115"/>
    </row>
    <row r="279" ht="14.25" customHeight="1">
      <c r="C279" s="10"/>
      <c r="D279" s="18"/>
      <c r="E279" s="10"/>
      <c r="F279" s="134"/>
      <c r="G279" s="19"/>
      <c r="H279" s="21"/>
      <c r="I279" s="235"/>
      <c r="J279" s="216"/>
      <c r="K279" s="183"/>
      <c r="L279" s="21"/>
      <c r="M279" s="19"/>
      <c r="N279" s="21"/>
      <c r="O279" s="134"/>
      <c r="P279" s="19"/>
      <c r="Q279" s="21"/>
      <c r="R279" s="112"/>
      <c r="S279" s="113"/>
      <c r="T279" s="115"/>
    </row>
    <row r="280" ht="14.25" customHeight="1">
      <c r="C280" s="10"/>
      <c r="D280" s="18"/>
      <c r="E280" s="10"/>
      <c r="F280" s="134"/>
      <c r="G280" s="19"/>
      <c r="H280" s="21"/>
      <c r="I280" s="235"/>
      <c r="J280" s="216"/>
      <c r="K280" s="183"/>
      <c r="L280" s="21"/>
      <c r="M280" s="19"/>
      <c r="N280" s="21"/>
      <c r="O280" s="134"/>
      <c r="P280" s="19"/>
      <c r="Q280" s="21"/>
      <c r="R280" s="112"/>
      <c r="S280" s="113"/>
      <c r="T280" s="115"/>
    </row>
    <row r="281" ht="14.25" customHeight="1">
      <c r="C281" s="10"/>
      <c r="D281" s="18"/>
      <c r="E281" s="10"/>
      <c r="F281" s="134"/>
      <c r="G281" s="19"/>
      <c r="H281" s="21"/>
      <c r="I281" s="235"/>
      <c r="J281" s="216"/>
      <c r="K281" s="183"/>
      <c r="L281" s="21"/>
      <c r="M281" s="19"/>
      <c r="N281" s="21"/>
      <c r="O281" s="134"/>
      <c r="P281" s="19"/>
      <c r="Q281" s="21"/>
      <c r="R281" s="112"/>
      <c r="S281" s="113"/>
      <c r="T281" s="115"/>
    </row>
    <row r="282" ht="14.25" customHeight="1">
      <c r="C282" s="10"/>
      <c r="D282" s="18"/>
      <c r="E282" s="10"/>
      <c r="F282" s="134"/>
      <c r="G282" s="19"/>
      <c r="H282" s="21"/>
      <c r="I282" s="235"/>
      <c r="J282" s="216"/>
      <c r="K282" s="183"/>
      <c r="L282" s="21"/>
      <c r="M282" s="19"/>
      <c r="N282" s="21"/>
      <c r="O282" s="134"/>
      <c r="P282" s="19"/>
      <c r="Q282" s="21"/>
      <c r="R282" s="112"/>
      <c r="S282" s="113"/>
      <c r="T282" s="115"/>
    </row>
    <row r="283" ht="14.25" customHeight="1">
      <c r="C283" s="10"/>
      <c r="D283" s="18"/>
      <c r="E283" s="10"/>
      <c r="F283" s="134"/>
      <c r="G283" s="19"/>
      <c r="H283" s="21"/>
      <c r="I283" s="235"/>
      <c r="J283" s="216"/>
      <c r="K283" s="183"/>
      <c r="L283" s="21"/>
      <c r="M283" s="19"/>
      <c r="N283" s="21"/>
      <c r="O283" s="134"/>
      <c r="P283" s="19"/>
      <c r="Q283" s="21"/>
      <c r="R283" s="112"/>
      <c r="S283" s="113"/>
      <c r="T283" s="115"/>
    </row>
    <row r="284" ht="14.25" customHeight="1">
      <c r="C284" s="10"/>
      <c r="D284" s="18"/>
      <c r="E284" s="10"/>
      <c r="F284" s="134"/>
      <c r="G284" s="19"/>
      <c r="H284" s="21"/>
      <c r="I284" s="235"/>
      <c r="J284" s="216"/>
      <c r="K284" s="183"/>
      <c r="L284" s="21"/>
      <c r="M284" s="19"/>
      <c r="N284" s="21"/>
      <c r="O284" s="134"/>
      <c r="P284" s="19"/>
      <c r="Q284" s="21"/>
      <c r="R284" s="112"/>
      <c r="S284" s="113"/>
      <c r="T284" s="115"/>
    </row>
    <row r="285" ht="14.25" customHeight="1">
      <c r="C285" s="10"/>
      <c r="D285" s="18"/>
      <c r="E285" s="10"/>
      <c r="F285" s="134"/>
      <c r="G285" s="19"/>
      <c r="H285" s="21"/>
      <c r="I285" s="235"/>
      <c r="J285" s="216"/>
      <c r="K285" s="183"/>
      <c r="L285" s="21"/>
      <c r="M285" s="19"/>
      <c r="N285" s="21"/>
      <c r="O285" s="134"/>
      <c r="P285" s="19"/>
      <c r="Q285" s="21"/>
      <c r="R285" s="112"/>
      <c r="S285" s="113"/>
      <c r="T285" s="115"/>
    </row>
    <row r="286" ht="14.25" customHeight="1">
      <c r="C286" s="10"/>
      <c r="D286" s="18"/>
      <c r="E286" s="10"/>
      <c r="F286" s="134"/>
      <c r="G286" s="19"/>
      <c r="H286" s="21"/>
      <c r="I286" s="235"/>
      <c r="J286" s="216"/>
      <c r="K286" s="183"/>
      <c r="L286" s="21"/>
      <c r="M286" s="19"/>
      <c r="N286" s="21"/>
      <c r="O286" s="134"/>
      <c r="P286" s="19"/>
      <c r="Q286" s="21"/>
      <c r="R286" s="112"/>
      <c r="S286" s="113"/>
      <c r="T286" s="115"/>
    </row>
    <row r="287" ht="14.25" customHeight="1">
      <c r="C287" s="10"/>
      <c r="D287" s="18"/>
      <c r="E287" s="10"/>
      <c r="F287" s="134"/>
      <c r="G287" s="19"/>
      <c r="H287" s="21"/>
      <c r="I287" s="235"/>
      <c r="J287" s="216"/>
      <c r="K287" s="183"/>
      <c r="L287" s="21"/>
      <c r="M287" s="19"/>
      <c r="N287" s="21"/>
      <c r="O287" s="134"/>
      <c r="P287" s="19"/>
      <c r="Q287" s="21"/>
      <c r="R287" s="112"/>
      <c r="S287" s="113"/>
      <c r="T287" s="115"/>
    </row>
    <row r="288" ht="14.25" customHeight="1">
      <c r="C288" s="10"/>
      <c r="D288" s="18"/>
      <c r="E288" s="10"/>
      <c r="F288" s="134"/>
      <c r="G288" s="19"/>
      <c r="H288" s="21"/>
      <c r="I288" s="235"/>
      <c r="J288" s="216"/>
      <c r="K288" s="183"/>
      <c r="L288" s="21"/>
      <c r="M288" s="19"/>
      <c r="N288" s="21"/>
      <c r="O288" s="134"/>
      <c r="P288" s="19"/>
      <c r="Q288" s="21"/>
      <c r="R288" s="112"/>
      <c r="S288" s="113"/>
      <c r="T288" s="115"/>
    </row>
    <row r="289" ht="14.25" customHeight="1">
      <c r="C289" s="10"/>
      <c r="D289" s="18"/>
      <c r="E289" s="10"/>
      <c r="F289" s="134"/>
      <c r="G289" s="19"/>
      <c r="H289" s="21"/>
      <c r="I289" s="235"/>
      <c r="J289" s="216"/>
      <c r="K289" s="183"/>
      <c r="L289" s="21"/>
      <c r="M289" s="19"/>
      <c r="N289" s="21"/>
      <c r="O289" s="134"/>
      <c r="P289" s="19"/>
      <c r="Q289" s="21"/>
      <c r="R289" s="112"/>
      <c r="S289" s="113"/>
      <c r="T289" s="115"/>
    </row>
    <row r="290" ht="14.25" customHeight="1">
      <c r="C290" s="10"/>
      <c r="D290" s="18"/>
      <c r="E290" s="10"/>
      <c r="F290" s="134"/>
      <c r="G290" s="19"/>
      <c r="H290" s="21"/>
      <c r="I290" s="235"/>
      <c r="J290" s="216"/>
      <c r="K290" s="183"/>
      <c r="L290" s="21"/>
      <c r="M290" s="19"/>
      <c r="N290" s="21"/>
      <c r="O290" s="134"/>
      <c r="P290" s="19"/>
      <c r="Q290" s="21"/>
      <c r="R290" s="112"/>
      <c r="S290" s="113"/>
      <c r="T290" s="115"/>
    </row>
    <row r="291" ht="14.25" customHeight="1">
      <c r="C291" s="10"/>
      <c r="D291" s="18"/>
      <c r="E291" s="10"/>
      <c r="F291" s="134"/>
      <c r="G291" s="19"/>
      <c r="H291" s="21"/>
      <c r="I291" s="235"/>
      <c r="J291" s="216"/>
      <c r="K291" s="183"/>
      <c r="L291" s="21"/>
      <c r="M291" s="19"/>
      <c r="N291" s="21"/>
      <c r="O291" s="134"/>
      <c r="P291" s="19"/>
      <c r="Q291" s="21"/>
      <c r="R291" s="112"/>
      <c r="S291" s="113"/>
      <c r="T291" s="115"/>
    </row>
    <row r="292" ht="14.25" customHeight="1">
      <c r="C292" s="10"/>
      <c r="D292" s="18"/>
      <c r="E292" s="10"/>
      <c r="F292" s="134"/>
      <c r="G292" s="19"/>
      <c r="H292" s="21"/>
      <c r="I292" s="235"/>
      <c r="J292" s="216"/>
      <c r="K292" s="183"/>
      <c r="L292" s="21"/>
      <c r="M292" s="19"/>
      <c r="N292" s="21"/>
      <c r="O292" s="134"/>
      <c r="P292" s="19"/>
      <c r="Q292" s="21"/>
      <c r="R292" s="112"/>
      <c r="S292" s="113"/>
      <c r="T292" s="115"/>
    </row>
    <row r="293" ht="14.25" customHeight="1">
      <c r="C293" s="10"/>
      <c r="D293" s="18"/>
      <c r="E293" s="10"/>
      <c r="F293" s="134"/>
      <c r="G293" s="19"/>
      <c r="H293" s="21"/>
      <c r="I293" s="235"/>
      <c r="J293" s="216"/>
      <c r="K293" s="183"/>
      <c r="L293" s="21"/>
      <c r="M293" s="19"/>
      <c r="N293" s="21"/>
      <c r="O293" s="134"/>
      <c r="P293" s="19"/>
      <c r="Q293" s="21"/>
      <c r="R293" s="112"/>
      <c r="S293" s="113"/>
      <c r="T293" s="115"/>
    </row>
    <row r="294" ht="14.25" customHeight="1">
      <c r="C294" s="10"/>
      <c r="D294" s="18"/>
      <c r="E294" s="10"/>
      <c r="F294" s="134"/>
      <c r="G294" s="19"/>
      <c r="H294" s="21"/>
      <c r="I294" s="235"/>
      <c r="J294" s="216"/>
      <c r="K294" s="183"/>
      <c r="L294" s="21"/>
      <c r="M294" s="19"/>
      <c r="N294" s="21"/>
      <c r="O294" s="134"/>
      <c r="P294" s="19"/>
      <c r="Q294" s="21"/>
      <c r="R294" s="112"/>
      <c r="S294" s="113"/>
      <c r="T294" s="115"/>
    </row>
    <row r="295" ht="14.25" customHeight="1">
      <c r="C295" s="10"/>
      <c r="D295" s="18"/>
      <c r="E295" s="10"/>
      <c r="F295" s="134"/>
      <c r="G295" s="19"/>
      <c r="H295" s="21"/>
      <c r="I295" s="235"/>
      <c r="J295" s="216"/>
      <c r="K295" s="183"/>
      <c r="L295" s="21"/>
      <c r="M295" s="19"/>
      <c r="N295" s="21"/>
      <c r="O295" s="134"/>
      <c r="P295" s="19"/>
      <c r="Q295" s="21"/>
      <c r="R295" s="112"/>
      <c r="S295" s="113"/>
      <c r="T295" s="115"/>
    </row>
    <row r="296" ht="14.25" customHeight="1">
      <c r="C296" s="10"/>
      <c r="D296" s="18"/>
      <c r="E296" s="10"/>
      <c r="F296" s="134"/>
      <c r="G296" s="19"/>
      <c r="H296" s="21"/>
      <c r="I296" s="235"/>
      <c r="J296" s="216"/>
      <c r="K296" s="183"/>
      <c r="L296" s="21"/>
      <c r="M296" s="19"/>
      <c r="N296" s="21"/>
      <c r="O296" s="134"/>
      <c r="P296" s="19"/>
      <c r="Q296" s="21"/>
      <c r="R296" s="112"/>
      <c r="S296" s="113"/>
      <c r="T296" s="115"/>
    </row>
    <row r="297" ht="14.25" customHeight="1">
      <c r="C297" s="10"/>
      <c r="D297" s="18"/>
      <c r="E297" s="10"/>
      <c r="F297" s="134"/>
      <c r="G297" s="19"/>
      <c r="H297" s="21"/>
      <c r="I297" s="235"/>
      <c r="J297" s="216"/>
      <c r="K297" s="183"/>
      <c r="L297" s="21"/>
      <c r="M297" s="19"/>
      <c r="N297" s="21"/>
      <c r="O297" s="134"/>
      <c r="P297" s="19"/>
      <c r="Q297" s="21"/>
      <c r="R297" s="112"/>
      <c r="S297" s="113"/>
      <c r="T297" s="115"/>
    </row>
    <row r="298" ht="14.25" customHeight="1">
      <c r="C298" s="10"/>
      <c r="D298" s="18"/>
      <c r="E298" s="10"/>
      <c r="F298" s="134"/>
      <c r="G298" s="19"/>
      <c r="H298" s="21"/>
      <c r="I298" s="235"/>
      <c r="J298" s="216"/>
      <c r="K298" s="183"/>
      <c r="L298" s="21"/>
      <c r="M298" s="19"/>
      <c r="N298" s="21"/>
      <c r="O298" s="134"/>
      <c r="P298" s="19"/>
      <c r="Q298" s="21"/>
      <c r="R298" s="112"/>
      <c r="S298" s="113"/>
      <c r="T298" s="115"/>
    </row>
    <row r="299" ht="14.25" customHeight="1">
      <c r="C299" s="10"/>
      <c r="D299" s="18"/>
      <c r="E299" s="10"/>
      <c r="F299" s="134"/>
      <c r="G299" s="19"/>
      <c r="H299" s="21"/>
      <c r="I299" s="235"/>
      <c r="J299" s="216"/>
      <c r="K299" s="183"/>
      <c r="L299" s="21"/>
      <c r="M299" s="19"/>
      <c r="N299" s="21"/>
      <c r="O299" s="134"/>
      <c r="P299" s="19"/>
      <c r="Q299" s="21"/>
      <c r="R299" s="112"/>
      <c r="S299" s="113"/>
      <c r="T299" s="115"/>
    </row>
    <row r="300" ht="14.25" customHeight="1">
      <c r="C300" s="10"/>
      <c r="D300" s="18"/>
      <c r="E300" s="10"/>
      <c r="F300" s="134"/>
      <c r="G300" s="19"/>
      <c r="H300" s="21"/>
      <c r="I300" s="235"/>
      <c r="J300" s="216"/>
      <c r="K300" s="183"/>
      <c r="L300" s="21"/>
      <c r="M300" s="19"/>
      <c r="N300" s="21"/>
      <c r="O300" s="134"/>
      <c r="P300" s="19"/>
      <c r="Q300" s="21"/>
      <c r="R300" s="112"/>
      <c r="S300" s="113"/>
      <c r="T300" s="115"/>
    </row>
    <row r="301" ht="14.25" customHeight="1">
      <c r="C301" s="10"/>
      <c r="D301" s="18"/>
      <c r="E301" s="10"/>
      <c r="F301" s="134"/>
      <c r="G301" s="19"/>
      <c r="H301" s="21"/>
      <c r="I301" s="235"/>
      <c r="J301" s="216"/>
      <c r="K301" s="183"/>
      <c r="L301" s="21"/>
      <c r="M301" s="19"/>
      <c r="N301" s="21"/>
      <c r="O301" s="134"/>
      <c r="P301" s="19"/>
      <c r="Q301" s="21"/>
      <c r="R301" s="112"/>
      <c r="S301" s="113"/>
      <c r="T301" s="115"/>
    </row>
    <row r="302" ht="14.25" customHeight="1">
      <c r="C302" s="10"/>
      <c r="D302" s="18"/>
      <c r="E302" s="10"/>
      <c r="F302" s="134"/>
      <c r="G302" s="19"/>
      <c r="H302" s="21"/>
      <c r="I302" s="235"/>
      <c r="J302" s="216"/>
      <c r="K302" s="183"/>
      <c r="L302" s="21"/>
      <c r="M302" s="19"/>
      <c r="N302" s="21"/>
      <c r="O302" s="134"/>
      <c r="P302" s="19"/>
      <c r="Q302" s="21"/>
      <c r="R302" s="112"/>
      <c r="S302" s="113"/>
      <c r="T302" s="115"/>
    </row>
    <row r="303" ht="14.25" customHeight="1">
      <c r="C303" s="10"/>
      <c r="D303" s="18"/>
      <c r="E303" s="10"/>
      <c r="F303" s="134"/>
      <c r="G303" s="19"/>
      <c r="H303" s="21"/>
      <c r="I303" s="235"/>
      <c r="J303" s="216"/>
      <c r="K303" s="183"/>
      <c r="L303" s="21"/>
      <c r="M303" s="19"/>
      <c r="N303" s="21"/>
      <c r="O303" s="134"/>
      <c r="P303" s="19"/>
      <c r="Q303" s="21"/>
      <c r="R303" s="112"/>
      <c r="S303" s="113"/>
      <c r="T303" s="115"/>
    </row>
    <row r="304" ht="14.25" customHeight="1">
      <c r="C304" s="10"/>
      <c r="D304" s="18"/>
      <c r="E304" s="10"/>
      <c r="F304" s="134"/>
      <c r="G304" s="19"/>
      <c r="H304" s="21"/>
      <c r="I304" s="235"/>
      <c r="J304" s="216"/>
      <c r="K304" s="183"/>
      <c r="L304" s="21"/>
      <c r="M304" s="19"/>
      <c r="N304" s="21"/>
      <c r="O304" s="134"/>
      <c r="P304" s="19"/>
      <c r="Q304" s="21"/>
      <c r="R304" s="112"/>
      <c r="S304" s="113"/>
      <c r="T304" s="115"/>
    </row>
    <row r="305" ht="14.25" customHeight="1">
      <c r="C305" s="10"/>
      <c r="D305" s="18"/>
      <c r="E305" s="10"/>
      <c r="F305" s="134"/>
      <c r="G305" s="19"/>
      <c r="H305" s="21"/>
      <c r="I305" s="235"/>
      <c r="J305" s="216"/>
      <c r="K305" s="183"/>
      <c r="L305" s="21"/>
      <c r="M305" s="19"/>
      <c r="N305" s="21"/>
      <c r="O305" s="134"/>
      <c r="P305" s="19"/>
      <c r="Q305" s="21"/>
      <c r="R305" s="112"/>
      <c r="S305" s="113"/>
      <c r="T305" s="115"/>
    </row>
    <row r="306" ht="14.25" customHeight="1">
      <c r="C306" s="10"/>
      <c r="D306" s="18"/>
      <c r="E306" s="10"/>
      <c r="F306" s="134"/>
      <c r="G306" s="19"/>
      <c r="H306" s="21"/>
      <c r="I306" s="235"/>
      <c r="J306" s="216"/>
      <c r="K306" s="183"/>
      <c r="L306" s="21"/>
      <c r="M306" s="19"/>
      <c r="N306" s="21"/>
      <c r="O306" s="134"/>
      <c r="P306" s="19"/>
      <c r="Q306" s="21"/>
      <c r="R306" s="112"/>
      <c r="S306" s="113"/>
      <c r="T306" s="115"/>
    </row>
    <row r="307" ht="14.25" customHeight="1">
      <c r="C307" s="10"/>
      <c r="D307" s="18"/>
      <c r="E307" s="10"/>
      <c r="F307" s="134"/>
      <c r="G307" s="19"/>
      <c r="H307" s="21"/>
      <c r="I307" s="235"/>
      <c r="J307" s="216"/>
      <c r="K307" s="183"/>
      <c r="L307" s="21"/>
      <c r="M307" s="19"/>
      <c r="N307" s="21"/>
      <c r="O307" s="134"/>
      <c r="P307" s="19"/>
      <c r="Q307" s="21"/>
      <c r="R307" s="112"/>
      <c r="S307" s="113"/>
      <c r="T307" s="115"/>
    </row>
    <row r="308" ht="14.25" customHeight="1">
      <c r="C308" s="10"/>
      <c r="D308" s="18"/>
      <c r="E308" s="10"/>
      <c r="F308" s="134"/>
      <c r="G308" s="19"/>
      <c r="H308" s="21"/>
      <c r="I308" s="235"/>
      <c r="J308" s="216"/>
      <c r="K308" s="183"/>
      <c r="L308" s="21"/>
      <c r="M308" s="19"/>
      <c r="N308" s="21"/>
      <c r="O308" s="134"/>
      <c r="P308" s="19"/>
      <c r="Q308" s="21"/>
      <c r="R308" s="112"/>
      <c r="S308" s="113"/>
      <c r="T308" s="115"/>
    </row>
    <row r="309" ht="14.25" customHeight="1">
      <c r="C309" s="10"/>
      <c r="D309" s="18"/>
      <c r="E309" s="10"/>
      <c r="F309" s="134"/>
      <c r="G309" s="19"/>
      <c r="H309" s="21"/>
      <c r="I309" s="235"/>
      <c r="J309" s="216"/>
      <c r="K309" s="183"/>
      <c r="L309" s="21"/>
      <c r="M309" s="19"/>
      <c r="N309" s="21"/>
      <c r="O309" s="134"/>
      <c r="P309" s="19"/>
      <c r="Q309" s="21"/>
      <c r="R309" s="112"/>
      <c r="S309" s="113"/>
      <c r="T309" s="115"/>
    </row>
    <row r="310" ht="14.25" customHeight="1">
      <c r="C310" s="10"/>
      <c r="D310" s="18"/>
      <c r="E310" s="10"/>
      <c r="F310" s="134"/>
      <c r="G310" s="19"/>
      <c r="H310" s="21"/>
      <c r="I310" s="235"/>
      <c r="J310" s="216"/>
      <c r="K310" s="183"/>
      <c r="L310" s="21"/>
      <c r="M310" s="19"/>
      <c r="N310" s="21"/>
      <c r="O310" s="134"/>
      <c r="P310" s="19"/>
      <c r="Q310" s="21"/>
      <c r="R310" s="112"/>
      <c r="S310" s="113"/>
      <c r="T310" s="115"/>
    </row>
    <row r="311" ht="14.25" customHeight="1">
      <c r="C311" s="10"/>
      <c r="D311" s="18"/>
      <c r="E311" s="10"/>
      <c r="F311" s="134"/>
      <c r="G311" s="19"/>
      <c r="H311" s="21"/>
      <c r="I311" s="235"/>
      <c r="J311" s="216"/>
      <c r="K311" s="183"/>
      <c r="L311" s="21"/>
      <c r="M311" s="19"/>
      <c r="N311" s="21"/>
      <c r="O311" s="134"/>
      <c r="P311" s="19"/>
      <c r="Q311" s="21"/>
      <c r="R311" s="112"/>
      <c r="S311" s="113"/>
      <c r="T311" s="115"/>
    </row>
    <row r="312" ht="14.25" customHeight="1">
      <c r="C312" s="10"/>
      <c r="D312" s="18"/>
      <c r="E312" s="10"/>
      <c r="F312" s="134"/>
      <c r="G312" s="19"/>
      <c r="H312" s="21"/>
      <c r="I312" s="235"/>
      <c r="J312" s="216"/>
      <c r="K312" s="183"/>
      <c r="L312" s="21"/>
      <c r="M312" s="19"/>
      <c r="N312" s="21"/>
      <c r="O312" s="134"/>
      <c r="P312" s="19"/>
      <c r="Q312" s="21"/>
      <c r="R312" s="112"/>
      <c r="S312" s="113"/>
      <c r="T312" s="115"/>
    </row>
    <row r="313" ht="14.25" customHeight="1">
      <c r="C313" s="10"/>
      <c r="D313" s="18"/>
      <c r="E313" s="10"/>
      <c r="F313" s="134"/>
      <c r="G313" s="19"/>
      <c r="H313" s="21"/>
      <c r="I313" s="235"/>
      <c r="J313" s="216"/>
      <c r="K313" s="183"/>
      <c r="L313" s="21"/>
      <c r="M313" s="19"/>
      <c r="N313" s="21"/>
      <c r="O313" s="134"/>
      <c r="P313" s="19"/>
      <c r="Q313" s="21"/>
      <c r="R313" s="112"/>
      <c r="S313" s="113"/>
      <c r="T313" s="115"/>
    </row>
    <row r="314" ht="14.25" customHeight="1">
      <c r="C314" s="10"/>
      <c r="D314" s="18"/>
      <c r="E314" s="10"/>
      <c r="F314" s="134"/>
      <c r="G314" s="19"/>
      <c r="H314" s="21"/>
      <c r="I314" s="235"/>
      <c r="J314" s="216"/>
      <c r="K314" s="183"/>
      <c r="L314" s="21"/>
      <c r="M314" s="19"/>
      <c r="N314" s="21"/>
      <c r="O314" s="134"/>
      <c r="P314" s="19"/>
      <c r="Q314" s="21"/>
      <c r="R314" s="112"/>
      <c r="S314" s="113"/>
      <c r="T314" s="115"/>
    </row>
    <row r="315" ht="14.25" customHeight="1">
      <c r="C315" s="10"/>
      <c r="D315" s="18"/>
      <c r="E315" s="10"/>
      <c r="F315" s="134"/>
      <c r="G315" s="19"/>
      <c r="H315" s="21"/>
      <c r="I315" s="235"/>
      <c r="J315" s="216"/>
      <c r="K315" s="183"/>
      <c r="L315" s="21"/>
      <c r="M315" s="19"/>
      <c r="N315" s="21"/>
      <c r="O315" s="134"/>
      <c r="P315" s="19"/>
      <c r="Q315" s="21"/>
      <c r="R315" s="112"/>
      <c r="S315" s="113"/>
      <c r="T315" s="115"/>
    </row>
    <row r="316" ht="14.25" customHeight="1">
      <c r="C316" s="10"/>
      <c r="D316" s="18"/>
      <c r="E316" s="10"/>
      <c r="F316" s="134"/>
      <c r="G316" s="19"/>
      <c r="H316" s="21"/>
      <c r="I316" s="235"/>
      <c r="J316" s="216"/>
      <c r="K316" s="183"/>
      <c r="L316" s="21"/>
      <c r="M316" s="19"/>
      <c r="N316" s="21"/>
      <c r="O316" s="134"/>
      <c r="P316" s="19"/>
      <c r="Q316" s="21"/>
      <c r="R316" s="112"/>
      <c r="S316" s="113"/>
      <c r="T316" s="115"/>
    </row>
    <row r="317" ht="14.25" customHeight="1">
      <c r="C317" s="10"/>
      <c r="D317" s="18"/>
      <c r="E317" s="10"/>
      <c r="F317" s="134"/>
      <c r="G317" s="19"/>
      <c r="H317" s="21"/>
      <c r="I317" s="235"/>
      <c r="J317" s="216"/>
      <c r="K317" s="183"/>
      <c r="L317" s="21"/>
      <c r="M317" s="19"/>
      <c r="N317" s="21"/>
      <c r="O317" s="134"/>
      <c r="P317" s="19"/>
      <c r="Q317" s="21"/>
      <c r="R317" s="112"/>
      <c r="S317" s="113"/>
      <c r="T317" s="115"/>
    </row>
    <row r="318" ht="14.25" customHeight="1">
      <c r="C318" s="10"/>
      <c r="D318" s="18"/>
      <c r="E318" s="10"/>
      <c r="F318" s="134"/>
      <c r="G318" s="19"/>
      <c r="H318" s="21"/>
      <c r="I318" s="235"/>
      <c r="J318" s="216"/>
      <c r="K318" s="183"/>
      <c r="L318" s="21"/>
      <c r="M318" s="19"/>
      <c r="N318" s="21"/>
      <c r="O318" s="134"/>
      <c r="P318" s="19"/>
      <c r="Q318" s="21"/>
      <c r="R318" s="112"/>
      <c r="S318" s="113"/>
      <c r="T318" s="115"/>
    </row>
    <row r="319" ht="14.25" customHeight="1">
      <c r="C319" s="10"/>
      <c r="D319" s="18"/>
      <c r="E319" s="10"/>
      <c r="F319" s="134"/>
      <c r="G319" s="19"/>
      <c r="H319" s="21"/>
      <c r="I319" s="235"/>
      <c r="J319" s="216"/>
      <c r="K319" s="183"/>
      <c r="L319" s="21"/>
      <c r="M319" s="19"/>
      <c r="N319" s="21"/>
      <c r="O319" s="134"/>
      <c r="P319" s="19"/>
      <c r="Q319" s="21"/>
      <c r="R319" s="112"/>
      <c r="S319" s="113"/>
      <c r="T319" s="115"/>
    </row>
    <row r="320" ht="14.25" customHeight="1">
      <c r="C320" s="10"/>
      <c r="D320" s="18"/>
      <c r="E320" s="10"/>
      <c r="F320" s="134"/>
      <c r="G320" s="19"/>
      <c r="H320" s="21"/>
      <c r="I320" s="235"/>
      <c r="J320" s="216"/>
      <c r="K320" s="183"/>
      <c r="L320" s="21"/>
      <c r="M320" s="19"/>
      <c r="N320" s="21"/>
      <c r="O320" s="134"/>
      <c r="P320" s="19"/>
      <c r="Q320" s="21"/>
      <c r="R320" s="112"/>
      <c r="S320" s="113"/>
      <c r="T320" s="115"/>
    </row>
    <row r="321" ht="14.25" customHeight="1">
      <c r="C321" s="10"/>
      <c r="D321" s="18"/>
      <c r="E321" s="10"/>
      <c r="F321" s="134"/>
      <c r="G321" s="19"/>
      <c r="H321" s="21"/>
      <c r="I321" s="235"/>
      <c r="J321" s="216"/>
      <c r="K321" s="183"/>
      <c r="L321" s="21"/>
      <c r="M321" s="19"/>
      <c r="N321" s="21"/>
      <c r="O321" s="134"/>
      <c r="P321" s="19"/>
      <c r="Q321" s="21"/>
      <c r="R321" s="112"/>
      <c r="S321" s="113"/>
      <c r="T321" s="115"/>
    </row>
    <row r="322" ht="14.25" customHeight="1">
      <c r="C322" s="10"/>
      <c r="D322" s="18"/>
      <c r="E322" s="10"/>
      <c r="F322" s="134"/>
      <c r="G322" s="19"/>
      <c r="H322" s="21"/>
      <c r="I322" s="235"/>
      <c r="J322" s="216"/>
      <c r="K322" s="183"/>
      <c r="L322" s="21"/>
      <c r="M322" s="19"/>
      <c r="N322" s="21"/>
      <c r="O322" s="134"/>
      <c r="P322" s="19"/>
      <c r="Q322" s="21"/>
      <c r="R322" s="112"/>
      <c r="S322" s="113"/>
      <c r="T322" s="115"/>
    </row>
    <row r="323" ht="14.25" customHeight="1">
      <c r="C323" s="10"/>
      <c r="D323" s="18"/>
      <c r="E323" s="10"/>
      <c r="F323" s="134"/>
      <c r="G323" s="19"/>
      <c r="H323" s="21"/>
      <c r="I323" s="235"/>
      <c r="J323" s="216"/>
      <c r="K323" s="183"/>
      <c r="L323" s="21"/>
      <c r="M323" s="19"/>
      <c r="N323" s="21"/>
      <c r="O323" s="134"/>
      <c r="P323" s="19"/>
      <c r="Q323" s="21"/>
      <c r="R323" s="112"/>
      <c r="S323" s="113"/>
      <c r="T323" s="115"/>
    </row>
    <row r="324" ht="14.25" customHeight="1">
      <c r="C324" s="10"/>
      <c r="D324" s="18"/>
      <c r="E324" s="10"/>
      <c r="F324" s="134"/>
      <c r="G324" s="19"/>
      <c r="H324" s="21"/>
      <c r="I324" s="235"/>
      <c r="J324" s="216"/>
      <c r="K324" s="183"/>
      <c r="L324" s="21"/>
      <c r="M324" s="19"/>
      <c r="N324" s="21"/>
      <c r="O324" s="134"/>
      <c r="P324" s="19"/>
      <c r="Q324" s="21"/>
      <c r="R324" s="112"/>
      <c r="S324" s="113"/>
      <c r="T324" s="115"/>
    </row>
    <row r="325" ht="14.25" customHeight="1">
      <c r="C325" s="10"/>
      <c r="D325" s="18"/>
      <c r="E325" s="10"/>
      <c r="F325" s="134"/>
      <c r="G325" s="19"/>
      <c r="H325" s="21"/>
      <c r="I325" s="235"/>
      <c r="J325" s="216"/>
      <c r="K325" s="183"/>
      <c r="L325" s="21"/>
      <c r="M325" s="19"/>
      <c r="N325" s="21"/>
      <c r="O325" s="134"/>
      <c r="P325" s="19"/>
      <c r="Q325" s="21"/>
      <c r="R325" s="112"/>
      <c r="S325" s="113"/>
      <c r="T325" s="115"/>
    </row>
    <row r="326" ht="14.25" customHeight="1">
      <c r="C326" s="10"/>
      <c r="D326" s="18"/>
      <c r="E326" s="10"/>
      <c r="F326" s="134"/>
      <c r="G326" s="19"/>
      <c r="H326" s="21"/>
      <c r="I326" s="235"/>
      <c r="J326" s="216"/>
      <c r="K326" s="183"/>
      <c r="L326" s="21"/>
      <c r="M326" s="19"/>
      <c r="N326" s="21"/>
      <c r="O326" s="134"/>
      <c r="P326" s="19"/>
      <c r="Q326" s="21"/>
      <c r="R326" s="112"/>
      <c r="S326" s="113"/>
      <c r="T326" s="115"/>
    </row>
    <row r="327" ht="14.25" customHeight="1">
      <c r="C327" s="10"/>
      <c r="D327" s="18"/>
      <c r="E327" s="10"/>
      <c r="F327" s="134"/>
      <c r="G327" s="19"/>
      <c r="H327" s="21"/>
      <c r="I327" s="235"/>
      <c r="J327" s="216"/>
      <c r="K327" s="183"/>
      <c r="L327" s="21"/>
      <c r="M327" s="19"/>
      <c r="N327" s="21"/>
      <c r="O327" s="134"/>
      <c r="P327" s="19"/>
      <c r="Q327" s="21"/>
      <c r="R327" s="112"/>
      <c r="S327" s="113"/>
      <c r="T327" s="115"/>
    </row>
    <row r="328" ht="14.25" customHeight="1">
      <c r="C328" s="10"/>
      <c r="D328" s="18"/>
      <c r="E328" s="10"/>
      <c r="F328" s="134"/>
      <c r="G328" s="19"/>
      <c r="H328" s="21"/>
      <c r="I328" s="235"/>
      <c r="J328" s="216"/>
      <c r="K328" s="183"/>
      <c r="L328" s="21"/>
      <c r="M328" s="19"/>
      <c r="N328" s="21"/>
      <c r="O328" s="134"/>
      <c r="P328" s="19"/>
      <c r="Q328" s="21"/>
      <c r="R328" s="112"/>
      <c r="S328" s="113"/>
      <c r="T328" s="115"/>
    </row>
    <row r="329" ht="14.25" customHeight="1">
      <c r="C329" s="10"/>
      <c r="D329" s="18"/>
      <c r="E329" s="10"/>
      <c r="F329" s="134"/>
      <c r="G329" s="19"/>
      <c r="H329" s="21"/>
      <c r="I329" s="235"/>
      <c r="J329" s="216"/>
      <c r="K329" s="183"/>
      <c r="L329" s="21"/>
      <c r="M329" s="19"/>
      <c r="N329" s="21"/>
      <c r="O329" s="134"/>
      <c r="P329" s="19"/>
      <c r="Q329" s="21"/>
      <c r="R329" s="112"/>
      <c r="S329" s="113"/>
      <c r="T329" s="115"/>
    </row>
    <row r="330" ht="14.25" customHeight="1">
      <c r="C330" s="10"/>
      <c r="D330" s="18"/>
      <c r="E330" s="10"/>
      <c r="F330" s="134"/>
      <c r="G330" s="19"/>
      <c r="H330" s="21"/>
      <c r="I330" s="235"/>
      <c r="J330" s="216"/>
      <c r="K330" s="183"/>
      <c r="L330" s="21"/>
      <c r="M330" s="19"/>
      <c r="N330" s="21"/>
      <c r="O330" s="134"/>
      <c r="P330" s="19"/>
      <c r="Q330" s="21"/>
      <c r="R330" s="112"/>
      <c r="S330" s="113"/>
      <c r="T330" s="115"/>
    </row>
    <row r="331" ht="14.25" customHeight="1">
      <c r="C331" s="10"/>
      <c r="D331" s="18"/>
      <c r="E331" s="10"/>
      <c r="F331" s="134"/>
      <c r="G331" s="19"/>
      <c r="H331" s="21"/>
      <c r="I331" s="235"/>
      <c r="J331" s="216"/>
      <c r="K331" s="183"/>
      <c r="L331" s="21"/>
      <c r="M331" s="19"/>
      <c r="N331" s="21"/>
      <c r="O331" s="134"/>
      <c r="P331" s="19"/>
      <c r="Q331" s="21"/>
      <c r="R331" s="112"/>
      <c r="S331" s="113"/>
      <c r="T331" s="115"/>
    </row>
    <row r="332" ht="14.25" customHeight="1">
      <c r="C332" s="10"/>
      <c r="D332" s="18"/>
      <c r="E332" s="10"/>
      <c r="F332" s="134"/>
      <c r="G332" s="19"/>
      <c r="H332" s="21"/>
      <c r="I332" s="235"/>
      <c r="J332" s="216"/>
      <c r="K332" s="183"/>
      <c r="L332" s="21"/>
      <c r="M332" s="19"/>
      <c r="N332" s="21"/>
      <c r="O332" s="134"/>
      <c r="P332" s="19"/>
      <c r="Q332" s="21"/>
      <c r="R332" s="112"/>
      <c r="S332" s="113"/>
      <c r="T332" s="115"/>
    </row>
    <row r="333" ht="14.25" customHeight="1">
      <c r="C333" s="10"/>
      <c r="D333" s="18"/>
      <c r="E333" s="10"/>
      <c r="F333" s="134"/>
      <c r="G333" s="19"/>
      <c r="H333" s="21"/>
      <c r="I333" s="235"/>
      <c r="J333" s="216"/>
      <c r="K333" s="183"/>
      <c r="L333" s="21"/>
      <c r="M333" s="19"/>
      <c r="N333" s="21"/>
      <c r="O333" s="134"/>
      <c r="P333" s="19"/>
      <c r="Q333" s="21"/>
      <c r="R333" s="112"/>
      <c r="S333" s="113"/>
      <c r="T333" s="115"/>
    </row>
    <row r="334" ht="14.25" customHeight="1">
      <c r="C334" s="10"/>
      <c r="D334" s="18"/>
      <c r="E334" s="10"/>
      <c r="F334" s="134"/>
      <c r="G334" s="19"/>
      <c r="H334" s="21"/>
      <c r="I334" s="235"/>
      <c r="J334" s="216"/>
      <c r="K334" s="183"/>
      <c r="L334" s="21"/>
      <c r="M334" s="19"/>
      <c r="N334" s="21"/>
      <c r="O334" s="134"/>
      <c r="P334" s="19"/>
      <c r="Q334" s="21"/>
      <c r="R334" s="112"/>
      <c r="S334" s="113"/>
      <c r="T334" s="115"/>
    </row>
    <row r="335" ht="14.25" customHeight="1">
      <c r="C335" s="10"/>
      <c r="D335" s="18"/>
      <c r="E335" s="10"/>
      <c r="F335" s="134"/>
      <c r="G335" s="19"/>
      <c r="H335" s="21"/>
      <c r="I335" s="235"/>
      <c r="J335" s="216"/>
      <c r="K335" s="183"/>
      <c r="L335" s="21"/>
      <c r="M335" s="19"/>
      <c r="N335" s="21"/>
      <c r="O335" s="134"/>
      <c r="P335" s="19"/>
      <c r="Q335" s="21"/>
      <c r="R335" s="112"/>
      <c r="S335" s="113"/>
      <c r="T335" s="115"/>
    </row>
    <row r="336" ht="14.25" customHeight="1">
      <c r="C336" s="10"/>
      <c r="D336" s="18"/>
      <c r="E336" s="10"/>
      <c r="F336" s="134"/>
      <c r="G336" s="19"/>
      <c r="H336" s="21"/>
      <c r="I336" s="235"/>
      <c r="J336" s="216"/>
      <c r="K336" s="183"/>
      <c r="L336" s="21"/>
      <c r="M336" s="19"/>
      <c r="N336" s="21"/>
      <c r="O336" s="134"/>
      <c r="P336" s="19"/>
      <c r="Q336" s="21"/>
      <c r="R336" s="112"/>
      <c r="S336" s="113"/>
      <c r="T336" s="115"/>
    </row>
    <row r="337" ht="14.25" customHeight="1">
      <c r="C337" s="10"/>
      <c r="D337" s="18"/>
      <c r="E337" s="10"/>
      <c r="F337" s="134"/>
      <c r="G337" s="19"/>
      <c r="H337" s="21"/>
      <c r="I337" s="235"/>
      <c r="J337" s="216"/>
      <c r="K337" s="183"/>
      <c r="L337" s="21"/>
      <c r="M337" s="19"/>
      <c r="N337" s="21"/>
      <c r="O337" s="134"/>
      <c r="P337" s="19"/>
      <c r="Q337" s="21"/>
      <c r="R337" s="112"/>
      <c r="S337" s="113"/>
      <c r="T337" s="115"/>
    </row>
    <row r="338" ht="14.25" customHeight="1">
      <c r="C338" s="10"/>
      <c r="D338" s="18"/>
      <c r="E338" s="10"/>
      <c r="F338" s="134"/>
      <c r="G338" s="19"/>
      <c r="H338" s="21"/>
      <c r="I338" s="235"/>
      <c r="J338" s="216"/>
      <c r="K338" s="183"/>
      <c r="L338" s="21"/>
      <c r="M338" s="19"/>
      <c r="N338" s="21"/>
      <c r="O338" s="134"/>
      <c r="P338" s="19"/>
      <c r="Q338" s="21"/>
      <c r="R338" s="112"/>
      <c r="S338" s="113"/>
      <c r="T338" s="115"/>
    </row>
    <row r="339" ht="14.25" customHeight="1">
      <c r="C339" s="10"/>
      <c r="D339" s="18"/>
      <c r="E339" s="10"/>
      <c r="F339" s="134"/>
      <c r="G339" s="19"/>
      <c r="H339" s="21"/>
      <c r="I339" s="235"/>
      <c r="J339" s="216"/>
      <c r="K339" s="183"/>
      <c r="L339" s="21"/>
      <c r="M339" s="19"/>
      <c r="N339" s="21"/>
      <c r="O339" s="134"/>
      <c r="P339" s="19"/>
      <c r="Q339" s="21"/>
      <c r="R339" s="112"/>
      <c r="S339" s="113"/>
      <c r="T339" s="115"/>
    </row>
    <row r="340" ht="14.25" customHeight="1">
      <c r="C340" s="10"/>
      <c r="D340" s="18"/>
      <c r="E340" s="10"/>
      <c r="F340" s="134"/>
      <c r="G340" s="19"/>
      <c r="H340" s="21"/>
      <c r="I340" s="235"/>
      <c r="J340" s="216"/>
      <c r="K340" s="183"/>
      <c r="L340" s="21"/>
      <c r="M340" s="19"/>
      <c r="N340" s="21"/>
      <c r="O340" s="134"/>
      <c r="P340" s="19"/>
      <c r="Q340" s="21"/>
      <c r="R340" s="112"/>
      <c r="S340" s="113"/>
      <c r="T340" s="115"/>
    </row>
    <row r="341" ht="14.25" customHeight="1">
      <c r="C341" s="10"/>
      <c r="D341" s="18"/>
      <c r="E341" s="10"/>
      <c r="F341" s="134"/>
      <c r="G341" s="19"/>
      <c r="H341" s="21"/>
      <c r="I341" s="235"/>
      <c r="J341" s="216"/>
      <c r="K341" s="183"/>
      <c r="L341" s="21"/>
      <c r="M341" s="19"/>
      <c r="N341" s="21"/>
      <c r="O341" s="134"/>
      <c r="P341" s="19"/>
      <c r="Q341" s="21"/>
      <c r="R341" s="112"/>
      <c r="S341" s="113"/>
      <c r="T341" s="115"/>
    </row>
    <row r="342" ht="14.25" customHeight="1">
      <c r="C342" s="10"/>
      <c r="D342" s="18"/>
      <c r="E342" s="10"/>
      <c r="F342" s="134"/>
      <c r="G342" s="19"/>
      <c r="H342" s="21"/>
      <c r="I342" s="235"/>
      <c r="J342" s="216"/>
      <c r="K342" s="183"/>
      <c r="L342" s="21"/>
      <c r="M342" s="19"/>
      <c r="N342" s="21"/>
      <c r="O342" s="134"/>
      <c r="P342" s="19"/>
      <c r="Q342" s="21"/>
      <c r="R342" s="112"/>
      <c r="S342" s="113"/>
      <c r="T342" s="115"/>
    </row>
    <row r="343" ht="14.25" customHeight="1">
      <c r="C343" s="10"/>
      <c r="D343" s="18"/>
      <c r="E343" s="10"/>
      <c r="F343" s="134"/>
      <c r="G343" s="19"/>
      <c r="H343" s="21"/>
      <c r="I343" s="235"/>
      <c r="J343" s="216"/>
      <c r="K343" s="183"/>
      <c r="L343" s="21"/>
      <c r="M343" s="19"/>
      <c r="N343" s="21"/>
      <c r="O343" s="134"/>
      <c r="P343" s="19"/>
      <c r="Q343" s="21"/>
      <c r="R343" s="112"/>
      <c r="S343" s="113"/>
      <c r="T343" s="115"/>
    </row>
    <row r="344" ht="14.25" customHeight="1">
      <c r="C344" s="10"/>
      <c r="D344" s="18"/>
      <c r="E344" s="10"/>
      <c r="F344" s="134"/>
      <c r="G344" s="19"/>
      <c r="H344" s="21"/>
      <c r="I344" s="235"/>
      <c r="J344" s="216"/>
      <c r="K344" s="183"/>
      <c r="L344" s="21"/>
      <c r="M344" s="19"/>
      <c r="N344" s="21"/>
      <c r="O344" s="134"/>
      <c r="P344" s="19"/>
      <c r="Q344" s="21"/>
      <c r="R344" s="112"/>
      <c r="S344" s="113"/>
      <c r="T344" s="115"/>
    </row>
    <row r="345" ht="14.25" customHeight="1">
      <c r="C345" s="10"/>
      <c r="D345" s="18"/>
      <c r="E345" s="10"/>
      <c r="F345" s="134"/>
      <c r="G345" s="19"/>
      <c r="H345" s="21"/>
      <c r="I345" s="235"/>
      <c r="J345" s="216"/>
      <c r="K345" s="183"/>
      <c r="L345" s="21"/>
      <c r="M345" s="19"/>
      <c r="N345" s="21"/>
      <c r="O345" s="134"/>
      <c r="P345" s="19"/>
      <c r="Q345" s="21"/>
      <c r="R345" s="112"/>
      <c r="S345" s="113"/>
      <c r="T345" s="115"/>
    </row>
    <row r="346" ht="14.25" customHeight="1">
      <c r="C346" s="10"/>
      <c r="D346" s="18"/>
      <c r="E346" s="10"/>
      <c r="F346" s="134"/>
      <c r="G346" s="19"/>
      <c r="H346" s="21"/>
      <c r="I346" s="235"/>
      <c r="J346" s="216"/>
      <c r="K346" s="183"/>
      <c r="L346" s="21"/>
      <c r="M346" s="19"/>
      <c r="N346" s="21"/>
      <c r="O346" s="134"/>
      <c r="P346" s="19"/>
      <c r="Q346" s="21"/>
      <c r="R346" s="112"/>
      <c r="S346" s="113"/>
      <c r="T346" s="115"/>
    </row>
    <row r="347" ht="14.25" customHeight="1">
      <c r="C347" s="10"/>
      <c r="D347" s="18"/>
      <c r="E347" s="10"/>
      <c r="F347" s="134"/>
      <c r="G347" s="19"/>
      <c r="H347" s="21"/>
      <c r="I347" s="235"/>
      <c r="J347" s="216"/>
      <c r="K347" s="183"/>
      <c r="L347" s="21"/>
      <c r="M347" s="19"/>
      <c r="N347" s="21"/>
      <c r="O347" s="134"/>
      <c r="P347" s="19"/>
      <c r="Q347" s="21"/>
      <c r="R347" s="112"/>
      <c r="S347" s="113"/>
      <c r="T347" s="115"/>
    </row>
    <row r="348" ht="14.25" customHeight="1">
      <c r="C348" s="10"/>
      <c r="D348" s="18"/>
      <c r="E348" s="10"/>
      <c r="F348" s="134"/>
      <c r="G348" s="19"/>
      <c r="H348" s="21"/>
      <c r="I348" s="235"/>
      <c r="J348" s="216"/>
      <c r="K348" s="183"/>
      <c r="L348" s="21"/>
      <c r="M348" s="19"/>
      <c r="N348" s="21"/>
      <c r="O348" s="134"/>
      <c r="P348" s="19"/>
      <c r="Q348" s="21"/>
      <c r="R348" s="112"/>
      <c r="S348" s="113"/>
      <c r="T348" s="115"/>
    </row>
    <row r="349" ht="14.25" customHeight="1">
      <c r="C349" s="10"/>
      <c r="D349" s="18"/>
      <c r="E349" s="10"/>
      <c r="F349" s="134"/>
      <c r="G349" s="19"/>
      <c r="H349" s="21"/>
      <c r="I349" s="235"/>
      <c r="J349" s="216"/>
      <c r="K349" s="183"/>
      <c r="L349" s="21"/>
      <c r="M349" s="19"/>
      <c r="N349" s="21"/>
      <c r="O349" s="134"/>
      <c r="P349" s="19"/>
      <c r="Q349" s="21"/>
      <c r="R349" s="112"/>
      <c r="S349" s="113"/>
      <c r="T349" s="115"/>
    </row>
    <row r="350" ht="14.25" customHeight="1">
      <c r="C350" s="10"/>
      <c r="D350" s="18"/>
      <c r="E350" s="10"/>
      <c r="F350" s="134"/>
      <c r="G350" s="19"/>
      <c r="H350" s="21"/>
      <c r="I350" s="235"/>
      <c r="J350" s="216"/>
      <c r="K350" s="183"/>
      <c r="L350" s="21"/>
      <c r="M350" s="19"/>
      <c r="N350" s="21"/>
      <c r="O350" s="134"/>
      <c r="P350" s="19"/>
      <c r="Q350" s="21"/>
      <c r="R350" s="112"/>
      <c r="S350" s="113"/>
      <c r="T350" s="115"/>
    </row>
    <row r="351" ht="14.25" customHeight="1">
      <c r="C351" s="10"/>
      <c r="D351" s="18"/>
      <c r="E351" s="10"/>
      <c r="F351" s="134"/>
      <c r="G351" s="19"/>
      <c r="H351" s="21"/>
      <c r="I351" s="235"/>
      <c r="J351" s="216"/>
      <c r="K351" s="183"/>
      <c r="L351" s="21"/>
      <c r="M351" s="19"/>
      <c r="N351" s="21"/>
      <c r="O351" s="134"/>
      <c r="P351" s="19"/>
      <c r="Q351" s="21"/>
      <c r="R351" s="112"/>
      <c r="S351" s="113"/>
      <c r="T351" s="115"/>
    </row>
    <row r="352" ht="14.25" customHeight="1">
      <c r="C352" s="10"/>
      <c r="D352" s="18"/>
      <c r="E352" s="10"/>
      <c r="F352" s="134"/>
      <c r="G352" s="19"/>
      <c r="H352" s="21"/>
      <c r="I352" s="235"/>
      <c r="J352" s="216"/>
      <c r="K352" s="183"/>
      <c r="L352" s="21"/>
      <c r="M352" s="19"/>
      <c r="N352" s="21"/>
      <c r="O352" s="134"/>
      <c r="P352" s="19"/>
      <c r="Q352" s="21"/>
      <c r="R352" s="112"/>
      <c r="S352" s="113"/>
      <c r="T352" s="115"/>
    </row>
    <row r="353" ht="14.25" customHeight="1">
      <c r="C353" s="10"/>
      <c r="D353" s="18"/>
      <c r="E353" s="10"/>
      <c r="F353" s="134"/>
      <c r="G353" s="19"/>
      <c r="H353" s="21"/>
      <c r="I353" s="235"/>
      <c r="J353" s="216"/>
      <c r="K353" s="183"/>
      <c r="L353" s="21"/>
      <c r="M353" s="19"/>
      <c r="N353" s="21"/>
      <c r="O353" s="134"/>
      <c r="P353" s="19"/>
      <c r="Q353" s="21"/>
      <c r="R353" s="112"/>
      <c r="S353" s="113"/>
      <c r="T353" s="115"/>
    </row>
    <row r="354" ht="14.25" customHeight="1">
      <c r="C354" s="10"/>
      <c r="D354" s="18"/>
      <c r="E354" s="10"/>
      <c r="F354" s="134"/>
      <c r="G354" s="19"/>
      <c r="H354" s="21"/>
      <c r="I354" s="235"/>
      <c r="J354" s="216"/>
      <c r="K354" s="183"/>
      <c r="L354" s="21"/>
      <c r="M354" s="19"/>
      <c r="N354" s="21"/>
      <c r="O354" s="134"/>
      <c r="P354" s="19"/>
      <c r="Q354" s="21"/>
      <c r="R354" s="112"/>
      <c r="S354" s="113"/>
      <c r="T354" s="115"/>
    </row>
    <row r="355" ht="14.25" customHeight="1">
      <c r="C355" s="10"/>
      <c r="D355" s="18"/>
      <c r="E355" s="10"/>
      <c r="F355" s="134"/>
      <c r="G355" s="19"/>
      <c r="H355" s="21"/>
      <c r="I355" s="235"/>
      <c r="J355" s="216"/>
      <c r="K355" s="183"/>
      <c r="L355" s="21"/>
      <c r="M355" s="19"/>
      <c r="N355" s="21"/>
      <c r="O355" s="134"/>
      <c r="P355" s="19"/>
      <c r="Q355" s="21"/>
      <c r="R355" s="112"/>
      <c r="S355" s="113"/>
      <c r="T355" s="115"/>
    </row>
    <row r="356" ht="14.25" customHeight="1">
      <c r="C356" s="10"/>
      <c r="D356" s="18"/>
      <c r="E356" s="10"/>
      <c r="F356" s="134"/>
      <c r="G356" s="19"/>
      <c r="H356" s="21"/>
      <c r="I356" s="235"/>
      <c r="J356" s="216"/>
      <c r="K356" s="183"/>
      <c r="L356" s="21"/>
      <c r="M356" s="19"/>
      <c r="N356" s="21"/>
      <c r="O356" s="134"/>
      <c r="P356" s="19"/>
      <c r="Q356" s="21"/>
      <c r="R356" s="112"/>
      <c r="S356" s="113"/>
      <c r="T356" s="115"/>
    </row>
    <row r="357" ht="14.25" customHeight="1">
      <c r="C357" s="10"/>
      <c r="D357" s="18"/>
      <c r="E357" s="10"/>
      <c r="F357" s="134"/>
      <c r="G357" s="19"/>
      <c r="H357" s="21"/>
      <c r="I357" s="235"/>
      <c r="J357" s="216"/>
      <c r="K357" s="183"/>
      <c r="L357" s="21"/>
      <c r="M357" s="19"/>
      <c r="N357" s="21"/>
      <c r="O357" s="134"/>
      <c r="P357" s="19"/>
      <c r="Q357" s="21"/>
      <c r="R357" s="112"/>
      <c r="S357" s="113"/>
      <c r="T357" s="115"/>
    </row>
    <row r="358" ht="14.25" customHeight="1">
      <c r="C358" s="10"/>
      <c r="D358" s="18"/>
      <c r="E358" s="10"/>
      <c r="F358" s="134"/>
      <c r="G358" s="19"/>
      <c r="H358" s="21"/>
      <c r="I358" s="235"/>
      <c r="J358" s="216"/>
      <c r="K358" s="183"/>
      <c r="L358" s="21"/>
      <c r="M358" s="19"/>
      <c r="N358" s="21"/>
      <c r="O358" s="134"/>
      <c r="P358" s="19"/>
      <c r="Q358" s="21"/>
      <c r="R358" s="112"/>
      <c r="S358" s="113"/>
      <c r="T358" s="115"/>
    </row>
    <row r="359" ht="14.25" customHeight="1">
      <c r="C359" s="10"/>
      <c r="D359" s="18"/>
      <c r="E359" s="10"/>
      <c r="F359" s="134"/>
      <c r="G359" s="19"/>
      <c r="H359" s="21"/>
      <c r="I359" s="235"/>
      <c r="J359" s="216"/>
      <c r="K359" s="183"/>
      <c r="L359" s="21"/>
      <c r="M359" s="19"/>
      <c r="N359" s="21"/>
      <c r="O359" s="134"/>
      <c r="P359" s="19"/>
      <c r="Q359" s="21"/>
      <c r="R359" s="112"/>
      <c r="S359" s="113"/>
      <c r="T359" s="115"/>
    </row>
    <row r="360" ht="14.25" customHeight="1">
      <c r="C360" s="10"/>
      <c r="D360" s="18"/>
      <c r="E360" s="10"/>
      <c r="F360" s="134"/>
      <c r="G360" s="19"/>
      <c r="H360" s="21"/>
      <c r="I360" s="235"/>
      <c r="J360" s="216"/>
      <c r="K360" s="183"/>
      <c r="L360" s="21"/>
      <c r="M360" s="19"/>
      <c r="N360" s="21"/>
      <c r="O360" s="134"/>
      <c r="P360" s="19"/>
      <c r="Q360" s="21"/>
      <c r="R360" s="112"/>
      <c r="S360" s="113"/>
      <c r="T360" s="115"/>
    </row>
    <row r="361" ht="14.25" customHeight="1">
      <c r="C361" s="10"/>
      <c r="D361" s="18"/>
      <c r="E361" s="10"/>
      <c r="F361" s="134"/>
      <c r="G361" s="19"/>
      <c r="H361" s="21"/>
      <c r="I361" s="235"/>
      <c r="J361" s="216"/>
      <c r="K361" s="183"/>
      <c r="L361" s="21"/>
      <c r="M361" s="19"/>
      <c r="N361" s="21"/>
      <c r="O361" s="134"/>
      <c r="P361" s="19"/>
      <c r="Q361" s="21"/>
      <c r="R361" s="112"/>
      <c r="S361" s="113"/>
      <c r="T361" s="115"/>
    </row>
    <row r="362" ht="14.25" customHeight="1">
      <c r="C362" s="10"/>
      <c r="D362" s="18"/>
      <c r="E362" s="10"/>
      <c r="F362" s="134"/>
      <c r="G362" s="19"/>
      <c r="H362" s="21"/>
      <c r="I362" s="235"/>
      <c r="J362" s="216"/>
      <c r="K362" s="183"/>
      <c r="L362" s="21"/>
      <c r="M362" s="19"/>
      <c r="N362" s="21"/>
      <c r="O362" s="134"/>
      <c r="P362" s="19"/>
      <c r="Q362" s="21"/>
      <c r="R362" s="112"/>
      <c r="S362" s="113"/>
      <c r="T362" s="115"/>
    </row>
    <row r="363" ht="14.25" customHeight="1">
      <c r="C363" s="10"/>
      <c r="D363" s="18"/>
      <c r="E363" s="10"/>
      <c r="F363" s="134"/>
      <c r="G363" s="19"/>
      <c r="H363" s="21"/>
      <c r="I363" s="235"/>
      <c r="J363" s="216"/>
      <c r="K363" s="183"/>
      <c r="L363" s="21"/>
      <c r="M363" s="19"/>
      <c r="N363" s="21"/>
      <c r="O363" s="134"/>
      <c r="P363" s="19"/>
      <c r="Q363" s="21"/>
      <c r="R363" s="112"/>
      <c r="S363" s="113"/>
      <c r="T363" s="115"/>
    </row>
    <row r="364" ht="14.25" customHeight="1">
      <c r="C364" s="10"/>
      <c r="D364" s="18"/>
      <c r="E364" s="10"/>
      <c r="F364" s="134"/>
      <c r="G364" s="19"/>
      <c r="H364" s="21"/>
      <c r="I364" s="235"/>
      <c r="J364" s="216"/>
      <c r="K364" s="183"/>
      <c r="L364" s="21"/>
      <c r="M364" s="19"/>
      <c r="N364" s="21"/>
      <c r="O364" s="134"/>
      <c r="P364" s="19"/>
      <c r="Q364" s="21"/>
      <c r="R364" s="112"/>
      <c r="S364" s="113"/>
      <c r="T364" s="115"/>
    </row>
    <row r="365" ht="14.25" customHeight="1">
      <c r="C365" s="10"/>
      <c r="D365" s="18"/>
      <c r="E365" s="10"/>
      <c r="F365" s="134"/>
      <c r="G365" s="19"/>
      <c r="H365" s="21"/>
      <c r="I365" s="235"/>
      <c r="J365" s="216"/>
      <c r="K365" s="183"/>
      <c r="L365" s="21"/>
      <c r="M365" s="19"/>
      <c r="N365" s="21"/>
      <c r="O365" s="134"/>
      <c r="P365" s="19"/>
      <c r="Q365" s="21"/>
      <c r="R365" s="112"/>
      <c r="S365" s="113"/>
      <c r="T365" s="115"/>
    </row>
    <row r="366" ht="14.25" customHeight="1">
      <c r="C366" s="10"/>
      <c r="D366" s="18"/>
      <c r="E366" s="10"/>
      <c r="F366" s="134"/>
      <c r="G366" s="19"/>
      <c r="H366" s="21"/>
      <c r="I366" s="235"/>
      <c r="J366" s="216"/>
      <c r="K366" s="183"/>
      <c r="L366" s="21"/>
      <c r="M366" s="19"/>
      <c r="N366" s="21"/>
      <c r="O366" s="134"/>
      <c r="P366" s="19"/>
      <c r="Q366" s="21"/>
      <c r="R366" s="112"/>
      <c r="S366" s="113"/>
      <c r="T366" s="115"/>
    </row>
    <row r="367" ht="14.25" customHeight="1">
      <c r="C367" s="10"/>
      <c r="D367" s="18"/>
      <c r="E367" s="10"/>
      <c r="F367" s="134"/>
      <c r="G367" s="19"/>
      <c r="H367" s="21"/>
      <c r="I367" s="235"/>
      <c r="J367" s="216"/>
      <c r="K367" s="183"/>
      <c r="L367" s="21"/>
      <c r="M367" s="19"/>
      <c r="N367" s="21"/>
      <c r="O367" s="134"/>
      <c r="P367" s="19"/>
      <c r="Q367" s="21"/>
      <c r="R367" s="112"/>
      <c r="S367" s="113"/>
      <c r="T367" s="115"/>
    </row>
    <row r="368" ht="14.25" customHeight="1">
      <c r="C368" s="10"/>
      <c r="D368" s="18"/>
      <c r="E368" s="10"/>
      <c r="F368" s="134"/>
      <c r="G368" s="19"/>
      <c r="H368" s="21"/>
      <c r="I368" s="235"/>
      <c r="J368" s="216"/>
      <c r="K368" s="183"/>
      <c r="L368" s="21"/>
      <c r="M368" s="19"/>
      <c r="N368" s="21"/>
      <c r="O368" s="134"/>
      <c r="P368" s="19"/>
      <c r="Q368" s="21"/>
      <c r="R368" s="112"/>
      <c r="S368" s="113"/>
      <c r="T368" s="115"/>
    </row>
    <row r="369" ht="14.25" customHeight="1">
      <c r="C369" s="10"/>
      <c r="D369" s="18"/>
      <c r="E369" s="10"/>
      <c r="F369" s="134"/>
      <c r="G369" s="19"/>
      <c r="H369" s="21"/>
      <c r="I369" s="235"/>
      <c r="J369" s="216"/>
      <c r="K369" s="183"/>
      <c r="L369" s="21"/>
      <c r="M369" s="19"/>
      <c r="N369" s="21"/>
      <c r="O369" s="134"/>
      <c r="P369" s="19"/>
      <c r="Q369" s="21"/>
      <c r="R369" s="112"/>
      <c r="S369" s="113"/>
      <c r="T369" s="115"/>
    </row>
    <row r="370" ht="14.25" customHeight="1">
      <c r="C370" s="10"/>
      <c r="D370" s="18"/>
      <c r="E370" s="10"/>
      <c r="F370" s="134"/>
      <c r="G370" s="19"/>
      <c r="H370" s="21"/>
      <c r="I370" s="235"/>
      <c r="J370" s="216"/>
      <c r="K370" s="183"/>
      <c r="L370" s="21"/>
      <c r="M370" s="19"/>
      <c r="N370" s="21"/>
      <c r="O370" s="134"/>
      <c r="P370" s="19"/>
      <c r="Q370" s="21"/>
      <c r="R370" s="112"/>
      <c r="S370" s="113"/>
      <c r="T370" s="115"/>
    </row>
    <row r="371" ht="14.25" customHeight="1">
      <c r="C371" s="10"/>
      <c r="D371" s="18"/>
      <c r="E371" s="10"/>
      <c r="F371" s="134"/>
      <c r="G371" s="19"/>
      <c r="H371" s="21"/>
      <c r="I371" s="235"/>
      <c r="J371" s="216"/>
      <c r="K371" s="183"/>
      <c r="L371" s="21"/>
      <c r="M371" s="19"/>
      <c r="N371" s="21"/>
      <c r="O371" s="134"/>
      <c r="P371" s="19"/>
      <c r="Q371" s="21"/>
      <c r="R371" s="112"/>
      <c r="S371" s="113"/>
      <c r="T371" s="115"/>
    </row>
    <row r="372" ht="14.25" customHeight="1">
      <c r="C372" s="10"/>
      <c r="D372" s="18"/>
      <c r="E372" s="10"/>
      <c r="F372" s="134"/>
      <c r="G372" s="19"/>
      <c r="H372" s="21"/>
      <c r="I372" s="235"/>
      <c r="J372" s="216"/>
      <c r="K372" s="183"/>
      <c r="L372" s="21"/>
      <c r="M372" s="19"/>
      <c r="N372" s="21"/>
      <c r="O372" s="134"/>
      <c r="P372" s="19"/>
      <c r="Q372" s="21"/>
      <c r="R372" s="112"/>
      <c r="S372" s="113"/>
      <c r="T372" s="115"/>
    </row>
    <row r="373" ht="14.25" customHeight="1">
      <c r="C373" s="10"/>
      <c r="D373" s="18"/>
      <c r="E373" s="10"/>
      <c r="F373" s="134"/>
      <c r="G373" s="19"/>
      <c r="H373" s="21"/>
      <c r="I373" s="235"/>
      <c r="J373" s="216"/>
      <c r="K373" s="183"/>
      <c r="L373" s="21"/>
      <c r="M373" s="19"/>
      <c r="N373" s="21"/>
      <c r="O373" s="134"/>
      <c r="P373" s="19"/>
      <c r="Q373" s="21"/>
      <c r="R373" s="112"/>
      <c r="S373" s="113"/>
      <c r="T373" s="115"/>
    </row>
    <row r="374" ht="14.25" customHeight="1">
      <c r="C374" s="10"/>
      <c r="D374" s="18"/>
      <c r="E374" s="10"/>
      <c r="F374" s="134"/>
      <c r="G374" s="19"/>
      <c r="H374" s="21"/>
      <c r="I374" s="235"/>
      <c r="J374" s="216"/>
      <c r="K374" s="183"/>
      <c r="L374" s="21"/>
      <c r="M374" s="19"/>
      <c r="N374" s="21"/>
      <c r="O374" s="134"/>
      <c r="P374" s="19"/>
      <c r="Q374" s="21"/>
      <c r="R374" s="112"/>
      <c r="S374" s="113"/>
      <c r="T374" s="115"/>
    </row>
    <row r="375" ht="14.25" customHeight="1">
      <c r="C375" s="10"/>
      <c r="D375" s="18"/>
      <c r="E375" s="10"/>
      <c r="F375" s="134"/>
      <c r="G375" s="19"/>
      <c r="H375" s="21"/>
      <c r="I375" s="235"/>
      <c r="J375" s="216"/>
      <c r="K375" s="183"/>
      <c r="L375" s="21"/>
      <c r="M375" s="19"/>
      <c r="N375" s="21"/>
      <c r="O375" s="134"/>
      <c r="P375" s="19"/>
      <c r="Q375" s="21"/>
      <c r="R375" s="112"/>
      <c r="S375" s="113"/>
      <c r="T375" s="115"/>
    </row>
    <row r="376" ht="14.25" customHeight="1">
      <c r="C376" s="10"/>
      <c r="D376" s="18"/>
      <c r="E376" s="10"/>
      <c r="F376" s="134"/>
      <c r="G376" s="19"/>
      <c r="H376" s="21"/>
      <c r="I376" s="235"/>
      <c r="J376" s="216"/>
      <c r="K376" s="183"/>
      <c r="L376" s="21"/>
      <c r="M376" s="19"/>
      <c r="N376" s="21"/>
      <c r="O376" s="134"/>
      <c r="P376" s="19"/>
      <c r="Q376" s="21"/>
      <c r="R376" s="112"/>
      <c r="S376" s="113"/>
      <c r="T376" s="115"/>
    </row>
    <row r="377" ht="14.25" customHeight="1">
      <c r="C377" s="10"/>
      <c r="D377" s="18"/>
      <c r="E377" s="10"/>
      <c r="F377" s="134"/>
      <c r="G377" s="19"/>
      <c r="H377" s="21"/>
      <c r="I377" s="235"/>
      <c r="J377" s="216"/>
      <c r="K377" s="183"/>
      <c r="L377" s="21"/>
      <c r="M377" s="19"/>
      <c r="N377" s="21"/>
      <c r="O377" s="134"/>
      <c r="P377" s="19"/>
      <c r="Q377" s="21"/>
      <c r="R377" s="112"/>
      <c r="S377" s="113"/>
      <c r="T377" s="115"/>
    </row>
    <row r="378" ht="14.25" customHeight="1">
      <c r="C378" s="10"/>
      <c r="D378" s="18"/>
      <c r="E378" s="10"/>
      <c r="F378" s="134"/>
      <c r="G378" s="19"/>
      <c r="H378" s="21"/>
      <c r="I378" s="235"/>
      <c r="J378" s="216"/>
      <c r="K378" s="183"/>
      <c r="L378" s="21"/>
      <c r="M378" s="19"/>
      <c r="N378" s="21"/>
      <c r="O378" s="134"/>
      <c r="P378" s="19"/>
      <c r="Q378" s="21"/>
      <c r="R378" s="112"/>
      <c r="S378" s="113"/>
      <c r="T378" s="115"/>
    </row>
    <row r="379" ht="14.25" customHeight="1">
      <c r="C379" s="10"/>
      <c r="D379" s="18"/>
      <c r="E379" s="10"/>
      <c r="F379" s="134"/>
      <c r="G379" s="19"/>
      <c r="H379" s="21"/>
      <c r="I379" s="235"/>
      <c r="J379" s="216"/>
      <c r="K379" s="183"/>
      <c r="L379" s="21"/>
      <c r="M379" s="19"/>
      <c r="N379" s="21"/>
      <c r="O379" s="134"/>
      <c r="P379" s="19"/>
      <c r="Q379" s="21"/>
      <c r="R379" s="112"/>
      <c r="S379" s="113"/>
      <c r="T379" s="115"/>
    </row>
    <row r="380" ht="14.25" customHeight="1">
      <c r="C380" s="10"/>
      <c r="D380" s="18"/>
      <c r="E380" s="10"/>
      <c r="F380" s="134"/>
      <c r="G380" s="19"/>
      <c r="H380" s="21"/>
      <c r="I380" s="235"/>
      <c r="J380" s="216"/>
      <c r="K380" s="183"/>
      <c r="L380" s="21"/>
      <c r="M380" s="19"/>
      <c r="N380" s="21"/>
      <c r="O380" s="134"/>
      <c r="P380" s="19"/>
      <c r="Q380" s="21"/>
      <c r="R380" s="112"/>
      <c r="S380" s="113"/>
      <c r="T380" s="115"/>
    </row>
    <row r="381" ht="14.25" customHeight="1">
      <c r="C381" s="10"/>
      <c r="D381" s="18"/>
      <c r="E381" s="10"/>
      <c r="F381" s="134"/>
      <c r="G381" s="19"/>
      <c r="H381" s="21"/>
      <c r="I381" s="235"/>
      <c r="J381" s="216"/>
      <c r="K381" s="183"/>
      <c r="L381" s="21"/>
      <c r="M381" s="19"/>
      <c r="N381" s="21"/>
      <c r="O381" s="134"/>
      <c r="P381" s="19"/>
      <c r="Q381" s="21"/>
      <c r="R381" s="112"/>
      <c r="S381" s="113"/>
      <c r="T381" s="115"/>
    </row>
    <row r="382" ht="14.25" customHeight="1">
      <c r="C382" s="10"/>
      <c r="D382" s="18"/>
      <c r="E382" s="10"/>
      <c r="F382" s="134"/>
      <c r="G382" s="19"/>
      <c r="H382" s="21"/>
      <c r="I382" s="235"/>
      <c r="J382" s="216"/>
      <c r="K382" s="183"/>
      <c r="L382" s="21"/>
      <c r="M382" s="19"/>
      <c r="N382" s="21"/>
      <c r="O382" s="134"/>
      <c r="P382" s="19"/>
      <c r="Q382" s="21"/>
      <c r="R382" s="112"/>
      <c r="S382" s="113"/>
      <c r="T382" s="115"/>
    </row>
    <row r="383" ht="14.25" customHeight="1">
      <c r="C383" s="10"/>
      <c r="D383" s="18"/>
      <c r="E383" s="10"/>
      <c r="F383" s="134"/>
      <c r="G383" s="19"/>
      <c r="H383" s="21"/>
      <c r="I383" s="235"/>
      <c r="J383" s="216"/>
      <c r="K383" s="183"/>
      <c r="L383" s="21"/>
      <c r="M383" s="19"/>
      <c r="N383" s="21"/>
      <c r="O383" s="134"/>
      <c r="P383" s="19"/>
      <c r="Q383" s="21"/>
      <c r="R383" s="112"/>
      <c r="S383" s="113"/>
      <c r="T383" s="115"/>
    </row>
    <row r="384" ht="14.25" customHeight="1">
      <c r="C384" s="10"/>
      <c r="D384" s="18"/>
      <c r="E384" s="10"/>
      <c r="F384" s="134"/>
      <c r="G384" s="19"/>
      <c r="H384" s="21"/>
      <c r="I384" s="235"/>
      <c r="J384" s="216"/>
      <c r="K384" s="183"/>
      <c r="L384" s="21"/>
      <c r="M384" s="19"/>
      <c r="N384" s="21"/>
      <c r="O384" s="134"/>
      <c r="P384" s="19"/>
      <c r="Q384" s="21"/>
      <c r="R384" s="112"/>
      <c r="S384" s="113"/>
      <c r="T384" s="115"/>
    </row>
    <row r="385" ht="14.25" customHeight="1">
      <c r="C385" s="10"/>
      <c r="D385" s="18"/>
      <c r="E385" s="10"/>
      <c r="F385" s="134"/>
      <c r="G385" s="19"/>
      <c r="H385" s="21"/>
      <c r="I385" s="235"/>
      <c r="J385" s="216"/>
      <c r="K385" s="183"/>
      <c r="L385" s="21"/>
      <c r="M385" s="19"/>
      <c r="N385" s="21"/>
      <c r="O385" s="134"/>
      <c r="P385" s="19"/>
      <c r="Q385" s="21"/>
      <c r="R385" s="112"/>
      <c r="S385" s="113"/>
      <c r="T385" s="115"/>
    </row>
    <row r="386" ht="14.25" customHeight="1">
      <c r="C386" s="10"/>
      <c r="D386" s="18"/>
      <c r="E386" s="10"/>
      <c r="F386" s="134"/>
      <c r="G386" s="19"/>
      <c r="H386" s="21"/>
      <c r="I386" s="235"/>
      <c r="J386" s="216"/>
      <c r="K386" s="183"/>
      <c r="L386" s="21"/>
      <c r="M386" s="19"/>
      <c r="N386" s="21"/>
      <c r="O386" s="134"/>
      <c r="P386" s="19"/>
      <c r="Q386" s="21"/>
      <c r="R386" s="112"/>
      <c r="S386" s="113"/>
      <c r="T386" s="115"/>
    </row>
    <row r="387" ht="14.25" customHeight="1">
      <c r="C387" s="10"/>
      <c r="D387" s="18"/>
      <c r="E387" s="10"/>
      <c r="F387" s="134"/>
      <c r="G387" s="19"/>
      <c r="H387" s="21"/>
      <c r="I387" s="235"/>
      <c r="J387" s="216"/>
      <c r="K387" s="183"/>
      <c r="L387" s="21"/>
      <c r="M387" s="19"/>
      <c r="N387" s="21"/>
      <c r="O387" s="134"/>
      <c r="P387" s="19"/>
      <c r="Q387" s="21"/>
      <c r="R387" s="112"/>
      <c r="S387" s="113"/>
      <c r="T387" s="115"/>
    </row>
    <row r="388" ht="14.25" customHeight="1">
      <c r="C388" s="10"/>
      <c r="D388" s="18"/>
      <c r="E388" s="10"/>
      <c r="F388" s="134"/>
      <c r="G388" s="19"/>
      <c r="H388" s="21"/>
      <c r="I388" s="235"/>
      <c r="J388" s="216"/>
      <c r="K388" s="183"/>
      <c r="L388" s="21"/>
      <c r="M388" s="19"/>
      <c r="N388" s="21"/>
      <c r="O388" s="134"/>
      <c r="P388" s="19"/>
      <c r="Q388" s="21"/>
      <c r="R388" s="112"/>
      <c r="S388" s="113"/>
      <c r="T388" s="115"/>
    </row>
    <row r="389" ht="14.25" customHeight="1">
      <c r="C389" s="10"/>
      <c r="D389" s="18"/>
      <c r="E389" s="10"/>
      <c r="F389" s="134"/>
      <c r="G389" s="19"/>
      <c r="H389" s="21"/>
      <c r="I389" s="235"/>
      <c r="J389" s="216"/>
      <c r="K389" s="183"/>
      <c r="L389" s="21"/>
      <c r="M389" s="19"/>
      <c r="N389" s="21"/>
      <c r="O389" s="134"/>
      <c r="P389" s="19"/>
      <c r="Q389" s="21"/>
      <c r="R389" s="112"/>
      <c r="S389" s="113"/>
      <c r="T389" s="115"/>
    </row>
    <row r="390" ht="14.25" customHeight="1">
      <c r="C390" s="10"/>
      <c r="D390" s="18"/>
      <c r="E390" s="10"/>
      <c r="F390" s="134"/>
      <c r="G390" s="19"/>
      <c r="H390" s="21"/>
      <c r="I390" s="235"/>
      <c r="J390" s="216"/>
      <c r="K390" s="183"/>
      <c r="L390" s="21"/>
      <c r="M390" s="19"/>
      <c r="N390" s="21"/>
      <c r="O390" s="134"/>
      <c r="P390" s="19"/>
      <c r="Q390" s="21"/>
      <c r="R390" s="112"/>
      <c r="S390" s="113"/>
      <c r="T390" s="115"/>
    </row>
    <row r="391" ht="14.25" customHeight="1">
      <c r="C391" s="10"/>
      <c r="D391" s="18"/>
      <c r="E391" s="10"/>
      <c r="F391" s="134"/>
      <c r="G391" s="19"/>
      <c r="H391" s="21"/>
      <c r="I391" s="235"/>
      <c r="J391" s="216"/>
      <c r="K391" s="183"/>
      <c r="L391" s="21"/>
      <c r="M391" s="19"/>
      <c r="N391" s="21"/>
      <c r="O391" s="134"/>
      <c r="P391" s="19"/>
      <c r="Q391" s="21"/>
      <c r="R391" s="112"/>
      <c r="S391" s="113"/>
      <c r="T391" s="115"/>
    </row>
    <row r="392" ht="14.25" customHeight="1">
      <c r="C392" s="10"/>
      <c r="D392" s="18"/>
      <c r="E392" s="10"/>
      <c r="F392" s="134"/>
      <c r="G392" s="19"/>
      <c r="H392" s="21"/>
      <c r="I392" s="235"/>
      <c r="J392" s="216"/>
      <c r="K392" s="183"/>
      <c r="L392" s="21"/>
      <c r="M392" s="19"/>
      <c r="N392" s="21"/>
      <c r="O392" s="134"/>
      <c r="P392" s="19"/>
      <c r="Q392" s="21"/>
      <c r="R392" s="112"/>
      <c r="S392" s="113"/>
      <c r="T392" s="115"/>
    </row>
    <row r="393" ht="14.25" customHeight="1">
      <c r="C393" s="10"/>
      <c r="D393" s="18"/>
      <c r="E393" s="10"/>
      <c r="F393" s="134"/>
      <c r="G393" s="19"/>
      <c r="H393" s="21"/>
      <c r="I393" s="235"/>
      <c r="J393" s="216"/>
      <c r="K393" s="183"/>
      <c r="L393" s="21"/>
      <c r="M393" s="19"/>
      <c r="N393" s="21"/>
      <c r="O393" s="134"/>
      <c r="P393" s="19"/>
      <c r="Q393" s="21"/>
      <c r="R393" s="112"/>
      <c r="S393" s="113"/>
      <c r="T393" s="115"/>
    </row>
    <row r="394" ht="14.25" customHeight="1">
      <c r="C394" s="10"/>
      <c r="D394" s="18"/>
      <c r="E394" s="10"/>
      <c r="F394" s="134"/>
      <c r="G394" s="19"/>
      <c r="H394" s="21"/>
      <c r="I394" s="235"/>
      <c r="J394" s="216"/>
      <c r="K394" s="183"/>
      <c r="L394" s="21"/>
      <c r="M394" s="19"/>
      <c r="N394" s="21"/>
      <c r="O394" s="134"/>
      <c r="P394" s="19"/>
      <c r="Q394" s="21"/>
      <c r="R394" s="112"/>
      <c r="S394" s="113"/>
      <c r="T394" s="115"/>
    </row>
    <row r="395" ht="14.25" customHeight="1">
      <c r="C395" s="10"/>
      <c r="D395" s="18"/>
      <c r="E395" s="10"/>
      <c r="F395" s="134"/>
      <c r="G395" s="19"/>
      <c r="H395" s="21"/>
      <c r="I395" s="235"/>
      <c r="J395" s="216"/>
      <c r="K395" s="183"/>
      <c r="L395" s="21"/>
      <c r="M395" s="19"/>
      <c r="N395" s="21"/>
      <c r="O395" s="134"/>
      <c r="P395" s="19"/>
      <c r="Q395" s="21"/>
      <c r="R395" s="112"/>
      <c r="S395" s="113"/>
      <c r="T395" s="115"/>
    </row>
    <row r="396" ht="14.25" customHeight="1">
      <c r="C396" s="10"/>
      <c r="D396" s="18"/>
      <c r="E396" s="10"/>
      <c r="F396" s="134"/>
      <c r="G396" s="19"/>
      <c r="H396" s="21"/>
      <c r="I396" s="235"/>
      <c r="J396" s="216"/>
      <c r="K396" s="183"/>
      <c r="L396" s="21"/>
      <c r="M396" s="19"/>
      <c r="N396" s="21"/>
      <c r="O396" s="134"/>
      <c r="P396" s="19"/>
      <c r="Q396" s="21"/>
      <c r="R396" s="112"/>
      <c r="S396" s="113"/>
      <c r="T396" s="115"/>
    </row>
    <row r="397" ht="14.25" customHeight="1">
      <c r="C397" s="10"/>
      <c r="D397" s="18"/>
      <c r="E397" s="10"/>
      <c r="F397" s="134"/>
      <c r="G397" s="19"/>
      <c r="H397" s="21"/>
      <c r="I397" s="235"/>
      <c r="J397" s="216"/>
      <c r="K397" s="183"/>
      <c r="L397" s="21"/>
      <c r="M397" s="19"/>
      <c r="N397" s="21"/>
      <c r="O397" s="134"/>
      <c r="P397" s="19"/>
      <c r="Q397" s="21"/>
      <c r="R397" s="112"/>
      <c r="S397" s="113"/>
      <c r="T397" s="115"/>
    </row>
    <row r="398" ht="14.25" customHeight="1">
      <c r="C398" s="10"/>
      <c r="D398" s="18"/>
      <c r="E398" s="10"/>
      <c r="F398" s="134"/>
      <c r="G398" s="19"/>
      <c r="H398" s="21"/>
      <c r="I398" s="235"/>
      <c r="J398" s="216"/>
      <c r="K398" s="183"/>
      <c r="L398" s="21"/>
      <c r="M398" s="19"/>
      <c r="N398" s="21"/>
      <c r="O398" s="134"/>
      <c r="P398" s="19"/>
      <c r="Q398" s="21"/>
      <c r="R398" s="112"/>
      <c r="S398" s="113"/>
      <c r="T398" s="115"/>
    </row>
    <row r="399" ht="14.25" customHeight="1">
      <c r="C399" s="10"/>
      <c r="D399" s="18"/>
      <c r="E399" s="10"/>
      <c r="F399" s="134"/>
      <c r="G399" s="19"/>
      <c r="H399" s="21"/>
      <c r="I399" s="235"/>
      <c r="J399" s="216"/>
      <c r="K399" s="183"/>
      <c r="L399" s="21"/>
      <c r="M399" s="19"/>
      <c r="N399" s="21"/>
      <c r="O399" s="134"/>
      <c r="P399" s="19"/>
      <c r="Q399" s="21"/>
      <c r="R399" s="112"/>
      <c r="S399" s="113"/>
      <c r="T399" s="115"/>
    </row>
    <row r="400" ht="14.25" customHeight="1">
      <c r="C400" s="10"/>
      <c r="D400" s="18"/>
      <c r="E400" s="10"/>
      <c r="F400" s="134"/>
      <c r="G400" s="19"/>
      <c r="H400" s="21"/>
      <c r="I400" s="235"/>
      <c r="J400" s="216"/>
      <c r="K400" s="183"/>
      <c r="L400" s="21"/>
      <c r="M400" s="19"/>
      <c r="N400" s="21"/>
      <c r="O400" s="134"/>
      <c r="P400" s="19"/>
      <c r="Q400" s="21"/>
      <c r="R400" s="112"/>
      <c r="S400" s="113"/>
      <c r="T400" s="115"/>
    </row>
    <row r="401" ht="14.25" customHeight="1">
      <c r="C401" s="10"/>
      <c r="D401" s="18"/>
      <c r="E401" s="10"/>
      <c r="F401" s="134"/>
      <c r="G401" s="19"/>
      <c r="H401" s="21"/>
      <c r="I401" s="235"/>
      <c r="J401" s="216"/>
      <c r="K401" s="183"/>
      <c r="L401" s="21"/>
      <c r="M401" s="19"/>
      <c r="N401" s="21"/>
      <c r="O401" s="134"/>
      <c r="P401" s="19"/>
      <c r="Q401" s="21"/>
      <c r="R401" s="112"/>
      <c r="S401" s="113"/>
      <c r="T401" s="115"/>
    </row>
    <row r="402" ht="14.25" customHeight="1">
      <c r="C402" s="10"/>
      <c r="D402" s="18"/>
      <c r="E402" s="10"/>
      <c r="F402" s="134"/>
      <c r="G402" s="19"/>
      <c r="H402" s="21"/>
      <c r="I402" s="235"/>
      <c r="J402" s="216"/>
      <c r="K402" s="183"/>
      <c r="L402" s="21"/>
      <c r="M402" s="19"/>
      <c r="N402" s="21"/>
      <c r="O402" s="134"/>
      <c r="P402" s="19"/>
      <c r="Q402" s="21"/>
      <c r="R402" s="112"/>
      <c r="S402" s="113"/>
      <c r="T402" s="115"/>
    </row>
    <row r="403" ht="14.25" customHeight="1">
      <c r="C403" s="10"/>
      <c r="D403" s="18"/>
      <c r="E403" s="10"/>
      <c r="F403" s="134"/>
      <c r="G403" s="19"/>
      <c r="H403" s="21"/>
      <c r="I403" s="235"/>
      <c r="J403" s="216"/>
      <c r="K403" s="183"/>
      <c r="L403" s="21"/>
      <c r="M403" s="19"/>
      <c r="N403" s="21"/>
      <c r="O403" s="134"/>
      <c r="P403" s="19"/>
      <c r="Q403" s="21"/>
      <c r="R403" s="112"/>
      <c r="S403" s="113"/>
      <c r="T403" s="115"/>
    </row>
    <row r="404" ht="14.25" customHeight="1">
      <c r="C404" s="10"/>
      <c r="D404" s="18"/>
      <c r="E404" s="10"/>
      <c r="F404" s="134"/>
      <c r="G404" s="19"/>
      <c r="H404" s="21"/>
      <c r="I404" s="235"/>
      <c r="J404" s="216"/>
      <c r="K404" s="183"/>
      <c r="L404" s="21"/>
      <c r="M404" s="19"/>
      <c r="N404" s="21"/>
      <c r="O404" s="134"/>
      <c r="P404" s="19"/>
      <c r="Q404" s="21"/>
      <c r="R404" s="112"/>
      <c r="S404" s="113"/>
      <c r="T404" s="115"/>
    </row>
    <row r="405" ht="14.25" customHeight="1">
      <c r="C405" s="10"/>
      <c r="D405" s="18"/>
      <c r="E405" s="10"/>
      <c r="F405" s="134"/>
      <c r="G405" s="19"/>
      <c r="H405" s="21"/>
      <c r="I405" s="235"/>
      <c r="J405" s="216"/>
      <c r="K405" s="183"/>
      <c r="L405" s="21"/>
      <c r="M405" s="19"/>
      <c r="N405" s="21"/>
      <c r="O405" s="134"/>
      <c r="P405" s="19"/>
      <c r="Q405" s="21"/>
      <c r="R405" s="112"/>
      <c r="S405" s="113"/>
      <c r="T405" s="115"/>
    </row>
    <row r="406" ht="14.25" customHeight="1">
      <c r="C406" s="10"/>
      <c r="D406" s="18"/>
      <c r="E406" s="10"/>
      <c r="F406" s="134"/>
      <c r="G406" s="19"/>
      <c r="H406" s="21"/>
      <c r="I406" s="235"/>
      <c r="J406" s="216"/>
      <c r="K406" s="183"/>
      <c r="L406" s="21"/>
      <c r="M406" s="19"/>
      <c r="N406" s="21"/>
      <c r="O406" s="134"/>
      <c r="P406" s="19"/>
      <c r="Q406" s="21"/>
      <c r="R406" s="112"/>
      <c r="S406" s="113"/>
      <c r="T406" s="115"/>
    </row>
    <row r="407" ht="14.25" customHeight="1">
      <c r="C407" s="10"/>
      <c r="D407" s="18"/>
      <c r="E407" s="10"/>
      <c r="F407" s="134"/>
      <c r="G407" s="19"/>
      <c r="H407" s="21"/>
      <c r="I407" s="235"/>
      <c r="J407" s="216"/>
      <c r="K407" s="183"/>
      <c r="L407" s="21"/>
      <c r="M407" s="19"/>
      <c r="N407" s="21"/>
      <c r="O407" s="134"/>
      <c r="P407" s="19"/>
      <c r="Q407" s="21"/>
      <c r="R407" s="112"/>
      <c r="S407" s="113"/>
      <c r="T407" s="115"/>
    </row>
    <row r="408" ht="14.25" customHeight="1">
      <c r="C408" s="10"/>
      <c r="D408" s="18"/>
      <c r="E408" s="10"/>
      <c r="F408" s="134"/>
      <c r="G408" s="19"/>
      <c r="H408" s="21"/>
      <c r="I408" s="235"/>
      <c r="J408" s="216"/>
      <c r="K408" s="183"/>
      <c r="L408" s="21"/>
      <c r="M408" s="19"/>
      <c r="N408" s="21"/>
      <c r="O408" s="134"/>
      <c r="P408" s="19"/>
      <c r="Q408" s="21"/>
      <c r="R408" s="112"/>
      <c r="S408" s="113"/>
      <c r="T408" s="115"/>
    </row>
    <row r="409" ht="14.25" customHeight="1">
      <c r="C409" s="10"/>
      <c r="D409" s="18"/>
      <c r="E409" s="10"/>
      <c r="F409" s="134"/>
      <c r="G409" s="19"/>
      <c r="H409" s="21"/>
      <c r="I409" s="235"/>
      <c r="J409" s="216"/>
      <c r="K409" s="183"/>
      <c r="L409" s="21"/>
      <c r="M409" s="19"/>
      <c r="N409" s="21"/>
      <c r="O409" s="134"/>
      <c r="P409" s="19"/>
      <c r="Q409" s="21"/>
      <c r="R409" s="112"/>
      <c r="S409" s="113"/>
      <c r="T409" s="115"/>
    </row>
    <row r="410" ht="14.25" customHeight="1">
      <c r="C410" s="10"/>
      <c r="D410" s="18"/>
      <c r="E410" s="10"/>
      <c r="F410" s="134"/>
      <c r="G410" s="19"/>
      <c r="H410" s="21"/>
      <c r="I410" s="235"/>
      <c r="J410" s="216"/>
      <c r="K410" s="183"/>
      <c r="L410" s="21"/>
      <c r="M410" s="19"/>
      <c r="N410" s="21"/>
      <c r="O410" s="134"/>
      <c r="P410" s="19"/>
      <c r="Q410" s="21"/>
      <c r="R410" s="112"/>
      <c r="S410" s="113"/>
      <c r="T410" s="115"/>
    </row>
    <row r="411" ht="14.25" customHeight="1">
      <c r="C411" s="10"/>
      <c r="D411" s="18"/>
      <c r="E411" s="10"/>
      <c r="F411" s="134"/>
      <c r="G411" s="19"/>
      <c r="H411" s="21"/>
      <c r="I411" s="235"/>
      <c r="J411" s="216"/>
      <c r="K411" s="183"/>
      <c r="L411" s="21"/>
      <c r="M411" s="19"/>
      <c r="N411" s="21"/>
      <c r="O411" s="134"/>
      <c r="P411" s="19"/>
      <c r="Q411" s="21"/>
      <c r="R411" s="112"/>
      <c r="S411" s="113"/>
      <c r="T411" s="115"/>
    </row>
    <row r="412" ht="14.25" customHeight="1">
      <c r="C412" s="10"/>
      <c r="D412" s="18"/>
      <c r="E412" s="10"/>
      <c r="F412" s="134"/>
      <c r="G412" s="19"/>
      <c r="H412" s="21"/>
      <c r="I412" s="235"/>
      <c r="J412" s="216"/>
      <c r="K412" s="183"/>
      <c r="L412" s="21"/>
      <c r="M412" s="19"/>
      <c r="N412" s="21"/>
      <c r="O412" s="134"/>
      <c r="P412" s="19"/>
      <c r="Q412" s="21"/>
      <c r="R412" s="112"/>
      <c r="S412" s="113"/>
      <c r="T412" s="115"/>
    </row>
    <row r="413" ht="14.25" customHeight="1">
      <c r="C413" s="10"/>
      <c r="D413" s="18"/>
      <c r="E413" s="10"/>
      <c r="F413" s="134"/>
      <c r="G413" s="19"/>
      <c r="H413" s="21"/>
      <c r="I413" s="235"/>
      <c r="J413" s="216"/>
      <c r="K413" s="183"/>
      <c r="L413" s="21"/>
      <c r="M413" s="19"/>
      <c r="N413" s="21"/>
      <c r="O413" s="134"/>
      <c r="P413" s="19"/>
      <c r="Q413" s="21"/>
      <c r="R413" s="112"/>
      <c r="S413" s="113"/>
      <c r="T413" s="115"/>
    </row>
    <row r="414" ht="14.25" customHeight="1">
      <c r="C414" s="10"/>
      <c r="D414" s="18"/>
      <c r="E414" s="10"/>
      <c r="F414" s="134"/>
      <c r="G414" s="19"/>
      <c r="H414" s="21"/>
      <c r="I414" s="235"/>
      <c r="J414" s="216"/>
      <c r="K414" s="183"/>
      <c r="L414" s="21"/>
      <c r="M414" s="19"/>
      <c r="N414" s="21"/>
      <c r="O414" s="134"/>
      <c r="P414" s="19"/>
      <c r="Q414" s="21"/>
      <c r="R414" s="112"/>
      <c r="S414" s="113"/>
      <c r="T414" s="115"/>
    </row>
    <row r="415" ht="14.25" customHeight="1">
      <c r="C415" s="10"/>
      <c r="D415" s="18"/>
      <c r="E415" s="10"/>
      <c r="F415" s="134"/>
      <c r="G415" s="19"/>
      <c r="H415" s="21"/>
      <c r="I415" s="235"/>
      <c r="J415" s="216"/>
      <c r="K415" s="183"/>
      <c r="L415" s="21"/>
      <c r="M415" s="19"/>
      <c r="N415" s="21"/>
      <c r="O415" s="134"/>
      <c r="P415" s="19"/>
      <c r="Q415" s="21"/>
      <c r="R415" s="112"/>
      <c r="S415" s="113"/>
      <c r="T415" s="115"/>
    </row>
    <row r="416" ht="14.25" customHeight="1">
      <c r="C416" s="10"/>
      <c r="D416" s="18"/>
      <c r="E416" s="10"/>
      <c r="F416" s="134"/>
      <c r="G416" s="19"/>
      <c r="H416" s="21"/>
      <c r="I416" s="235"/>
      <c r="J416" s="216"/>
      <c r="K416" s="183"/>
      <c r="L416" s="21"/>
      <c r="M416" s="19"/>
      <c r="N416" s="21"/>
      <c r="O416" s="134"/>
      <c r="P416" s="19"/>
      <c r="Q416" s="21"/>
      <c r="R416" s="112"/>
      <c r="S416" s="113"/>
      <c r="T416" s="115"/>
    </row>
    <row r="417" ht="14.25" customHeight="1">
      <c r="C417" s="10"/>
      <c r="D417" s="18"/>
      <c r="E417" s="10"/>
      <c r="F417" s="134"/>
      <c r="G417" s="19"/>
      <c r="H417" s="21"/>
      <c r="I417" s="235"/>
      <c r="J417" s="216"/>
      <c r="K417" s="183"/>
      <c r="L417" s="21"/>
      <c r="M417" s="19"/>
      <c r="N417" s="21"/>
      <c r="O417" s="134"/>
      <c r="P417" s="19"/>
      <c r="Q417" s="21"/>
      <c r="R417" s="112"/>
      <c r="S417" s="113"/>
      <c r="T417" s="115"/>
    </row>
    <row r="418" ht="14.25" customHeight="1">
      <c r="C418" s="10"/>
      <c r="D418" s="18"/>
      <c r="E418" s="10"/>
      <c r="F418" s="134"/>
      <c r="G418" s="19"/>
      <c r="H418" s="21"/>
      <c r="I418" s="235"/>
      <c r="J418" s="216"/>
      <c r="K418" s="183"/>
      <c r="L418" s="21"/>
      <c r="M418" s="19"/>
      <c r="N418" s="21"/>
      <c r="O418" s="134"/>
      <c r="P418" s="19"/>
      <c r="Q418" s="21"/>
      <c r="R418" s="112"/>
      <c r="S418" s="113"/>
      <c r="T418" s="115"/>
    </row>
    <row r="419" ht="14.25" customHeight="1">
      <c r="C419" s="10"/>
      <c r="D419" s="18"/>
      <c r="E419" s="10"/>
      <c r="F419" s="134"/>
      <c r="G419" s="19"/>
      <c r="H419" s="21"/>
      <c r="I419" s="235"/>
      <c r="J419" s="216"/>
      <c r="K419" s="183"/>
      <c r="L419" s="21"/>
      <c r="M419" s="19"/>
      <c r="N419" s="21"/>
      <c r="O419" s="134"/>
      <c r="P419" s="19"/>
      <c r="Q419" s="21"/>
      <c r="R419" s="112"/>
      <c r="S419" s="113"/>
      <c r="T419" s="115"/>
    </row>
    <row r="420" ht="14.25" customHeight="1">
      <c r="C420" s="10"/>
      <c r="D420" s="18"/>
      <c r="E420" s="10"/>
      <c r="F420" s="134"/>
      <c r="G420" s="19"/>
      <c r="H420" s="21"/>
      <c r="I420" s="235"/>
      <c r="J420" s="216"/>
      <c r="K420" s="183"/>
      <c r="L420" s="21"/>
      <c r="M420" s="19"/>
      <c r="N420" s="21"/>
      <c r="O420" s="134"/>
      <c r="P420" s="19"/>
      <c r="Q420" s="21"/>
      <c r="R420" s="112"/>
      <c r="S420" s="113"/>
      <c r="T420" s="115"/>
    </row>
    <row r="421" ht="14.25" customHeight="1">
      <c r="C421" s="10"/>
      <c r="D421" s="18"/>
      <c r="E421" s="10"/>
      <c r="F421" s="134"/>
      <c r="G421" s="19"/>
      <c r="H421" s="21"/>
      <c r="I421" s="235"/>
      <c r="J421" s="216"/>
      <c r="K421" s="183"/>
      <c r="L421" s="21"/>
      <c r="M421" s="19"/>
      <c r="N421" s="21"/>
      <c r="O421" s="134"/>
      <c r="P421" s="19"/>
      <c r="Q421" s="21"/>
      <c r="R421" s="112"/>
      <c r="S421" s="113"/>
      <c r="T421" s="115"/>
    </row>
    <row r="422" ht="14.25" customHeight="1">
      <c r="C422" s="10"/>
      <c r="D422" s="18"/>
      <c r="E422" s="10"/>
      <c r="F422" s="134"/>
      <c r="G422" s="19"/>
      <c r="H422" s="21"/>
      <c r="I422" s="235"/>
      <c r="J422" s="216"/>
      <c r="K422" s="183"/>
      <c r="L422" s="21"/>
      <c r="M422" s="19"/>
      <c r="N422" s="21"/>
      <c r="O422" s="134"/>
      <c r="P422" s="19"/>
      <c r="Q422" s="21"/>
      <c r="R422" s="112"/>
      <c r="S422" s="113"/>
      <c r="T422" s="115"/>
    </row>
    <row r="423" ht="14.25" customHeight="1">
      <c r="C423" s="10"/>
      <c r="D423" s="18"/>
      <c r="E423" s="10"/>
      <c r="F423" s="134"/>
      <c r="G423" s="19"/>
      <c r="H423" s="21"/>
      <c r="I423" s="235"/>
      <c r="J423" s="216"/>
      <c r="K423" s="183"/>
      <c r="L423" s="21"/>
      <c r="M423" s="19"/>
      <c r="N423" s="21"/>
      <c r="O423" s="134"/>
      <c r="P423" s="19"/>
      <c r="Q423" s="21"/>
      <c r="R423" s="112"/>
      <c r="S423" s="113"/>
      <c r="T423" s="115"/>
    </row>
    <row r="424" ht="14.25" customHeight="1">
      <c r="C424" s="10"/>
      <c r="D424" s="18"/>
      <c r="E424" s="10"/>
      <c r="F424" s="134"/>
      <c r="G424" s="19"/>
      <c r="H424" s="21"/>
      <c r="I424" s="235"/>
      <c r="J424" s="216"/>
      <c r="K424" s="183"/>
      <c r="L424" s="21"/>
      <c r="M424" s="19"/>
      <c r="N424" s="21"/>
      <c r="O424" s="134"/>
      <c r="P424" s="19"/>
      <c r="Q424" s="21"/>
      <c r="R424" s="112"/>
      <c r="S424" s="113"/>
      <c r="T424" s="115"/>
    </row>
    <row r="425" ht="14.25" customHeight="1">
      <c r="C425" s="10"/>
      <c r="D425" s="18"/>
      <c r="E425" s="10"/>
      <c r="F425" s="134"/>
      <c r="G425" s="19"/>
      <c r="H425" s="21"/>
      <c r="I425" s="235"/>
      <c r="J425" s="216"/>
      <c r="K425" s="183"/>
      <c r="L425" s="21"/>
      <c r="M425" s="19"/>
      <c r="N425" s="21"/>
      <c r="O425" s="134"/>
      <c r="P425" s="19"/>
      <c r="Q425" s="21"/>
      <c r="R425" s="112"/>
      <c r="S425" s="113"/>
      <c r="T425" s="115"/>
    </row>
    <row r="426" ht="14.25" customHeight="1">
      <c r="C426" s="10"/>
      <c r="D426" s="18"/>
      <c r="E426" s="10"/>
      <c r="F426" s="134"/>
      <c r="G426" s="19"/>
      <c r="H426" s="21"/>
      <c r="I426" s="235"/>
      <c r="J426" s="216"/>
      <c r="K426" s="183"/>
      <c r="L426" s="21"/>
      <c r="M426" s="19"/>
      <c r="N426" s="21"/>
      <c r="O426" s="134"/>
      <c r="P426" s="19"/>
      <c r="Q426" s="21"/>
      <c r="R426" s="112"/>
      <c r="S426" s="113"/>
      <c r="T426" s="115"/>
    </row>
    <row r="427" ht="14.25" customHeight="1">
      <c r="C427" s="10"/>
      <c r="D427" s="18"/>
      <c r="E427" s="10"/>
      <c r="F427" s="134"/>
      <c r="G427" s="19"/>
      <c r="H427" s="21"/>
      <c r="I427" s="235"/>
      <c r="J427" s="216"/>
      <c r="K427" s="183"/>
      <c r="L427" s="21"/>
      <c r="M427" s="19"/>
      <c r="N427" s="21"/>
      <c r="O427" s="134"/>
      <c r="P427" s="19"/>
      <c r="Q427" s="21"/>
      <c r="R427" s="112"/>
      <c r="S427" s="113"/>
      <c r="T427" s="115"/>
    </row>
    <row r="428" ht="14.25" customHeight="1">
      <c r="C428" s="10"/>
      <c r="D428" s="18"/>
      <c r="E428" s="10"/>
      <c r="F428" s="134"/>
      <c r="G428" s="19"/>
      <c r="H428" s="21"/>
      <c r="I428" s="235"/>
      <c r="J428" s="216"/>
      <c r="K428" s="183"/>
      <c r="L428" s="21"/>
      <c r="M428" s="19"/>
      <c r="N428" s="21"/>
      <c r="O428" s="134"/>
      <c r="P428" s="19"/>
      <c r="Q428" s="21"/>
      <c r="R428" s="112"/>
      <c r="S428" s="113"/>
      <c r="T428" s="115"/>
    </row>
    <row r="429" ht="14.25" customHeight="1">
      <c r="C429" s="10"/>
      <c r="D429" s="18"/>
      <c r="E429" s="10"/>
      <c r="F429" s="134"/>
      <c r="G429" s="19"/>
      <c r="H429" s="21"/>
      <c r="I429" s="235"/>
      <c r="J429" s="216"/>
      <c r="K429" s="183"/>
      <c r="L429" s="21"/>
      <c r="M429" s="19"/>
      <c r="N429" s="21"/>
      <c r="O429" s="134"/>
      <c r="P429" s="19"/>
      <c r="Q429" s="21"/>
      <c r="R429" s="112"/>
      <c r="S429" s="113"/>
      <c r="T429" s="115"/>
    </row>
    <row r="430" ht="14.25" customHeight="1">
      <c r="C430" s="10"/>
      <c r="D430" s="18"/>
      <c r="E430" s="10"/>
      <c r="F430" s="134"/>
      <c r="G430" s="19"/>
      <c r="H430" s="21"/>
      <c r="I430" s="235"/>
      <c r="J430" s="216"/>
      <c r="K430" s="183"/>
      <c r="L430" s="21"/>
      <c r="M430" s="19"/>
      <c r="N430" s="21"/>
      <c r="O430" s="134"/>
      <c r="P430" s="19"/>
      <c r="Q430" s="21"/>
      <c r="R430" s="112"/>
      <c r="S430" s="113"/>
      <c r="T430" s="115"/>
    </row>
    <row r="431" ht="14.25" customHeight="1">
      <c r="C431" s="10"/>
      <c r="D431" s="18"/>
      <c r="E431" s="10"/>
      <c r="F431" s="134"/>
      <c r="G431" s="19"/>
      <c r="H431" s="21"/>
      <c r="I431" s="235"/>
      <c r="J431" s="216"/>
      <c r="K431" s="183"/>
      <c r="L431" s="21"/>
      <c r="M431" s="19"/>
      <c r="N431" s="21"/>
      <c r="O431" s="134"/>
      <c r="P431" s="19"/>
      <c r="Q431" s="21"/>
      <c r="R431" s="112"/>
      <c r="S431" s="113"/>
      <c r="T431" s="115"/>
    </row>
    <row r="432" ht="14.25" customHeight="1">
      <c r="C432" s="10"/>
      <c r="D432" s="18"/>
      <c r="E432" s="10"/>
      <c r="F432" s="134"/>
      <c r="G432" s="19"/>
      <c r="H432" s="21"/>
      <c r="I432" s="235"/>
      <c r="J432" s="216"/>
      <c r="K432" s="183"/>
      <c r="L432" s="21"/>
      <c r="M432" s="19"/>
      <c r="N432" s="21"/>
      <c r="O432" s="134"/>
      <c r="P432" s="19"/>
      <c r="Q432" s="21"/>
      <c r="R432" s="112"/>
      <c r="S432" s="113"/>
      <c r="T432" s="115"/>
    </row>
    <row r="433" ht="14.25" customHeight="1">
      <c r="C433" s="10"/>
      <c r="D433" s="18"/>
      <c r="E433" s="10"/>
      <c r="F433" s="134"/>
      <c r="G433" s="19"/>
      <c r="H433" s="21"/>
      <c r="I433" s="235"/>
      <c r="J433" s="216"/>
      <c r="K433" s="183"/>
      <c r="L433" s="21"/>
      <c r="M433" s="19"/>
      <c r="N433" s="21"/>
      <c r="O433" s="134"/>
      <c r="P433" s="19"/>
      <c r="Q433" s="21"/>
      <c r="R433" s="112"/>
      <c r="S433" s="113"/>
      <c r="T433" s="115"/>
    </row>
    <row r="434" ht="14.25" customHeight="1">
      <c r="C434" s="10"/>
      <c r="D434" s="18"/>
      <c r="E434" s="10"/>
      <c r="F434" s="134"/>
      <c r="G434" s="19"/>
      <c r="H434" s="21"/>
      <c r="I434" s="235"/>
      <c r="J434" s="216"/>
      <c r="K434" s="183"/>
      <c r="L434" s="21"/>
      <c r="M434" s="19"/>
      <c r="N434" s="21"/>
      <c r="O434" s="134"/>
      <c r="P434" s="19"/>
      <c r="Q434" s="21"/>
      <c r="R434" s="112"/>
      <c r="S434" s="113"/>
      <c r="T434" s="115"/>
    </row>
    <row r="435" ht="14.25" customHeight="1">
      <c r="C435" s="10"/>
      <c r="D435" s="18"/>
      <c r="E435" s="10"/>
      <c r="F435" s="134"/>
      <c r="G435" s="19"/>
      <c r="H435" s="21"/>
      <c r="I435" s="235"/>
      <c r="J435" s="216"/>
      <c r="K435" s="183"/>
      <c r="L435" s="21"/>
      <c r="M435" s="19"/>
      <c r="N435" s="21"/>
      <c r="O435" s="134"/>
      <c r="P435" s="19"/>
      <c r="Q435" s="21"/>
      <c r="R435" s="112"/>
      <c r="S435" s="113"/>
      <c r="T435" s="115"/>
    </row>
    <row r="436" ht="14.25" customHeight="1">
      <c r="C436" s="10"/>
      <c r="D436" s="18"/>
      <c r="E436" s="10"/>
      <c r="F436" s="134"/>
      <c r="G436" s="19"/>
      <c r="H436" s="21"/>
      <c r="I436" s="235"/>
      <c r="J436" s="216"/>
      <c r="K436" s="183"/>
      <c r="L436" s="21"/>
      <c r="M436" s="19"/>
      <c r="N436" s="21"/>
      <c r="O436" s="134"/>
      <c r="P436" s="19"/>
      <c r="Q436" s="21"/>
      <c r="R436" s="112"/>
      <c r="S436" s="113"/>
      <c r="T436" s="115"/>
    </row>
    <row r="437" ht="14.25" customHeight="1">
      <c r="C437" s="10"/>
      <c r="D437" s="18"/>
      <c r="E437" s="10"/>
      <c r="F437" s="134"/>
      <c r="G437" s="19"/>
      <c r="H437" s="21"/>
      <c r="I437" s="235"/>
      <c r="J437" s="216"/>
      <c r="K437" s="183"/>
      <c r="L437" s="21"/>
      <c r="M437" s="19"/>
      <c r="N437" s="21"/>
      <c r="O437" s="134"/>
      <c r="P437" s="19"/>
      <c r="Q437" s="21"/>
      <c r="R437" s="112"/>
      <c r="S437" s="113"/>
      <c r="T437" s="115"/>
    </row>
    <row r="438" ht="14.25" customHeight="1">
      <c r="C438" s="10"/>
      <c r="D438" s="18"/>
      <c r="E438" s="10"/>
      <c r="F438" s="134"/>
      <c r="G438" s="19"/>
      <c r="H438" s="21"/>
      <c r="I438" s="235"/>
      <c r="J438" s="216"/>
      <c r="K438" s="183"/>
      <c r="L438" s="21"/>
      <c r="M438" s="19"/>
      <c r="N438" s="21"/>
      <c r="O438" s="134"/>
      <c r="P438" s="19"/>
      <c r="Q438" s="21"/>
      <c r="R438" s="112"/>
      <c r="S438" s="113"/>
      <c r="T438" s="115"/>
    </row>
    <row r="439" ht="14.25" customHeight="1">
      <c r="C439" s="10"/>
      <c r="D439" s="18"/>
      <c r="E439" s="10"/>
      <c r="F439" s="134"/>
      <c r="G439" s="19"/>
      <c r="H439" s="21"/>
      <c r="I439" s="235"/>
      <c r="J439" s="216"/>
      <c r="K439" s="183"/>
      <c r="L439" s="21"/>
      <c r="M439" s="19"/>
      <c r="N439" s="21"/>
      <c r="O439" s="134"/>
      <c r="P439" s="19"/>
      <c r="Q439" s="21"/>
      <c r="R439" s="112"/>
      <c r="S439" s="113"/>
      <c r="T439" s="115"/>
    </row>
    <row r="440" ht="14.25" customHeight="1">
      <c r="C440" s="10"/>
      <c r="D440" s="18"/>
      <c r="E440" s="10"/>
      <c r="F440" s="134"/>
      <c r="G440" s="19"/>
      <c r="H440" s="21"/>
      <c r="I440" s="235"/>
      <c r="J440" s="216"/>
      <c r="K440" s="183"/>
      <c r="L440" s="21"/>
      <c r="M440" s="19"/>
      <c r="N440" s="21"/>
      <c r="O440" s="134"/>
      <c r="P440" s="19"/>
      <c r="Q440" s="21"/>
      <c r="R440" s="112"/>
      <c r="S440" s="113"/>
      <c r="T440" s="115"/>
    </row>
    <row r="441" ht="14.25" customHeight="1">
      <c r="C441" s="10"/>
      <c r="D441" s="18"/>
      <c r="E441" s="10"/>
      <c r="F441" s="134"/>
      <c r="G441" s="19"/>
      <c r="H441" s="21"/>
      <c r="I441" s="235"/>
      <c r="J441" s="216"/>
      <c r="K441" s="183"/>
      <c r="L441" s="21"/>
      <c r="M441" s="19"/>
      <c r="N441" s="21"/>
      <c r="O441" s="134"/>
      <c r="P441" s="19"/>
      <c r="Q441" s="21"/>
      <c r="R441" s="112"/>
      <c r="S441" s="113"/>
      <c r="T441" s="115"/>
    </row>
    <row r="442" ht="14.25" customHeight="1">
      <c r="C442" s="10"/>
      <c r="D442" s="18"/>
      <c r="E442" s="10"/>
      <c r="F442" s="134"/>
      <c r="G442" s="19"/>
      <c r="H442" s="21"/>
      <c r="I442" s="235"/>
      <c r="J442" s="216"/>
      <c r="K442" s="183"/>
      <c r="L442" s="21"/>
      <c r="M442" s="19"/>
      <c r="N442" s="21"/>
      <c r="O442" s="134"/>
      <c r="P442" s="19"/>
      <c r="Q442" s="21"/>
      <c r="R442" s="112"/>
      <c r="S442" s="113"/>
      <c r="T442" s="115"/>
    </row>
    <row r="443" ht="14.25" customHeight="1">
      <c r="C443" s="10"/>
      <c r="D443" s="18"/>
      <c r="E443" s="10"/>
      <c r="F443" s="134"/>
      <c r="G443" s="19"/>
      <c r="H443" s="21"/>
      <c r="I443" s="235"/>
      <c r="J443" s="216"/>
      <c r="K443" s="183"/>
      <c r="L443" s="21"/>
      <c r="M443" s="19"/>
      <c r="N443" s="21"/>
      <c r="O443" s="134"/>
      <c r="P443" s="19"/>
      <c r="Q443" s="21"/>
      <c r="R443" s="112"/>
      <c r="S443" s="113"/>
      <c r="T443" s="115"/>
    </row>
    <row r="444" ht="14.25" customHeight="1">
      <c r="C444" s="10"/>
      <c r="D444" s="18"/>
      <c r="E444" s="10"/>
      <c r="F444" s="134"/>
      <c r="G444" s="19"/>
      <c r="H444" s="21"/>
      <c r="I444" s="235"/>
      <c r="J444" s="216"/>
      <c r="K444" s="183"/>
      <c r="L444" s="21"/>
      <c r="M444" s="19"/>
      <c r="N444" s="21"/>
      <c r="O444" s="134"/>
      <c r="P444" s="19"/>
      <c r="Q444" s="21"/>
      <c r="R444" s="112"/>
      <c r="S444" s="113"/>
      <c r="T444" s="115"/>
    </row>
    <row r="445" ht="14.25" customHeight="1">
      <c r="C445" s="10"/>
      <c r="D445" s="18"/>
      <c r="E445" s="10"/>
      <c r="F445" s="134"/>
      <c r="G445" s="19"/>
      <c r="H445" s="21"/>
      <c r="I445" s="235"/>
      <c r="J445" s="216"/>
      <c r="K445" s="183"/>
      <c r="L445" s="21"/>
      <c r="M445" s="19"/>
      <c r="N445" s="21"/>
      <c r="O445" s="134"/>
      <c r="P445" s="19"/>
      <c r="Q445" s="21"/>
      <c r="R445" s="112"/>
      <c r="S445" s="113"/>
      <c r="T445" s="115"/>
    </row>
    <row r="446" ht="14.25" customHeight="1">
      <c r="C446" s="10"/>
      <c r="D446" s="18"/>
      <c r="E446" s="10"/>
      <c r="F446" s="134"/>
      <c r="G446" s="19"/>
      <c r="H446" s="21"/>
      <c r="I446" s="235"/>
      <c r="J446" s="216"/>
      <c r="K446" s="183"/>
      <c r="L446" s="21"/>
      <c r="M446" s="19"/>
      <c r="N446" s="21"/>
      <c r="O446" s="134"/>
      <c r="P446" s="19"/>
      <c r="Q446" s="21"/>
      <c r="R446" s="112"/>
      <c r="S446" s="113"/>
      <c r="T446" s="115"/>
    </row>
    <row r="447" ht="14.25" customHeight="1">
      <c r="C447" s="10"/>
      <c r="D447" s="18"/>
      <c r="E447" s="10"/>
      <c r="F447" s="134"/>
      <c r="G447" s="19"/>
      <c r="H447" s="21"/>
      <c r="I447" s="235"/>
      <c r="J447" s="216"/>
      <c r="K447" s="183"/>
      <c r="L447" s="21"/>
      <c r="M447" s="19"/>
      <c r="N447" s="21"/>
      <c r="O447" s="134"/>
      <c r="P447" s="19"/>
      <c r="Q447" s="21"/>
      <c r="R447" s="112"/>
      <c r="S447" s="113"/>
      <c r="T447" s="115"/>
    </row>
    <row r="448" ht="14.25" customHeight="1">
      <c r="C448" s="10"/>
      <c r="D448" s="18"/>
      <c r="E448" s="10"/>
      <c r="F448" s="134"/>
      <c r="G448" s="19"/>
      <c r="H448" s="21"/>
      <c r="I448" s="235"/>
      <c r="J448" s="216"/>
      <c r="K448" s="183"/>
      <c r="L448" s="21"/>
      <c r="M448" s="19"/>
      <c r="N448" s="21"/>
      <c r="O448" s="134"/>
      <c r="P448" s="19"/>
      <c r="Q448" s="21"/>
      <c r="R448" s="112"/>
      <c r="S448" s="113"/>
      <c r="T448" s="115"/>
    </row>
    <row r="449" ht="14.25" customHeight="1">
      <c r="C449" s="10"/>
      <c r="D449" s="18"/>
      <c r="E449" s="10"/>
      <c r="F449" s="134"/>
      <c r="G449" s="19"/>
      <c r="H449" s="21"/>
      <c r="I449" s="235"/>
      <c r="J449" s="216"/>
      <c r="K449" s="183"/>
      <c r="L449" s="21"/>
      <c r="M449" s="19"/>
      <c r="N449" s="21"/>
      <c r="O449" s="134"/>
      <c r="P449" s="19"/>
      <c r="Q449" s="21"/>
      <c r="R449" s="112"/>
      <c r="S449" s="113"/>
      <c r="T449" s="115"/>
    </row>
    <row r="450" ht="14.25" customHeight="1">
      <c r="C450" s="10"/>
      <c r="D450" s="18"/>
      <c r="E450" s="10"/>
      <c r="F450" s="134"/>
      <c r="G450" s="19"/>
      <c r="H450" s="21"/>
      <c r="I450" s="235"/>
      <c r="J450" s="216"/>
      <c r="K450" s="183"/>
      <c r="L450" s="21"/>
      <c r="M450" s="19"/>
      <c r="N450" s="21"/>
      <c r="O450" s="134"/>
      <c r="P450" s="19"/>
      <c r="Q450" s="21"/>
      <c r="R450" s="112"/>
      <c r="S450" s="113"/>
      <c r="T450" s="115"/>
    </row>
    <row r="451" ht="14.25" customHeight="1">
      <c r="C451" s="10"/>
      <c r="D451" s="18"/>
      <c r="E451" s="10"/>
      <c r="F451" s="134"/>
      <c r="G451" s="19"/>
      <c r="H451" s="21"/>
      <c r="I451" s="235"/>
      <c r="J451" s="216"/>
      <c r="K451" s="183"/>
      <c r="L451" s="21"/>
      <c r="M451" s="19"/>
      <c r="N451" s="21"/>
      <c r="O451" s="134"/>
      <c r="P451" s="19"/>
      <c r="Q451" s="21"/>
      <c r="R451" s="112"/>
      <c r="S451" s="113"/>
      <c r="T451" s="115"/>
    </row>
    <row r="452" ht="14.25" customHeight="1">
      <c r="C452" s="10"/>
      <c r="D452" s="18"/>
      <c r="E452" s="10"/>
      <c r="F452" s="134"/>
      <c r="G452" s="19"/>
      <c r="H452" s="21"/>
      <c r="I452" s="235"/>
      <c r="J452" s="216"/>
      <c r="K452" s="183"/>
      <c r="L452" s="21"/>
      <c r="M452" s="19"/>
      <c r="N452" s="21"/>
      <c r="O452" s="134"/>
      <c r="P452" s="19"/>
      <c r="Q452" s="21"/>
      <c r="R452" s="112"/>
      <c r="S452" s="113"/>
      <c r="T452" s="115"/>
    </row>
    <row r="453" ht="14.25" customHeight="1">
      <c r="C453" s="10"/>
      <c r="D453" s="18"/>
      <c r="E453" s="10"/>
      <c r="F453" s="134"/>
      <c r="G453" s="19"/>
      <c r="H453" s="21"/>
      <c r="I453" s="235"/>
      <c r="J453" s="216"/>
      <c r="K453" s="183"/>
      <c r="L453" s="21"/>
      <c r="M453" s="19"/>
      <c r="N453" s="21"/>
      <c r="O453" s="134"/>
      <c r="P453" s="19"/>
      <c r="Q453" s="21"/>
      <c r="R453" s="112"/>
      <c r="S453" s="113"/>
      <c r="T453" s="115"/>
    </row>
    <row r="454" ht="14.25" customHeight="1">
      <c r="C454" s="10"/>
      <c r="D454" s="18"/>
      <c r="E454" s="10"/>
      <c r="F454" s="134"/>
      <c r="G454" s="19"/>
      <c r="H454" s="21"/>
      <c r="I454" s="235"/>
      <c r="J454" s="216"/>
      <c r="K454" s="183"/>
      <c r="L454" s="21"/>
      <c r="M454" s="19"/>
      <c r="N454" s="21"/>
      <c r="O454" s="134"/>
      <c r="P454" s="19"/>
      <c r="Q454" s="21"/>
      <c r="R454" s="112"/>
      <c r="S454" s="113"/>
      <c r="T454" s="115"/>
    </row>
    <row r="455" ht="14.25" customHeight="1">
      <c r="C455" s="10"/>
      <c r="D455" s="18"/>
      <c r="E455" s="10"/>
      <c r="F455" s="134"/>
      <c r="G455" s="19"/>
      <c r="H455" s="21"/>
      <c r="I455" s="235"/>
      <c r="J455" s="216"/>
      <c r="K455" s="183"/>
      <c r="L455" s="21"/>
      <c r="M455" s="19"/>
      <c r="N455" s="21"/>
      <c r="O455" s="134"/>
      <c r="P455" s="19"/>
      <c r="Q455" s="21"/>
      <c r="R455" s="112"/>
      <c r="S455" s="113"/>
      <c r="T455" s="115"/>
    </row>
    <row r="456" ht="14.25" customHeight="1">
      <c r="C456" s="10"/>
      <c r="D456" s="18"/>
      <c r="E456" s="10"/>
      <c r="F456" s="134"/>
      <c r="G456" s="19"/>
      <c r="H456" s="21"/>
      <c r="I456" s="235"/>
      <c r="J456" s="216"/>
      <c r="K456" s="183"/>
      <c r="L456" s="21"/>
      <c r="M456" s="19"/>
      <c r="N456" s="21"/>
      <c r="O456" s="134"/>
      <c r="P456" s="19"/>
      <c r="Q456" s="21"/>
      <c r="R456" s="112"/>
      <c r="S456" s="113"/>
      <c r="T456" s="115"/>
    </row>
    <row r="457" ht="14.25" customHeight="1">
      <c r="C457" s="10"/>
      <c r="D457" s="18"/>
      <c r="E457" s="10"/>
      <c r="F457" s="134"/>
      <c r="G457" s="19"/>
      <c r="H457" s="21"/>
      <c r="I457" s="235"/>
      <c r="J457" s="216"/>
      <c r="K457" s="183"/>
      <c r="L457" s="21"/>
      <c r="M457" s="19"/>
      <c r="N457" s="21"/>
      <c r="O457" s="134"/>
      <c r="P457" s="19"/>
      <c r="Q457" s="21"/>
      <c r="R457" s="112"/>
      <c r="S457" s="113"/>
      <c r="T457" s="115"/>
    </row>
    <row r="458" ht="14.25" customHeight="1">
      <c r="C458" s="10"/>
      <c r="D458" s="18"/>
      <c r="E458" s="10"/>
      <c r="F458" s="134"/>
      <c r="G458" s="19"/>
      <c r="H458" s="21"/>
      <c r="I458" s="235"/>
      <c r="J458" s="216"/>
      <c r="K458" s="183"/>
      <c r="L458" s="21"/>
      <c r="M458" s="19"/>
      <c r="N458" s="21"/>
      <c r="O458" s="134"/>
      <c r="P458" s="19"/>
      <c r="Q458" s="21"/>
      <c r="R458" s="112"/>
      <c r="S458" s="113"/>
      <c r="T458" s="115"/>
    </row>
    <row r="459" ht="14.25" customHeight="1">
      <c r="C459" s="10"/>
      <c r="D459" s="18"/>
      <c r="E459" s="10"/>
      <c r="F459" s="134"/>
      <c r="G459" s="19"/>
      <c r="H459" s="21"/>
      <c r="I459" s="235"/>
      <c r="J459" s="216"/>
      <c r="K459" s="183"/>
      <c r="L459" s="21"/>
      <c r="M459" s="19"/>
      <c r="N459" s="21"/>
      <c r="O459" s="134"/>
      <c r="P459" s="19"/>
      <c r="Q459" s="21"/>
      <c r="R459" s="112"/>
      <c r="S459" s="113"/>
      <c r="T459" s="115"/>
    </row>
    <row r="460" ht="14.25" customHeight="1">
      <c r="C460" s="10"/>
      <c r="D460" s="18"/>
      <c r="E460" s="10"/>
      <c r="F460" s="134"/>
      <c r="G460" s="19"/>
      <c r="H460" s="21"/>
      <c r="I460" s="235"/>
      <c r="J460" s="216"/>
      <c r="K460" s="183"/>
      <c r="L460" s="21"/>
      <c r="M460" s="19"/>
      <c r="N460" s="21"/>
      <c r="O460" s="134"/>
      <c r="P460" s="19"/>
      <c r="Q460" s="21"/>
      <c r="R460" s="112"/>
      <c r="S460" s="113"/>
      <c r="T460" s="115"/>
    </row>
    <row r="461" ht="14.25" customHeight="1">
      <c r="C461" s="10"/>
      <c r="D461" s="18"/>
      <c r="E461" s="10"/>
      <c r="F461" s="134"/>
      <c r="G461" s="19"/>
      <c r="H461" s="21"/>
      <c r="I461" s="235"/>
      <c r="J461" s="216"/>
      <c r="K461" s="183"/>
      <c r="L461" s="21"/>
      <c r="M461" s="19"/>
      <c r="N461" s="21"/>
      <c r="O461" s="134"/>
      <c r="P461" s="19"/>
      <c r="Q461" s="21"/>
      <c r="R461" s="112"/>
      <c r="S461" s="113"/>
      <c r="T461" s="115"/>
    </row>
    <row r="462" ht="14.25" customHeight="1">
      <c r="C462" s="10"/>
      <c r="D462" s="18"/>
      <c r="E462" s="10"/>
      <c r="F462" s="134"/>
      <c r="G462" s="19"/>
      <c r="H462" s="21"/>
      <c r="I462" s="235"/>
      <c r="J462" s="216"/>
      <c r="K462" s="183"/>
      <c r="L462" s="21"/>
      <c r="M462" s="19"/>
      <c r="N462" s="21"/>
      <c r="O462" s="134"/>
      <c r="P462" s="19"/>
      <c r="Q462" s="21"/>
      <c r="R462" s="112"/>
      <c r="S462" s="113"/>
      <c r="T462" s="115"/>
    </row>
    <row r="463" ht="14.25" customHeight="1">
      <c r="C463" s="10"/>
      <c r="D463" s="18"/>
      <c r="E463" s="10"/>
      <c r="F463" s="134"/>
      <c r="G463" s="19"/>
      <c r="H463" s="21"/>
      <c r="I463" s="235"/>
      <c r="J463" s="216"/>
      <c r="K463" s="183"/>
      <c r="L463" s="21"/>
      <c r="M463" s="19"/>
      <c r="N463" s="21"/>
      <c r="O463" s="134"/>
      <c r="P463" s="19"/>
      <c r="Q463" s="21"/>
      <c r="R463" s="112"/>
      <c r="S463" s="113"/>
      <c r="T463" s="115"/>
    </row>
    <row r="464" ht="14.25" customHeight="1">
      <c r="C464" s="10"/>
      <c r="D464" s="18"/>
      <c r="E464" s="10"/>
      <c r="F464" s="134"/>
      <c r="G464" s="19"/>
      <c r="H464" s="21"/>
      <c r="I464" s="235"/>
      <c r="J464" s="216"/>
      <c r="K464" s="183"/>
      <c r="L464" s="21"/>
      <c r="M464" s="19"/>
      <c r="N464" s="21"/>
      <c r="O464" s="134"/>
      <c r="P464" s="19"/>
      <c r="Q464" s="21"/>
      <c r="R464" s="112"/>
      <c r="S464" s="113"/>
      <c r="T464" s="115"/>
    </row>
    <row r="465" ht="14.25" customHeight="1">
      <c r="C465" s="10"/>
      <c r="D465" s="18"/>
      <c r="E465" s="10"/>
      <c r="F465" s="134"/>
      <c r="G465" s="19"/>
      <c r="H465" s="21"/>
      <c r="I465" s="235"/>
      <c r="J465" s="216"/>
      <c r="K465" s="183"/>
      <c r="L465" s="21"/>
      <c r="M465" s="19"/>
      <c r="N465" s="21"/>
      <c r="O465" s="134"/>
      <c r="P465" s="19"/>
      <c r="Q465" s="21"/>
      <c r="R465" s="112"/>
      <c r="S465" s="113"/>
      <c r="T465" s="115"/>
    </row>
    <row r="466" ht="14.25" customHeight="1">
      <c r="C466" s="10"/>
      <c r="D466" s="18"/>
      <c r="E466" s="10"/>
      <c r="F466" s="134"/>
      <c r="G466" s="19"/>
      <c r="H466" s="21"/>
      <c r="I466" s="235"/>
      <c r="J466" s="216"/>
      <c r="K466" s="183"/>
      <c r="L466" s="21"/>
      <c r="M466" s="19"/>
      <c r="N466" s="21"/>
      <c r="O466" s="134"/>
      <c r="P466" s="19"/>
      <c r="Q466" s="21"/>
      <c r="R466" s="112"/>
      <c r="S466" s="113"/>
      <c r="T466" s="115"/>
    </row>
    <row r="467" ht="14.25" customHeight="1">
      <c r="C467" s="10"/>
      <c r="D467" s="18"/>
      <c r="E467" s="10"/>
      <c r="F467" s="134"/>
      <c r="G467" s="19"/>
      <c r="H467" s="21"/>
      <c r="I467" s="235"/>
      <c r="J467" s="216"/>
      <c r="K467" s="183"/>
      <c r="L467" s="21"/>
      <c r="M467" s="19"/>
      <c r="N467" s="21"/>
      <c r="O467" s="134"/>
      <c r="P467" s="19"/>
      <c r="Q467" s="21"/>
      <c r="R467" s="112"/>
      <c r="S467" s="113"/>
      <c r="T467" s="115"/>
    </row>
    <row r="468" ht="14.25" customHeight="1">
      <c r="C468" s="10"/>
      <c r="D468" s="18"/>
      <c r="E468" s="10"/>
      <c r="F468" s="134"/>
      <c r="G468" s="19"/>
      <c r="H468" s="21"/>
      <c r="I468" s="235"/>
      <c r="J468" s="216"/>
      <c r="K468" s="183"/>
      <c r="L468" s="21"/>
      <c r="M468" s="19"/>
      <c r="N468" s="21"/>
      <c r="O468" s="134"/>
      <c r="P468" s="19"/>
      <c r="Q468" s="21"/>
      <c r="R468" s="112"/>
      <c r="S468" s="113"/>
      <c r="T468" s="115"/>
    </row>
    <row r="469" ht="14.25" customHeight="1">
      <c r="C469" s="10"/>
      <c r="D469" s="18"/>
      <c r="E469" s="10"/>
      <c r="F469" s="134"/>
      <c r="G469" s="19"/>
      <c r="H469" s="21"/>
      <c r="I469" s="235"/>
      <c r="J469" s="216"/>
      <c r="K469" s="183"/>
      <c r="L469" s="21"/>
      <c r="M469" s="19"/>
      <c r="N469" s="21"/>
      <c r="O469" s="134"/>
      <c r="P469" s="19"/>
      <c r="Q469" s="21"/>
      <c r="R469" s="112"/>
      <c r="S469" s="113"/>
      <c r="T469" s="115"/>
    </row>
    <row r="470" ht="14.25" customHeight="1">
      <c r="C470" s="10"/>
      <c r="D470" s="18"/>
      <c r="E470" s="10"/>
      <c r="F470" s="134"/>
      <c r="G470" s="19"/>
      <c r="H470" s="21"/>
      <c r="I470" s="235"/>
      <c r="J470" s="216"/>
      <c r="K470" s="183"/>
      <c r="L470" s="21"/>
      <c r="M470" s="19"/>
      <c r="N470" s="21"/>
      <c r="O470" s="134"/>
      <c r="P470" s="19"/>
      <c r="Q470" s="21"/>
      <c r="R470" s="112"/>
      <c r="S470" s="113"/>
      <c r="T470" s="115"/>
    </row>
    <row r="471" ht="14.25" customHeight="1">
      <c r="C471" s="10"/>
      <c r="D471" s="18"/>
      <c r="E471" s="10"/>
      <c r="F471" s="134"/>
      <c r="G471" s="19"/>
      <c r="H471" s="21"/>
      <c r="I471" s="235"/>
      <c r="J471" s="216"/>
      <c r="K471" s="183"/>
      <c r="L471" s="21"/>
      <c r="M471" s="19"/>
      <c r="N471" s="21"/>
      <c r="O471" s="134"/>
      <c r="P471" s="19"/>
      <c r="Q471" s="21"/>
      <c r="R471" s="112"/>
      <c r="S471" s="113"/>
      <c r="T471" s="115"/>
    </row>
    <row r="472" ht="14.25" customHeight="1">
      <c r="C472" s="10"/>
      <c r="D472" s="18"/>
      <c r="E472" s="10"/>
      <c r="F472" s="134"/>
      <c r="G472" s="19"/>
      <c r="H472" s="21"/>
      <c r="I472" s="235"/>
      <c r="J472" s="216"/>
      <c r="K472" s="183"/>
      <c r="L472" s="21"/>
      <c r="M472" s="19"/>
      <c r="N472" s="21"/>
      <c r="O472" s="134"/>
      <c r="P472" s="19"/>
      <c r="Q472" s="21"/>
      <c r="R472" s="112"/>
      <c r="S472" s="113"/>
      <c r="T472" s="115"/>
    </row>
    <row r="473" ht="14.25" customHeight="1">
      <c r="C473" s="10"/>
      <c r="D473" s="18"/>
      <c r="E473" s="10"/>
      <c r="F473" s="134"/>
      <c r="G473" s="19"/>
      <c r="H473" s="21"/>
      <c r="I473" s="235"/>
      <c r="J473" s="216"/>
      <c r="K473" s="183"/>
      <c r="L473" s="21"/>
      <c r="M473" s="19"/>
      <c r="N473" s="21"/>
      <c r="O473" s="134"/>
      <c r="P473" s="19"/>
      <c r="Q473" s="21"/>
      <c r="R473" s="112"/>
      <c r="S473" s="113"/>
      <c r="T473" s="115"/>
    </row>
    <row r="474" ht="14.25" customHeight="1">
      <c r="C474" s="10"/>
      <c r="D474" s="18"/>
      <c r="E474" s="10"/>
      <c r="F474" s="134"/>
      <c r="G474" s="19"/>
      <c r="H474" s="21"/>
      <c r="I474" s="235"/>
      <c r="J474" s="216"/>
      <c r="K474" s="183"/>
      <c r="L474" s="21"/>
      <c r="M474" s="19"/>
      <c r="N474" s="21"/>
      <c r="O474" s="134"/>
      <c r="P474" s="19"/>
      <c r="Q474" s="21"/>
      <c r="R474" s="112"/>
      <c r="S474" s="113"/>
      <c r="T474" s="115"/>
    </row>
    <row r="475" ht="14.25" customHeight="1">
      <c r="C475" s="10"/>
      <c r="D475" s="18"/>
      <c r="E475" s="10"/>
      <c r="F475" s="134"/>
      <c r="G475" s="19"/>
      <c r="H475" s="21"/>
      <c r="I475" s="235"/>
      <c r="J475" s="216"/>
      <c r="K475" s="183"/>
      <c r="L475" s="21"/>
      <c r="M475" s="19"/>
      <c r="N475" s="21"/>
      <c r="O475" s="134"/>
      <c r="P475" s="19"/>
      <c r="Q475" s="21"/>
      <c r="R475" s="112"/>
      <c r="S475" s="113"/>
      <c r="T475" s="115"/>
    </row>
    <row r="476" ht="14.25" customHeight="1">
      <c r="C476" s="10"/>
      <c r="D476" s="18"/>
      <c r="E476" s="10"/>
      <c r="F476" s="134"/>
      <c r="G476" s="19"/>
      <c r="H476" s="21"/>
      <c r="I476" s="235"/>
      <c r="J476" s="216"/>
      <c r="K476" s="183"/>
      <c r="L476" s="21"/>
      <c r="M476" s="19"/>
      <c r="N476" s="21"/>
      <c r="O476" s="134"/>
      <c r="P476" s="19"/>
      <c r="Q476" s="21"/>
      <c r="R476" s="112"/>
      <c r="S476" s="113"/>
      <c r="T476" s="115"/>
    </row>
    <row r="477" ht="14.25" customHeight="1">
      <c r="C477" s="10"/>
      <c r="D477" s="18"/>
      <c r="E477" s="10"/>
      <c r="F477" s="134"/>
      <c r="G477" s="19"/>
      <c r="H477" s="21"/>
      <c r="I477" s="235"/>
      <c r="J477" s="216"/>
      <c r="K477" s="183"/>
      <c r="L477" s="21"/>
      <c r="M477" s="19"/>
      <c r="N477" s="21"/>
      <c r="O477" s="134"/>
      <c r="P477" s="19"/>
      <c r="Q477" s="21"/>
      <c r="R477" s="112"/>
      <c r="S477" s="113"/>
      <c r="T477" s="115"/>
    </row>
    <row r="478" ht="14.25" customHeight="1">
      <c r="C478" s="10"/>
      <c r="D478" s="18"/>
      <c r="E478" s="10"/>
      <c r="F478" s="134"/>
      <c r="G478" s="19"/>
      <c r="H478" s="21"/>
      <c r="I478" s="235"/>
      <c r="J478" s="216"/>
      <c r="K478" s="183"/>
      <c r="L478" s="21"/>
      <c r="M478" s="19"/>
      <c r="N478" s="21"/>
      <c r="O478" s="134"/>
      <c r="P478" s="19"/>
      <c r="Q478" s="21"/>
      <c r="R478" s="112"/>
      <c r="S478" s="113"/>
      <c r="T478" s="115"/>
    </row>
    <row r="479" ht="14.25" customHeight="1">
      <c r="C479" s="10"/>
      <c r="D479" s="18"/>
      <c r="E479" s="10"/>
      <c r="F479" s="134"/>
      <c r="G479" s="19"/>
      <c r="H479" s="21"/>
      <c r="I479" s="235"/>
      <c r="J479" s="216"/>
      <c r="K479" s="183"/>
      <c r="L479" s="21"/>
      <c r="M479" s="19"/>
      <c r="N479" s="21"/>
      <c r="O479" s="134"/>
      <c r="P479" s="19"/>
      <c r="Q479" s="21"/>
      <c r="R479" s="112"/>
      <c r="S479" s="113"/>
      <c r="T479" s="115"/>
    </row>
    <row r="480" ht="14.25" customHeight="1">
      <c r="C480" s="10"/>
      <c r="D480" s="18"/>
      <c r="E480" s="10"/>
      <c r="F480" s="134"/>
      <c r="G480" s="19"/>
      <c r="H480" s="21"/>
      <c r="I480" s="235"/>
      <c r="J480" s="216"/>
      <c r="K480" s="183"/>
      <c r="L480" s="21"/>
      <c r="M480" s="19"/>
      <c r="N480" s="21"/>
      <c r="O480" s="134"/>
      <c r="P480" s="19"/>
      <c r="Q480" s="21"/>
      <c r="R480" s="112"/>
      <c r="S480" s="113"/>
      <c r="T480" s="115"/>
    </row>
    <row r="481" ht="14.25" customHeight="1">
      <c r="C481" s="10"/>
      <c r="D481" s="18"/>
      <c r="E481" s="10"/>
      <c r="F481" s="134"/>
      <c r="G481" s="19"/>
      <c r="H481" s="21"/>
      <c r="I481" s="235"/>
      <c r="J481" s="216"/>
      <c r="K481" s="183"/>
      <c r="L481" s="21"/>
      <c r="M481" s="19"/>
      <c r="N481" s="21"/>
      <c r="O481" s="134"/>
      <c r="P481" s="19"/>
      <c r="Q481" s="21"/>
      <c r="R481" s="112"/>
      <c r="S481" s="113"/>
      <c r="T481" s="115"/>
    </row>
    <row r="482" ht="14.25" customHeight="1">
      <c r="C482" s="10"/>
      <c r="D482" s="18"/>
      <c r="E482" s="10"/>
      <c r="F482" s="134"/>
      <c r="G482" s="19"/>
      <c r="H482" s="21"/>
      <c r="I482" s="235"/>
      <c r="J482" s="216"/>
      <c r="K482" s="183"/>
      <c r="L482" s="21"/>
      <c r="M482" s="19"/>
      <c r="N482" s="21"/>
      <c r="O482" s="134"/>
      <c r="P482" s="19"/>
      <c r="Q482" s="21"/>
      <c r="R482" s="112"/>
      <c r="S482" s="113"/>
      <c r="T482" s="115"/>
    </row>
    <row r="483" ht="14.25" customHeight="1">
      <c r="C483" s="10"/>
      <c r="D483" s="18"/>
      <c r="E483" s="10"/>
      <c r="F483" s="134"/>
      <c r="G483" s="19"/>
      <c r="H483" s="21"/>
      <c r="I483" s="235"/>
      <c r="J483" s="216"/>
      <c r="K483" s="183"/>
      <c r="L483" s="21"/>
      <c r="M483" s="19"/>
      <c r="N483" s="21"/>
      <c r="O483" s="134"/>
      <c r="P483" s="19"/>
      <c r="Q483" s="21"/>
      <c r="R483" s="112"/>
      <c r="S483" s="113"/>
      <c r="T483" s="115"/>
    </row>
    <row r="484" ht="14.25" customHeight="1">
      <c r="C484" s="10"/>
      <c r="D484" s="18"/>
      <c r="E484" s="10"/>
      <c r="F484" s="134"/>
      <c r="G484" s="19"/>
      <c r="H484" s="21"/>
      <c r="I484" s="235"/>
      <c r="J484" s="216"/>
      <c r="K484" s="183"/>
      <c r="L484" s="21"/>
      <c r="M484" s="19"/>
      <c r="N484" s="21"/>
      <c r="O484" s="134"/>
      <c r="P484" s="19"/>
      <c r="Q484" s="21"/>
      <c r="R484" s="112"/>
      <c r="S484" s="113"/>
      <c r="T484" s="115"/>
    </row>
    <row r="485" ht="14.25" customHeight="1">
      <c r="C485" s="10"/>
      <c r="D485" s="18"/>
      <c r="E485" s="10"/>
      <c r="F485" s="134"/>
      <c r="G485" s="19"/>
      <c r="H485" s="21"/>
      <c r="I485" s="235"/>
      <c r="J485" s="216"/>
      <c r="K485" s="183"/>
      <c r="L485" s="21"/>
      <c r="M485" s="19"/>
      <c r="N485" s="21"/>
      <c r="O485" s="134"/>
      <c r="P485" s="19"/>
      <c r="Q485" s="21"/>
      <c r="R485" s="112"/>
      <c r="S485" s="113"/>
      <c r="T485" s="115"/>
    </row>
    <row r="486" ht="14.25" customHeight="1">
      <c r="C486" s="10"/>
      <c r="D486" s="18"/>
      <c r="E486" s="10"/>
      <c r="F486" s="134"/>
      <c r="G486" s="19"/>
      <c r="H486" s="21"/>
      <c r="I486" s="235"/>
      <c r="J486" s="216"/>
      <c r="K486" s="183"/>
      <c r="L486" s="21"/>
      <c r="M486" s="19"/>
      <c r="N486" s="21"/>
      <c r="O486" s="134"/>
      <c r="P486" s="19"/>
      <c r="Q486" s="21"/>
      <c r="R486" s="112"/>
      <c r="S486" s="113"/>
      <c r="T486" s="115"/>
    </row>
    <row r="487" ht="14.25" customHeight="1">
      <c r="C487" s="10"/>
      <c r="D487" s="18"/>
      <c r="E487" s="10"/>
      <c r="F487" s="134"/>
      <c r="G487" s="19"/>
      <c r="H487" s="21"/>
      <c r="I487" s="235"/>
      <c r="J487" s="216"/>
      <c r="K487" s="183"/>
      <c r="L487" s="21"/>
      <c r="M487" s="19"/>
      <c r="N487" s="21"/>
      <c r="O487" s="134"/>
      <c r="P487" s="19"/>
      <c r="Q487" s="21"/>
      <c r="R487" s="112"/>
      <c r="S487" s="113"/>
      <c r="T487" s="115"/>
    </row>
    <row r="488" ht="14.25" customHeight="1">
      <c r="C488" s="10"/>
      <c r="D488" s="18"/>
      <c r="E488" s="10"/>
      <c r="F488" s="134"/>
      <c r="G488" s="19"/>
      <c r="H488" s="21"/>
      <c r="I488" s="235"/>
      <c r="J488" s="216"/>
      <c r="K488" s="183"/>
      <c r="L488" s="21"/>
      <c r="M488" s="19"/>
      <c r="N488" s="21"/>
      <c r="O488" s="134"/>
      <c r="P488" s="19"/>
      <c r="Q488" s="21"/>
      <c r="R488" s="112"/>
      <c r="S488" s="113"/>
      <c r="T488" s="115"/>
    </row>
    <row r="489" ht="14.25" customHeight="1">
      <c r="C489" s="10"/>
      <c r="D489" s="18"/>
      <c r="E489" s="10"/>
      <c r="F489" s="134"/>
      <c r="G489" s="19"/>
      <c r="H489" s="21"/>
      <c r="I489" s="235"/>
      <c r="J489" s="216"/>
      <c r="K489" s="183"/>
      <c r="L489" s="21"/>
      <c r="M489" s="19"/>
      <c r="N489" s="21"/>
      <c r="O489" s="134"/>
      <c r="P489" s="19"/>
      <c r="Q489" s="21"/>
      <c r="R489" s="112"/>
      <c r="S489" s="113"/>
      <c r="T489" s="115"/>
    </row>
    <row r="490" ht="14.25" customHeight="1">
      <c r="C490" s="10"/>
      <c r="D490" s="18"/>
      <c r="E490" s="10"/>
      <c r="F490" s="134"/>
      <c r="G490" s="19"/>
      <c r="H490" s="21"/>
      <c r="I490" s="235"/>
      <c r="J490" s="216"/>
      <c r="K490" s="183"/>
      <c r="L490" s="21"/>
      <c r="M490" s="19"/>
      <c r="N490" s="21"/>
      <c r="O490" s="134"/>
      <c r="P490" s="19"/>
      <c r="Q490" s="21"/>
      <c r="R490" s="112"/>
      <c r="S490" s="113"/>
      <c r="T490" s="115"/>
    </row>
    <row r="491" ht="14.25" customHeight="1">
      <c r="C491" s="10"/>
      <c r="D491" s="18"/>
      <c r="E491" s="10"/>
      <c r="F491" s="134"/>
      <c r="G491" s="19"/>
      <c r="H491" s="21"/>
      <c r="I491" s="235"/>
      <c r="J491" s="216"/>
      <c r="K491" s="183"/>
      <c r="L491" s="21"/>
      <c r="M491" s="19"/>
      <c r="N491" s="21"/>
      <c r="O491" s="134"/>
      <c r="P491" s="19"/>
      <c r="Q491" s="21"/>
      <c r="R491" s="112"/>
      <c r="S491" s="113"/>
      <c r="T491" s="115"/>
    </row>
    <row r="492" ht="14.25" customHeight="1">
      <c r="C492" s="10"/>
      <c r="D492" s="18"/>
      <c r="E492" s="10"/>
      <c r="F492" s="134"/>
      <c r="G492" s="19"/>
      <c r="H492" s="21"/>
      <c r="I492" s="235"/>
      <c r="J492" s="216"/>
      <c r="K492" s="183"/>
      <c r="L492" s="21"/>
      <c r="M492" s="19"/>
      <c r="N492" s="21"/>
      <c r="O492" s="134"/>
      <c r="P492" s="19"/>
      <c r="Q492" s="21"/>
      <c r="R492" s="112"/>
      <c r="S492" s="113"/>
      <c r="T492" s="115"/>
    </row>
    <row r="493" ht="14.25" customHeight="1">
      <c r="C493" s="10"/>
      <c r="D493" s="18"/>
      <c r="E493" s="10"/>
      <c r="F493" s="134"/>
      <c r="G493" s="19"/>
      <c r="H493" s="21"/>
      <c r="I493" s="235"/>
      <c r="J493" s="216"/>
      <c r="K493" s="183"/>
      <c r="L493" s="21"/>
      <c r="M493" s="19"/>
      <c r="N493" s="21"/>
      <c r="O493" s="134"/>
      <c r="P493" s="19"/>
      <c r="Q493" s="21"/>
      <c r="R493" s="112"/>
      <c r="S493" s="113"/>
      <c r="T493" s="115"/>
    </row>
    <row r="494" ht="14.25" customHeight="1">
      <c r="C494" s="10"/>
      <c r="D494" s="18"/>
      <c r="E494" s="10"/>
      <c r="F494" s="134"/>
      <c r="G494" s="19"/>
      <c r="H494" s="21"/>
      <c r="I494" s="235"/>
      <c r="J494" s="216"/>
      <c r="K494" s="183"/>
      <c r="L494" s="21"/>
      <c r="M494" s="19"/>
      <c r="N494" s="21"/>
      <c r="O494" s="134"/>
      <c r="P494" s="19"/>
      <c r="Q494" s="21"/>
      <c r="R494" s="112"/>
      <c r="S494" s="113"/>
      <c r="T494" s="115"/>
    </row>
    <row r="495" ht="14.25" customHeight="1">
      <c r="C495" s="10"/>
      <c r="D495" s="18"/>
      <c r="E495" s="10"/>
      <c r="F495" s="134"/>
      <c r="G495" s="19"/>
      <c r="H495" s="21"/>
      <c r="I495" s="235"/>
      <c r="J495" s="216"/>
      <c r="K495" s="183"/>
      <c r="L495" s="21"/>
      <c r="M495" s="19"/>
      <c r="N495" s="21"/>
      <c r="O495" s="134"/>
      <c r="P495" s="19"/>
      <c r="Q495" s="21"/>
      <c r="R495" s="112"/>
      <c r="S495" s="113"/>
      <c r="T495" s="115"/>
    </row>
    <row r="496" ht="14.25" customHeight="1">
      <c r="C496" s="10"/>
      <c r="D496" s="18"/>
      <c r="E496" s="10"/>
      <c r="F496" s="134"/>
      <c r="G496" s="19"/>
      <c r="H496" s="21"/>
      <c r="I496" s="235"/>
      <c r="J496" s="216"/>
      <c r="K496" s="183"/>
      <c r="L496" s="21"/>
      <c r="M496" s="19"/>
      <c r="N496" s="21"/>
      <c r="O496" s="134"/>
      <c r="P496" s="19"/>
      <c r="Q496" s="21"/>
      <c r="R496" s="112"/>
      <c r="S496" s="113"/>
      <c r="T496" s="115"/>
    </row>
    <row r="497" ht="14.25" customHeight="1">
      <c r="C497" s="10"/>
      <c r="D497" s="18"/>
      <c r="E497" s="10"/>
      <c r="F497" s="134"/>
      <c r="G497" s="19"/>
      <c r="H497" s="21"/>
      <c r="I497" s="235"/>
      <c r="J497" s="216"/>
      <c r="K497" s="183"/>
      <c r="L497" s="21"/>
      <c r="M497" s="19"/>
      <c r="N497" s="21"/>
      <c r="O497" s="134"/>
      <c r="P497" s="19"/>
      <c r="Q497" s="21"/>
      <c r="R497" s="112"/>
      <c r="S497" s="113"/>
      <c r="T497" s="115"/>
    </row>
    <row r="498" ht="14.25" customHeight="1">
      <c r="C498" s="10"/>
      <c r="D498" s="18"/>
      <c r="E498" s="10"/>
      <c r="F498" s="134"/>
      <c r="G498" s="19"/>
      <c r="H498" s="21"/>
      <c r="I498" s="235"/>
      <c r="J498" s="216"/>
      <c r="K498" s="183"/>
      <c r="L498" s="21"/>
      <c r="M498" s="19"/>
      <c r="N498" s="21"/>
      <c r="O498" s="134"/>
      <c r="P498" s="19"/>
      <c r="Q498" s="21"/>
      <c r="R498" s="112"/>
      <c r="S498" s="113"/>
      <c r="T498" s="115"/>
    </row>
    <row r="499" ht="14.25" customHeight="1">
      <c r="C499" s="10"/>
      <c r="D499" s="18"/>
      <c r="E499" s="10"/>
      <c r="F499" s="134"/>
      <c r="G499" s="19"/>
      <c r="H499" s="21"/>
      <c r="I499" s="235"/>
      <c r="J499" s="216"/>
      <c r="K499" s="183"/>
      <c r="L499" s="21"/>
      <c r="M499" s="19"/>
      <c r="N499" s="21"/>
      <c r="O499" s="134"/>
      <c r="P499" s="19"/>
      <c r="Q499" s="21"/>
      <c r="R499" s="112"/>
      <c r="S499" s="113"/>
      <c r="T499" s="115"/>
    </row>
    <row r="500" ht="14.25" customHeight="1">
      <c r="C500" s="10"/>
      <c r="D500" s="18"/>
      <c r="E500" s="10"/>
      <c r="F500" s="134"/>
      <c r="G500" s="19"/>
      <c r="H500" s="21"/>
      <c r="I500" s="235"/>
      <c r="J500" s="216"/>
      <c r="K500" s="183"/>
      <c r="L500" s="21"/>
      <c r="M500" s="19"/>
      <c r="N500" s="21"/>
      <c r="O500" s="134"/>
      <c r="P500" s="19"/>
      <c r="Q500" s="21"/>
      <c r="R500" s="112"/>
      <c r="S500" s="113"/>
      <c r="T500" s="115"/>
    </row>
    <row r="501" ht="14.25" customHeight="1">
      <c r="C501" s="10"/>
      <c r="D501" s="18"/>
      <c r="E501" s="10"/>
      <c r="F501" s="134"/>
      <c r="G501" s="19"/>
      <c r="H501" s="21"/>
      <c r="I501" s="235"/>
      <c r="J501" s="216"/>
      <c r="K501" s="183"/>
      <c r="L501" s="21"/>
      <c r="M501" s="19"/>
      <c r="N501" s="21"/>
      <c r="O501" s="134"/>
      <c r="P501" s="19"/>
      <c r="Q501" s="21"/>
      <c r="R501" s="112"/>
      <c r="S501" s="113"/>
      <c r="T501" s="115"/>
    </row>
    <row r="502" ht="14.25" customHeight="1">
      <c r="C502" s="10"/>
      <c r="D502" s="18"/>
      <c r="E502" s="10"/>
      <c r="F502" s="134"/>
      <c r="G502" s="19"/>
      <c r="H502" s="21"/>
      <c r="I502" s="235"/>
      <c r="J502" s="216"/>
      <c r="K502" s="183"/>
      <c r="L502" s="21"/>
      <c r="M502" s="19"/>
      <c r="N502" s="21"/>
      <c r="O502" s="134"/>
      <c r="P502" s="19"/>
      <c r="Q502" s="21"/>
      <c r="R502" s="112"/>
      <c r="S502" s="113"/>
      <c r="T502" s="115"/>
    </row>
    <row r="503" ht="14.25" customHeight="1">
      <c r="C503" s="10"/>
      <c r="D503" s="18"/>
      <c r="E503" s="10"/>
      <c r="F503" s="134"/>
      <c r="G503" s="19"/>
      <c r="H503" s="21"/>
      <c r="I503" s="235"/>
      <c r="J503" s="216"/>
      <c r="K503" s="183"/>
      <c r="L503" s="21"/>
      <c r="M503" s="19"/>
      <c r="N503" s="21"/>
      <c r="O503" s="134"/>
      <c r="P503" s="19"/>
      <c r="Q503" s="21"/>
      <c r="R503" s="112"/>
      <c r="S503" s="113"/>
      <c r="T503" s="115"/>
    </row>
    <row r="504" ht="14.25" customHeight="1">
      <c r="C504" s="10"/>
      <c r="D504" s="18"/>
      <c r="E504" s="10"/>
      <c r="F504" s="134"/>
      <c r="G504" s="19"/>
      <c r="H504" s="21"/>
      <c r="I504" s="235"/>
      <c r="J504" s="216"/>
      <c r="K504" s="183"/>
      <c r="L504" s="21"/>
      <c r="M504" s="19"/>
      <c r="N504" s="21"/>
      <c r="O504" s="134"/>
      <c r="P504" s="19"/>
      <c r="Q504" s="21"/>
      <c r="R504" s="112"/>
      <c r="S504" s="113"/>
      <c r="T504" s="115"/>
    </row>
    <row r="505" ht="14.25" customHeight="1">
      <c r="C505" s="10"/>
      <c r="D505" s="18"/>
      <c r="E505" s="10"/>
      <c r="F505" s="134"/>
      <c r="G505" s="19"/>
      <c r="H505" s="21"/>
      <c r="I505" s="235"/>
      <c r="J505" s="216"/>
      <c r="K505" s="183"/>
      <c r="L505" s="21"/>
      <c r="M505" s="19"/>
      <c r="N505" s="21"/>
      <c r="O505" s="134"/>
      <c r="P505" s="19"/>
      <c r="Q505" s="21"/>
      <c r="R505" s="112"/>
      <c r="S505" s="113"/>
      <c r="T505" s="115"/>
    </row>
    <row r="506" ht="14.25" customHeight="1">
      <c r="C506" s="10"/>
      <c r="D506" s="18"/>
      <c r="E506" s="10"/>
      <c r="F506" s="134"/>
      <c r="G506" s="19"/>
      <c r="H506" s="21"/>
      <c r="I506" s="235"/>
      <c r="J506" s="216"/>
      <c r="K506" s="183"/>
      <c r="L506" s="21"/>
      <c r="M506" s="19"/>
      <c r="N506" s="21"/>
      <c r="O506" s="134"/>
      <c r="P506" s="19"/>
      <c r="Q506" s="21"/>
      <c r="R506" s="112"/>
      <c r="S506" s="113"/>
      <c r="T506" s="115"/>
    </row>
    <row r="507" ht="14.25" customHeight="1">
      <c r="C507" s="10"/>
      <c r="D507" s="18"/>
      <c r="E507" s="10"/>
      <c r="F507" s="134"/>
      <c r="G507" s="19"/>
      <c r="H507" s="21"/>
      <c r="I507" s="235"/>
      <c r="J507" s="216"/>
      <c r="K507" s="183"/>
      <c r="L507" s="21"/>
      <c r="M507" s="19"/>
      <c r="N507" s="21"/>
      <c r="O507" s="134"/>
      <c r="P507" s="19"/>
      <c r="Q507" s="21"/>
      <c r="R507" s="112"/>
      <c r="S507" s="113"/>
      <c r="T507" s="115"/>
    </row>
    <row r="508" ht="14.25" customHeight="1">
      <c r="C508" s="10"/>
      <c r="D508" s="18"/>
      <c r="E508" s="10"/>
      <c r="F508" s="134"/>
      <c r="G508" s="19"/>
      <c r="H508" s="21"/>
      <c r="I508" s="235"/>
      <c r="J508" s="216"/>
      <c r="K508" s="183"/>
      <c r="L508" s="21"/>
      <c r="M508" s="19"/>
      <c r="N508" s="21"/>
      <c r="O508" s="134"/>
      <c r="P508" s="19"/>
      <c r="Q508" s="21"/>
      <c r="R508" s="112"/>
      <c r="S508" s="113"/>
      <c r="T508" s="115"/>
    </row>
    <row r="509" ht="14.25" customHeight="1">
      <c r="C509" s="10"/>
      <c r="D509" s="18"/>
      <c r="E509" s="10"/>
      <c r="F509" s="134"/>
      <c r="G509" s="19"/>
      <c r="H509" s="21"/>
      <c r="I509" s="235"/>
      <c r="J509" s="216"/>
      <c r="K509" s="183"/>
      <c r="L509" s="21"/>
      <c r="M509" s="19"/>
      <c r="N509" s="21"/>
      <c r="O509" s="134"/>
      <c r="P509" s="19"/>
      <c r="Q509" s="21"/>
      <c r="R509" s="112"/>
      <c r="S509" s="113"/>
      <c r="T509" s="115"/>
    </row>
    <row r="510" ht="14.25" customHeight="1">
      <c r="C510" s="10"/>
      <c r="D510" s="18"/>
      <c r="E510" s="10"/>
      <c r="F510" s="134"/>
      <c r="G510" s="19"/>
      <c r="H510" s="21"/>
      <c r="I510" s="235"/>
      <c r="J510" s="216"/>
      <c r="K510" s="183"/>
      <c r="L510" s="21"/>
      <c r="M510" s="19"/>
      <c r="N510" s="21"/>
      <c r="O510" s="134"/>
      <c r="P510" s="19"/>
      <c r="Q510" s="21"/>
      <c r="R510" s="112"/>
      <c r="S510" s="113"/>
      <c r="T510" s="115"/>
    </row>
    <row r="511" ht="14.25" customHeight="1">
      <c r="C511" s="10"/>
      <c r="D511" s="18"/>
      <c r="E511" s="10"/>
      <c r="F511" s="134"/>
      <c r="G511" s="19"/>
      <c r="H511" s="21"/>
      <c r="I511" s="235"/>
      <c r="J511" s="216"/>
      <c r="K511" s="183"/>
      <c r="L511" s="21"/>
      <c r="M511" s="19"/>
      <c r="N511" s="21"/>
      <c r="O511" s="134"/>
      <c r="P511" s="19"/>
      <c r="Q511" s="21"/>
      <c r="R511" s="112"/>
      <c r="S511" s="113"/>
      <c r="T511" s="115"/>
    </row>
    <row r="512" ht="14.25" customHeight="1">
      <c r="C512" s="10"/>
      <c r="D512" s="18"/>
      <c r="E512" s="10"/>
      <c r="F512" s="134"/>
      <c r="G512" s="19"/>
      <c r="H512" s="21"/>
      <c r="I512" s="235"/>
      <c r="J512" s="216"/>
      <c r="K512" s="183"/>
      <c r="L512" s="21"/>
      <c r="M512" s="19"/>
      <c r="N512" s="21"/>
      <c r="O512" s="134"/>
      <c r="P512" s="19"/>
      <c r="Q512" s="21"/>
      <c r="R512" s="112"/>
      <c r="S512" s="113"/>
      <c r="T512" s="115"/>
    </row>
    <row r="513" ht="14.25" customHeight="1">
      <c r="C513" s="10"/>
      <c r="D513" s="18"/>
      <c r="E513" s="10"/>
      <c r="F513" s="134"/>
      <c r="G513" s="19"/>
      <c r="H513" s="21"/>
      <c r="I513" s="235"/>
      <c r="J513" s="216"/>
      <c r="K513" s="183"/>
      <c r="L513" s="21"/>
      <c r="M513" s="19"/>
      <c r="N513" s="21"/>
      <c r="O513" s="134"/>
      <c r="P513" s="19"/>
      <c r="Q513" s="21"/>
      <c r="R513" s="112"/>
      <c r="S513" s="113"/>
      <c r="T513" s="115"/>
    </row>
    <row r="514" ht="14.25" customHeight="1">
      <c r="C514" s="10"/>
      <c r="D514" s="18"/>
      <c r="E514" s="10"/>
      <c r="F514" s="134"/>
      <c r="G514" s="19"/>
      <c r="H514" s="21"/>
      <c r="I514" s="235"/>
      <c r="J514" s="216"/>
      <c r="K514" s="183"/>
      <c r="L514" s="21"/>
      <c r="M514" s="19"/>
      <c r="N514" s="21"/>
      <c r="O514" s="134"/>
      <c r="P514" s="19"/>
      <c r="Q514" s="21"/>
      <c r="R514" s="112"/>
      <c r="S514" s="113"/>
      <c r="T514" s="115"/>
    </row>
    <row r="515" ht="14.25" customHeight="1">
      <c r="C515" s="10"/>
      <c r="D515" s="18"/>
      <c r="E515" s="10"/>
      <c r="F515" s="134"/>
      <c r="G515" s="19"/>
      <c r="H515" s="21"/>
      <c r="I515" s="235"/>
      <c r="J515" s="216"/>
      <c r="K515" s="183"/>
      <c r="L515" s="21"/>
      <c r="M515" s="19"/>
      <c r="N515" s="21"/>
      <c r="O515" s="134"/>
      <c r="P515" s="19"/>
      <c r="Q515" s="21"/>
      <c r="R515" s="112"/>
      <c r="S515" s="113"/>
      <c r="T515" s="115"/>
    </row>
    <row r="516" ht="14.25" customHeight="1">
      <c r="C516" s="10"/>
      <c r="D516" s="18"/>
      <c r="E516" s="10"/>
      <c r="F516" s="134"/>
      <c r="G516" s="19"/>
      <c r="H516" s="21"/>
      <c r="I516" s="235"/>
      <c r="J516" s="216"/>
      <c r="K516" s="183"/>
      <c r="L516" s="21"/>
      <c r="M516" s="19"/>
      <c r="N516" s="21"/>
      <c r="O516" s="134"/>
      <c r="P516" s="19"/>
      <c r="Q516" s="21"/>
      <c r="R516" s="112"/>
      <c r="S516" s="113"/>
      <c r="T516" s="115"/>
    </row>
    <row r="517" ht="14.25" customHeight="1">
      <c r="C517" s="10"/>
      <c r="D517" s="18"/>
      <c r="E517" s="10"/>
      <c r="F517" s="134"/>
      <c r="G517" s="19"/>
      <c r="H517" s="21"/>
      <c r="I517" s="235"/>
      <c r="J517" s="216"/>
      <c r="K517" s="183"/>
      <c r="L517" s="21"/>
      <c r="M517" s="19"/>
      <c r="N517" s="21"/>
      <c r="O517" s="134"/>
      <c r="P517" s="19"/>
      <c r="Q517" s="21"/>
      <c r="R517" s="112"/>
      <c r="S517" s="113"/>
      <c r="T517" s="115"/>
    </row>
    <row r="518" ht="14.25" customHeight="1">
      <c r="C518" s="10"/>
      <c r="D518" s="18"/>
      <c r="E518" s="10"/>
      <c r="F518" s="134"/>
      <c r="G518" s="19"/>
      <c r="H518" s="21"/>
      <c r="I518" s="235"/>
      <c r="J518" s="216"/>
      <c r="K518" s="183"/>
      <c r="L518" s="21"/>
      <c r="M518" s="19"/>
      <c r="N518" s="21"/>
      <c r="O518" s="134"/>
      <c r="P518" s="19"/>
      <c r="Q518" s="21"/>
      <c r="R518" s="112"/>
      <c r="S518" s="113"/>
      <c r="T518" s="115"/>
    </row>
    <row r="519" ht="14.25" customHeight="1">
      <c r="C519" s="10"/>
      <c r="D519" s="18"/>
      <c r="E519" s="10"/>
      <c r="F519" s="134"/>
      <c r="G519" s="19"/>
      <c r="H519" s="21"/>
      <c r="I519" s="235"/>
      <c r="J519" s="216"/>
      <c r="K519" s="183"/>
      <c r="L519" s="21"/>
      <c r="M519" s="19"/>
      <c r="N519" s="21"/>
      <c r="O519" s="134"/>
      <c r="P519" s="19"/>
      <c r="Q519" s="21"/>
      <c r="R519" s="112"/>
      <c r="S519" s="113"/>
      <c r="T519" s="115"/>
    </row>
    <row r="520" ht="14.25" customHeight="1">
      <c r="C520" s="10"/>
      <c r="D520" s="18"/>
      <c r="E520" s="10"/>
      <c r="F520" s="134"/>
      <c r="G520" s="19"/>
      <c r="H520" s="21"/>
      <c r="I520" s="235"/>
      <c r="J520" s="216"/>
      <c r="K520" s="183"/>
      <c r="L520" s="21"/>
      <c r="M520" s="19"/>
      <c r="N520" s="21"/>
      <c r="O520" s="134"/>
      <c r="P520" s="19"/>
      <c r="Q520" s="21"/>
      <c r="R520" s="112"/>
      <c r="S520" s="113"/>
      <c r="T520" s="115"/>
    </row>
    <row r="521" ht="14.25" customHeight="1">
      <c r="C521" s="10"/>
      <c r="D521" s="18"/>
      <c r="E521" s="10"/>
      <c r="F521" s="134"/>
      <c r="G521" s="19"/>
      <c r="H521" s="21"/>
      <c r="I521" s="235"/>
      <c r="J521" s="216"/>
      <c r="K521" s="183"/>
      <c r="L521" s="21"/>
      <c r="M521" s="19"/>
      <c r="N521" s="21"/>
      <c r="O521" s="134"/>
      <c r="P521" s="19"/>
      <c r="Q521" s="21"/>
      <c r="R521" s="112"/>
      <c r="S521" s="113"/>
      <c r="T521" s="115"/>
    </row>
    <row r="522" ht="14.25" customHeight="1">
      <c r="C522" s="10"/>
      <c r="D522" s="18"/>
      <c r="E522" s="10"/>
      <c r="F522" s="134"/>
      <c r="G522" s="19"/>
      <c r="H522" s="21"/>
      <c r="I522" s="235"/>
      <c r="J522" s="216"/>
      <c r="K522" s="183"/>
      <c r="L522" s="21"/>
      <c r="M522" s="19"/>
      <c r="N522" s="21"/>
      <c r="O522" s="134"/>
      <c r="P522" s="19"/>
      <c r="Q522" s="21"/>
      <c r="R522" s="112"/>
      <c r="S522" s="113"/>
      <c r="T522" s="115"/>
    </row>
    <row r="523" ht="14.25" customHeight="1">
      <c r="C523" s="10"/>
      <c r="D523" s="18"/>
      <c r="E523" s="10"/>
      <c r="F523" s="134"/>
      <c r="G523" s="19"/>
      <c r="H523" s="21"/>
      <c r="I523" s="235"/>
      <c r="J523" s="216"/>
      <c r="K523" s="183"/>
      <c r="L523" s="21"/>
      <c r="M523" s="19"/>
      <c r="N523" s="21"/>
      <c r="O523" s="134"/>
      <c r="P523" s="19"/>
      <c r="Q523" s="21"/>
      <c r="R523" s="112"/>
      <c r="S523" s="113"/>
      <c r="T523" s="115"/>
    </row>
    <row r="524" ht="14.25" customHeight="1">
      <c r="C524" s="10"/>
      <c r="D524" s="18"/>
      <c r="E524" s="10"/>
      <c r="F524" s="134"/>
      <c r="G524" s="19"/>
      <c r="H524" s="21"/>
      <c r="I524" s="235"/>
      <c r="J524" s="216"/>
      <c r="K524" s="183"/>
      <c r="L524" s="21"/>
      <c r="M524" s="19"/>
      <c r="N524" s="21"/>
      <c r="O524" s="134"/>
      <c r="P524" s="19"/>
      <c r="Q524" s="21"/>
      <c r="R524" s="112"/>
      <c r="S524" s="113"/>
      <c r="T524" s="115"/>
    </row>
    <row r="525" ht="14.25" customHeight="1">
      <c r="C525" s="10"/>
      <c r="D525" s="18"/>
      <c r="E525" s="10"/>
      <c r="F525" s="134"/>
      <c r="G525" s="19"/>
      <c r="H525" s="21"/>
      <c r="I525" s="235"/>
      <c r="J525" s="216"/>
      <c r="K525" s="183"/>
      <c r="L525" s="21"/>
      <c r="M525" s="19"/>
      <c r="N525" s="21"/>
      <c r="O525" s="134"/>
      <c r="P525" s="19"/>
      <c r="Q525" s="21"/>
      <c r="R525" s="112"/>
      <c r="S525" s="113"/>
      <c r="T525" s="115"/>
    </row>
    <row r="526" ht="14.25" customHeight="1">
      <c r="C526" s="10"/>
      <c r="D526" s="18"/>
      <c r="E526" s="10"/>
      <c r="F526" s="134"/>
      <c r="G526" s="19"/>
      <c r="H526" s="21"/>
      <c r="I526" s="235"/>
      <c r="J526" s="216"/>
      <c r="K526" s="183"/>
      <c r="L526" s="21"/>
      <c r="M526" s="19"/>
      <c r="N526" s="21"/>
      <c r="O526" s="134"/>
      <c r="P526" s="19"/>
      <c r="Q526" s="21"/>
      <c r="R526" s="112"/>
      <c r="S526" s="113"/>
      <c r="T526" s="115"/>
    </row>
    <row r="527" ht="14.25" customHeight="1">
      <c r="C527" s="10"/>
      <c r="D527" s="18"/>
      <c r="E527" s="10"/>
      <c r="F527" s="134"/>
      <c r="G527" s="19"/>
      <c r="H527" s="21"/>
      <c r="I527" s="235"/>
      <c r="J527" s="216"/>
      <c r="K527" s="183"/>
      <c r="L527" s="21"/>
      <c r="M527" s="19"/>
      <c r="N527" s="21"/>
      <c r="O527" s="134"/>
      <c r="P527" s="19"/>
      <c r="Q527" s="21"/>
      <c r="R527" s="112"/>
      <c r="S527" s="113"/>
      <c r="T527" s="115"/>
    </row>
    <row r="528" ht="14.25" customHeight="1">
      <c r="C528" s="10"/>
      <c r="D528" s="18"/>
      <c r="E528" s="10"/>
      <c r="F528" s="134"/>
      <c r="G528" s="19"/>
      <c r="H528" s="21"/>
      <c r="I528" s="235"/>
      <c r="J528" s="216"/>
      <c r="K528" s="183"/>
      <c r="L528" s="21"/>
      <c r="M528" s="19"/>
      <c r="N528" s="21"/>
      <c r="O528" s="134"/>
      <c r="P528" s="19"/>
      <c r="Q528" s="21"/>
      <c r="R528" s="112"/>
      <c r="S528" s="113"/>
      <c r="T528" s="115"/>
    </row>
    <row r="529" ht="14.25" customHeight="1">
      <c r="C529" s="10"/>
      <c r="D529" s="18"/>
      <c r="E529" s="10"/>
      <c r="F529" s="134"/>
      <c r="G529" s="19"/>
      <c r="H529" s="21"/>
      <c r="I529" s="235"/>
      <c r="J529" s="216"/>
      <c r="K529" s="183"/>
      <c r="L529" s="21"/>
      <c r="M529" s="19"/>
      <c r="N529" s="21"/>
      <c r="O529" s="134"/>
      <c r="P529" s="19"/>
      <c r="Q529" s="21"/>
      <c r="R529" s="112"/>
      <c r="S529" s="113"/>
      <c r="T529" s="115"/>
    </row>
    <row r="530" ht="14.25" customHeight="1">
      <c r="C530" s="10"/>
      <c r="D530" s="18"/>
      <c r="E530" s="10"/>
      <c r="F530" s="134"/>
      <c r="G530" s="19"/>
      <c r="H530" s="21"/>
      <c r="I530" s="235"/>
      <c r="J530" s="216"/>
      <c r="K530" s="183"/>
      <c r="L530" s="21"/>
      <c r="M530" s="19"/>
      <c r="N530" s="21"/>
      <c r="O530" s="134"/>
      <c r="P530" s="19"/>
      <c r="Q530" s="21"/>
      <c r="R530" s="112"/>
      <c r="S530" s="113"/>
      <c r="T530" s="115"/>
    </row>
    <row r="531" ht="14.25" customHeight="1">
      <c r="C531" s="10"/>
      <c r="D531" s="18"/>
      <c r="E531" s="10"/>
      <c r="F531" s="134"/>
      <c r="G531" s="19"/>
      <c r="H531" s="21"/>
      <c r="I531" s="235"/>
      <c r="J531" s="216"/>
      <c r="K531" s="183"/>
      <c r="L531" s="21"/>
      <c r="M531" s="19"/>
      <c r="N531" s="21"/>
      <c r="O531" s="134"/>
      <c r="P531" s="19"/>
      <c r="Q531" s="21"/>
      <c r="R531" s="112"/>
      <c r="S531" s="113"/>
      <c r="T531" s="115"/>
    </row>
    <row r="532" ht="14.25" customHeight="1">
      <c r="C532" s="10"/>
      <c r="D532" s="18"/>
      <c r="E532" s="10"/>
      <c r="F532" s="134"/>
      <c r="G532" s="19"/>
      <c r="H532" s="21"/>
      <c r="I532" s="235"/>
      <c r="J532" s="216"/>
      <c r="K532" s="183"/>
      <c r="L532" s="21"/>
      <c r="M532" s="19"/>
      <c r="N532" s="21"/>
      <c r="O532" s="134"/>
      <c r="P532" s="19"/>
      <c r="Q532" s="21"/>
      <c r="R532" s="112"/>
      <c r="S532" s="113"/>
      <c r="T532" s="115"/>
    </row>
    <row r="533" ht="14.25" customHeight="1">
      <c r="C533" s="10"/>
      <c r="D533" s="18"/>
      <c r="E533" s="10"/>
      <c r="F533" s="134"/>
      <c r="G533" s="19"/>
      <c r="H533" s="21"/>
      <c r="I533" s="235"/>
      <c r="J533" s="216"/>
      <c r="K533" s="183"/>
      <c r="L533" s="21"/>
      <c r="M533" s="19"/>
      <c r="N533" s="21"/>
      <c r="O533" s="134"/>
      <c r="P533" s="19"/>
      <c r="Q533" s="21"/>
      <c r="R533" s="112"/>
      <c r="S533" s="113"/>
      <c r="T533" s="115"/>
    </row>
    <row r="534" ht="14.25" customHeight="1">
      <c r="C534" s="10"/>
      <c r="D534" s="18"/>
      <c r="E534" s="10"/>
      <c r="F534" s="134"/>
      <c r="G534" s="19"/>
      <c r="H534" s="21"/>
      <c r="I534" s="235"/>
      <c r="J534" s="216"/>
      <c r="K534" s="183"/>
      <c r="L534" s="21"/>
      <c r="M534" s="19"/>
      <c r="N534" s="21"/>
      <c r="O534" s="134"/>
      <c r="P534" s="19"/>
      <c r="Q534" s="21"/>
      <c r="R534" s="112"/>
      <c r="S534" s="113"/>
      <c r="T534" s="115"/>
    </row>
    <row r="535" ht="14.25" customHeight="1">
      <c r="C535" s="10"/>
      <c r="D535" s="18"/>
      <c r="E535" s="10"/>
      <c r="F535" s="134"/>
      <c r="G535" s="19"/>
      <c r="H535" s="21"/>
      <c r="I535" s="235"/>
      <c r="J535" s="216"/>
      <c r="K535" s="183"/>
      <c r="L535" s="21"/>
      <c r="M535" s="19"/>
      <c r="N535" s="21"/>
      <c r="O535" s="134"/>
      <c r="P535" s="19"/>
      <c r="Q535" s="21"/>
      <c r="R535" s="112"/>
      <c r="S535" s="113"/>
      <c r="T535" s="115"/>
    </row>
    <row r="536" ht="14.25" customHeight="1">
      <c r="C536" s="10"/>
      <c r="D536" s="18"/>
      <c r="E536" s="10"/>
      <c r="F536" s="134"/>
      <c r="G536" s="19"/>
      <c r="H536" s="21"/>
      <c r="I536" s="235"/>
      <c r="J536" s="216"/>
      <c r="K536" s="183"/>
      <c r="L536" s="21"/>
      <c r="M536" s="19"/>
      <c r="N536" s="21"/>
      <c r="O536" s="134"/>
      <c r="P536" s="19"/>
      <c r="Q536" s="21"/>
      <c r="R536" s="112"/>
      <c r="S536" s="113"/>
      <c r="T536" s="115"/>
    </row>
    <row r="537" ht="14.25" customHeight="1">
      <c r="C537" s="10"/>
      <c r="D537" s="18"/>
      <c r="E537" s="10"/>
      <c r="F537" s="134"/>
      <c r="G537" s="19"/>
      <c r="H537" s="21"/>
      <c r="I537" s="235"/>
      <c r="J537" s="216"/>
      <c r="K537" s="183"/>
      <c r="L537" s="21"/>
      <c r="M537" s="19"/>
      <c r="N537" s="21"/>
      <c r="O537" s="134"/>
      <c r="P537" s="19"/>
      <c r="Q537" s="21"/>
      <c r="R537" s="112"/>
      <c r="S537" s="113"/>
      <c r="T537" s="115"/>
    </row>
    <row r="538" ht="14.25" customHeight="1">
      <c r="C538" s="10"/>
      <c r="D538" s="18"/>
      <c r="E538" s="10"/>
      <c r="F538" s="134"/>
      <c r="G538" s="19"/>
      <c r="H538" s="21"/>
      <c r="I538" s="235"/>
      <c r="J538" s="216"/>
      <c r="K538" s="183"/>
      <c r="L538" s="21"/>
      <c r="M538" s="19"/>
      <c r="N538" s="21"/>
      <c r="O538" s="134"/>
      <c r="P538" s="19"/>
      <c r="Q538" s="21"/>
      <c r="R538" s="112"/>
      <c r="S538" s="113"/>
      <c r="T538" s="115"/>
    </row>
    <row r="539" ht="14.25" customHeight="1">
      <c r="C539" s="10"/>
      <c r="D539" s="18"/>
      <c r="E539" s="10"/>
      <c r="F539" s="134"/>
      <c r="G539" s="19"/>
      <c r="H539" s="21"/>
      <c r="I539" s="235"/>
      <c r="J539" s="216"/>
      <c r="K539" s="183"/>
      <c r="L539" s="21"/>
      <c r="M539" s="19"/>
      <c r="N539" s="21"/>
      <c r="O539" s="134"/>
      <c r="P539" s="19"/>
      <c r="Q539" s="21"/>
      <c r="R539" s="112"/>
      <c r="S539" s="113"/>
      <c r="T539" s="115"/>
    </row>
    <row r="540" ht="14.25" customHeight="1">
      <c r="C540" s="10"/>
      <c r="D540" s="18"/>
      <c r="E540" s="10"/>
      <c r="F540" s="134"/>
      <c r="G540" s="19"/>
      <c r="H540" s="21"/>
      <c r="I540" s="235"/>
      <c r="J540" s="216"/>
      <c r="K540" s="183"/>
      <c r="L540" s="21"/>
      <c r="M540" s="19"/>
      <c r="N540" s="21"/>
      <c r="O540" s="134"/>
      <c r="P540" s="19"/>
      <c r="Q540" s="21"/>
      <c r="R540" s="112"/>
      <c r="S540" s="113"/>
      <c r="T540" s="115"/>
    </row>
    <row r="541" ht="14.25" customHeight="1">
      <c r="C541" s="10"/>
      <c r="D541" s="18"/>
      <c r="E541" s="10"/>
      <c r="F541" s="134"/>
      <c r="G541" s="19"/>
      <c r="H541" s="21"/>
      <c r="I541" s="235"/>
      <c r="J541" s="216"/>
      <c r="K541" s="183"/>
      <c r="L541" s="21"/>
      <c r="M541" s="19"/>
      <c r="N541" s="21"/>
      <c r="O541" s="134"/>
      <c r="P541" s="19"/>
      <c r="Q541" s="21"/>
      <c r="R541" s="112"/>
      <c r="S541" s="113"/>
      <c r="T541" s="115"/>
    </row>
    <row r="542" ht="14.25" customHeight="1">
      <c r="C542" s="10"/>
      <c r="D542" s="18"/>
      <c r="E542" s="10"/>
      <c r="F542" s="134"/>
      <c r="G542" s="19"/>
      <c r="H542" s="21"/>
      <c r="I542" s="235"/>
      <c r="J542" s="216"/>
      <c r="K542" s="183"/>
      <c r="L542" s="21"/>
      <c r="M542" s="19"/>
      <c r="N542" s="21"/>
      <c r="O542" s="134"/>
      <c r="P542" s="19"/>
      <c r="Q542" s="21"/>
      <c r="R542" s="112"/>
      <c r="S542" s="113"/>
      <c r="T542" s="115"/>
    </row>
    <row r="543" ht="14.25" customHeight="1">
      <c r="C543" s="10"/>
      <c r="D543" s="18"/>
      <c r="E543" s="10"/>
      <c r="F543" s="134"/>
      <c r="G543" s="19"/>
      <c r="H543" s="21"/>
      <c r="I543" s="235"/>
      <c r="J543" s="216"/>
      <c r="K543" s="183"/>
      <c r="L543" s="21"/>
      <c r="M543" s="19"/>
      <c r="N543" s="21"/>
      <c r="O543" s="134"/>
      <c r="P543" s="19"/>
      <c r="Q543" s="21"/>
      <c r="R543" s="112"/>
      <c r="S543" s="113"/>
      <c r="T543" s="115"/>
    </row>
    <row r="544" ht="14.25" customHeight="1">
      <c r="C544" s="10"/>
      <c r="D544" s="18"/>
      <c r="E544" s="10"/>
      <c r="F544" s="134"/>
      <c r="G544" s="19"/>
      <c r="H544" s="21"/>
      <c r="I544" s="235"/>
      <c r="J544" s="216"/>
      <c r="K544" s="183"/>
      <c r="L544" s="21"/>
      <c r="M544" s="19"/>
      <c r="N544" s="21"/>
      <c r="O544" s="134"/>
      <c r="P544" s="19"/>
      <c r="Q544" s="21"/>
      <c r="R544" s="112"/>
      <c r="S544" s="113"/>
      <c r="T544" s="115"/>
    </row>
    <row r="545" ht="14.25" customHeight="1">
      <c r="C545" s="10"/>
      <c r="D545" s="18"/>
      <c r="E545" s="10"/>
      <c r="F545" s="134"/>
      <c r="G545" s="19"/>
      <c r="H545" s="21"/>
      <c r="I545" s="235"/>
      <c r="J545" s="216"/>
      <c r="K545" s="183"/>
      <c r="L545" s="21"/>
      <c r="M545" s="19"/>
      <c r="N545" s="21"/>
      <c r="O545" s="134"/>
      <c r="P545" s="19"/>
      <c r="Q545" s="21"/>
      <c r="R545" s="112"/>
      <c r="S545" s="113"/>
      <c r="T545" s="115"/>
    </row>
    <row r="546" ht="14.25" customHeight="1">
      <c r="C546" s="10"/>
      <c r="D546" s="18"/>
      <c r="E546" s="10"/>
      <c r="F546" s="134"/>
      <c r="G546" s="19"/>
      <c r="H546" s="21"/>
      <c r="I546" s="235"/>
      <c r="J546" s="216"/>
      <c r="K546" s="183"/>
      <c r="L546" s="21"/>
      <c r="M546" s="19"/>
      <c r="N546" s="21"/>
      <c r="O546" s="134"/>
      <c r="P546" s="19"/>
      <c r="Q546" s="21"/>
      <c r="R546" s="112"/>
      <c r="S546" s="113"/>
      <c r="T546" s="115"/>
    </row>
    <row r="547" ht="14.25" customHeight="1">
      <c r="C547" s="10"/>
      <c r="D547" s="18"/>
      <c r="E547" s="10"/>
      <c r="F547" s="134"/>
      <c r="G547" s="19"/>
      <c r="H547" s="21"/>
      <c r="I547" s="235"/>
      <c r="J547" s="216"/>
      <c r="K547" s="183"/>
      <c r="L547" s="21"/>
      <c r="M547" s="19"/>
      <c r="N547" s="21"/>
      <c r="O547" s="134"/>
      <c r="P547" s="19"/>
      <c r="Q547" s="21"/>
      <c r="R547" s="112"/>
      <c r="S547" s="113"/>
      <c r="T547" s="115"/>
    </row>
    <row r="548" ht="14.25" customHeight="1">
      <c r="C548" s="10"/>
      <c r="D548" s="18"/>
      <c r="E548" s="10"/>
      <c r="F548" s="134"/>
      <c r="G548" s="19"/>
      <c r="H548" s="21"/>
      <c r="I548" s="235"/>
      <c r="J548" s="216"/>
      <c r="K548" s="183"/>
      <c r="L548" s="21"/>
      <c r="M548" s="19"/>
      <c r="N548" s="21"/>
      <c r="O548" s="134"/>
      <c r="P548" s="19"/>
      <c r="Q548" s="21"/>
      <c r="R548" s="112"/>
      <c r="S548" s="113"/>
      <c r="T548" s="115"/>
    </row>
    <row r="549" ht="14.25" customHeight="1">
      <c r="C549" s="10"/>
      <c r="D549" s="18"/>
      <c r="E549" s="10"/>
      <c r="F549" s="134"/>
      <c r="G549" s="19"/>
      <c r="H549" s="21"/>
      <c r="I549" s="235"/>
      <c r="J549" s="216"/>
      <c r="K549" s="183"/>
      <c r="L549" s="21"/>
      <c r="M549" s="19"/>
      <c r="N549" s="21"/>
      <c r="O549" s="134"/>
      <c r="P549" s="19"/>
      <c r="Q549" s="21"/>
      <c r="R549" s="112"/>
      <c r="S549" s="113"/>
      <c r="T549" s="115"/>
    </row>
    <row r="550" ht="14.25" customHeight="1">
      <c r="C550" s="10"/>
      <c r="D550" s="18"/>
      <c r="E550" s="10"/>
      <c r="F550" s="134"/>
      <c r="G550" s="19"/>
      <c r="H550" s="21"/>
      <c r="I550" s="235"/>
      <c r="J550" s="216"/>
      <c r="K550" s="183"/>
      <c r="L550" s="21"/>
      <c r="M550" s="19"/>
      <c r="N550" s="21"/>
      <c r="O550" s="134"/>
      <c r="P550" s="19"/>
      <c r="Q550" s="21"/>
      <c r="R550" s="112"/>
      <c r="S550" s="113"/>
      <c r="T550" s="115"/>
    </row>
    <row r="551" ht="14.25" customHeight="1">
      <c r="C551" s="10"/>
      <c r="D551" s="18"/>
      <c r="E551" s="10"/>
      <c r="F551" s="134"/>
      <c r="G551" s="19"/>
      <c r="H551" s="21"/>
      <c r="I551" s="235"/>
      <c r="J551" s="216"/>
      <c r="K551" s="183"/>
      <c r="L551" s="21"/>
      <c r="M551" s="19"/>
      <c r="N551" s="21"/>
      <c r="O551" s="134"/>
      <c r="P551" s="19"/>
      <c r="Q551" s="21"/>
      <c r="R551" s="112"/>
      <c r="S551" s="113"/>
      <c r="T551" s="115"/>
    </row>
    <row r="552" ht="14.25" customHeight="1">
      <c r="C552" s="10"/>
      <c r="D552" s="18"/>
      <c r="E552" s="10"/>
      <c r="F552" s="134"/>
      <c r="G552" s="19"/>
      <c r="H552" s="21"/>
      <c r="I552" s="235"/>
      <c r="J552" s="216"/>
      <c r="K552" s="183"/>
      <c r="L552" s="21"/>
      <c r="M552" s="19"/>
      <c r="N552" s="21"/>
      <c r="O552" s="134"/>
      <c r="P552" s="19"/>
      <c r="Q552" s="21"/>
      <c r="R552" s="112"/>
      <c r="S552" s="113"/>
      <c r="T552" s="115"/>
    </row>
    <row r="553" ht="14.25" customHeight="1">
      <c r="C553" s="10"/>
      <c r="D553" s="18"/>
      <c r="E553" s="10"/>
      <c r="F553" s="134"/>
      <c r="G553" s="19"/>
      <c r="H553" s="21"/>
      <c r="I553" s="235"/>
      <c r="J553" s="216"/>
      <c r="K553" s="183"/>
      <c r="L553" s="21"/>
      <c r="M553" s="19"/>
      <c r="N553" s="21"/>
      <c r="O553" s="134"/>
      <c r="P553" s="19"/>
      <c r="Q553" s="21"/>
      <c r="R553" s="112"/>
      <c r="S553" s="113"/>
      <c r="T553" s="115"/>
    </row>
    <row r="554" ht="14.25" customHeight="1">
      <c r="C554" s="10"/>
      <c r="D554" s="18"/>
      <c r="E554" s="10"/>
      <c r="F554" s="134"/>
      <c r="G554" s="19"/>
      <c r="H554" s="21"/>
      <c r="I554" s="235"/>
      <c r="J554" s="216"/>
      <c r="K554" s="183"/>
      <c r="L554" s="21"/>
      <c r="M554" s="19"/>
      <c r="N554" s="21"/>
      <c r="O554" s="134"/>
      <c r="P554" s="19"/>
      <c r="Q554" s="21"/>
      <c r="R554" s="112"/>
      <c r="S554" s="113"/>
      <c r="T554" s="115"/>
    </row>
    <row r="555" ht="14.25" customHeight="1">
      <c r="C555" s="10"/>
      <c r="D555" s="18"/>
      <c r="E555" s="10"/>
      <c r="F555" s="134"/>
      <c r="G555" s="19"/>
      <c r="H555" s="21"/>
      <c r="I555" s="235"/>
      <c r="J555" s="216"/>
      <c r="K555" s="183"/>
      <c r="L555" s="21"/>
      <c r="M555" s="19"/>
      <c r="N555" s="21"/>
      <c r="O555" s="134"/>
      <c r="P555" s="19"/>
      <c r="Q555" s="21"/>
      <c r="R555" s="112"/>
      <c r="S555" s="113"/>
      <c r="T555" s="115"/>
    </row>
    <row r="556" ht="14.25" customHeight="1">
      <c r="C556" s="10"/>
      <c r="D556" s="18"/>
      <c r="E556" s="10"/>
      <c r="F556" s="134"/>
      <c r="G556" s="19"/>
      <c r="H556" s="21"/>
      <c r="I556" s="235"/>
      <c r="J556" s="216"/>
      <c r="K556" s="183"/>
      <c r="L556" s="21"/>
      <c r="M556" s="19"/>
      <c r="N556" s="21"/>
      <c r="O556" s="134"/>
      <c r="P556" s="19"/>
      <c r="Q556" s="21"/>
      <c r="R556" s="112"/>
      <c r="S556" s="113"/>
      <c r="T556" s="115"/>
    </row>
    <row r="557" ht="14.25" customHeight="1">
      <c r="C557" s="10"/>
      <c r="D557" s="18"/>
      <c r="E557" s="10"/>
      <c r="F557" s="134"/>
      <c r="G557" s="19"/>
      <c r="H557" s="21"/>
      <c r="I557" s="235"/>
      <c r="J557" s="216"/>
      <c r="K557" s="183"/>
      <c r="L557" s="21"/>
      <c r="M557" s="19"/>
      <c r="N557" s="21"/>
      <c r="O557" s="134"/>
      <c r="P557" s="19"/>
      <c r="Q557" s="21"/>
      <c r="R557" s="112"/>
      <c r="S557" s="113"/>
      <c r="T557" s="115"/>
    </row>
    <row r="558" ht="14.25" customHeight="1">
      <c r="C558" s="10"/>
      <c r="D558" s="18"/>
      <c r="E558" s="10"/>
      <c r="F558" s="134"/>
      <c r="G558" s="19"/>
      <c r="H558" s="21"/>
      <c r="I558" s="235"/>
      <c r="J558" s="216"/>
      <c r="K558" s="183"/>
      <c r="L558" s="21"/>
      <c r="M558" s="19"/>
      <c r="N558" s="21"/>
      <c r="O558" s="134"/>
      <c r="P558" s="19"/>
      <c r="Q558" s="21"/>
      <c r="R558" s="112"/>
      <c r="S558" s="113"/>
      <c r="T558" s="115"/>
    </row>
    <row r="559" ht="14.25" customHeight="1">
      <c r="C559" s="10"/>
      <c r="D559" s="18"/>
      <c r="E559" s="10"/>
      <c r="F559" s="134"/>
      <c r="G559" s="19"/>
      <c r="H559" s="21"/>
      <c r="I559" s="235"/>
      <c r="J559" s="216"/>
      <c r="K559" s="183"/>
      <c r="L559" s="21"/>
      <c r="M559" s="19"/>
      <c r="N559" s="21"/>
      <c r="O559" s="134"/>
      <c r="P559" s="19"/>
      <c r="Q559" s="21"/>
      <c r="R559" s="112"/>
      <c r="S559" s="113"/>
      <c r="T559" s="115"/>
    </row>
    <row r="560" ht="14.25" customHeight="1">
      <c r="C560" s="10"/>
      <c r="D560" s="18"/>
      <c r="E560" s="10"/>
      <c r="F560" s="134"/>
      <c r="G560" s="19"/>
      <c r="H560" s="21"/>
      <c r="I560" s="235"/>
      <c r="J560" s="216"/>
      <c r="K560" s="183"/>
      <c r="L560" s="21"/>
      <c r="M560" s="19"/>
      <c r="N560" s="21"/>
      <c r="O560" s="134"/>
      <c r="P560" s="19"/>
      <c r="Q560" s="21"/>
      <c r="R560" s="112"/>
      <c r="S560" s="113"/>
      <c r="T560" s="115"/>
    </row>
    <row r="561" ht="14.25" customHeight="1">
      <c r="C561" s="10"/>
      <c r="D561" s="18"/>
      <c r="E561" s="10"/>
      <c r="F561" s="134"/>
      <c r="G561" s="19"/>
      <c r="H561" s="21"/>
      <c r="I561" s="235"/>
      <c r="J561" s="216"/>
      <c r="K561" s="183"/>
      <c r="L561" s="21"/>
      <c r="M561" s="19"/>
      <c r="N561" s="21"/>
      <c r="O561" s="134"/>
      <c r="P561" s="19"/>
      <c r="Q561" s="21"/>
      <c r="R561" s="112"/>
      <c r="S561" s="113"/>
      <c r="T561" s="115"/>
    </row>
    <row r="562" ht="14.25" customHeight="1">
      <c r="C562" s="10"/>
      <c r="D562" s="18"/>
      <c r="E562" s="10"/>
      <c r="F562" s="134"/>
      <c r="G562" s="19"/>
      <c r="H562" s="21"/>
      <c r="I562" s="235"/>
      <c r="J562" s="216"/>
      <c r="K562" s="183"/>
      <c r="L562" s="21"/>
      <c r="M562" s="19"/>
      <c r="N562" s="21"/>
      <c r="O562" s="134"/>
      <c r="P562" s="19"/>
      <c r="Q562" s="21"/>
      <c r="R562" s="112"/>
      <c r="S562" s="113"/>
      <c r="T562" s="115"/>
    </row>
    <row r="563" ht="14.25" customHeight="1">
      <c r="C563" s="10"/>
      <c r="D563" s="18"/>
      <c r="E563" s="10"/>
      <c r="F563" s="134"/>
      <c r="G563" s="19"/>
      <c r="H563" s="21"/>
      <c r="I563" s="235"/>
      <c r="J563" s="216"/>
      <c r="K563" s="183"/>
      <c r="L563" s="21"/>
      <c r="M563" s="19"/>
      <c r="N563" s="21"/>
      <c r="O563" s="134"/>
      <c r="P563" s="19"/>
      <c r="Q563" s="21"/>
      <c r="R563" s="112"/>
      <c r="S563" s="113"/>
      <c r="T563" s="115"/>
    </row>
    <row r="564" ht="14.25" customHeight="1">
      <c r="C564" s="10"/>
      <c r="D564" s="18"/>
      <c r="E564" s="10"/>
      <c r="F564" s="134"/>
      <c r="G564" s="19"/>
      <c r="H564" s="21"/>
      <c r="I564" s="235"/>
      <c r="J564" s="216"/>
      <c r="K564" s="183"/>
      <c r="L564" s="21"/>
      <c r="M564" s="19"/>
      <c r="N564" s="21"/>
      <c r="O564" s="134"/>
      <c r="P564" s="19"/>
      <c r="Q564" s="21"/>
      <c r="R564" s="112"/>
      <c r="S564" s="113"/>
      <c r="T564" s="115"/>
    </row>
    <row r="565" ht="14.25" customHeight="1">
      <c r="C565" s="10"/>
      <c r="D565" s="18"/>
      <c r="E565" s="10"/>
      <c r="F565" s="134"/>
      <c r="G565" s="19"/>
      <c r="H565" s="21"/>
      <c r="I565" s="235"/>
      <c r="J565" s="216"/>
      <c r="K565" s="183"/>
      <c r="L565" s="21"/>
      <c r="M565" s="19"/>
      <c r="N565" s="21"/>
      <c r="O565" s="134"/>
      <c r="P565" s="19"/>
      <c r="Q565" s="21"/>
      <c r="R565" s="112"/>
      <c r="S565" s="113"/>
      <c r="T565" s="115"/>
    </row>
    <row r="566" ht="14.25" customHeight="1">
      <c r="C566" s="10"/>
      <c r="D566" s="18"/>
      <c r="E566" s="10"/>
      <c r="F566" s="134"/>
      <c r="G566" s="19"/>
      <c r="H566" s="21"/>
      <c r="I566" s="235"/>
      <c r="J566" s="216"/>
      <c r="K566" s="183"/>
      <c r="L566" s="21"/>
      <c r="M566" s="19"/>
      <c r="N566" s="21"/>
      <c r="O566" s="134"/>
      <c r="P566" s="19"/>
      <c r="Q566" s="21"/>
      <c r="R566" s="112"/>
      <c r="S566" s="113"/>
      <c r="T566" s="115"/>
    </row>
    <row r="567" ht="14.25" customHeight="1">
      <c r="C567" s="10"/>
      <c r="D567" s="18"/>
      <c r="E567" s="10"/>
      <c r="F567" s="134"/>
      <c r="G567" s="19"/>
      <c r="H567" s="21"/>
      <c r="I567" s="235"/>
      <c r="J567" s="216"/>
      <c r="K567" s="183"/>
      <c r="L567" s="21"/>
      <c r="M567" s="19"/>
      <c r="N567" s="21"/>
      <c r="O567" s="134"/>
      <c r="P567" s="19"/>
      <c r="Q567" s="21"/>
      <c r="R567" s="112"/>
      <c r="S567" s="113"/>
      <c r="T567" s="115"/>
    </row>
    <row r="568" ht="14.25" customHeight="1">
      <c r="C568" s="10"/>
      <c r="D568" s="18"/>
      <c r="E568" s="10"/>
      <c r="F568" s="134"/>
      <c r="G568" s="19"/>
      <c r="H568" s="21"/>
      <c r="I568" s="235"/>
      <c r="J568" s="216"/>
      <c r="K568" s="183"/>
      <c r="L568" s="21"/>
      <c r="M568" s="19"/>
      <c r="N568" s="21"/>
      <c r="O568" s="134"/>
      <c r="P568" s="19"/>
      <c r="Q568" s="21"/>
      <c r="R568" s="112"/>
      <c r="S568" s="113"/>
      <c r="T568" s="115"/>
    </row>
    <row r="569" ht="14.25" customHeight="1">
      <c r="C569" s="10"/>
      <c r="D569" s="18"/>
      <c r="E569" s="10"/>
      <c r="F569" s="134"/>
      <c r="G569" s="19"/>
      <c r="H569" s="21"/>
      <c r="I569" s="235"/>
      <c r="J569" s="216"/>
      <c r="K569" s="183"/>
      <c r="L569" s="21"/>
      <c r="M569" s="19"/>
      <c r="N569" s="21"/>
      <c r="O569" s="134"/>
      <c r="P569" s="19"/>
      <c r="Q569" s="21"/>
      <c r="R569" s="112"/>
      <c r="S569" s="113"/>
      <c r="T569" s="115"/>
    </row>
    <row r="570" ht="14.25" customHeight="1">
      <c r="C570" s="10"/>
      <c r="D570" s="18"/>
      <c r="E570" s="10"/>
      <c r="F570" s="134"/>
      <c r="G570" s="19"/>
      <c r="H570" s="21"/>
      <c r="I570" s="235"/>
      <c r="J570" s="216"/>
      <c r="K570" s="183"/>
      <c r="L570" s="21"/>
      <c r="M570" s="19"/>
      <c r="N570" s="21"/>
      <c r="O570" s="134"/>
      <c r="P570" s="19"/>
      <c r="Q570" s="21"/>
      <c r="R570" s="112"/>
      <c r="S570" s="113"/>
      <c r="T570" s="115"/>
    </row>
    <row r="571" ht="14.25" customHeight="1">
      <c r="C571" s="10"/>
      <c r="D571" s="18"/>
      <c r="E571" s="10"/>
      <c r="F571" s="134"/>
      <c r="G571" s="19"/>
      <c r="H571" s="21"/>
      <c r="I571" s="235"/>
      <c r="J571" s="216"/>
      <c r="K571" s="183"/>
      <c r="L571" s="21"/>
      <c r="M571" s="19"/>
      <c r="N571" s="21"/>
      <c r="O571" s="134"/>
      <c r="P571" s="19"/>
      <c r="Q571" s="21"/>
      <c r="R571" s="112"/>
      <c r="S571" s="113"/>
      <c r="T571" s="115"/>
    </row>
    <row r="572" ht="14.25" customHeight="1">
      <c r="C572" s="10"/>
      <c r="D572" s="18"/>
      <c r="E572" s="10"/>
      <c r="F572" s="134"/>
      <c r="G572" s="19"/>
      <c r="H572" s="21"/>
      <c r="I572" s="235"/>
      <c r="J572" s="216"/>
      <c r="K572" s="183"/>
      <c r="L572" s="21"/>
      <c r="M572" s="19"/>
      <c r="N572" s="21"/>
      <c r="O572" s="134"/>
      <c r="P572" s="19"/>
      <c r="Q572" s="21"/>
      <c r="R572" s="112"/>
      <c r="S572" s="113"/>
      <c r="T572" s="115"/>
    </row>
    <row r="573" ht="14.25" customHeight="1">
      <c r="C573" s="10"/>
      <c r="D573" s="18"/>
      <c r="E573" s="10"/>
      <c r="F573" s="134"/>
      <c r="G573" s="19"/>
      <c r="H573" s="21"/>
      <c r="I573" s="235"/>
      <c r="J573" s="216"/>
      <c r="K573" s="183"/>
      <c r="L573" s="21"/>
      <c r="M573" s="19"/>
      <c r="N573" s="21"/>
      <c r="O573" s="134"/>
      <c r="P573" s="19"/>
      <c r="Q573" s="21"/>
      <c r="R573" s="112"/>
      <c r="S573" s="113"/>
      <c r="T573" s="115"/>
    </row>
    <row r="574" ht="14.25" customHeight="1">
      <c r="C574" s="10"/>
      <c r="D574" s="18"/>
      <c r="E574" s="10"/>
      <c r="F574" s="134"/>
      <c r="G574" s="19"/>
      <c r="H574" s="21"/>
      <c r="I574" s="235"/>
      <c r="J574" s="216"/>
      <c r="K574" s="183"/>
      <c r="L574" s="21"/>
      <c r="M574" s="19"/>
      <c r="N574" s="21"/>
      <c r="O574" s="134"/>
      <c r="P574" s="19"/>
      <c r="Q574" s="21"/>
      <c r="R574" s="112"/>
      <c r="S574" s="113"/>
      <c r="T574" s="115"/>
    </row>
    <row r="575" ht="14.25" customHeight="1">
      <c r="C575" s="10"/>
      <c r="D575" s="18"/>
      <c r="E575" s="10"/>
      <c r="F575" s="134"/>
      <c r="G575" s="19"/>
      <c r="H575" s="21"/>
      <c r="I575" s="235"/>
      <c r="J575" s="216"/>
      <c r="K575" s="183"/>
      <c r="L575" s="21"/>
      <c r="M575" s="19"/>
      <c r="N575" s="21"/>
      <c r="O575" s="134"/>
      <c r="P575" s="19"/>
      <c r="Q575" s="21"/>
      <c r="R575" s="112"/>
      <c r="S575" s="113"/>
      <c r="T575" s="115"/>
    </row>
    <row r="576" ht="14.25" customHeight="1">
      <c r="C576" s="10"/>
      <c r="D576" s="18"/>
      <c r="E576" s="10"/>
      <c r="F576" s="134"/>
      <c r="G576" s="19"/>
      <c r="H576" s="21"/>
      <c r="I576" s="235"/>
      <c r="J576" s="216"/>
      <c r="K576" s="183"/>
      <c r="L576" s="21"/>
      <c r="M576" s="19"/>
      <c r="N576" s="21"/>
      <c r="O576" s="134"/>
      <c r="P576" s="19"/>
      <c r="Q576" s="21"/>
      <c r="R576" s="112"/>
      <c r="S576" s="113"/>
      <c r="T576" s="115"/>
    </row>
    <row r="577" ht="14.25" customHeight="1">
      <c r="C577" s="10"/>
      <c r="D577" s="18"/>
      <c r="E577" s="10"/>
      <c r="F577" s="134"/>
      <c r="G577" s="19"/>
      <c r="H577" s="21"/>
      <c r="I577" s="235"/>
      <c r="J577" s="216"/>
      <c r="K577" s="183"/>
      <c r="L577" s="21"/>
      <c r="M577" s="19"/>
      <c r="N577" s="21"/>
      <c r="O577" s="134"/>
      <c r="P577" s="19"/>
      <c r="Q577" s="21"/>
      <c r="R577" s="112"/>
      <c r="S577" s="113"/>
      <c r="T577" s="115"/>
    </row>
    <row r="578" ht="14.25" customHeight="1">
      <c r="C578" s="10"/>
      <c r="D578" s="18"/>
      <c r="E578" s="10"/>
      <c r="F578" s="134"/>
      <c r="G578" s="19"/>
      <c r="H578" s="21"/>
      <c r="I578" s="235"/>
      <c r="J578" s="216"/>
      <c r="K578" s="183"/>
      <c r="L578" s="21"/>
      <c r="M578" s="19"/>
      <c r="N578" s="21"/>
      <c r="O578" s="134"/>
      <c r="P578" s="19"/>
      <c r="Q578" s="21"/>
      <c r="R578" s="112"/>
      <c r="S578" s="113"/>
      <c r="T578" s="115"/>
    </row>
    <row r="579" ht="14.25" customHeight="1">
      <c r="C579" s="10"/>
      <c r="D579" s="18"/>
      <c r="E579" s="10"/>
      <c r="F579" s="134"/>
      <c r="G579" s="19"/>
      <c r="H579" s="21"/>
      <c r="I579" s="235"/>
      <c r="J579" s="216"/>
      <c r="K579" s="183"/>
      <c r="L579" s="21"/>
      <c r="M579" s="19"/>
      <c r="N579" s="21"/>
      <c r="O579" s="134"/>
      <c r="P579" s="19"/>
      <c r="Q579" s="21"/>
      <c r="R579" s="112"/>
      <c r="S579" s="113"/>
      <c r="T579" s="115"/>
    </row>
    <row r="580" ht="14.25" customHeight="1">
      <c r="C580" s="10"/>
      <c r="D580" s="18"/>
      <c r="E580" s="10"/>
      <c r="F580" s="134"/>
      <c r="G580" s="19"/>
      <c r="H580" s="21"/>
      <c r="I580" s="235"/>
      <c r="J580" s="216"/>
      <c r="K580" s="183"/>
      <c r="L580" s="21"/>
      <c r="M580" s="19"/>
      <c r="N580" s="21"/>
      <c r="O580" s="134"/>
      <c r="P580" s="19"/>
      <c r="Q580" s="21"/>
      <c r="R580" s="112"/>
      <c r="S580" s="113"/>
      <c r="T580" s="115"/>
    </row>
    <row r="581" ht="14.25" customHeight="1">
      <c r="C581" s="10"/>
      <c r="D581" s="18"/>
      <c r="E581" s="10"/>
      <c r="F581" s="134"/>
      <c r="G581" s="19"/>
      <c r="H581" s="21"/>
      <c r="I581" s="235"/>
      <c r="J581" s="216"/>
      <c r="K581" s="183"/>
      <c r="L581" s="21"/>
      <c r="M581" s="19"/>
      <c r="N581" s="21"/>
      <c r="O581" s="134"/>
      <c r="P581" s="19"/>
      <c r="Q581" s="21"/>
      <c r="R581" s="112"/>
      <c r="S581" s="113"/>
      <c r="T581" s="115"/>
    </row>
    <row r="582" ht="14.25" customHeight="1">
      <c r="C582" s="10"/>
      <c r="D582" s="18"/>
      <c r="E582" s="10"/>
      <c r="F582" s="134"/>
      <c r="G582" s="19"/>
      <c r="H582" s="21"/>
      <c r="I582" s="235"/>
      <c r="J582" s="216"/>
      <c r="K582" s="183"/>
      <c r="L582" s="21"/>
      <c r="M582" s="19"/>
      <c r="N582" s="21"/>
      <c r="O582" s="134"/>
      <c r="P582" s="19"/>
      <c r="Q582" s="21"/>
      <c r="R582" s="112"/>
      <c r="S582" s="113"/>
      <c r="T582" s="115"/>
    </row>
    <row r="583" ht="14.25" customHeight="1">
      <c r="C583" s="10"/>
      <c r="D583" s="18"/>
      <c r="E583" s="10"/>
      <c r="F583" s="134"/>
      <c r="G583" s="19"/>
      <c r="H583" s="21"/>
      <c r="I583" s="235"/>
      <c r="J583" s="216"/>
      <c r="K583" s="183"/>
      <c r="L583" s="21"/>
      <c r="M583" s="19"/>
      <c r="N583" s="21"/>
      <c r="O583" s="134"/>
      <c r="P583" s="19"/>
      <c r="Q583" s="21"/>
      <c r="R583" s="112"/>
      <c r="S583" s="113"/>
      <c r="T583" s="115"/>
    </row>
    <row r="584" ht="14.25" customHeight="1">
      <c r="C584" s="10"/>
      <c r="D584" s="18"/>
      <c r="E584" s="10"/>
      <c r="F584" s="134"/>
      <c r="G584" s="19"/>
      <c r="H584" s="21"/>
      <c r="I584" s="235"/>
      <c r="J584" s="216"/>
      <c r="K584" s="183"/>
      <c r="L584" s="21"/>
      <c r="M584" s="19"/>
      <c r="N584" s="21"/>
      <c r="O584" s="134"/>
      <c r="P584" s="19"/>
      <c r="Q584" s="21"/>
      <c r="R584" s="112"/>
      <c r="S584" s="113"/>
      <c r="T584" s="115"/>
    </row>
    <row r="585" ht="14.25" customHeight="1">
      <c r="C585" s="10"/>
      <c r="D585" s="18"/>
      <c r="E585" s="10"/>
      <c r="F585" s="134"/>
      <c r="G585" s="19"/>
      <c r="H585" s="21"/>
      <c r="I585" s="235"/>
      <c r="J585" s="216"/>
      <c r="K585" s="183"/>
      <c r="L585" s="21"/>
      <c r="M585" s="19"/>
      <c r="N585" s="21"/>
      <c r="O585" s="134"/>
      <c r="P585" s="19"/>
      <c r="Q585" s="21"/>
      <c r="R585" s="112"/>
      <c r="S585" s="113"/>
      <c r="T585" s="115"/>
    </row>
    <row r="586" ht="14.25" customHeight="1">
      <c r="C586" s="10"/>
      <c r="D586" s="18"/>
      <c r="E586" s="10"/>
      <c r="F586" s="134"/>
      <c r="G586" s="19"/>
      <c r="H586" s="21"/>
      <c r="I586" s="235"/>
      <c r="J586" s="216"/>
      <c r="K586" s="183"/>
      <c r="L586" s="21"/>
      <c r="M586" s="19"/>
      <c r="N586" s="21"/>
      <c r="O586" s="134"/>
      <c r="P586" s="19"/>
      <c r="Q586" s="21"/>
      <c r="R586" s="112"/>
      <c r="S586" s="113"/>
      <c r="T586" s="115"/>
    </row>
    <row r="587" ht="14.25" customHeight="1">
      <c r="C587" s="10"/>
      <c r="D587" s="18"/>
      <c r="E587" s="10"/>
      <c r="F587" s="134"/>
      <c r="G587" s="19"/>
      <c r="H587" s="21"/>
      <c r="I587" s="235"/>
      <c r="J587" s="216"/>
      <c r="K587" s="183"/>
      <c r="L587" s="21"/>
      <c r="M587" s="19"/>
      <c r="N587" s="21"/>
      <c r="O587" s="134"/>
      <c r="P587" s="19"/>
      <c r="Q587" s="21"/>
      <c r="R587" s="112"/>
      <c r="S587" s="113"/>
      <c r="T587" s="115"/>
    </row>
    <row r="588" ht="14.25" customHeight="1">
      <c r="C588" s="10"/>
      <c r="D588" s="18"/>
      <c r="E588" s="10"/>
      <c r="F588" s="134"/>
      <c r="G588" s="19"/>
      <c r="H588" s="21"/>
      <c r="I588" s="235"/>
      <c r="J588" s="216"/>
      <c r="K588" s="183"/>
      <c r="L588" s="21"/>
      <c r="M588" s="19"/>
      <c r="N588" s="21"/>
      <c r="O588" s="134"/>
      <c r="P588" s="19"/>
      <c r="Q588" s="21"/>
      <c r="R588" s="112"/>
      <c r="S588" s="113"/>
      <c r="T588" s="115"/>
    </row>
    <row r="589" ht="14.25" customHeight="1">
      <c r="C589" s="10"/>
      <c r="D589" s="18"/>
      <c r="E589" s="10"/>
      <c r="F589" s="134"/>
      <c r="G589" s="19"/>
      <c r="H589" s="21"/>
      <c r="I589" s="235"/>
      <c r="J589" s="216"/>
      <c r="K589" s="183"/>
      <c r="L589" s="21"/>
      <c r="M589" s="19"/>
      <c r="N589" s="21"/>
      <c r="O589" s="134"/>
      <c r="P589" s="19"/>
      <c r="Q589" s="21"/>
      <c r="R589" s="112"/>
      <c r="S589" s="113"/>
      <c r="T589" s="115"/>
    </row>
    <row r="590" ht="14.25" customHeight="1">
      <c r="C590" s="10"/>
      <c r="D590" s="18"/>
      <c r="E590" s="10"/>
      <c r="F590" s="134"/>
      <c r="G590" s="19"/>
      <c r="H590" s="21"/>
      <c r="I590" s="235"/>
      <c r="J590" s="216"/>
      <c r="K590" s="183"/>
      <c r="L590" s="21"/>
      <c r="M590" s="19"/>
      <c r="N590" s="21"/>
      <c r="O590" s="134"/>
      <c r="P590" s="19"/>
      <c r="Q590" s="21"/>
      <c r="R590" s="112"/>
      <c r="S590" s="113"/>
      <c r="T590" s="115"/>
    </row>
    <row r="591" ht="14.25" customHeight="1">
      <c r="C591" s="10"/>
      <c r="D591" s="18"/>
      <c r="E591" s="10"/>
      <c r="F591" s="134"/>
      <c r="G591" s="19"/>
      <c r="H591" s="21"/>
      <c r="I591" s="235"/>
      <c r="J591" s="216"/>
      <c r="K591" s="183"/>
      <c r="L591" s="21"/>
      <c r="M591" s="19"/>
      <c r="N591" s="21"/>
      <c r="O591" s="134"/>
      <c r="P591" s="19"/>
      <c r="Q591" s="21"/>
      <c r="R591" s="112"/>
      <c r="S591" s="113"/>
      <c r="T591" s="115"/>
    </row>
    <row r="592" ht="14.25" customHeight="1">
      <c r="C592" s="10"/>
      <c r="D592" s="18"/>
      <c r="E592" s="10"/>
      <c r="F592" s="134"/>
      <c r="G592" s="19"/>
      <c r="H592" s="21"/>
      <c r="I592" s="235"/>
      <c r="J592" s="216"/>
      <c r="K592" s="183"/>
      <c r="L592" s="21"/>
      <c r="M592" s="19"/>
      <c r="N592" s="21"/>
      <c r="O592" s="134"/>
      <c r="P592" s="19"/>
      <c r="Q592" s="21"/>
      <c r="R592" s="112"/>
      <c r="S592" s="113"/>
      <c r="T592" s="115"/>
    </row>
    <row r="593" ht="14.25" customHeight="1">
      <c r="C593" s="10"/>
      <c r="D593" s="18"/>
      <c r="E593" s="10"/>
      <c r="F593" s="134"/>
      <c r="G593" s="19"/>
      <c r="H593" s="21"/>
      <c r="I593" s="235"/>
      <c r="J593" s="216"/>
      <c r="K593" s="183"/>
      <c r="L593" s="21"/>
      <c r="M593" s="19"/>
      <c r="N593" s="21"/>
      <c r="O593" s="134"/>
      <c r="P593" s="19"/>
      <c r="Q593" s="21"/>
      <c r="R593" s="112"/>
      <c r="S593" s="113"/>
      <c r="T593" s="115"/>
    </row>
    <row r="594" ht="14.25" customHeight="1">
      <c r="C594" s="10"/>
      <c r="D594" s="18"/>
      <c r="E594" s="10"/>
      <c r="F594" s="134"/>
      <c r="G594" s="19"/>
      <c r="H594" s="21"/>
      <c r="I594" s="235"/>
      <c r="J594" s="216"/>
      <c r="K594" s="183"/>
      <c r="L594" s="21"/>
      <c r="M594" s="19"/>
      <c r="N594" s="21"/>
      <c r="O594" s="134"/>
      <c r="P594" s="19"/>
      <c r="Q594" s="21"/>
      <c r="R594" s="112"/>
      <c r="S594" s="113"/>
      <c r="T594" s="115"/>
    </row>
    <row r="595" ht="14.25" customHeight="1">
      <c r="C595" s="10"/>
      <c r="D595" s="18"/>
      <c r="E595" s="10"/>
      <c r="F595" s="134"/>
      <c r="G595" s="19"/>
      <c r="H595" s="21"/>
      <c r="I595" s="235"/>
      <c r="J595" s="216"/>
      <c r="K595" s="183"/>
      <c r="L595" s="21"/>
      <c r="M595" s="19"/>
      <c r="N595" s="21"/>
      <c r="O595" s="134"/>
      <c r="P595" s="19"/>
      <c r="Q595" s="21"/>
      <c r="R595" s="112"/>
      <c r="S595" s="113"/>
      <c r="T595" s="115"/>
    </row>
    <row r="596" ht="14.25" customHeight="1">
      <c r="C596" s="10"/>
      <c r="D596" s="18"/>
      <c r="E596" s="10"/>
      <c r="F596" s="134"/>
      <c r="G596" s="19"/>
      <c r="H596" s="21"/>
      <c r="I596" s="235"/>
      <c r="J596" s="216"/>
      <c r="K596" s="183"/>
      <c r="L596" s="21"/>
      <c r="M596" s="19"/>
      <c r="N596" s="21"/>
      <c r="O596" s="134"/>
      <c r="P596" s="19"/>
      <c r="Q596" s="21"/>
      <c r="R596" s="112"/>
      <c r="S596" s="113"/>
      <c r="T596" s="115"/>
    </row>
    <row r="597" ht="14.25" customHeight="1">
      <c r="C597" s="10"/>
      <c r="D597" s="18"/>
      <c r="E597" s="10"/>
      <c r="F597" s="134"/>
      <c r="G597" s="19"/>
      <c r="H597" s="21"/>
      <c r="I597" s="235"/>
      <c r="J597" s="216"/>
      <c r="K597" s="183"/>
      <c r="L597" s="21"/>
      <c r="M597" s="19"/>
      <c r="N597" s="21"/>
      <c r="O597" s="134"/>
      <c r="P597" s="19"/>
      <c r="Q597" s="21"/>
      <c r="R597" s="112"/>
      <c r="S597" s="113"/>
      <c r="T597" s="115"/>
    </row>
    <row r="598" ht="14.25" customHeight="1">
      <c r="C598" s="10"/>
      <c r="D598" s="18"/>
      <c r="E598" s="10"/>
      <c r="F598" s="134"/>
      <c r="G598" s="19"/>
      <c r="H598" s="21"/>
      <c r="I598" s="235"/>
      <c r="J598" s="216"/>
      <c r="K598" s="183"/>
      <c r="L598" s="21"/>
      <c r="M598" s="19"/>
      <c r="N598" s="21"/>
      <c r="O598" s="134"/>
      <c r="P598" s="19"/>
      <c r="Q598" s="21"/>
      <c r="R598" s="112"/>
      <c r="S598" s="113"/>
      <c r="T598" s="115"/>
    </row>
    <row r="599" ht="14.25" customHeight="1">
      <c r="C599" s="10"/>
      <c r="D599" s="18"/>
      <c r="E599" s="10"/>
      <c r="F599" s="134"/>
      <c r="G599" s="19"/>
      <c r="H599" s="21"/>
      <c r="I599" s="235"/>
      <c r="J599" s="216"/>
      <c r="K599" s="183"/>
      <c r="L599" s="21"/>
      <c r="M599" s="19"/>
      <c r="N599" s="21"/>
      <c r="O599" s="134"/>
      <c r="P599" s="19"/>
      <c r="Q599" s="21"/>
      <c r="R599" s="112"/>
      <c r="S599" s="113"/>
      <c r="T599" s="115"/>
    </row>
    <row r="600" ht="14.25" customHeight="1">
      <c r="C600" s="10"/>
      <c r="D600" s="18"/>
      <c r="E600" s="10"/>
      <c r="F600" s="134"/>
      <c r="G600" s="19"/>
      <c r="H600" s="21"/>
      <c r="I600" s="235"/>
      <c r="J600" s="216"/>
      <c r="K600" s="183"/>
      <c r="L600" s="21"/>
      <c r="M600" s="19"/>
      <c r="N600" s="21"/>
      <c r="O600" s="134"/>
      <c r="P600" s="19"/>
      <c r="Q600" s="21"/>
      <c r="R600" s="112"/>
      <c r="S600" s="113"/>
      <c r="T600" s="115"/>
    </row>
    <row r="601" ht="14.25" customHeight="1">
      <c r="C601" s="10"/>
      <c r="D601" s="18"/>
      <c r="E601" s="10"/>
      <c r="F601" s="134"/>
      <c r="G601" s="19"/>
      <c r="H601" s="21"/>
      <c r="I601" s="235"/>
      <c r="J601" s="216"/>
      <c r="K601" s="183"/>
      <c r="L601" s="21"/>
      <c r="M601" s="19"/>
      <c r="N601" s="21"/>
      <c r="O601" s="134"/>
      <c r="P601" s="19"/>
      <c r="Q601" s="21"/>
      <c r="R601" s="112"/>
      <c r="S601" s="113"/>
      <c r="T601" s="115"/>
    </row>
    <row r="602" ht="14.25" customHeight="1">
      <c r="C602" s="10"/>
      <c r="D602" s="18"/>
      <c r="E602" s="10"/>
      <c r="F602" s="134"/>
      <c r="G602" s="19"/>
      <c r="H602" s="21"/>
      <c r="I602" s="235"/>
      <c r="J602" s="216"/>
      <c r="K602" s="183"/>
      <c r="L602" s="21"/>
      <c r="M602" s="19"/>
      <c r="N602" s="21"/>
      <c r="O602" s="134"/>
      <c r="P602" s="19"/>
      <c r="Q602" s="21"/>
      <c r="R602" s="112"/>
      <c r="S602" s="113"/>
      <c r="T602" s="115"/>
    </row>
    <row r="603" ht="14.25" customHeight="1">
      <c r="C603" s="10"/>
      <c r="D603" s="18"/>
      <c r="E603" s="10"/>
      <c r="F603" s="134"/>
      <c r="G603" s="19"/>
      <c r="H603" s="21"/>
      <c r="I603" s="235"/>
      <c r="J603" s="216"/>
      <c r="K603" s="183"/>
      <c r="L603" s="21"/>
      <c r="M603" s="19"/>
      <c r="N603" s="21"/>
      <c r="O603" s="134"/>
      <c r="P603" s="19"/>
      <c r="Q603" s="21"/>
      <c r="R603" s="112"/>
      <c r="S603" s="113"/>
      <c r="T603" s="115"/>
    </row>
    <row r="604" ht="14.25" customHeight="1">
      <c r="C604" s="10"/>
      <c r="D604" s="18"/>
      <c r="E604" s="10"/>
      <c r="F604" s="134"/>
      <c r="G604" s="19"/>
      <c r="H604" s="21"/>
      <c r="I604" s="235"/>
      <c r="J604" s="216"/>
      <c r="K604" s="183"/>
      <c r="L604" s="21"/>
      <c r="M604" s="19"/>
      <c r="N604" s="21"/>
      <c r="O604" s="134"/>
      <c r="P604" s="19"/>
      <c r="Q604" s="21"/>
      <c r="R604" s="112"/>
      <c r="S604" s="113"/>
      <c r="T604" s="115"/>
    </row>
    <row r="605" ht="14.25" customHeight="1">
      <c r="C605" s="10"/>
      <c r="D605" s="18"/>
      <c r="E605" s="10"/>
      <c r="F605" s="134"/>
      <c r="G605" s="19"/>
      <c r="H605" s="21"/>
      <c r="I605" s="235"/>
      <c r="J605" s="216"/>
      <c r="K605" s="183"/>
      <c r="L605" s="21"/>
      <c r="M605" s="19"/>
      <c r="N605" s="21"/>
      <c r="O605" s="134"/>
      <c r="P605" s="19"/>
      <c r="Q605" s="21"/>
      <c r="R605" s="112"/>
      <c r="S605" s="113"/>
      <c r="T605" s="115"/>
    </row>
    <row r="606" ht="14.25" customHeight="1">
      <c r="C606" s="10"/>
      <c r="D606" s="18"/>
      <c r="E606" s="10"/>
      <c r="F606" s="134"/>
      <c r="G606" s="19"/>
      <c r="H606" s="21"/>
      <c r="I606" s="235"/>
      <c r="J606" s="216"/>
      <c r="K606" s="183"/>
      <c r="L606" s="21"/>
      <c r="M606" s="19"/>
      <c r="N606" s="21"/>
      <c r="O606" s="134"/>
      <c r="P606" s="19"/>
      <c r="Q606" s="21"/>
      <c r="R606" s="112"/>
      <c r="S606" s="113"/>
      <c r="T606" s="115"/>
    </row>
    <row r="607" ht="14.25" customHeight="1">
      <c r="C607" s="10"/>
      <c r="D607" s="18"/>
      <c r="E607" s="10"/>
      <c r="F607" s="134"/>
      <c r="G607" s="19"/>
      <c r="H607" s="21"/>
      <c r="I607" s="235"/>
      <c r="J607" s="216"/>
      <c r="K607" s="183"/>
      <c r="L607" s="21"/>
      <c r="M607" s="19"/>
      <c r="N607" s="21"/>
      <c r="O607" s="134"/>
      <c r="P607" s="19"/>
      <c r="Q607" s="21"/>
      <c r="R607" s="112"/>
      <c r="S607" s="113"/>
      <c r="T607" s="115"/>
    </row>
    <row r="608" ht="14.25" customHeight="1">
      <c r="C608" s="10"/>
      <c r="D608" s="18"/>
      <c r="E608" s="10"/>
      <c r="F608" s="134"/>
      <c r="G608" s="19"/>
      <c r="H608" s="21"/>
      <c r="I608" s="235"/>
      <c r="J608" s="216"/>
      <c r="K608" s="183"/>
      <c r="L608" s="21"/>
      <c r="M608" s="19"/>
      <c r="N608" s="21"/>
      <c r="O608" s="134"/>
      <c r="P608" s="19"/>
      <c r="Q608" s="21"/>
      <c r="R608" s="112"/>
      <c r="S608" s="113"/>
      <c r="T608" s="115"/>
    </row>
    <row r="609" ht="14.25" customHeight="1">
      <c r="C609" s="10"/>
      <c r="D609" s="18"/>
      <c r="E609" s="10"/>
      <c r="F609" s="134"/>
      <c r="G609" s="19"/>
      <c r="H609" s="21"/>
      <c r="I609" s="235"/>
      <c r="J609" s="216"/>
      <c r="K609" s="183"/>
      <c r="L609" s="21"/>
      <c r="M609" s="19"/>
      <c r="N609" s="21"/>
      <c r="O609" s="134"/>
      <c r="P609" s="19"/>
      <c r="Q609" s="21"/>
      <c r="R609" s="112"/>
      <c r="S609" s="113"/>
      <c r="T609" s="115"/>
    </row>
    <row r="610" ht="14.25" customHeight="1">
      <c r="C610" s="10"/>
      <c r="D610" s="18"/>
      <c r="E610" s="10"/>
      <c r="F610" s="134"/>
      <c r="G610" s="19"/>
      <c r="H610" s="21"/>
      <c r="I610" s="235"/>
      <c r="J610" s="216"/>
      <c r="K610" s="183"/>
      <c r="L610" s="21"/>
      <c r="M610" s="19"/>
      <c r="N610" s="21"/>
      <c r="O610" s="134"/>
      <c r="P610" s="19"/>
      <c r="Q610" s="21"/>
      <c r="R610" s="112"/>
      <c r="S610" s="113"/>
      <c r="T610" s="115"/>
    </row>
    <row r="611" ht="14.25" customHeight="1">
      <c r="C611" s="10"/>
      <c r="D611" s="18"/>
      <c r="E611" s="10"/>
      <c r="F611" s="134"/>
      <c r="G611" s="19"/>
      <c r="H611" s="21"/>
      <c r="I611" s="235"/>
      <c r="J611" s="216"/>
      <c r="K611" s="183"/>
      <c r="L611" s="21"/>
      <c r="M611" s="19"/>
      <c r="N611" s="21"/>
      <c r="O611" s="134"/>
      <c r="P611" s="19"/>
      <c r="Q611" s="21"/>
      <c r="R611" s="112"/>
      <c r="S611" s="113"/>
      <c r="T611" s="115"/>
    </row>
    <row r="612" ht="14.25" customHeight="1">
      <c r="C612" s="10"/>
      <c r="D612" s="18"/>
      <c r="E612" s="10"/>
      <c r="F612" s="134"/>
      <c r="G612" s="19"/>
      <c r="H612" s="21"/>
      <c r="I612" s="235"/>
      <c r="J612" s="216"/>
      <c r="K612" s="183"/>
      <c r="L612" s="21"/>
      <c r="M612" s="19"/>
      <c r="N612" s="21"/>
      <c r="O612" s="134"/>
      <c r="P612" s="19"/>
      <c r="Q612" s="21"/>
      <c r="R612" s="112"/>
      <c r="S612" s="113"/>
      <c r="T612" s="115"/>
    </row>
    <row r="613" ht="14.25" customHeight="1">
      <c r="C613" s="10"/>
      <c r="D613" s="18"/>
      <c r="E613" s="10"/>
      <c r="F613" s="134"/>
      <c r="G613" s="19"/>
      <c r="H613" s="21"/>
      <c r="I613" s="235"/>
      <c r="J613" s="216"/>
      <c r="K613" s="183"/>
      <c r="L613" s="21"/>
      <c r="M613" s="19"/>
      <c r="N613" s="21"/>
      <c r="O613" s="134"/>
      <c r="P613" s="19"/>
      <c r="Q613" s="21"/>
      <c r="R613" s="112"/>
      <c r="S613" s="113"/>
      <c r="T613" s="115"/>
    </row>
    <row r="614" ht="14.25" customHeight="1">
      <c r="C614" s="10"/>
      <c r="D614" s="18"/>
      <c r="E614" s="10"/>
      <c r="F614" s="134"/>
      <c r="G614" s="19"/>
      <c r="H614" s="21"/>
      <c r="I614" s="235"/>
      <c r="J614" s="216"/>
      <c r="K614" s="183"/>
      <c r="L614" s="21"/>
      <c r="M614" s="19"/>
      <c r="N614" s="21"/>
      <c r="O614" s="134"/>
      <c r="P614" s="19"/>
      <c r="Q614" s="21"/>
      <c r="R614" s="112"/>
      <c r="S614" s="113"/>
      <c r="T614" s="115"/>
    </row>
    <row r="615" ht="14.25" customHeight="1">
      <c r="C615" s="10"/>
      <c r="D615" s="18"/>
      <c r="E615" s="10"/>
      <c r="F615" s="134"/>
      <c r="G615" s="19"/>
      <c r="H615" s="21"/>
      <c r="I615" s="235"/>
      <c r="J615" s="216"/>
      <c r="K615" s="183"/>
      <c r="L615" s="21"/>
      <c r="M615" s="19"/>
      <c r="N615" s="21"/>
      <c r="O615" s="134"/>
      <c r="P615" s="19"/>
      <c r="Q615" s="21"/>
      <c r="R615" s="112"/>
      <c r="S615" s="113"/>
      <c r="T615" s="115"/>
    </row>
    <row r="616" ht="14.25" customHeight="1">
      <c r="C616" s="10"/>
      <c r="D616" s="18"/>
      <c r="E616" s="10"/>
      <c r="F616" s="134"/>
      <c r="G616" s="19"/>
      <c r="H616" s="21"/>
      <c r="I616" s="235"/>
      <c r="J616" s="216"/>
      <c r="K616" s="183"/>
      <c r="L616" s="21"/>
      <c r="M616" s="19"/>
      <c r="N616" s="21"/>
      <c r="O616" s="134"/>
      <c r="P616" s="19"/>
      <c r="Q616" s="21"/>
      <c r="R616" s="112"/>
      <c r="S616" s="113"/>
      <c r="T616" s="115"/>
    </row>
    <row r="617" ht="14.25" customHeight="1">
      <c r="C617" s="10"/>
      <c r="D617" s="18"/>
      <c r="E617" s="10"/>
      <c r="F617" s="134"/>
      <c r="G617" s="19"/>
      <c r="H617" s="21"/>
      <c r="I617" s="235"/>
      <c r="J617" s="216"/>
      <c r="K617" s="183"/>
      <c r="L617" s="21"/>
      <c r="M617" s="19"/>
      <c r="N617" s="21"/>
      <c r="O617" s="134"/>
      <c r="P617" s="19"/>
      <c r="Q617" s="21"/>
      <c r="R617" s="112"/>
      <c r="S617" s="113"/>
      <c r="T617" s="115"/>
    </row>
    <row r="618" ht="14.25" customHeight="1">
      <c r="C618" s="10"/>
      <c r="D618" s="18"/>
      <c r="E618" s="10"/>
      <c r="F618" s="134"/>
      <c r="G618" s="19"/>
      <c r="H618" s="21"/>
      <c r="I618" s="235"/>
      <c r="J618" s="216"/>
      <c r="K618" s="183"/>
      <c r="L618" s="21"/>
      <c r="M618" s="19"/>
      <c r="N618" s="21"/>
      <c r="O618" s="134"/>
      <c r="P618" s="19"/>
      <c r="Q618" s="21"/>
      <c r="R618" s="112"/>
      <c r="S618" s="113"/>
      <c r="T618" s="115"/>
    </row>
    <row r="619" ht="14.25" customHeight="1">
      <c r="C619" s="10"/>
      <c r="D619" s="18"/>
      <c r="E619" s="10"/>
      <c r="F619" s="134"/>
      <c r="G619" s="19"/>
      <c r="H619" s="21"/>
      <c r="I619" s="235"/>
      <c r="J619" s="216"/>
      <c r="K619" s="183"/>
      <c r="L619" s="21"/>
      <c r="M619" s="19"/>
      <c r="N619" s="21"/>
      <c r="O619" s="134"/>
      <c r="P619" s="19"/>
      <c r="Q619" s="21"/>
      <c r="R619" s="112"/>
      <c r="S619" s="113"/>
      <c r="T619" s="115"/>
    </row>
    <row r="620" ht="14.25" customHeight="1">
      <c r="C620" s="10"/>
      <c r="D620" s="18"/>
      <c r="E620" s="10"/>
      <c r="F620" s="134"/>
      <c r="G620" s="19"/>
      <c r="H620" s="21"/>
      <c r="I620" s="235"/>
      <c r="J620" s="216"/>
      <c r="K620" s="183"/>
      <c r="L620" s="21"/>
      <c r="M620" s="19"/>
      <c r="N620" s="21"/>
      <c r="O620" s="134"/>
      <c r="P620" s="19"/>
      <c r="Q620" s="21"/>
      <c r="R620" s="112"/>
      <c r="S620" s="113"/>
      <c r="T620" s="115"/>
    </row>
    <row r="621" ht="14.25" customHeight="1">
      <c r="C621" s="10"/>
      <c r="D621" s="18"/>
      <c r="E621" s="10"/>
      <c r="F621" s="134"/>
      <c r="G621" s="19"/>
      <c r="H621" s="21"/>
      <c r="I621" s="235"/>
      <c r="J621" s="216"/>
      <c r="K621" s="183"/>
      <c r="L621" s="21"/>
      <c r="M621" s="19"/>
      <c r="N621" s="21"/>
      <c r="O621" s="134"/>
      <c r="P621" s="19"/>
      <c r="Q621" s="21"/>
      <c r="R621" s="112"/>
      <c r="S621" s="113"/>
      <c r="T621" s="115"/>
    </row>
    <row r="622" ht="14.25" customHeight="1">
      <c r="C622" s="10"/>
      <c r="D622" s="18"/>
      <c r="E622" s="10"/>
      <c r="F622" s="134"/>
      <c r="G622" s="19"/>
      <c r="H622" s="21"/>
      <c r="I622" s="235"/>
      <c r="J622" s="216"/>
      <c r="K622" s="183"/>
      <c r="L622" s="21"/>
      <c r="M622" s="19"/>
      <c r="N622" s="21"/>
      <c r="O622" s="134"/>
      <c r="P622" s="19"/>
      <c r="Q622" s="21"/>
      <c r="R622" s="112"/>
      <c r="S622" s="113"/>
      <c r="T622" s="115"/>
    </row>
    <row r="623" ht="14.25" customHeight="1">
      <c r="C623" s="10"/>
      <c r="D623" s="18"/>
      <c r="E623" s="10"/>
      <c r="F623" s="134"/>
      <c r="G623" s="19"/>
      <c r="H623" s="21"/>
      <c r="I623" s="235"/>
      <c r="J623" s="216"/>
      <c r="K623" s="183"/>
      <c r="L623" s="21"/>
      <c r="M623" s="19"/>
      <c r="N623" s="21"/>
      <c r="O623" s="134"/>
      <c r="P623" s="19"/>
      <c r="Q623" s="21"/>
      <c r="R623" s="112"/>
      <c r="S623" s="113"/>
      <c r="T623" s="115"/>
    </row>
    <row r="624" ht="14.25" customHeight="1">
      <c r="C624" s="10"/>
      <c r="D624" s="18"/>
      <c r="E624" s="10"/>
      <c r="F624" s="134"/>
      <c r="G624" s="19"/>
      <c r="H624" s="21"/>
      <c r="I624" s="235"/>
      <c r="J624" s="216"/>
      <c r="K624" s="183"/>
      <c r="L624" s="21"/>
      <c r="M624" s="19"/>
      <c r="N624" s="21"/>
      <c r="O624" s="134"/>
      <c r="P624" s="19"/>
      <c r="Q624" s="21"/>
      <c r="R624" s="112"/>
      <c r="S624" s="113"/>
      <c r="T624" s="115"/>
    </row>
    <row r="625" ht="14.25" customHeight="1">
      <c r="C625" s="10"/>
      <c r="D625" s="18"/>
      <c r="E625" s="10"/>
      <c r="F625" s="134"/>
      <c r="G625" s="19"/>
      <c r="H625" s="21"/>
      <c r="I625" s="235"/>
      <c r="J625" s="216"/>
      <c r="K625" s="183"/>
      <c r="L625" s="21"/>
      <c r="M625" s="19"/>
      <c r="N625" s="21"/>
      <c r="O625" s="134"/>
      <c r="P625" s="19"/>
      <c r="Q625" s="21"/>
      <c r="R625" s="112"/>
      <c r="S625" s="113"/>
      <c r="T625" s="115"/>
    </row>
    <row r="626" ht="14.25" customHeight="1">
      <c r="C626" s="10"/>
      <c r="D626" s="18"/>
      <c r="E626" s="10"/>
      <c r="F626" s="134"/>
      <c r="G626" s="19"/>
      <c r="H626" s="21"/>
      <c r="I626" s="235"/>
      <c r="J626" s="216"/>
      <c r="K626" s="183"/>
      <c r="L626" s="21"/>
      <c r="M626" s="19"/>
      <c r="N626" s="21"/>
      <c r="O626" s="134"/>
      <c r="P626" s="19"/>
      <c r="Q626" s="21"/>
      <c r="R626" s="112"/>
      <c r="S626" s="113"/>
      <c r="T626" s="115"/>
    </row>
    <row r="627" ht="14.25" customHeight="1">
      <c r="C627" s="10"/>
      <c r="D627" s="18"/>
      <c r="E627" s="10"/>
      <c r="F627" s="134"/>
      <c r="G627" s="19"/>
      <c r="H627" s="21"/>
      <c r="I627" s="235"/>
      <c r="J627" s="216"/>
      <c r="K627" s="183"/>
      <c r="L627" s="21"/>
      <c r="M627" s="19"/>
      <c r="N627" s="21"/>
      <c r="O627" s="134"/>
      <c r="P627" s="19"/>
      <c r="Q627" s="21"/>
      <c r="R627" s="112"/>
      <c r="S627" s="113"/>
      <c r="T627" s="115"/>
    </row>
    <row r="628" ht="14.25" customHeight="1">
      <c r="C628" s="10"/>
      <c r="D628" s="18"/>
      <c r="E628" s="10"/>
      <c r="F628" s="134"/>
      <c r="G628" s="19"/>
      <c r="H628" s="21"/>
      <c r="I628" s="235"/>
      <c r="J628" s="216"/>
      <c r="K628" s="183"/>
      <c r="L628" s="21"/>
      <c r="M628" s="19"/>
      <c r="N628" s="21"/>
      <c r="O628" s="134"/>
      <c r="P628" s="19"/>
      <c r="Q628" s="21"/>
      <c r="R628" s="112"/>
      <c r="S628" s="113"/>
      <c r="T628" s="115"/>
    </row>
    <row r="629" ht="14.25" customHeight="1">
      <c r="C629" s="10"/>
      <c r="D629" s="18"/>
      <c r="E629" s="10"/>
      <c r="F629" s="134"/>
      <c r="G629" s="19"/>
      <c r="H629" s="21"/>
      <c r="I629" s="235"/>
      <c r="J629" s="216"/>
      <c r="K629" s="183"/>
      <c r="L629" s="21"/>
      <c r="M629" s="19"/>
      <c r="N629" s="21"/>
      <c r="O629" s="134"/>
      <c r="P629" s="19"/>
      <c r="Q629" s="21"/>
      <c r="R629" s="112"/>
      <c r="S629" s="113"/>
      <c r="T629" s="115"/>
    </row>
    <row r="630" ht="14.25" customHeight="1">
      <c r="C630" s="10"/>
      <c r="D630" s="18"/>
      <c r="E630" s="10"/>
      <c r="F630" s="134"/>
      <c r="G630" s="19"/>
      <c r="H630" s="21"/>
      <c r="I630" s="235"/>
      <c r="J630" s="216"/>
      <c r="K630" s="183"/>
      <c r="L630" s="21"/>
      <c r="M630" s="19"/>
      <c r="N630" s="21"/>
      <c r="O630" s="134"/>
      <c r="P630" s="19"/>
      <c r="Q630" s="21"/>
      <c r="R630" s="112"/>
      <c r="S630" s="113"/>
      <c r="T630" s="115"/>
    </row>
    <row r="631" ht="14.25" customHeight="1">
      <c r="C631" s="10"/>
      <c r="D631" s="18"/>
      <c r="E631" s="10"/>
      <c r="F631" s="134"/>
      <c r="G631" s="19"/>
      <c r="H631" s="21"/>
      <c r="I631" s="235"/>
      <c r="J631" s="216"/>
      <c r="K631" s="183"/>
      <c r="L631" s="21"/>
      <c r="M631" s="19"/>
      <c r="N631" s="21"/>
      <c r="O631" s="134"/>
      <c r="P631" s="19"/>
      <c r="Q631" s="21"/>
      <c r="R631" s="112"/>
      <c r="S631" s="113"/>
      <c r="T631" s="115"/>
    </row>
    <row r="632" ht="14.25" customHeight="1">
      <c r="C632" s="10"/>
      <c r="D632" s="18"/>
      <c r="E632" s="10"/>
      <c r="F632" s="134"/>
      <c r="G632" s="19"/>
      <c r="H632" s="21"/>
      <c r="I632" s="235"/>
      <c r="J632" s="216"/>
      <c r="K632" s="183"/>
      <c r="L632" s="21"/>
      <c r="M632" s="19"/>
      <c r="N632" s="21"/>
      <c r="O632" s="134"/>
      <c r="P632" s="19"/>
      <c r="Q632" s="21"/>
      <c r="R632" s="112"/>
      <c r="S632" s="113"/>
      <c r="T632" s="115"/>
    </row>
    <row r="633" ht="14.25" customHeight="1">
      <c r="C633" s="10"/>
      <c r="D633" s="18"/>
      <c r="E633" s="10"/>
      <c r="F633" s="134"/>
      <c r="G633" s="19"/>
      <c r="H633" s="21"/>
      <c r="I633" s="235"/>
      <c r="J633" s="216"/>
      <c r="K633" s="183"/>
      <c r="L633" s="21"/>
      <c r="M633" s="19"/>
      <c r="N633" s="21"/>
      <c r="O633" s="134"/>
      <c r="P633" s="19"/>
      <c r="Q633" s="21"/>
      <c r="R633" s="112"/>
      <c r="S633" s="113"/>
      <c r="T633" s="115"/>
    </row>
    <row r="634" ht="14.25" customHeight="1">
      <c r="C634" s="10"/>
      <c r="D634" s="18"/>
      <c r="E634" s="10"/>
      <c r="F634" s="134"/>
      <c r="G634" s="19"/>
      <c r="H634" s="21"/>
      <c r="I634" s="235"/>
      <c r="J634" s="216"/>
      <c r="K634" s="183"/>
      <c r="L634" s="21"/>
      <c r="M634" s="19"/>
      <c r="N634" s="21"/>
      <c r="O634" s="134"/>
      <c r="P634" s="19"/>
      <c r="Q634" s="21"/>
      <c r="R634" s="112"/>
      <c r="S634" s="113"/>
      <c r="T634" s="115"/>
    </row>
    <row r="635" ht="14.25" customHeight="1">
      <c r="C635" s="10"/>
      <c r="D635" s="18"/>
      <c r="E635" s="10"/>
      <c r="F635" s="134"/>
      <c r="G635" s="19"/>
      <c r="H635" s="21"/>
      <c r="I635" s="235"/>
      <c r="J635" s="216"/>
      <c r="K635" s="183"/>
      <c r="L635" s="21"/>
      <c r="M635" s="19"/>
      <c r="N635" s="21"/>
      <c r="O635" s="134"/>
      <c r="P635" s="19"/>
      <c r="Q635" s="21"/>
      <c r="R635" s="112"/>
      <c r="S635" s="113"/>
      <c r="T635" s="115"/>
    </row>
    <row r="636" ht="14.25" customHeight="1">
      <c r="C636" s="10"/>
      <c r="D636" s="18"/>
      <c r="E636" s="10"/>
      <c r="F636" s="134"/>
      <c r="G636" s="19"/>
      <c r="H636" s="21"/>
      <c r="I636" s="235"/>
      <c r="J636" s="216"/>
      <c r="K636" s="183"/>
      <c r="L636" s="21"/>
      <c r="M636" s="19"/>
      <c r="N636" s="21"/>
      <c r="O636" s="134"/>
      <c r="P636" s="19"/>
      <c r="Q636" s="21"/>
      <c r="R636" s="112"/>
      <c r="S636" s="113"/>
      <c r="T636" s="115"/>
    </row>
    <row r="637" ht="14.25" customHeight="1">
      <c r="C637" s="10"/>
      <c r="D637" s="18"/>
      <c r="E637" s="10"/>
      <c r="F637" s="134"/>
      <c r="G637" s="19"/>
      <c r="H637" s="21"/>
      <c r="I637" s="235"/>
      <c r="J637" s="216"/>
      <c r="K637" s="183"/>
      <c r="L637" s="21"/>
      <c r="M637" s="19"/>
      <c r="N637" s="21"/>
      <c r="O637" s="134"/>
      <c r="P637" s="19"/>
      <c r="Q637" s="21"/>
      <c r="R637" s="112"/>
      <c r="S637" s="113"/>
      <c r="T637" s="115"/>
    </row>
    <row r="638" ht="14.25" customHeight="1">
      <c r="C638" s="10"/>
      <c r="D638" s="18"/>
      <c r="E638" s="10"/>
      <c r="F638" s="134"/>
      <c r="G638" s="19"/>
      <c r="H638" s="21"/>
      <c r="I638" s="235"/>
      <c r="J638" s="216"/>
      <c r="K638" s="183"/>
      <c r="L638" s="21"/>
      <c r="M638" s="19"/>
      <c r="N638" s="21"/>
      <c r="O638" s="134"/>
      <c r="P638" s="19"/>
      <c r="Q638" s="21"/>
      <c r="R638" s="112"/>
      <c r="S638" s="113"/>
      <c r="T638" s="115"/>
    </row>
    <row r="639" ht="14.25" customHeight="1">
      <c r="C639" s="10"/>
      <c r="D639" s="18"/>
      <c r="E639" s="10"/>
      <c r="F639" s="134"/>
      <c r="G639" s="19"/>
      <c r="H639" s="21"/>
      <c r="I639" s="235"/>
      <c r="J639" s="216"/>
      <c r="K639" s="183"/>
      <c r="L639" s="21"/>
      <c r="M639" s="19"/>
      <c r="N639" s="21"/>
      <c r="O639" s="134"/>
      <c r="P639" s="19"/>
      <c r="Q639" s="21"/>
      <c r="R639" s="112"/>
      <c r="S639" s="113"/>
      <c r="T639" s="115"/>
    </row>
    <row r="640" ht="14.25" customHeight="1">
      <c r="C640" s="10"/>
      <c r="D640" s="18"/>
      <c r="E640" s="10"/>
      <c r="F640" s="134"/>
      <c r="G640" s="19"/>
      <c r="H640" s="21"/>
      <c r="I640" s="235"/>
      <c r="J640" s="216"/>
      <c r="K640" s="183"/>
      <c r="L640" s="21"/>
      <c r="M640" s="19"/>
      <c r="N640" s="21"/>
      <c r="O640" s="134"/>
      <c r="P640" s="19"/>
      <c r="Q640" s="21"/>
      <c r="R640" s="112"/>
      <c r="S640" s="113"/>
      <c r="T640" s="115"/>
    </row>
    <row r="641" ht="14.25" customHeight="1">
      <c r="C641" s="10"/>
      <c r="D641" s="18"/>
      <c r="E641" s="10"/>
      <c r="F641" s="134"/>
      <c r="G641" s="19"/>
      <c r="H641" s="21"/>
      <c r="I641" s="235"/>
      <c r="J641" s="216"/>
      <c r="K641" s="183"/>
      <c r="L641" s="21"/>
      <c r="M641" s="19"/>
      <c r="N641" s="21"/>
      <c r="O641" s="134"/>
      <c r="P641" s="19"/>
      <c r="Q641" s="21"/>
      <c r="R641" s="112"/>
      <c r="S641" s="113"/>
      <c r="T641" s="115"/>
    </row>
    <row r="642" ht="14.25" customHeight="1">
      <c r="C642" s="10"/>
      <c r="D642" s="18"/>
      <c r="E642" s="10"/>
      <c r="F642" s="134"/>
      <c r="G642" s="19"/>
      <c r="H642" s="21"/>
      <c r="I642" s="235"/>
      <c r="J642" s="216"/>
      <c r="K642" s="183"/>
      <c r="L642" s="21"/>
      <c r="M642" s="19"/>
      <c r="N642" s="21"/>
      <c r="O642" s="134"/>
      <c r="P642" s="19"/>
      <c r="Q642" s="21"/>
      <c r="R642" s="112"/>
      <c r="S642" s="113"/>
      <c r="T642" s="115"/>
    </row>
    <row r="643" ht="14.25" customHeight="1">
      <c r="C643" s="10"/>
      <c r="D643" s="18"/>
      <c r="E643" s="10"/>
      <c r="F643" s="134"/>
      <c r="G643" s="19"/>
      <c r="H643" s="21"/>
      <c r="I643" s="235"/>
      <c r="J643" s="216"/>
      <c r="K643" s="183"/>
      <c r="L643" s="21"/>
      <c r="M643" s="19"/>
      <c r="N643" s="21"/>
      <c r="O643" s="134"/>
      <c r="P643" s="19"/>
      <c r="Q643" s="21"/>
      <c r="R643" s="112"/>
      <c r="S643" s="113"/>
      <c r="T643" s="115"/>
    </row>
    <row r="644" ht="14.25" customHeight="1">
      <c r="C644" s="10"/>
      <c r="D644" s="18"/>
      <c r="E644" s="10"/>
      <c r="F644" s="134"/>
      <c r="G644" s="19"/>
      <c r="H644" s="21"/>
      <c r="I644" s="235"/>
      <c r="J644" s="216"/>
      <c r="K644" s="183"/>
      <c r="L644" s="21"/>
      <c r="M644" s="19"/>
      <c r="N644" s="21"/>
      <c r="O644" s="134"/>
      <c r="P644" s="19"/>
      <c r="Q644" s="21"/>
      <c r="R644" s="112"/>
      <c r="S644" s="113"/>
      <c r="T644" s="115"/>
    </row>
    <row r="645" ht="14.25" customHeight="1">
      <c r="C645" s="10"/>
      <c r="D645" s="18"/>
      <c r="E645" s="10"/>
      <c r="F645" s="134"/>
      <c r="G645" s="19"/>
      <c r="H645" s="21"/>
      <c r="I645" s="235"/>
      <c r="J645" s="216"/>
      <c r="K645" s="183"/>
      <c r="L645" s="21"/>
      <c r="M645" s="19"/>
      <c r="N645" s="21"/>
      <c r="O645" s="134"/>
      <c r="P645" s="19"/>
      <c r="Q645" s="21"/>
      <c r="R645" s="112"/>
      <c r="S645" s="113"/>
      <c r="T645" s="115"/>
    </row>
    <row r="646" ht="14.25" customHeight="1">
      <c r="C646" s="10"/>
      <c r="D646" s="18"/>
      <c r="E646" s="10"/>
      <c r="F646" s="134"/>
      <c r="G646" s="19"/>
      <c r="H646" s="21"/>
      <c r="I646" s="235"/>
      <c r="J646" s="216"/>
      <c r="K646" s="183"/>
      <c r="L646" s="21"/>
      <c r="M646" s="19"/>
      <c r="N646" s="21"/>
      <c r="O646" s="134"/>
      <c r="P646" s="19"/>
      <c r="Q646" s="21"/>
      <c r="R646" s="112"/>
      <c r="S646" s="113"/>
      <c r="T646" s="115"/>
    </row>
    <row r="647" ht="14.25" customHeight="1">
      <c r="C647" s="10"/>
      <c r="D647" s="18"/>
      <c r="E647" s="10"/>
      <c r="F647" s="134"/>
      <c r="G647" s="19"/>
      <c r="H647" s="21"/>
      <c r="I647" s="235"/>
      <c r="J647" s="216"/>
      <c r="K647" s="183"/>
      <c r="L647" s="21"/>
      <c r="M647" s="19"/>
      <c r="N647" s="21"/>
      <c r="O647" s="134"/>
      <c r="P647" s="19"/>
      <c r="Q647" s="21"/>
      <c r="R647" s="112"/>
      <c r="S647" s="113"/>
      <c r="T647" s="115"/>
    </row>
    <row r="648" ht="14.25" customHeight="1">
      <c r="C648" s="10"/>
      <c r="D648" s="18"/>
      <c r="E648" s="10"/>
      <c r="F648" s="134"/>
      <c r="G648" s="19"/>
      <c r="H648" s="21"/>
      <c r="I648" s="235"/>
      <c r="J648" s="216"/>
      <c r="K648" s="183"/>
      <c r="L648" s="21"/>
      <c r="M648" s="19"/>
      <c r="N648" s="21"/>
      <c r="O648" s="134"/>
      <c r="P648" s="19"/>
      <c r="Q648" s="21"/>
      <c r="R648" s="112"/>
      <c r="S648" s="113"/>
      <c r="T648" s="115"/>
    </row>
    <row r="649" ht="14.25" customHeight="1">
      <c r="C649" s="10"/>
      <c r="D649" s="18"/>
      <c r="E649" s="10"/>
      <c r="F649" s="134"/>
      <c r="G649" s="19"/>
      <c r="H649" s="21"/>
      <c r="I649" s="235"/>
      <c r="J649" s="216"/>
      <c r="K649" s="183"/>
      <c r="L649" s="21"/>
      <c r="M649" s="19"/>
      <c r="N649" s="21"/>
      <c r="O649" s="134"/>
      <c r="P649" s="19"/>
      <c r="Q649" s="21"/>
      <c r="R649" s="112"/>
      <c r="S649" s="113"/>
      <c r="T649" s="115"/>
    </row>
    <row r="650" ht="14.25" customHeight="1">
      <c r="C650" s="10"/>
      <c r="D650" s="18"/>
      <c r="E650" s="10"/>
      <c r="F650" s="134"/>
      <c r="G650" s="19"/>
      <c r="H650" s="21"/>
      <c r="I650" s="235"/>
      <c r="J650" s="216"/>
      <c r="K650" s="183"/>
      <c r="L650" s="21"/>
      <c r="M650" s="19"/>
      <c r="N650" s="21"/>
      <c r="O650" s="134"/>
      <c r="P650" s="19"/>
      <c r="Q650" s="21"/>
      <c r="R650" s="112"/>
      <c r="S650" s="113"/>
      <c r="T650" s="115"/>
    </row>
    <row r="651" ht="14.25" customHeight="1">
      <c r="C651" s="10"/>
      <c r="D651" s="18"/>
      <c r="E651" s="10"/>
      <c r="F651" s="134"/>
      <c r="G651" s="19"/>
      <c r="H651" s="21"/>
      <c r="I651" s="235"/>
      <c r="J651" s="216"/>
      <c r="K651" s="183"/>
      <c r="L651" s="21"/>
      <c r="M651" s="19"/>
      <c r="N651" s="21"/>
      <c r="O651" s="134"/>
      <c r="P651" s="19"/>
      <c r="Q651" s="21"/>
      <c r="R651" s="112"/>
      <c r="S651" s="113"/>
      <c r="T651" s="115"/>
    </row>
    <row r="652" ht="14.25" customHeight="1">
      <c r="C652" s="10"/>
      <c r="D652" s="18"/>
      <c r="E652" s="10"/>
      <c r="F652" s="134"/>
      <c r="G652" s="19"/>
      <c r="H652" s="21"/>
      <c r="I652" s="235"/>
      <c r="J652" s="216"/>
      <c r="K652" s="183"/>
      <c r="L652" s="21"/>
      <c r="M652" s="19"/>
      <c r="N652" s="21"/>
      <c r="O652" s="134"/>
      <c r="P652" s="19"/>
      <c r="Q652" s="21"/>
      <c r="R652" s="112"/>
      <c r="S652" s="113"/>
      <c r="T652" s="115"/>
    </row>
    <row r="653" ht="14.25" customHeight="1">
      <c r="C653" s="10"/>
      <c r="D653" s="18"/>
      <c r="E653" s="10"/>
      <c r="F653" s="134"/>
      <c r="G653" s="19"/>
      <c r="H653" s="21"/>
      <c r="I653" s="235"/>
      <c r="J653" s="216"/>
      <c r="K653" s="183"/>
      <c r="L653" s="21"/>
      <c r="M653" s="19"/>
      <c r="N653" s="21"/>
      <c r="O653" s="134"/>
      <c r="P653" s="19"/>
      <c r="Q653" s="21"/>
      <c r="R653" s="112"/>
      <c r="S653" s="113"/>
      <c r="T653" s="115"/>
    </row>
    <row r="654" ht="14.25" customHeight="1">
      <c r="C654" s="10"/>
      <c r="D654" s="18"/>
      <c r="E654" s="10"/>
      <c r="F654" s="134"/>
      <c r="G654" s="19"/>
      <c r="H654" s="21"/>
      <c r="I654" s="235"/>
      <c r="J654" s="216"/>
      <c r="K654" s="183"/>
      <c r="L654" s="21"/>
      <c r="M654" s="19"/>
      <c r="N654" s="21"/>
      <c r="O654" s="134"/>
      <c r="P654" s="19"/>
      <c r="Q654" s="21"/>
      <c r="R654" s="112"/>
      <c r="S654" s="113"/>
      <c r="T654" s="115"/>
    </row>
    <row r="655" ht="14.25" customHeight="1">
      <c r="C655" s="10"/>
      <c r="D655" s="18"/>
      <c r="E655" s="10"/>
      <c r="F655" s="134"/>
      <c r="G655" s="19"/>
      <c r="H655" s="21"/>
      <c r="I655" s="235"/>
      <c r="J655" s="216"/>
      <c r="K655" s="183"/>
      <c r="L655" s="21"/>
      <c r="M655" s="19"/>
      <c r="N655" s="21"/>
      <c r="O655" s="134"/>
      <c r="P655" s="19"/>
      <c r="Q655" s="21"/>
      <c r="R655" s="112"/>
      <c r="S655" s="113"/>
      <c r="T655" s="115"/>
    </row>
    <row r="656" ht="14.25" customHeight="1">
      <c r="C656" s="10"/>
      <c r="D656" s="18"/>
      <c r="E656" s="10"/>
      <c r="F656" s="134"/>
      <c r="G656" s="19"/>
      <c r="H656" s="21"/>
      <c r="I656" s="235"/>
      <c r="J656" s="216"/>
      <c r="K656" s="183"/>
      <c r="L656" s="21"/>
      <c r="M656" s="19"/>
      <c r="N656" s="21"/>
      <c r="O656" s="134"/>
      <c r="P656" s="19"/>
      <c r="Q656" s="21"/>
      <c r="R656" s="112"/>
      <c r="S656" s="113"/>
      <c r="T656" s="115"/>
    </row>
    <row r="657" ht="14.25" customHeight="1">
      <c r="C657" s="10"/>
      <c r="D657" s="18"/>
      <c r="E657" s="10"/>
      <c r="F657" s="134"/>
      <c r="G657" s="19"/>
      <c r="H657" s="21"/>
      <c r="I657" s="235"/>
      <c r="J657" s="216"/>
      <c r="K657" s="183"/>
      <c r="L657" s="21"/>
      <c r="M657" s="19"/>
      <c r="N657" s="21"/>
      <c r="O657" s="134"/>
      <c r="P657" s="19"/>
      <c r="Q657" s="21"/>
      <c r="R657" s="112"/>
      <c r="S657" s="113"/>
      <c r="T657" s="115"/>
    </row>
    <row r="658" ht="14.25" customHeight="1">
      <c r="C658" s="10"/>
      <c r="D658" s="18"/>
      <c r="E658" s="10"/>
      <c r="F658" s="134"/>
      <c r="G658" s="19"/>
      <c r="H658" s="21"/>
      <c r="I658" s="235"/>
      <c r="J658" s="216"/>
      <c r="K658" s="183"/>
      <c r="L658" s="21"/>
      <c r="M658" s="19"/>
      <c r="N658" s="21"/>
      <c r="O658" s="134"/>
      <c r="P658" s="19"/>
      <c r="Q658" s="21"/>
      <c r="R658" s="112"/>
      <c r="S658" s="113"/>
      <c r="T658" s="115"/>
    </row>
    <row r="659" ht="14.25" customHeight="1">
      <c r="C659" s="10"/>
      <c r="D659" s="18"/>
      <c r="E659" s="10"/>
      <c r="F659" s="134"/>
      <c r="G659" s="19"/>
      <c r="H659" s="21"/>
      <c r="I659" s="235"/>
      <c r="J659" s="216"/>
      <c r="K659" s="183"/>
      <c r="L659" s="21"/>
      <c r="M659" s="19"/>
      <c r="N659" s="21"/>
      <c r="O659" s="134"/>
      <c r="P659" s="19"/>
      <c r="Q659" s="21"/>
      <c r="R659" s="112"/>
      <c r="S659" s="113"/>
      <c r="T659" s="115"/>
    </row>
    <row r="660" ht="14.25" customHeight="1">
      <c r="C660" s="10"/>
      <c r="D660" s="18"/>
      <c r="E660" s="10"/>
      <c r="F660" s="134"/>
      <c r="G660" s="19"/>
      <c r="H660" s="21"/>
      <c r="I660" s="235"/>
      <c r="J660" s="216"/>
      <c r="K660" s="183"/>
      <c r="L660" s="21"/>
      <c r="M660" s="19"/>
      <c r="N660" s="21"/>
      <c r="O660" s="134"/>
      <c r="P660" s="19"/>
      <c r="Q660" s="21"/>
      <c r="R660" s="112"/>
      <c r="S660" s="113"/>
      <c r="T660" s="115"/>
    </row>
    <row r="661" ht="14.25" customHeight="1">
      <c r="C661" s="10"/>
      <c r="D661" s="18"/>
      <c r="E661" s="10"/>
      <c r="F661" s="134"/>
      <c r="G661" s="19"/>
      <c r="H661" s="21"/>
      <c r="I661" s="235"/>
      <c r="J661" s="216"/>
      <c r="K661" s="183"/>
      <c r="L661" s="21"/>
      <c r="M661" s="19"/>
      <c r="N661" s="21"/>
      <c r="O661" s="134"/>
      <c r="P661" s="19"/>
      <c r="Q661" s="21"/>
      <c r="R661" s="112"/>
      <c r="S661" s="113"/>
      <c r="T661" s="115"/>
    </row>
    <row r="662" ht="14.25" customHeight="1">
      <c r="C662" s="10"/>
      <c r="D662" s="18"/>
      <c r="E662" s="10"/>
      <c r="F662" s="134"/>
      <c r="G662" s="19"/>
      <c r="H662" s="21"/>
      <c r="I662" s="235"/>
      <c r="J662" s="216"/>
      <c r="K662" s="183"/>
      <c r="L662" s="21"/>
      <c r="M662" s="19"/>
      <c r="N662" s="21"/>
      <c r="O662" s="134"/>
      <c r="P662" s="19"/>
      <c r="Q662" s="21"/>
      <c r="R662" s="112"/>
      <c r="S662" s="113"/>
      <c r="T662" s="115"/>
    </row>
    <row r="663" ht="14.25" customHeight="1">
      <c r="C663" s="10"/>
      <c r="D663" s="18"/>
      <c r="E663" s="10"/>
      <c r="F663" s="134"/>
      <c r="G663" s="19"/>
      <c r="H663" s="21"/>
      <c r="I663" s="235"/>
      <c r="J663" s="216"/>
      <c r="K663" s="183"/>
      <c r="L663" s="21"/>
      <c r="M663" s="19"/>
      <c r="N663" s="21"/>
      <c r="O663" s="134"/>
      <c r="P663" s="19"/>
      <c r="Q663" s="21"/>
      <c r="R663" s="112"/>
      <c r="S663" s="113"/>
      <c r="T663" s="115"/>
    </row>
    <row r="664" ht="14.25" customHeight="1">
      <c r="C664" s="10"/>
      <c r="D664" s="18"/>
      <c r="E664" s="10"/>
      <c r="F664" s="134"/>
      <c r="G664" s="19"/>
      <c r="H664" s="21"/>
      <c r="I664" s="235"/>
      <c r="J664" s="216"/>
      <c r="K664" s="183"/>
      <c r="L664" s="21"/>
      <c r="M664" s="19"/>
      <c r="N664" s="21"/>
      <c r="O664" s="134"/>
      <c r="P664" s="19"/>
      <c r="Q664" s="21"/>
      <c r="R664" s="112"/>
      <c r="S664" s="113"/>
      <c r="T664" s="115"/>
    </row>
    <row r="665" ht="14.25" customHeight="1">
      <c r="C665" s="10"/>
      <c r="D665" s="18"/>
      <c r="E665" s="10"/>
      <c r="F665" s="134"/>
      <c r="G665" s="19"/>
      <c r="H665" s="21"/>
      <c r="I665" s="235"/>
      <c r="J665" s="216"/>
      <c r="K665" s="183"/>
      <c r="L665" s="21"/>
      <c r="M665" s="19"/>
      <c r="N665" s="21"/>
      <c r="O665" s="134"/>
      <c r="P665" s="19"/>
      <c r="Q665" s="21"/>
      <c r="R665" s="112"/>
      <c r="S665" s="113"/>
      <c r="T665" s="115"/>
    </row>
    <row r="666" ht="14.25" customHeight="1">
      <c r="C666" s="10"/>
      <c r="D666" s="18"/>
      <c r="E666" s="10"/>
      <c r="F666" s="134"/>
      <c r="G666" s="19"/>
      <c r="H666" s="21"/>
      <c r="I666" s="235"/>
      <c r="J666" s="216"/>
      <c r="K666" s="183"/>
      <c r="L666" s="21"/>
      <c r="M666" s="19"/>
      <c r="N666" s="21"/>
      <c r="O666" s="134"/>
      <c r="P666" s="19"/>
      <c r="Q666" s="21"/>
      <c r="R666" s="112"/>
      <c r="S666" s="113"/>
      <c r="T666" s="115"/>
    </row>
    <row r="667" ht="14.25" customHeight="1">
      <c r="C667" s="10"/>
      <c r="D667" s="18"/>
      <c r="E667" s="10"/>
      <c r="F667" s="134"/>
      <c r="G667" s="19"/>
      <c r="H667" s="21"/>
      <c r="I667" s="235"/>
      <c r="J667" s="216"/>
      <c r="K667" s="183"/>
      <c r="L667" s="21"/>
      <c r="M667" s="19"/>
      <c r="N667" s="21"/>
      <c r="O667" s="134"/>
      <c r="P667" s="19"/>
      <c r="Q667" s="21"/>
      <c r="R667" s="112"/>
      <c r="S667" s="113"/>
      <c r="T667" s="115"/>
    </row>
    <row r="668" ht="14.25" customHeight="1">
      <c r="C668" s="10"/>
      <c r="D668" s="18"/>
      <c r="E668" s="10"/>
      <c r="F668" s="134"/>
      <c r="G668" s="19"/>
      <c r="H668" s="21"/>
      <c r="I668" s="235"/>
      <c r="J668" s="216"/>
      <c r="K668" s="183"/>
      <c r="L668" s="21"/>
      <c r="M668" s="19"/>
      <c r="N668" s="21"/>
      <c r="O668" s="134"/>
      <c r="P668" s="19"/>
      <c r="Q668" s="21"/>
      <c r="R668" s="112"/>
      <c r="S668" s="113"/>
      <c r="T668" s="115"/>
    </row>
    <row r="669" ht="14.25" customHeight="1">
      <c r="C669" s="10"/>
      <c r="D669" s="18"/>
      <c r="E669" s="10"/>
      <c r="F669" s="134"/>
      <c r="G669" s="19"/>
      <c r="H669" s="21"/>
      <c r="I669" s="235"/>
      <c r="J669" s="216"/>
      <c r="K669" s="183"/>
      <c r="L669" s="21"/>
      <c r="M669" s="19"/>
      <c r="N669" s="21"/>
      <c r="O669" s="134"/>
      <c r="P669" s="19"/>
      <c r="Q669" s="21"/>
      <c r="R669" s="112"/>
      <c r="S669" s="113"/>
      <c r="T669" s="115"/>
    </row>
    <row r="670" ht="14.25" customHeight="1">
      <c r="C670" s="10"/>
      <c r="D670" s="18"/>
      <c r="E670" s="10"/>
      <c r="F670" s="134"/>
      <c r="G670" s="19"/>
      <c r="H670" s="21"/>
      <c r="I670" s="235"/>
      <c r="J670" s="216"/>
      <c r="K670" s="183"/>
      <c r="L670" s="21"/>
      <c r="M670" s="19"/>
      <c r="N670" s="21"/>
      <c r="O670" s="134"/>
      <c r="P670" s="19"/>
      <c r="Q670" s="21"/>
      <c r="R670" s="112"/>
      <c r="S670" s="113"/>
      <c r="T670" s="115"/>
    </row>
    <row r="671" ht="14.25" customHeight="1">
      <c r="C671" s="10"/>
      <c r="D671" s="18"/>
      <c r="E671" s="10"/>
      <c r="F671" s="134"/>
      <c r="G671" s="19"/>
      <c r="H671" s="21"/>
      <c r="I671" s="235"/>
      <c r="J671" s="216"/>
      <c r="K671" s="183"/>
      <c r="L671" s="21"/>
      <c r="M671" s="19"/>
      <c r="N671" s="21"/>
      <c r="O671" s="134"/>
      <c r="P671" s="19"/>
      <c r="Q671" s="21"/>
      <c r="R671" s="112"/>
      <c r="S671" s="113"/>
      <c r="T671" s="115"/>
    </row>
    <row r="672" ht="14.25" customHeight="1">
      <c r="C672" s="10"/>
      <c r="D672" s="18"/>
      <c r="E672" s="10"/>
      <c r="F672" s="134"/>
      <c r="G672" s="19"/>
      <c r="H672" s="21"/>
      <c r="I672" s="235"/>
      <c r="J672" s="216"/>
      <c r="K672" s="183"/>
      <c r="L672" s="21"/>
      <c r="M672" s="19"/>
      <c r="N672" s="21"/>
      <c r="O672" s="134"/>
      <c r="P672" s="19"/>
      <c r="Q672" s="21"/>
      <c r="R672" s="112"/>
      <c r="S672" s="113"/>
      <c r="T672" s="115"/>
    </row>
    <row r="673" ht="14.25" customHeight="1">
      <c r="C673" s="10"/>
      <c r="D673" s="18"/>
      <c r="E673" s="10"/>
      <c r="F673" s="134"/>
      <c r="G673" s="19"/>
      <c r="H673" s="21"/>
      <c r="I673" s="235"/>
      <c r="J673" s="216"/>
      <c r="K673" s="183"/>
      <c r="L673" s="21"/>
      <c r="M673" s="19"/>
      <c r="N673" s="21"/>
      <c r="O673" s="134"/>
      <c r="P673" s="19"/>
      <c r="Q673" s="21"/>
      <c r="R673" s="112"/>
      <c r="S673" s="113"/>
      <c r="T673" s="115"/>
    </row>
    <row r="674" ht="14.25" customHeight="1">
      <c r="C674" s="10"/>
      <c r="D674" s="18"/>
      <c r="E674" s="10"/>
      <c r="F674" s="134"/>
      <c r="G674" s="19"/>
      <c r="H674" s="21"/>
      <c r="I674" s="235"/>
      <c r="J674" s="216"/>
      <c r="K674" s="183"/>
      <c r="L674" s="21"/>
      <c r="M674" s="19"/>
      <c r="N674" s="21"/>
      <c r="O674" s="134"/>
      <c r="P674" s="19"/>
      <c r="Q674" s="21"/>
      <c r="R674" s="112"/>
      <c r="S674" s="113"/>
      <c r="T674" s="115"/>
    </row>
    <row r="675" ht="14.25" customHeight="1">
      <c r="C675" s="10"/>
      <c r="D675" s="18"/>
      <c r="E675" s="10"/>
      <c r="F675" s="134"/>
      <c r="G675" s="19"/>
      <c r="H675" s="21"/>
      <c r="I675" s="235"/>
      <c r="J675" s="216"/>
      <c r="K675" s="183"/>
      <c r="L675" s="21"/>
      <c r="M675" s="19"/>
      <c r="N675" s="21"/>
      <c r="O675" s="134"/>
      <c r="P675" s="19"/>
      <c r="Q675" s="21"/>
      <c r="R675" s="112"/>
      <c r="S675" s="113"/>
      <c r="T675" s="115"/>
    </row>
    <row r="676" ht="14.25" customHeight="1">
      <c r="C676" s="10"/>
      <c r="D676" s="18"/>
      <c r="E676" s="10"/>
      <c r="F676" s="134"/>
      <c r="G676" s="19"/>
      <c r="H676" s="21"/>
      <c r="I676" s="235"/>
      <c r="J676" s="216"/>
      <c r="K676" s="183"/>
      <c r="L676" s="21"/>
      <c r="M676" s="19"/>
      <c r="N676" s="21"/>
      <c r="O676" s="134"/>
      <c r="P676" s="19"/>
      <c r="Q676" s="21"/>
      <c r="R676" s="112"/>
      <c r="S676" s="113"/>
      <c r="T676" s="115"/>
    </row>
    <row r="677" ht="14.25" customHeight="1">
      <c r="C677" s="10"/>
      <c r="D677" s="18"/>
      <c r="E677" s="10"/>
      <c r="F677" s="134"/>
      <c r="G677" s="19"/>
      <c r="H677" s="21"/>
      <c r="I677" s="235"/>
      <c r="J677" s="216"/>
      <c r="K677" s="183"/>
      <c r="L677" s="21"/>
      <c r="M677" s="19"/>
      <c r="N677" s="21"/>
      <c r="O677" s="134"/>
      <c r="P677" s="19"/>
      <c r="Q677" s="21"/>
      <c r="R677" s="112"/>
      <c r="S677" s="113"/>
      <c r="T677" s="115"/>
    </row>
    <row r="678" ht="14.25" customHeight="1">
      <c r="C678" s="10"/>
      <c r="D678" s="18"/>
      <c r="E678" s="10"/>
      <c r="F678" s="134"/>
      <c r="G678" s="19"/>
      <c r="H678" s="21"/>
      <c r="I678" s="235"/>
      <c r="J678" s="216"/>
      <c r="K678" s="183"/>
      <c r="L678" s="21"/>
      <c r="M678" s="19"/>
      <c r="N678" s="21"/>
      <c r="O678" s="134"/>
      <c r="P678" s="19"/>
      <c r="Q678" s="21"/>
      <c r="R678" s="112"/>
      <c r="S678" s="113"/>
      <c r="T678" s="115"/>
    </row>
    <row r="679" ht="14.25" customHeight="1">
      <c r="C679" s="10"/>
      <c r="D679" s="18"/>
      <c r="E679" s="10"/>
      <c r="F679" s="134"/>
      <c r="G679" s="19"/>
      <c r="H679" s="21"/>
      <c r="I679" s="235"/>
      <c r="J679" s="216"/>
      <c r="K679" s="183"/>
      <c r="L679" s="21"/>
      <c r="M679" s="19"/>
      <c r="N679" s="21"/>
      <c r="O679" s="134"/>
      <c r="P679" s="19"/>
      <c r="Q679" s="21"/>
      <c r="R679" s="112"/>
      <c r="S679" s="113"/>
      <c r="T679" s="115"/>
    </row>
    <row r="680" ht="14.25" customHeight="1">
      <c r="C680" s="10"/>
      <c r="D680" s="18"/>
      <c r="E680" s="10"/>
      <c r="F680" s="134"/>
      <c r="G680" s="19"/>
      <c r="H680" s="21"/>
      <c r="I680" s="235"/>
      <c r="J680" s="216"/>
      <c r="K680" s="183"/>
      <c r="L680" s="21"/>
      <c r="M680" s="19"/>
      <c r="N680" s="21"/>
      <c r="O680" s="134"/>
      <c r="P680" s="19"/>
      <c r="Q680" s="21"/>
      <c r="R680" s="112"/>
      <c r="S680" s="113"/>
      <c r="T680" s="115"/>
    </row>
    <row r="681" ht="14.25" customHeight="1">
      <c r="C681" s="10"/>
      <c r="D681" s="18"/>
      <c r="E681" s="10"/>
      <c r="F681" s="134"/>
      <c r="G681" s="19"/>
      <c r="H681" s="21"/>
      <c r="I681" s="235"/>
      <c r="J681" s="216"/>
      <c r="K681" s="183"/>
      <c r="L681" s="21"/>
      <c r="M681" s="19"/>
      <c r="N681" s="21"/>
      <c r="O681" s="134"/>
      <c r="P681" s="19"/>
      <c r="Q681" s="21"/>
      <c r="R681" s="112"/>
      <c r="S681" s="113"/>
      <c r="T681" s="115"/>
    </row>
    <row r="682" ht="14.25" customHeight="1">
      <c r="C682" s="10"/>
      <c r="D682" s="18"/>
      <c r="E682" s="10"/>
      <c r="F682" s="134"/>
      <c r="G682" s="19"/>
      <c r="H682" s="21"/>
      <c r="I682" s="235"/>
      <c r="J682" s="216"/>
      <c r="K682" s="183"/>
      <c r="L682" s="21"/>
      <c r="M682" s="19"/>
      <c r="N682" s="21"/>
      <c r="O682" s="134"/>
      <c r="P682" s="19"/>
      <c r="Q682" s="21"/>
      <c r="R682" s="112"/>
      <c r="S682" s="113"/>
      <c r="T682" s="115"/>
    </row>
    <row r="683" ht="14.25" customHeight="1">
      <c r="C683" s="10"/>
      <c r="D683" s="18"/>
      <c r="E683" s="10"/>
      <c r="F683" s="134"/>
      <c r="G683" s="19"/>
      <c r="H683" s="21"/>
      <c r="I683" s="235"/>
      <c r="J683" s="216"/>
      <c r="K683" s="183"/>
      <c r="L683" s="21"/>
      <c r="M683" s="19"/>
      <c r="N683" s="21"/>
      <c r="O683" s="134"/>
      <c r="P683" s="19"/>
      <c r="Q683" s="21"/>
      <c r="R683" s="112"/>
      <c r="S683" s="113"/>
      <c r="T683" s="115"/>
    </row>
    <row r="684" ht="14.25" customHeight="1">
      <c r="C684" s="10"/>
      <c r="D684" s="18"/>
      <c r="E684" s="10"/>
      <c r="F684" s="134"/>
      <c r="G684" s="19"/>
      <c r="H684" s="21"/>
      <c r="I684" s="235"/>
      <c r="J684" s="216"/>
      <c r="K684" s="183"/>
      <c r="L684" s="21"/>
      <c r="M684" s="19"/>
      <c r="N684" s="21"/>
      <c r="O684" s="134"/>
      <c r="P684" s="19"/>
      <c r="Q684" s="21"/>
      <c r="R684" s="112"/>
      <c r="S684" s="113"/>
      <c r="T684" s="115"/>
    </row>
    <row r="685" ht="14.25" customHeight="1">
      <c r="C685" s="10"/>
      <c r="D685" s="18"/>
      <c r="E685" s="10"/>
      <c r="F685" s="134"/>
      <c r="G685" s="19"/>
      <c r="H685" s="21"/>
      <c r="I685" s="235"/>
      <c r="J685" s="216"/>
      <c r="K685" s="183"/>
      <c r="L685" s="21"/>
      <c r="M685" s="19"/>
      <c r="N685" s="21"/>
      <c r="O685" s="134"/>
      <c r="P685" s="19"/>
      <c r="Q685" s="21"/>
      <c r="R685" s="112"/>
      <c r="S685" s="113"/>
      <c r="T685" s="115"/>
    </row>
    <row r="686" ht="14.25" customHeight="1">
      <c r="C686" s="10"/>
      <c r="D686" s="18"/>
      <c r="E686" s="10"/>
      <c r="F686" s="134"/>
      <c r="G686" s="19"/>
      <c r="H686" s="21"/>
      <c r="I686" s="235"/>
      <c r="J686" s="216"/>
      <c r="K686" s="183"/>
      <c r="L686" s="21"/>
      <c r="M686" s="19"/>
      <c r="N686" s="21"/>
      <c r="O686" s="134"/>
      <c r="P686" s="19"/>
      <c r="Q686" s="21"/>
      <c r="R686" s="112"/>
      <c r="S686" s="113"/>
      <c r="T686" s="115"/>
    </row>
    <row r="687" ht="14.25" customHeight="1">
      <c r="C687" s="10"/>
      <c r="D687" s="18"/>
      <c r="E687" s="10"/>
      <c r="F687" s="134"/>
      <c r="G687" s="19"/>
      <c r="H687" s="21"/>
      <c r="I687" s="235"/>
      <c r="J687" s="216"/>
      <c r="K687" s="183"/>
      <c r="L687" s="21"/>
      <c r="M687" s="19"/>
      <c r="N687" s="21"/>
      <c r="O687" s="134"/>
      <c r="P687" s="19"/>
      <c r="Q687" s="21"/>
      <c r="R687" s="112"/>
      <c r="S687" s="113"/>
      <c r="T687" s="115"/>
    </row>
    <row r="688" ht="14.25" customHeight="1">
      <c r="C688" s="10"/>
      <c r="D688" s="18"/>
      <c r="E688" s="10"/>
      <c r="F688" s="134"/>
      <c r="G688" s="19"/>
      <c r="H688" s="21"/>
      <c r="I688" s="235"/>
      <c r="J688" s="216"/>
      <c r="K688" s="183"/>
      <c r="L688" s="21"/>
      <c r="M688" s="19"/>
      <c r="N688" s="21"/>
      <c r="O688" s="134"/>
      <c r="P688" s="19"/>
      <c r="Q688" s="21"/>
      <c r="R688" s="112"/>
      <c r="S688" s="113"/>
      <c r="T688" s="115"/>
    </row>
    <row r="689" ht="14.25" customHeight="1">
      <c r="C689" s="10"/>
      <c r="D689" s="18"/>
      <c r="E689" s="10"/>
      <c r="F689" s="134"/>
      <c r="G689" s="19"/>
      <c r="H689" s="21"/>
      <c r="I689" s="235"/>
      <c r="J689" s="216"/>
      <c r="K689" s="183"/>
      <c r="L689" s="21"/>
      <c r="M689" s="19"/>
      <c r="N689" s="21"/>
      <c r="O689" s="134"/>
      <c r="P689" s="19"/>
      <c r="Q689" s="21"/>
      <c r="R689" s="112"/>
      <c r="S689" s="113"/>
      <c r="T689" s="115"/>
    </row>
    <row r="690" ht="14.25" customHeight="1">
      <c r="C690" s="10"/>
      <c r="D690" s="18"/>
      <c r="E690" s="10"/>
      <c r="F690" s="134"/>
      <c r="G690" s="19"/>
      <c r="H690" s="21"/>
      <c r="I690" s="235"/>
      <c r="J690" s="216"/>
      <c r="K690" s="183"/>
      <c r="L690" s="21"/>
      <c r="M690" s="19"/>
      <c r="N690" s="21"/>
      <c r="O690" s="134"/>
      <c r="P690" s="19"/>
      <c r="Q690" s="21"/>
      <c r="R690" s="112"/>
      <c r="S690" s="113"/>
      <c r="T690" s="115"/>
    </row>
    <row r="691" ht="14.25" customHeight="1">
      <c r="C691" s="10"/>
      <c r="D691" s="18"/>
      <c r="E691" s="10"/>
      <c r="F691" s="134"/>
      <c r="G691" s="19"/>
      <c r="H691" s="21"/>
      <c r="I691" s="235"/>
      <c r="J691" s="216"/>
      <c r="K691" s="183"/>
      <c r="L691" s="21"/>
      <c r="M691" s="19"/>
      <c r="N691" s="21"/>
      <c r="O691" s="134"/>
      <c r="P691" s="19"/>
      <c r="Q691" s="21"/>
      <c r="R691" s="112"/>
      <c r="S691" s="113"/>
      <c r="T691" s="115"/>
    </row>
    <row r="692" ht="14.25" customHeight="1">
      <c r="C692" s="10"/>
      <c r="D692" s="18"/>
      <c r="E692" s="10"/>
      <c r="F692" s="134"/>
      <c r="G692" s="19"/>
      <c r="H692" s="21"/>
      <c r="I692" s="235"/>
      <c r="J692" s="216"/>
      <c r="K692" s="183"/>
      <c r="L692" s="21"/>
      <c r="M692" s="19"/>
      <c r="N692" s="21"/>
      <c r="O692" s="134"/>
      <c r="P692" s="19"/>
      <c r="Q692" s="21"/>
      <c r="R692" s="112"/>
      <c r="S692" s="113"/>
      <c r="T692" s="115"/>
    </row>
    <row r="693" ht="14.25" customHeight="1">
      <c r="C693" s="10"/>
      <c r="D693" s="18"/>
      <c r="E693" s="10"/>
      <c r="F693" s="134"/>
      <c r="G693" s="19"/>
      <c r="H693" s="21"/>
      <c r="I693" s="235"/>
      <c r="J693" s="216"/>
      <c r="K693" s="183"/>
      <c r="L693" s="21"/>
      <c r="M693" s="19"/>
      <c r="N693" s="21"/>
      <c r="O693" s="134"/>
      <c r="P693" s="19"/>
      <c r="Q693" s="21"/>
      <c r="R693" s="112"/>
      <c r="S693" s="113"/>
      <c r="T693" s="115"/>
    </row>
    <row r="694" ht="14.25" customHeight="1">
      <c r="C694" s="10"/>
      <c r="D694" s="18"/>
      <c r="E694" s="10"/>
      <c r="F694" s="134"/>
      <c r="G694" s="19"/>
      <c r="H694" s="21"/>
      <c r="I694" s="235"/>
      <c r="J694" s="216"/>
      <c r="K694" s="183"/>
      <c r="L694" s="21"/>
      <c r="M694" s="19"/>
      <c r="N694" s="21"/>
      <c r="O694" s="134"/>
      <c r="P694" s="19"/>
      <c r="Q694" s="21"/>
      <c r="R694" s="112"/>
      <c r="S694" s="113"/>
      <c r="T694" s="115"/>
    </row>
    <row r="695" ht="14.25" customHeight="1">
      <c r="C695" s="10"/>
      <c r="D695" s="18"/>
      <c r="E695" s="10"/>
      <c r="F695" s="134"/>
      <c r="G695" s="19"/>
      <c r="H695" s="21"/>
      <c r="I695" s="235"/>
      <c r="J695" s="216"/>
      <c r="K695" s="183"/>
      <c r="L695" s="21"/>
      <c r="M695" s="19"/>
      <c r="N695" s="21"/>
      <c r="O695" s="134"/>
      <c r="P695" s="19"/>
      <c r="Q695" s="21"/>
      <c r="R695" s="112"/>
      <c r="S695" s="113"/>
      <c r="T695" s="115"/>
    </row>
    <row r="696" ht="14.25" customHeight="1">
      <c r="C696" s="10"/>
      <c r="D696" s="18"/>
      <c r="E696" s="10"/>
      <c r="F696" s="134"/>
      <c r="G696" s="19"/>
      <c r="H696" s="21"/>
      <c r="I696" s="235"/>
      <c r="J696" s="216"/>
      <c r="K696" s="183"/>
      <c r="L696" s="21"/>
      <c r="M696" s="19"/>
      <c r="N696" s="21"/>
      <c r="O696" s="134"/>
      <c r="P696" s="19"/>
      <c r="Q696" s="21"/>
      <c r="R696" s="112"/>
      <c r="S696" s="113"/>
      <c r="T696" s="115"/>
    </row>
    <row r="697" ht="14.25" customHeight="1">
      <c r="C697" s="10"/>
      <c r="D697" s="18"/>
      <c r="E697" s="10"/>
      <c r="F697" s="134"/>
      <c r="G697" s="19"/>
      <c r="H697" s="21"/>
      <c r="I697" s="235"/>
      <c r="J697" s="216"/>
      <c r="K697" s="183"/>
      <c r="L697" s="21"/>
      <c r="M697" s="19"/>
      <c r="N697" s="21"/>
      <c r="O697" s="134"/>
      <c r="P697" s="19"/>
      <c r="Q697" s="21"/>
      <c r="R697" s="112"/>
      <c r="S697" s="113"/>
      <c r="T697" s="115"/>
    </row>
    <row r="698" ht="14.25" customHeight="1">
      <c r="C698" s="10"/>
      <c r="D698" s="18"/>
      <c r="E698" s="10"/>
      <c r="F698" s="134"/>
      <c r="G698" s="19"/>
      <c r="H698" s="21"/>
      <c r="I698" s="235"/>
      <c r="J698" s="216"/>
      <c r="K698" s="183"/>
      <c r="L698" s="21"/>
      <c r="M698" s="19"/>
      <c r="N698" s="21"/>
      <c r="O698" s="134"/>
      <c r="P698" s="19"/>
      <c r="Q698" s="21"/>
      <c r="R698" s="112"/>
      <c r="S698" s="113"/>
      <c r="T698" s="115"/>
    </row>
    <row r="699" ht="14.25" customHeight="1">
      <c r="C699" s="10"/>
      <c r="D699" s="18"/>
      <c r="E699" s="10"/>
      <c r="F699" s="134"/>
      <c r="G699" s="19"/>
      <c r="H699" s="21"/>
      <c r="I699" s="235"/>
      <c r="J699" s="216"/>
      <c r="K699" s="183"/>
      <c r="L699" s="21"/>
      <c r="M699" s="19"/>
      <c r="N699" s="21"/>
      <c r="O699" s="134"/>
      <c r="P699" s="19"/>
      <c r="Q699" s="21"/>
      <c r="R699" s="112"/>
      <c r="S699" s="113"/>
      <c r="T699" s="115"/>
    </row>
    <row r="700" ht="14.25" customHeight="1">
      <c r="C700" s="10"/>
      <c r="D700" s="18"/>
      <c r="E700" s="10"/>
      <c r="F700" s="134"/>
      <c r="G700" s="19"/>
      <c r="H700" s="21"/>
      <c r="I700" s="235"/>
      <c r="J700" s="216"/>
      <c r="K700" s="183"/>
      <c r="L700" s="21"/>
      <c r="M700" s="19"/>
      <c r="N700" s="21"/>
      <c r="O700" s="134"/>
      <c r="P700" s="19"/>
      <c r="Q700" s="21"/>
      <c r="R700" s="112"/>
      <c r="S700" s="113"/>
      <c r="T700" s="115"/>
    </row>
    <row r="701" ht="14.25" customHeight="1">
      <c r="C701" s="10"/>
      <c r="D701" s="18"/>
      <c r="E701" s="10"/>
      <c r="F701" s="134"/>
      <c r="G701" s="19"/>
      <c r="H701" s="21"/>
      <c r="I701" s="235"/>
      <c r="J701" s="216"/>
      <c r="K701" s="183"/>
      <c r="L701" s="21"/>
      <c r="M701" s="19"/>
      <c r="N701" s="21"/>
      <c r="O701" s="134"/>
      <c r="P701" s="19"/>
      <c r="Q701" s="21"/>
      <c r="R701" s="112"/>
      <c r="S701" s="113"/>
      <c r="T701" s="115"/>
    </row>
    <row r="702" ht="14.25" customHeight="1">
      <c r="C702" s="10"/>
      <c r="D702" s="18"/>
      <c r="E702" s="10"/>
      <c r="F702" s="134"/>
      <c r="G702" s="19"/>
      <c r="H702" s="21"/>
      <c r="I702" s="235"/>
      <c r="J702" s="216"/>
      <c r="K702" s="183"/>
      <c r="L702" s="21"/>
      <c r="M702" s="19"/>
      <c r="N702" s="21"/>
      <c r="O702" s="134"/>
      <c r="P702" s="19"/>
      <c r="Q702" s="21"/>
      <c r="R702" s="112"/>
      <c r="S702" s="113"/>
      <c r="T702" s="115"/>
    </row>
    <row r="703" ht="14.25" customHeight="1">
      <c r="C703" s="10"/>
      <c r="D703" s="18"/>
      <c r="E703" s="10"/>
      <c r="F703" s="134"/>
      <c r="G703" s="19"/>
      <c r="H703" s="21"/>
      <c r="I703" s="235"/>
      <c r="J703" s="216"/>
      <c r="K703" s="183"/>
      <c r="L703" s="21"/>
      <c r="M703" s="19"/>
      <c r="N703" s="21"/>
      <c r="O703" s="134"/>
      <c r="P703" s="19"/>
      <c r="Q703" s="21"/>
      <c r="R703" s="112"/>
      <c r="S703" s="113"/>
      <c r="T703" s="115"/>
    </row>
    <row r="704" ht="14.25" customHeight="1">
      <c r="C704" s="10"/>
      <c r="D704" s="18"/>
      <c r="E704" s="10"/>
      <c r="F704" s="134"/>
      <c r="G704" s="19"/>
      <c r="H704" s="21"/>
      <c r="I704" s="235"/>
      <c r="J704" s="216"/>
      <c r="K704" s="183"/>
      <c r="L704" s="21"/>
      <c r="M704" s="19"/>
      <c r="N704" s="21"/>
      <c r="O704" s="134"/>
      <c r="P704" s="19"/>
      <c r="Q704" s="21"/>
      <c r="R704" s="112"/>
      <c r="S704" s="113"/>
      <c r="T704" s="115"/>
    </row>
    <row r="705" ht="14.25" customHeight="1">
      <c r="C705" s="10"/>
      <c r="D705" s="18"/>
      <c r="E705" s="10"/>
      <c r="F705" s="134"/>
      <c r="G705" s="19"/>
      <c r="H705" s="21"/>
      <c r="I705" s="235"/>
      <c r="J705" s="216"/>
      <c r="K705" s="183"/>
      <c r="L705" s="21"/>
      <c r="M705" s="19"/>
      <c r="N705" s="21"/>
      <c r="O705" s="134"/>
      <c r="P705" s="19"/>
      <c r="Q705" s="21"/>
      <c r="R705" s="112"/>
      <c r="S705" s="113"/>
      <c r="T705" s="115"/>
    </row>
    <row r="706" ht="14.25" customHeight="1">
      <c r="C706" s="10"/>
      <c r="D706" s="18"/>
      <c r="E706" s="10"/>
      <c r="F706" s="134"/>
      <c r="G706" s="19"/>
      <c r="H706" s="21"/>
      <c r="I706" s="235"/>
      <c r="J706" s="216"/>
      <c r="K706" s="183"/>
      <c r="L706" s="21"/>
      <c r="M706" s="19"/>
      <c r="N706" s="21"/>
      <c r="O706" s="134"/>
      <c r="P706" s="19"/>
      <c r="Q706" s="21"/>
      <c r="R706" s="112"/>
      <c r="S706" s="113"/>
      <c r="T706" s="115"/>
    </row>
    <row r="707" ht="14.25" customHeight="1">
      <c r="C707" s="10"/>
      <c r="D707" s="18"/>
      <c r="E707" s="10"/>
      <c r="F707" s="134"/>
      <c r="G707" s="19"/>
      <c r="H707" s="21"/>
      <c r="I707" s="235"/>
      <c r="J707" s="216"/>
      <c r="K707" s="183"/>
      <c r="L707" s="21"/>
      <c r="M707" s="19"/>
      <c r="N707" s="21"/>
      <c r="O707" s="134"/>
      <c r="P707" s="19"/>
      <c r="Q707" s="21"/>
      <c r="R707" s="112"/>
      <c r="S707" s="113"/>
      <c r="T707" s="115"/>
    </row>
    <row r="708" ht="14.25" customHeight="1">
      <c r="C708" s="10"/>
      <c r="D708" s="18"/>
      <c r="E708" s="10"/>
      <c r="F708" s="134"/>
      <c r="G708" s="19"/>
      <c r="H708" s="21"/>
      <c r="I708" s="235"/>
      <c r="J708" s="216"/>
      <c r="K708" s="183"/>
      <c r="L708" s="21"/>
      <c r="M708" s="19"/>
      <c r="N708" s="21"/>
      <c r="O708" s="134"/>
      <c r="P708" s="19"/>
      <c r="Q708" s="21"/>
      <c r="R708" s="112"/>
      <c r="S708" s="113"/>
      <c r="T708" s="115"/>
    </row>
    <row r="709" ht="14.25" customHeight="1">
      <c r="C709" s="10"/>
      <c r="D709" s="18"/>
      <c r="E709" s="10"/>
      <c r="F709" s="134"/>
      <c r="G709" s="19"/>
      <c r="H709" s="21"/>
      <c r="I709" s="235"/>
      <c r="J709" s="216"/>
      <c r="K709" s="183"/>
      <c r="L709" s="21"/>
      <c r="M709" s="19"/>
      <c r="N709" s="21"/>
      <c r="O709" s="134"/>
      <c r="P709" s="19"/>
      <c r="Q709" s="21"/>
      <c r="R709" s="112"/>
      <c r="S709" s="113"/>
      <c r="T709" s="115"/>
    </row>
    <row r="710" ht="14.25" customHeight="1">
      <c r="C710" s="10"/>
      <c r="D710" s="18"/>
      <c r="E710" s="10"/>
      <c r="F710" s="134"/>
      <c r="G710" s="19"/>
      <c r="H710" s="21"/>
      <c r="I710" s="235"/>
      <c r="J710" s="216"/>
      <c r="K710" s="183"/>
      <c r="L710" s="21"/>
      <c r="M710" s="19"/>
      <c r="N710" s="21"/>
      <c r="O710" s="134"/>
      <c r="P710" s="19"/>
      <c r="Q710" s="21"/>
      <c r="R710" s="112"/>
      <c r="S710" s="113"/>
      <c r="T710" s="115"/>
    </row>
    <row r="711" ht="14.25" customHeight="1">
      <c r="C711" s="10"/>
      <c r="D711" s="18"/>
      <c r="E711" s="10"/>
      <c r="F711" s="134"/>
      <c r="G711" s="19"/>
      <c r="H711" s="21"/>
      <c r="I711" s="235"/>
      <c r="J711" s="216"/>
      <c r="K711" s="183"/>
      <c r="L711" s="21"/>
      <c r="M711" s="19"/>
      <c r="N711" s="21"/>
      <c r="O711" s="134"/>
      <c r="P711" s="19"/>
      <c r="Q711" s="21"/>
      <c r="R711" s="112"/>
      <c r="S711" s="113"/>
      <c r="T711" s="115"/>
    </row>
    <row r="712" ht="14.25" customHeight="1">
      <c r="C712" s="10"/>
      <c r="D712" s="18"/>
      <c r="E712" s="10"/>
      <c r="F712" s="134"/>
      <c r="G712" s="19"/>
      <c r="H712" s="21"/>
      <c r="I712" s="235"/>
      <c r="J712" s="216"/>
      <c r="K712" s="183"/>
      <c r="L712" s="21"/>
      <c r="M712" s="19"/>
      <c r="N712" s="21"/>
      <c r="O712" s="134"/>
      <c r="P712" s="19"/>
      <c r="Q712" s="21"/>
      <c r="R712" s="112"/>
      <c r="S712" s="113"/>
      <c r="T712" s="115"/>
    </row>
    <row r="713" ht="14.25" customHeight="1">
      <c r="C713" s="10"/>
      <c r="D713" s="18"/>
      <c r="E713" s="10"/>
      <c r="F713" s="134"/>
      <c r="G713" s="19"/>
      <c r="H713" s="21"/>
      <c r="I713" s="235"/>
      <c r="J713" s="216"/>
      <c r="K713" s="183"/>
      <c r="L713" s="21"/>
      <c r="M713" s="19"/>
      <c r="N713" s="21"/>
      <c r="O713" s="134"/>
      <c r="P713" s="19"/>
      <c r="Q713" s="21"/>
      <c r="R713" s="112"/>
      <c r="S713" s="113"/>
      <c r="T713" s="115"/>
    </row>
    <row r="714" ht="14.25" customHeight="1">
      <c r="C714" s="10"/>
      <c r="D714" s="18"/>
      <c r="E714" s="10"/>
      <c r="F714" s="134"/>
      <c r="G714" s="19"/>
      <c r="H714" s="21"/>
      <c r="I714" s="235"/>
      <c r="J714" s="216"/>
      <c r="K714" s="183"/>
      <c r="L714" s="21"/>
      <c r="M714" s="19"/>
      <c r="N714" s="21"/>
      <c r="O714" s="134"/>
      <c r="P714" s="19"/>
      <c r="Q714" s="21"/>
      <c r="R714" s="112"/>
      <c r="S714" s="113"/>
      <c r="T714" s="115"/>
    </row>
    <row r="715" ht="14.25" customHeight="1">
      <c r="C715" s="10"/>
      <c r="D715" s="18"/>
      <c r="E715" s="10"/>
      <c r="F715" s="134"/>
      <c r="G715" s="19"/>
      <c r="H715" s="21"/>
      <c r="I715" s="235"/>
      <c r="J715" s="216"/>
      <c r="K715" s="183"/>
      <c r="L715" s="21"/>
      <c r="M715" s="19"/>
      <c r="N715" s="21"/>
      <c r="O715" s="134"/>
      <c r="P715" s="19"/>
      <c r="Q715" s="21"/>
      <c r="R715" s="112"/>
      <c r="S715" s="113"/>
      <c r="T715" s="115"/>
    </row>
    <row r="716" ht="14.25" customHeight="1">
      <c r="C716" s="10"/>
      <c r="D716" s="18"/>
      <c r="E716" s="10"/>
      <c r="F716" s="134"/>
      <c r="G716" s="19"/>
      <c r="H716" s="21"/>
      <c r="I716" s="235"/>
      <c r="J716" s="216"/>
      <c r="K716" s="183"/>
      <c r="L716" s="21"/>
      <c r="M716" s="19"/>
      <c r="N716" s="21"/>
      <c r="O716" s="134"/>
      <c r="P716" s="19"/>
      <c r="Q716" s="21"/>
      <c r="R716" s="112"/>
      <c r="S716" s="113"/>
      <c r="T716" s="115"/>
    </row>
    <row r="717" ht="14.25" customHeight="1">
      <c r="C717" s="10"/>
      <c r="D717" s="18"/>
      <c r="E717" s="10"/>
      <c r="F717" s="134"/>
      <c r="G717" s="19"/>
      <c r="H717" s="21"/>
      <c r="I717" s="235"/>
      <c r="J717" s="216"/>
      <c r="K717" s="183"/>
      <c r="L717" s="21"/>
      <c r="M717" s="19"/>
      <c r="N717" s="21"/>
      <c r="O717" s="134"/>
      <c r="P717" s="19"/>
      <c r="Q717" s="21"/>
      <c r="R717" s="112"/>
      <c r="S717" s="113"/>
      <c r="T717" s="115"/>
    </row>
    <row r="718" ht="14.25" customHeight="1">
      <c r="C718" s="10"/>
      <c r="D718" s="18"/>
      <c r="E718" s="10"/>
      <c r="F718" s="134"/>
      <c r="G718" s="19"/>
      <c r="H718" s="21"/>
      <c r="I718" s="235"/>
      <c r="J718" s="216"/>
      <c r="K718" s="183"/>
      <c r="L718" s="21"/>
      <c r="M718" s="19"/>
      <c r="N718" s="21"/>
      <c r="O718" s="134"/>
      <c r="P718" s="19"/>
      <c r="Q718" s="21"/>
      <c r="R718" s="112"/>
      <c r="S718" s="113"/>
      <c r="T718" s="115"/>
    </row>
    <row r="719" ht="14.25" customHeight="1">
      <c r="C719" s="10"/>
      <c r="D719" s="18"/>
      <c r="E719" s="10"/>
      <c r="F719" s="134"/>
      <c r="G719" s="19"/>
      <c r="H719" s="21"/>
      <c r="I719" s="235"/>
      <c r="J719" s="216"/>
      <c r="K719" s="183"/>
      <c r="L719" s="21"/>
      <c r="M719" s="19"/>
      <c r="N719" s="21"/>
      <c r="O719" s="134"/>
      <c r="P719" s="19"/>
      <c r="Q719" s="21"/>
      <c r="R719" s="112"/>
      <c r="S719" s="113"/>
      <c r="T719" s="115"/>
    </row>
    <row r="720" ht="14.25" customHeight="1">
      <c r="C720" s="10"/>
      <c r="D720" s="18"/>
      <c r="E720" s="10"/>
      <c r="F720" s="134"/>
      <c r="G720" s="19"/>
      <c r="H720" s="21"/>
      <c r="I720" s="235"/>
      <c r="J720" s="216"/>
      <c r="K720" s="183"/>
      <c r="L720" s="21"/>
      <c r="M720" s="19"/>
      <c r="N720" s="21"/>
      <c r="O720" s="134"/>
      <c r="P720" s="19"/>
      <c r="Q720" s="21"/>
      <c r="R720" s="112"/>
      <c r="S720" s="113"/>
      <c r="T720" s="115"/>
    </row>
    <row r="721" ht="14.25" customHeight="1">
      <c r="C721" s="10"/>
      <c r="D721" s="18"/>
      <c r="E721" s="10"/>
      <c r="F721" s="134"/>
      <c r="G721" s="19"/>
      <c r="H721" s="21"/>
      <c r="I721" s="235"/>
      <c r="J721" s="216"/>
      <c r="K721" s="183"/>
      <c r="L721" s="21"/>
      <c r="M721" s="19"/>
      <c r="N721" s="21"/>
      <c r="O721" s="134"/>
      <c r="P721" s="19"/>
      <c r="Q721" s="21"/>
      <c r="R721" s="112"/>
      <c r="S721" s="113"/>
      <c r="T721" s="115"/>
    </row>
    <row r="722" ht="14.25" customHeight="1">
      <c r="C722" s="10"/>
      <c r="D722" s="18"/>
      <c r="E722" s="10"/>
      <c r="F722" s="134"/>
      <c r="G722" s="19"/>
      <c r="H722" s="21"/>
      <c r="I722" s="235"/>
      <c r="J722" s="216"/>
      <c r="K722" s="183"/>
      <c r="L722" s="21"/>
      <c r="M722" s="19"/>
      <c r="N722" s="21"/>
      <c r="O722" s="134"/>
      <c r="P722" s="19"/>
      <c r="Q722" s="21"/>
      <c r="R722" s="112"/>
      <c r="S722" s="113"/>
      <c r="T722" s="115"/>
    </row>
    <row r="723" ht="14.25" customHeight="1">
      <c r="C723" s="10"/>
      <c r="D723" s="18"/>
      <c r="E723" s="10"/>
      <c r="F723" s="134"/>
      <c r="G723" s="19"/>
      <c r="H723" s="21"/>
      <c r="I723" s="235"/>
      <c r="J723" s="216"/>
      <c r="K723" s="183"/>
      <c r="L723" s="21"/>
      <c r="M723" s="19"/>
      <c r="N723" s="21"/>
      <c r="O723" s="134"/>
      <c r="P723" s="19"/>
      <c r="Q723" s="21"/>
      <c r="R723" s="112"/>
      <c r="S723" s="113"/>
      <c r="T723" s="115"/>
    </row>
    <row r="724" ht="14.25" customHeight="1">
      <c r="C724" s="10"/>
      <c r="D724" s="18"/>
      <c r="E724" s="10"/>
      <c r="F724" s="134"/>
      <c r="G724" s="19"/>
      <c r="H724" s="21"/>
      <c r="I724" s="235"/>
      <c r="J724" s="216"/>
      <c r="K724" s="183"/>
      <c r="L724" s="21"/>
      <c r="M724" s="19"/>
      <c r="N724" s="21"/>
      <c r="O724" s="134"/>
      <c r="P724" s="19"/>
      <c r="Q724" s="21"/>
      <c r="R724" s="112"/>
      <c r="S724" s="113"/>
      <c r="T724" s="115"/>
    </row>
    <row r="725" ht="14.25" customHeight="1">
      <c r="C725" s="10"/>
      <c r="D725" s="18"/>
      <c r="E725" s="10"/>
      <c r="F725" s="134"/>
      <c r="G725" s="19"/>
      <c r="H725" s="21"/>
      <c r="I725" s="235"/>
      <c r="J725" s="216"/>
      <c r="K725" s="183"/>
      <c r="L725" s="21"/>
      <c r="M725" s="19"/>
      <c r="N725" s="21"/>
      <c r="O725" s="134"/>
      <c r="P725" s="19"/>
      <c r="Q725" s="21"/>
      <c r="R725" s="112"/>
      <c r="S725" s="113"/>
      <c r="T725" s="115"/>
    </row>
    <row r="726" ht="14.25" customHeight="1">
      <c r="C726" s="10"/>
      <c r="D726" s="18"/>
      <c r="E726" s="10"/>
      <c r="F726" s="134"/>
      <c r="G726" s="19"/>
      <c r="H726" s="21"/>
      <c r="I726" s="235"/>
      <c r="J726" s="216"/>
      <c r="K726" s="183"/>
      <c r="L726" s="21"/>
      <c r="M726" s="19"/>
      <c r="N726" s="21"/>
      <c r="O726" s="134"/>
      <c r="P726" s="19"/>
      <c r="Q726" s="21"/>
      <c r="R726" s="112"/>
      <c r="S726" s="113"/>
      <c r="T726" s="115"/>
    </row>
    <row r="727" ht="14.25" customHeight="1">
      <c r="C727" s="10"/>
      <c r="D727" s="18"/>
      <c r="E727" s="10"/>
      <c r="F727" s="134"/>
      <c r="G727" s="19"/>
      <c r="H727" s="21"/>
      <c r="I727" s="235"/>
      <c r="J727" s="216"/>
      <c r="K727" s="183"/>
      <c r="L727" s="21"/>
      <c r="M727" s="19"/>
      <c r="N727" s="21"/>
      <c r="O727" s="134"/>
      <c r="P727" s="19"/>
      <c r="Q727" s="21"/>
      <c r="R727" s="112"/>
      <c r="S727" s="113"/>
      <c r="T727" s="115"/>
    </row>
    <row r="728" ht="14.25" customHeight="1">
      <c r="C728" s="10"/>
      <c r="D728" s="18"/>
      <c r="E728" s="10"/>
      <c r="F728" s="134"/>
      <c r="G728" s="19"/>
      <c r="H728" s="21"/>
      <c r="I728" s="235"/>
      <c r="J728" s="216"/>
      <c r="K728" s="183"/>
      <c r="L728" s="21"/>
      <c r="M728" s="19"/>
      <c r="N728" s="21"/>
      <c r="O728" s="134"/>
      <c r="P728" s="19"/>
      <c r="Q728" s="21"/>
      <c r="R728" s="112"/>
      <c r="S728" s="113"/>
      <c r="T728" s="115"/>
    </row>
    <row r="729" ht="14.25" customHeight="1">
      <c r="C729" s="10"/>
      <c r="D729" s="18"/>
      <c r="E729" s="10"/>
      <c r="F729" s="134"/>
      <c r="G729" s="19"/>
      <c r="H729" s="21"/>
      <c r="I729" s="235"/>
      <c r="J729" s="216"/>
      <c r="K729" s="183"/>
      <c r="L729" s="21"/>
      <c r="M729" s="19"/>
      <c r="N729" s="21"/>
      <c r="O729" s="134"/>
      <c r="P729" s="19"/>
      <c r="Q729" s="21"/>
      <c r="R729" s="112"/>
      <c r="S729" s="113"/>
      <c r="T729" s="115"/>
    </row>
    <row r="730" ht="14.25" customHeight="1">
      <c r="C730" s="10"/>
      <c r="D730" s="18"/>
      <c r="E730" s="10"/>
      <c r="F730" s="134"/>
      <c r="G730" s="19"/>
      <c r="H730" s="21"/>
      <c r="I730" s="235"/>
      <c r="J730" s="216"/>
      <c r="K730" s="183"/>
      <c r="L730" s="21"/>
      <c r="M730" s="19"/>
      <c r="N730" s="21"/>
      <c r="O730" s="134"/>
      <c r="P730" s="19"/>
      <c r="Q730" s="21"/>
      <c r="R730" s="112"/>
      <c r="S730" s="113"/>
      <c r="T730" s="115"/>
    </row>
    <row r="731" ht="14.25" customHeight="1">
      <c r="C731" s="10"/>
      <c r="D731" s="18"/>
      <c r="E731" s="10"/>
      <c r="F731" s="134"/>
      <c r="G731" s="19"/>
      <c r="H731" s="21"/>
      <c r="I731" s="235"/>
      <c r="J731" s="216"/>
      <c r="K731" s="183"/>
      <c r="L731" s="21"/>
      <c r="M731" s="19"/>
      <c r="N731" s="21"/>
      <c r="O731" s="134"/>
      <c r="P731" s="19"/>
      <c r="Q731" s="21"/>
      <c r="R731" s="112"/>
      <c r="S731" s="113"/>
      <c r="T731" s="115"/>
    </row>
    <row r="732" ht="14.25" customHeight="1">
      <c r="C732" s="10"/>
      <c r="D732" s="18"/>
      <c r="E732" s="10"/>
      <c r="F732" s="134"/>
      <c r="G732" s="19"/>
      <c r="H732" s="21"/>
      <c r="I732" s="235"/>
      <c r="J732" s="216"/>
      <c r="K732" s="183"/>
      <c r="L732" s="21"/>
      <c r="M732" s="19"/>
      <c r="N732" s="21"/>
      <c r="O732" s="134"/>
      <c r="P732" s="19"/>
      <c r="Q732" s="21"/>
      <c r="R732" s="112"/>
      <c r="S732" s="113"/>
      <c r="T732" s="115"/>
    </row>
    <row r="733" ht="14.25" customHeight="1">
      <c r="C733" s="10"/>
      <c r="D733" s="18"/>
      <c r="E733" s="10"/>
      <c r="F733" s="134"/>
      <c r="G733" s="19"/>
      <c r="H733" s="21"/>
      <c r="I733" s="235"/>
      <c r="J733" s="216"/>
      <c r="K733" s="183"/>
      <c r="L733" s="21"/>
      <c r="M733" s="19"/>
      <c r="N733" s="21"/>
      <c r="O733" s="134"/>
      <c r="P733" s="19"/>
      <c r="Q733" s="21"/>
      <c r="R733" s="112"/>
      <c r="S733" s="113"/>
      <c r="T733" s="115"/>
    </row>
    <row r="734" ht="14.25" customHeight="1">
      <c r="C734" s="10"/>
      <c r="D734" s="18"/>
      <c r="E734" s="10"/>
      <c r="F734" s="134"/>
      <c r="G734" s="19"/>
      <c r="H734" s="21"/>
      <c r="I734" s="235"/>
      <c r="J734" s="216"/>
      <c r="K734" s="183"/>
      <c r="L734" s="21"/>
      <c r="M734" s="19"/>
      <c r="N734" s="21"/>
      <c r="O734" s="134"/>
      <c r="P734" s="19"/>
      <c r="Q734" s="21"/>
      <c r="R734" s="112"/>
      <c r="S734" s="113"/>
      <c r="T734" s="115"/>
    </row>
    <row r="735" ht="14.25" customHeight="1">
      <c r="C735" s="10"/>
      <c r="D735" s="18"/>
      <c r="E735" s="10"/>
      <c r="F735" s="134"/>
      <c r="G735" s="19"/>
      <c r="H735" s="21"/>
      <c r="I735" s="235"/>
      <c r="J735" s="216"/>
      <c r="K735" s="183"/>
      <c r="L735" s="21"/>
      <c r="M735" s="19"/>
      <c r="N735" s="21"/>
      <c r="O735" s="134"/>
      <c r="P735" s="19"/>
      <c r="Q735" s="21"/>
      <c r="R735" s="112"/>
      <c r="S735" s="113"/>
      <c r="T735" s="115"/>
    </row>
    <row r="736" ht="14.25" customHeight="1">
      <c r="C736" s="10"/>
      <c r="D736" s="18"/>
      <c r="E736" s="10"/>
      <c r="F736" s="134"/>
      <c r="G736" s="19"/>
      <c r="H736" s="21"/>
      <c r="I736" s="235"/>
      <c r="J736" s="216"/>
      <c r="K736" s="183"/>
      <c r="L736" s="21"/>
      <c r="M736" s="19"/>
      <c r="N736" s="21"/>
      <c r="O736" s="134"/>
      <c r="P736" s="19"/>
      <c r="Q736" s="21"/>
      <c r="R736" s="112"/>
      <c r="S736" s="113"/>
      <c r="T736" s="115"/>
    </row>
    <row r="737" ht="14.25" customHeight="1">
      <c r="C737" s="10"/>
      <c r="D737" s="18"/>
      <c r="E737" s="10"/>
      <c r="F737" s="134"/>
      <c r="G737" s="19"/>
      <c r="H737" s="21"/>
      <c r="I737" s="235"/>
      <c r="J737" s="216"/>
      <c r="K737" s="183"/>
      <c r="L737" s="21"/>
      <c r="M737" s="19"/>
      <c r="N737" s="21"/>
      <c r="O737" s="134"/>
      <c r="P737" s="19"/>
      <c r="Q737" s="21"/>
      <c r="R737" s="112"/>
      <c r="S737" s="113"/>
      <c r="T737" s="115"/>
    </row>
    <row r="738" ht="14.25" customHeight="1">
      <c r="C738" s="10"/>
      <c r="D738" s="18"/>
      <c r="E738" s="10"/>
      <c r="F738" s="134"/>
      <c r="G738" s="19"/>
      <c r="H738" s="21"/>
      <c r="I738" s="235"/>
      <c r="J738" s="216"/>
      <c r="K738" s="183"/>
      <c r="L738" s="21"/>
      <c r="M738" s="19"/>
      <c r="N738" s="21"/>
      <c r="O738" s="134"/>
      <c r="P738" s="19"/>
      <c r="Q738" s="21"/>
      <c r="R738" s="112"/>
      <c r="S738" s="113"/>
      <c r="T738" s="115"/>
    </row>
    <row r="739" ht="14.25" customHeight="1">
      <c r="C739" s="10"/>
      <c r="D739" s="18"/>
      <c r="E739" s="10"/>
      <c r="F739" s="134"/>
      <c r="G739" s="19"/>
      <c r="H739" s="21"/>
      <c r="I739" s="235"/>
      <c r="J739" s="216"/>
      <c r="K739" s="183"/>
      <c r="L739" s="21"/>
      <c r="M739" s="19"/>
      <c r="N739" s="21"/>
      <c r="O739" s="134"/>
      <c r="P739" s="19"/>
      <c r="Q739" s="21"/>
      <c r="R739" s="112"/>
      <c r="S739" s="113"/>
      <c r="T739" s="115"/>
    </row>
    <row r="740" ht="14.25" customHeight="1">
      <c r="C740" s="10"/>
      <c r="D740" s="18"/>
      <c r="E740" s="10"/>
      <c r="F740" s="134"/>
      <c r="G740" s="19"/>
      <c r="H740" s="21"/>
      <c r="I740" s="235"/>
      <c r="J740" s="216"/>
      <c r="K740" s="183"/>
      <c r="L740" s="21"/>
      <c r="M740" s="19"/>
      <c r="N740" s="21"/>
      <c r="O740" s="134"/>
      <c r="P740" s="19"/>
      <c r="Q740" s="21"/>
      <c r="R740" s="112"/>
      <c r="S740" s="113"/>
      <c r="T740" s="115"/>
    </row>
    <row r="741" ht="14.25" customHeight="1">
      <c r="C741" s="10"/>
      <c r="D741" s="18"/>
      <c r="E741" s="10"/>
      <c r="F741" s="134"/>
      <c r="G741" s="19"/>
      <c r="H741" s="21"/>
      <c r="I741" s="235"/>
      <c r="J741" s="216"/>
      <c r="K741" s="183"/>
      <c r="L741" s="21"/>
      <c r="M741" s="19"/>
      <c r="N741" s="21"/>
      <c r="O741" s="134"/>
      <c r="P741" s="19"/>
      <c r="Q741" s="21"/>
      <c r="R741" s="112"/>
      <c r="S741" s="113"/>
      <c r="T741" s="115"/>
    </row>
    <row r="742" ht="14.25" customHeight="1">
      <c r="C742" s="10"/>
      <c r="D742" s="18"/>
      <c r="E742" s="10"/>
      <c r="F742" s="134"/>
      <c r="G742" s="19"/>
      <c r="H742" s="21"/>
      <c r="I742" s="235"/>
      <c r="J742" s="216"/>
      <c r="K742" s="183"/>
      <c r="L742" s="21"/>
      <c r="M742" s="19"/>
      <c r="N742" s="21"/>
      <c r="O742" s="134"/>
      <c r="P742" s="19"/>
      <c r="Q742" s="21"/>
      <c r="R742" s="112"/>
      <c r="S742" s="113"/>
      <c r="T742" s="115"/>
    </row>
    <row r="743" ht="14.25" customHeight="1">
      <c r="C743" s="10"/>
      <c r="D743" s="18"/>
      <c r="E743" s="10"/>
      <c r="F743" s="134"/>
      <c r="G743" s="19"/>
      <c r="H743" s="21"/>
      <c r="I743" s="235"/>
      <c r="J743" s="216"/>
      <c r="K743" s="183"/>
      <c r="L743" s="21"/>
      <c r="M743" s="19"/>
      <c r="N743" s="21"/>
      <c r="O743" s="134"/>
      <c r="P743" s="19"/>
      <c r="Q743" s="21"/>
      <c r="R743" s="112"/>
      <c r="S743" s="113"/>
      <c r="T743" s="115"/>
    </row>
    <row r="744" ht="14.25" customHeight="1">
      <c r="C744" s="10"/>
      <c r="D744" s="18"/>
      <c r="E744" s="10"/>
      <c r="F744" s="134"/>
      <c r="G744" s="19"/>
      <c r="H744" s="21"/>
      <c r="I744" s="235"/>
      <c r="J744" s="216"/>
      <c r="K744" s="183"/>
      <c r="L744" s="21"/>
      <c r="M744" s="19"/>
      <c r="N744" s="21"/>
      <c r="O744" s="134"/>
      <c r="P744" s="19"/>
      <c r="Q744" s="21"/>
      <c r="R744" s="112"/>
      <c r="S744" s="113"/>
      <c r="T744" s="115"/>
    </row>
    <row r="745" ht="14.25" customHeight="1">
      <c r="C745" s="10"/>
      <c r="D745" s="18"/>
      <c r="E745" s="10"/>
      <c r="F745" s="134"/>
      <c r="G745" s="19"/>
      <c r="H745" s="21"/>
      <c r="I745" s="235"/>
      <c r="J745" s="216"/>
      <c r="K745" s="183"/>
      <c r="L745" s="21"/>
      <c r="M745" s="19"/>
      <c r="N745" s="21"/>
      <c r="O745" s="134"/>
      <c r="P745" s="19"/>
      <c r="Q745" s="21"/>
      <c r="R745" s="112"/>
      <c r="S745" s="113"/>
      <c r="T745" s="115"/>
    </row>
    <row r="746" ht="14.25" customHeight="1">
      <c r="C746" s="10"/>
      <c r="D746" s="18"/>
      <c r="E746" s="10"/>
      <c r="F746" s="134"/>
      <c r="G746" s="19"/>
      <c r="H746" s="21"/>
      <c r="I746" s="235"/>
      <c r="J746" s="216"/>
      <c r="K746" s="183"/>
      <c r="L746" s="21"/>
      <c r="M746" s="19"/>
      <c r="N746" s="21"/>
      <c r="O746" s="134"/>
      <c r="P746" s="19"/>
      <c r="Q746" s="21"/>
      <c r="R746" s="112"/>
      <c r="S746" s="113"/>
      <c r="T746" s="115"/>
    </row>
    <row r="747" ht="14.25" customHeight="1">
      <c r="C747" s="10"/>
      <c r="D747" s="18"/>
      <c r="E747" s="10"/>
      <c r="F747" s="134"/>
      <c r="G747" s="19"/>
      <c r="H747" s="21"/>
      <c r="I747" s="235"/>
      <c r="J747" s="216"/>
      <c r="K747" s="183"/>
      <c r="L747" s="21"/>
      <c r="M747" s="19"/>
      <c r="N747" s="21"/>
      <c r="O747" s="134"/>
      <c r="P747" s="19"/>
      <c r="Q747" s="21"/>
      <c r="R747" s="112"/>
      <c r="S747" s="113"/>
      <c r="T747" s="115"/>
    </row>
    <row r="748" ht="14.25" customHeight="1">
      <c r="C748" s="10"/>
      <c r="D748" s="18"/>
      <c r="E748" s="10"/>
      <c r="F748" s="134"/>
      <c r="G748" s="19"/>
      <c r="H748" s="21"/>
      <c r="I748" s="235"/>
      <c r="J748" s="216"/>
      <c r="K748" s="183"/>
      <c r="L748" s="21"/>
      <c r="M748" s="19"/>
      <c r="N748" s="21"/>
      <c r="O748" s="134"/>
      <c r="P748" s="19"/>
      <c r="Q748" s="21"/>
      <c r="R748" s="112"/>
      <c r="S748" s="113"/>
      <c r="T748" s="115"/>
    </row>
    <row r="749" ht="14.25" customHeight="1">
      <c r="C749" s="10"/>
      <c r="D749" s="18"/>
      <c r="E749" s="10"/>
      <c r="F749" s="134"/>
      <c r="G749" s="19"/>
      <c r="H749" s="21"/>
      <c r="I749" s="235"/>
      <c r="J749" s="216"/>
      <c r="K749" s="183"/>
      <c r="L749" s="21"/>
      <c r="M749" s="19"/>
      <c r="N749" s="21"/>
      <c r="O749" s="134"/>
      <c r="P749" s="19"/>
      <c r="Q749" s="21"/>
      <c r="R749" s="112"/>
      <c r="S749" s="113"/>
      <c r="T749" s="115"/>
    </row>
    <row r="750" ht="14.25" customHeight="1">
      <c r="C750" s="10"/>
      <c r="D750" s="18"/>
      <c r="E750" s="10"/>
      <c r="F750" s="134"/>
      <c r="G750" s="19"/>
      <c r="H750" s="21"/>
      <c r="I750" s="235"/>
      <c r="J750" s="216"/>
      <c r="K750" s="183"/>
      <c r="L750" s="21"/>
      <c r="M750" s="19"/>
      <c r="N750" s="21"/>
      <c r="O750" s="134"/>
      <c r="P750" s="19"/>
      <c r="Q750" s="21"/>
      <c r="R750" s="112"/>
      <c r="S750" s="113"/>
      <c r="T750" s="115"/>
    </row>
    <row r="751" ht="14.25" customHeight="1">
      <c r="C751" s="10"/>
      <c r="D751" s="18"/>
      <c r="E751" s="10"/>
      <c r="F751" s="134"/>
      <c r="G751" s="19"/>
      <c r="H751" s="21"/>
      <c r="I751" s="235"/>
      <c r="J751" s="216"/>
      <c r="K751" s="183"/>
      <c r="L751" s="21"/>
      <c r="M751" s="19"/>
      <c r="N751" s="21"/>
      <c r="O751" s="134"/>
      <c r="P751" s="19"/>
      <c r="Q751" s="21"/>
      <c r="R751" s="112"/>
      <c r="S751" s="113"/>
      <c r="T751" s="115"/>
    </row>
    <row r="752" ht="14.25" customHeight="1">
      <c r="C752" s="10"/>
      <c r="D752" s="18"/>
      <c r="E752" s="10"/>
      <c r="F752" s="134"/>
      <c r="G752" s="19"/>
      <c r="H752" s="21"/>
      <c r="I752" s="235"/>
      <c r="J752" s="216"/>
      <c r="K752" s="183"/>
      <c r="L752" s="21"/>
      <c r="M752" s="19"/>
      <c r="N752" s="21"/>
      <c r="O752" s="134"/>
      <c r="P752" s="19"/>
      <c r="Q752" s="21"/>
      <c r="R752" s="112"/>
      <c r="S752" s="113"/>
      <c r="T752" s="115"/>
    </row>
    <row r="753" ht="14.25" customHeight="1">
      <c r="C753" s="10"/>
      <c r="D753" s="18"/>
      <c r="E753" s="10"/>
      <c r="F753" s="134"/>
      <c r="G753" s="19"/>
      <c r="H753" s="21"/>
      <c r="I753" s="235"/>
      <c r="J753" s="216"/>
      <c r="K753" s="183"/>
      <c r="L753" s="21"/>
      <c r="M753" s="19"/>
      <c r="N753" s="21"/>
      <c r="O753" s="134"/>
      <c r="P753" s="19"/>
      <c r="Q753" s="21"/>
      <c r="R753" s="112"/>
      <c r="S753" s="113"/>
      <c r="T753" s="115"/>
    </row>
    <row r="754" ht="14.25" customHeight="1">
      <c r="C754" s="10"/>
      <c r="D754" s="18"/>
      <c r="E754" s="10"/>
      <c r="F754" s="134"/>
      <c r="G754" s="19"/>
      <c r="H754" s="21"/>
      <c r="I754" s="235"/>
      <c r="J754" s="216"/>
      <c r="K754" s="183"/>
      <c r="L754" s="21"/>
      <c r="M754" s="19"/>
      <c r="N754" s="21"/>
      <c r="O754" s="134"/>
      <c r="P754" s="19"/>
      <c r="Q754" s="21"/>
      <c r="R754" s="112"/>
      <c r="S754" s="113"/>
      <c r="T754" s="115"/>
    </row>
    <row r="755" ht="14.25" customHeight="1">
      <c r="C755" s="10"/>
      <c r="D755" s="18"/>
      <c r="E755" s="10"/>
      <c r="F755" s="134"/>
      <c r="G755" s="19"/>
      <c r="H755" s="21"/>
      <c r="I755" s="235"/>
      <c r="J755" s="216"/>
      <c r="K755" s="183"/>
      <c r="L755" s="21"/>
      <c r="M755" s="19"/>
      <c r="N755" s="21"/>
      <c r="O755" s="134"/>
      <c r="P755" s="19"/>
      <c r="Q755" s="21"/>
      <c r="R755" s="112"/>
      <c r="S755" s="113"/>
      <c r="T755" s="115"/>
    </row>
    <row r="756" ht="14.25" customHeight="1">
      <c r="C756" s="10"/>
      <c r="D756" s="18"/>
      <c r="E756" s="10"/>
      <c r="F756" s="134"/>
      <c r="G756" s="19"/>
      <c r="H756" s="21"/>
      <c r="I756" s="235"/>
      <c r="J756" s="216"/>
      <c r="K756" s="183"/>
      <c r="L756" s="21"/>
      <c r="M756" s="19"/>
      <c r="N756" s="21"/>
      <c r="O756" s="134"/>
      <c r="P756" s="19"/>
      <c r="Q756" s="21"/>
      <c r="R756" s="112"/>
      <c r="S756" s="113"/>
      <c r="T756" s="115"/>
    </row>
    <row r="757" ht="14.25" customHeight="1">
      <c r="C757" s="10"/>
      <c r="D757" s="18"/>
      <c r="E757" s="10"/>
      <c r="F757" s="134"/>
      <c r="G757" s="19"/>
      <c r="H757" s="21"/>
      <c r="I757" s="235"/>
      <c r="J757" s="216"/>
      <c r="K757" s="183"/>
      <c r="L757" s="21"/>
      <c r="M757" s="19"/>
      <c r="N757" s="21"/>
      <c r="O757" s="134"/>
      <c r="P757" s="19"/>
      <c r="Q757" s="21"/>
      <c r="R757" s="112"/>
      <c r="S757" s="113"/>
      <c r="T757" s="115"/>
    </row>
    <row r="758" ht="14.25" customHeight="1">
      <c r="C758" s="10"/>
      <c r="D758" s="18"/>
      <c r="E758" s="10"/>
      <c r="F758" s="134"/>
      <c r="G758" s="19"/>
      <c r="H758" s="21"/>
      <c r="I758" s="235"/>
      <c r="J758" s="216"/>
      <c r="K758" s="183"/>
      <c r="L758" s="21"/>
      <c r="M758" s="19"/>
      <c r="N758" s="21"/>
      <c r="O758" s="134"/>
      <c r="P758" s="19"/>
      <c r="Q758" s="21"/>
      <c r="R758" s="112"/>
      <c r="S758" s="113"/>
      <c r="T758" s="115"/>
    </row>
    <row r="759" ht="14.25" customHeight="1">
      <c r="C759" s="10"/>
      <c r="D759" s="18"/>
      <c r="E759" s="10"/>
      <c r="F759" s="134"/>
      <c r="G759" s="19"/>
      <c r="H759" s="21"/>
      <c r="I759" s="235"/>
      <c r="J759" s="216"/>
      <c r="K759" s="183"/>
      <c r="L759" s="21"/>
      <c r="M759" s="19"/>
      <c r="N759" s="21"/>
      <c r="O759" s="134"/>
      <c r="P759" s="19"/>
      <c r="Q759" s="21"/>
      <c r="R759" s="112"/>
      <c r="S759" s="113"/>
      <c r="T759" s="115"/>
    </row>
    <row r="760" ht="14.25" customHeight="1">
      <c r="C760" s="10"/>
      <c r="D760" s="18"/>
      <c r="E760" s="10"/>
      <c r="F760" s="134"/>
      <c r="G760" s="19"/>
      <c r="H760" s="21"/>
      <c r="I760" s="235"/>
      <c r="J760" s="216"/>
      <c r="K760" s="183"/>
      <c r="L760" s="21"/>
      <c r="M760" s="19"/>
      <c r="N760" s="21"/>
      <c r="O760" s="134"/>
      <c r="P760" s="19"/>
      <c r="Q760" s="21"/>
      <c r="R760" s="112"/>
      <c r="S760" s="113"/>
      <c r="T760" s="115"/>
    </row>
    <row r="761" ht="14.25" customHeight="1">
      <c r="C761" s="10"/>
      <c r="D761" s="18"/>
      <c r="E761" s="10"/>
      <c r="F761" s="134"/>
      <c r="G761" s="19"/>
      <c r="H761" s="21"/>
      <c r="I761" s="235"/>
      <c r="J761" s="216"/>
      <c r="K761" s="183"/>
      <c r="L761" s="21"/>
      <c r="M761" s="19"/>
      <c r="N761" s="21"/>
      <c r="O761" s="134"/>
      <c r="P761" s="19"/>
      <c r="Q761" s="21"/>
      <c r="R761" s="112"/>
      <c r="S761" s="113"/>
      <c r="T761" s="115"/>
    </row>
    <row r="762" ht="14.25" customHeight="1">
      <c r="C762" s="10"/>
      <c r="D762" s="18"/>
      <c r="E762" s="10"/>
      <c r="F762" s="134"/>
      <c r="G762" s="19"/>
      <c r="H762" s="21"/>
      <c r="I762" s="235"/>
      <c r="J762" s="216"/>
      <c r="K762" s="183"/>
      <c r="L762" s="21"/>
      <c r="M762" s="19"/>
      <c r="N762" s="21"/>
      <c r="O762" s="134"/>
      <c r="P762" s="19"/>
      <c r="Q762" s="21"/>
      <c r="R762" s="112"/>
      <c r="S762" s="113"/>
      <c r="T762" s="115"/>
    </row>
    <row r="763" ht="14.25" customHeight="1">
      <c r="C763" s="10"/>
      <c r="D763" s="18"/>
      <c r="E763" s="10"/>
      <c r="F763" s="134"/>
      <c r="G763" s="19"/>
      <c r="H763" s="21"/>
      <c r="I763" s="235"/>
      <c r="J763" s="216"/>
      <c r="K763" s="183"/>
      <c r="L763" s="21"/>
      <c r="M763" s="19"/>
      <c r="N763" s="21"/>
      <c r="O763" s="134"/>
      <c r="P763" s="19"/>
      <c r="Q763" s="21"/>
      <c r="R763" s="112"/>
      <c r="S763" s="113"/>
      <c r="T763" s="115"/>
    </row>
    <row r="764" ht="14.25" customHeight="1">
      <c r="C764" s="10"/>
      <c r="D764" s="18"/>
      <c r="E764" s="10"/>
      <c r="F764" s="134"/>
      <c r="G764" s="19"/>
      <c r="H764" s="21"/>
      <c r="I764" s="235"/>
      <c r="J764" s="216"/>
      <c r="K764" s="183"/>
      <c r="L764" s="21"/>
      <c r="M764" s="19"/>
      <c r="N764" s="21"/>
      <c r="O764" s="134"/>
      <c r="P764" s="19"/>
      <c r="Q764" s="21"/>
      <c r="R764" s="112"/>
      <c r="S764" s="113"/>
      <c r="T764" s="115"/>
    </row>
    <row r="765" ht="14.25" customHeight="1">
      <c r="C765" s="10"/>
      <c r="D765" s="18"/>
      <c r="E765" s="10"/>
      <c r="F765" s="134"/>
      <c r="G765" s="19"/>
      <c r="H765" s="21"/>
      <c r="I765" s="235"/>
      <c r="J765" s="216"/>
      <c r="K765" s="183"/>
      <c r="L765" s="21"/>
      <c r="M765" s="19"/>
      <c r="N765" s="21"/>
      <c r="O765" s="134"/>
      <c r="P765" s="19"/>
      <c r="Q765" s="21"/>
      <c r="R765" s="112"/>
      <c r="S765" s="113"/>
      <c r="T765" s="115"/>
    </row>
    <row r="766" ht="14.25" customHeight="1">
      <c r="C766" s="10"/>
      <c r="D766" s="18"/>
      <c r="E766" s="10"/>
      <c r="F766" s="134"/>
      <c r="G766" s="19"/>
      <c r="H766" s="21"/>
      <c r="I766" s="235"/>
      <c r="J766" s="216"/>
      <c r="K766" s="183"/>
      <c r="L766" s="21"/>
      <c r="M766" s="19"/>
      <c r="N766" s="21"/>
      <c r="O766" s="134"/>
      <c r="P766" s="19"/>
      <c r="Q766" s="21"/>
      <c r="R766" s="112"/>
      <c r="S766" s="113"/>
      <c r="T766" s="115"/>
    </row>
    <row r="767" ht="14.25" customHeight="1">
      <c r="C767" s="10"/>
      <c r="D767" s="18"/>
      <c r="E767" s="10"/>
      <c r="F767" s="134"/>
      <c r="G767" s="19"/>
      <c r="H767" s="21"/>
      <c r="I767" s="235"/>
      <c r="J767" s="216"/>
      <c r="K767" s="183"/>
      <c r="L767" s="21"/>
      <c r="M767" s="19"/>
      <c r="N767" s="21"/>
      <c r="O767" s="134"/>
      <c r="P767" s="19"/>
      <c r="Q767" s="21"/>
      <c r="R767" s="112"/>
      <c r="S767" s="113"/>
      <c r="T767" s="115"/>
    </row>
    <row r="768" ht="14.25" customHeight="1">
      <c r="C768" s="10"/>
      <c r="D768" s="18"/>
      <c r="E768" s="10"/>
      <c r="F768" s="134"/>
      <c r="G768" s="19"/>
      <c r="H768" s="21"/>
      <c r="I768" s="235"/>
      <c r="J768" s="216"/>
      <c r="K768" s="183"/>
      <c r="L768" s="21"/>
      <c r="M768" s="19"/>
      <c r="N768" s="21"/>
      <c r="O768" s="134"/>
      <c r="P768" s="19"/>
      <c r="Q768" s="21"/>
      <c r="R768" s="112"/>
      <c r="S768" s="113"/>
      <c r="T768" s="115"/>
    </row>
    <row r="769" ht="14.25" customHeight="1">
      <c r="C769" s="10"/>
      <c r="D769" s="18"/>
      <c r="E769" s="10"/>
      <c r="F769" s="134"/>
      <c r="G769" s="19"/>
      <c r="H769" s="21"/>
      <c r="I769" s="235"/>
      <c r="J769" s="216"/>
      <c r="K769" s="183"/>
      <c r="L769" s="21"/>
      <c r="M769" s="19"/>
      <c r="N769" s="21"/>
      <c r="O769" s="134"/>
      <c r="P769" s="19"/>
      <c r="Q769" s="21"/>
      <c r="R769" s="112"/>
      <c r="S769" s="113"/>
      <c r="T769" s="115"/>
    </row>
    <row r="770" ht="14.25" customHeight="1">
      <c r="C770" s="10"/>
      <c r="D770" s="18"/>
      <c r="E770" s="10"/>
      <c r="F770" s="134"/>
      <c r="G770" s="19"/>
      <c r="H770" s="21"/>
      <c r="I770" s="235"/>
      <c r="J770" s="216"/>
      <c r="K770" s="183"/>
      <c r="L770" s="21"/>
      <c r="M770" s="19"/>
      <c r="N770" s="21"/>
      <c r="O770" s="134"/>
      <c r="P770" s="19"/>
      <c r="Q770" s="21"/>
      <c r="R770" s="112"/>
      <c r="S770" s="113"/>
      <c r="T770" s="115"/>
    </row>
    <row r="771" ht="14.25" customHeight="1">
      <c r="C771" s="10"/>
      <c r="D771" s="18"/>
      <c r="E771" s="10"/>
      <c r="F771" s="134"/>
      <c r="G771" s="19"/>
      <c r="H771" s="21"/>
      <c r="I771" s="235"/>
      <c r="J771" s="216"/>
      <c r="K771" s="183"/>
      <c r="L771" s="21"/>
      <c r="M771" s="19"/>
      <c r="N771" s="21"/>
      <c r="O771" s="134"/>
      <c r="P771" s="19"/>
      <c r="Q771" s="21"/>
      <c r="R771" s="112"/>
      <c r="S771" s="113"/>
      <c r="T771" s="115"/>
    </row>
    <row r="772" ht="14.25" customHeight="1">
      <c r="C772" s="10"/>
      <c r="D772" s="18"/>
      <c r="E772" s="10"/>
      <c r="F772" s="134"/>
      <c r="G772" s="19"/>
      <c r="H772" s="21"/>
      <c r="I772" s="235"/>
      <c r="J772" s="216"/>
      <c r="K772" s="183"/>
      <c r="L772" s="21"/>
      <c r="M772" s="19"/>
      <c r="N772" s="21"/>
      <c r="O772" s="134"/>
      <c r="P772" s="19"/>
      <c r="Q772" s="21"/>
      <c r="R772" s="112"/>
      <c r="S772" s="113"/>
      <c r="T772" s="115"/>
    </row>
    <row r="773" ht="14.25" customHeight="1">
      <c r="C773" s="10"/>
      <c r="D773" s="18"/>
      <c r="E773" s="10"/>
      <c r="F773" s="134"/>
      <c r="G773" s="19"/>
      <c r="H773" s="21"/>
      <c r="I773" s="235"/>
      <c r="J773" s="216"/>
      <c r="K773" s="183"/>
      <c r="L773" s="21"/>
      <c r="M773" s="19"/>
      <c r="N773" s="21"/>
      <c r="O773" s="134"/>
      <c r="P773" s="19"/>
      <c r="Q773" s="21"/>
      <c r="R773" s="112"/>
      <c r="S773" s="113"/>
      <c r="T773" s="115"/>
    </row>
    <row r="774" ht="14.25" customHeight="1">
      <c r="C774" s="10"/>
      <c r="D774" s="18"/>
      <c r="E774" s="10"/>
      <c r="F774" s="134"/>
      <c r="G774" s="19"/>
      <c r="H774" s="21"/>
      <c r="I774" s="235"/>
      <c r="J774" s="216"/>
      <c r="K774" s="183"/>
      <c r="L774" s="21"/>
      <c r="M774" s="19"/>
      <c r="N774" s="21"/>
      <c r="O774" s="134"/>
      <c r="P774" s="19"/>
      <c r="Q774" s="21"/>
      <c r="R774" s="112"/>
      <c r="S774" s="113"/>
      <c r="T774" s="115"/>
    </row>
    <row r="775" ht="14.25" customHeight="1">
      <c r="C775" s="10"/>
      <c r="D775" s="18"/>
      <c r="E775" s="10"/>
      <c r="F775" s="134"/>
      <c r="G775" s="19"/>
      <c r="H775" s="21"/>
      <c r="I775" s="235"/>
      <c r="J775" s="216"/>
      <c r="K775" s="183"/>
      <c r="L775" s="21"/>
      <c r="M775" s="19"/>
      <c r="N775" s="21"/>
      <c r="O775" s="134"/>
      <c r="P775" s="19"/>
      <c r="Q775" s="21"/>
      <c r="R775" s="112"/>
      <c r="S775" s="113"/>
      <c r="T775" s="115"/>
    </row>
    <row r="776" ht="14.25" customHeight="1">
      <c r="C776" s="10"/>
      <c r="D776" s="18"/>
      <c r="E776" s="10"/>
      <c r="F776" s="134"/>
      <c r="G776" s="19"/>
      <c r="H776" s="21"/>
      <c r="I776" s="235"/>
      <c r="J776" s="216"/>
      <c r="K776" s="183"/>
      <c r="L776" s="21"/>
      <c r="M776" s="19"/>
      <c r="N776" s="21"/>
      <c r="O776" s="134"/>
      <c r="P776" s="19"/>
      <c r="Q776" s="21"/>
      <c r="R776" s="112"/>
      <c r="S776" s="113"/>
      <c r="T776" s="115"/>
    </row>
    <row r="777" ht="14.25" customHeight="1">
      <c r="C777" s="10"/>
      <c r="D777" s="18"/>
      <c r="E777" s="10"/>
      <c r="F777" s="134"/>
      <c r="G777" s="19"/>
      <c r="H777" s="21"/>
      <c r="I777" s="235"/>
      <c r="J777" s="216"/>
      <c r="K777" s="183"/>
      <c r="L777" s="21"/>
      <c r="M777" s="19"/>
      <c r="N777" s="21"/>
      <c r="O777" s="134"/>
      <c r="P777" s="19"/>
      <c r="Q777" s="21"/>
      <c r="R777" s="112"/>
      <c r="S777" s="113"/>
      <c r="T777" s="115"/>
    </row>
    <row r="778" ht="14.25" customHeight="1">
      <c r="C778" s="10"/>
      <c r="D778" s="18"/>
      <c r="E778" s="10"/>
      <c r="F778" s="134"/>
      <c r="G778" s="19"/>
      <c r="H778" s="21"/>
      <c r="I778" s="235"/>
      <c r="J778" s="216"/>
      <c r="K778" s="183"/>
      <c r="L778" s="21"/>
      <c r="M778" s="19"/>
      <c r="N778" s="21"/>
      <c r="O778" s="134"/>
      <c r="P778" s="19"/>
      <c r="Q778" s="21"/>
      <c r="R778" s="112"/>
      <c r="S778" s="113"/>
      <c r="T778" s="115"/>
    </row>
    <row r="779" ht="14.25" customHeight="1">
      <c r="C779" s="10"/>
      <c r="D779" s="18"/>
      <c r="E779" s="10"/>
      <c r="F779" s="134"/>
      <c r="G779" s="19"/>
      <c r="H779" s="21"/>
      <c r="I779" s="235"/>
      <c r="J779" s="216"/>
      <c r="K779" s="183"/>
      <c r="L779" s="21"/>
      <c r="M779" s="19"/>
      <c r="N779" s="21"/>
      <c r="O779" s="134"/>
      <c r="P779" s="19"/>
      <c r="Q779" s="21"/>
      <c r="R779" s="112"/>
      <c r="S779" s="113"/>
      <c r="T779" s="115"/>
    </row>
    <row r="780" ht="14.25" customHeight="1">
      <c r="C780" s="10"/>
      <c r="D780" s="18"/>
      <c r="E780" s="10"/>
      <c r="F780" s="134"/>
      <c r="G780" s="19"/>
      <c r="H780" s="21"/>
      <c r="I780" s="235"/>
      <c r="J780" s="216"/>
      <c r="K780" s="183"/>
      <c r="L780" s="21"/>
      <c r="M780" s="19"/>
      <c r="N780" s="21"/>
      <c r="O780" s="134"/>
      <c r="P780" s="19"/>
      <c r="Q780" s="21"/>
      <c r="R780" s="112"/>
      <c r="S780" s="113"/>
      <c r="T780" s="115"/>
    </row>
    <row r="781" ht="14.25" customHeight="1">
      <c r="C781" s="10"/>
      <c r="D781" s="18"/>
      <c r="E781" s="10"/>
      <c r="F781" s="134"/>
      <c r="G781" s="19"/>
      <c r="H781" s="21"/>
      <c r="I781" s="235"/>
      <c r="J781" s="216"/>
      <c r="K781" s="183"/>
      <c r="L781" s="21"/>
      <c r="M781" s="19"/>
      <c r="N781" s="21"/>
      <c r="O781" s="134"/>
      <c r="P781" s="19"/>
      <c r="Q781" s="21"/>
      <c r="R781" s="112"/>
      <c r="S781" s="113"/>
      <c r="T781" s="115"/>
    </row>
    <row r="782" ht="14.25" customHeight="1">
      <c r="C782" s="10"/>
      <c r="D782" s="18"/>
      <c r="E782" s="10"/>
      <c r="F782" s="134"/>
      <c r="G782" s="19"/>
      <c r="H782" s="21"/>
      <c r="I782" s="235"/>
      <c r="J782" s="216"/>
      <c r="K782" s="183"/>
      <c r="L782" s="21"/>
      <c r="M782" s="19"/>
      <c r="N782" s="21"/>
      <c r="O782" s="134"/>
      <c r="P782" s="19"/>
      <c r="Q782" s="21"/>
      <c r="R782" s="112"/>
      <c r="S782" s="113"/>
      <c r="T782" s="115"/>
    </row>
    <row r="783" ht="14.25" customHeight="1">
      <c r="C783" s="10"/>
      <c r="D783" s="18"/>
      <c r="E783" s="10"/>
      <c r="F783" s="134"/>
      <c r="G783" s="19"/>
      <c r="H783" s="21"/>
      <c r="I783" s="235"/>
      <c r="J783" s="216"/>
      <c r="K783" s="183"/>
      <c r="L783" s="21"/>
      <c r="M783" s="19"/>
      <c r="N783" s="21"/>
      <c r="O783" s="134"/>
      <c r="P783" s="19"/>
      <c r="Q783" s="21"/>
      <c r="R783" s="112"/>
      <c r="S783" s="113"/>
      <c r="T783" s="115"/>
    </row>
    <row r="784" ht="14.25" customHeight="1">
      <c r="C784" s="10"/>
      <c r="D784" s="18"/>
      <c r="E784" s="10"/>
      <c r="F784" s="134"/>
      <c r="G784" s="19"/>
      <c r="H784" s="21"/>
      <c r="I784" s="235"/>
      <c r="J784" s="216"/>
      <c r="K784" s="183"/>
      <c r="L784" s="21"/>
      <c r="M784" s="19"/>
      <c r="N784" s="21"/>
      <c r="O784" s="134"/>
      <c r="P784" s="19"/>
      <c r="Q784" s="21"/>
      <c r="R784" s="112"/>
      <c r="S784" s="113"/>
      <c r="T784" s="115"/>
    </row>
    <row r="785" ht="14.25" customHeight="1">
      <c r="C785" s="10"/>
      <c r="D785" s="18"/>
      <c r="E785" s="10"/>
      <c r="F785" s="134"/>
      <c r="G785" s="19"/>
      <c r="H785" s="21"/>
      <c r="I785" s="235"/>
      <c r="J785" s="216"/>
      <c r="K785" s="183"/>
      <c r="L785" s="21"/>
      <c r="M785" s="19"/>
      <c r="N785" s="21"/>
      <c r="O785" s="134"/>
      <c r="P785" s="19"/>
      <c r="Q785" s="21"/>
      <c r="R785" s="112"/>
      <c r="S785" s="113"/>
      <c r="T785" s="115"/>
    </row>
    <row r="786" ht="14.25" customHeight="1">
      <c r="C786" s="10"/>
      <c r="D786" s="18"/>
      <c r="E786" s="10"/>
      <c r="F786" s="134"/>
      <c r="G786" s="19"/>
      <c r="H786" s="21"/>
      <c r="I786" s="235"/>
      <c r="J786" s="216"/>
      <c r="K786" s="183"/>
      <c r="L786" s="21"/>
      <c r="M786" s="19"/>
      <c r="N786" s="21"/>
      <c r="O786" s="134"/>
      <c r="P786" s="19"/>
      <c r="Q786" s="21"/>
      <c r="R786" s="112"/>
      <c r="S786" s="113"/>
      <c r="T786" s="115"/>
    </row>
    <row r="787" ht="14.25" customHeight="1">
      <c r="C787" s="10"/>
      <c r="D787" s="18"/>
      <c r="E787" s="10"/>
      <c r="F787" s="134"/>
      <c r="G787" s="19"/>
      <c r="H787" s="21"/>
      <c r="I787" s="235"/>
      <c r="J787" s="216"/>
      <c r="K787" s="183"/>
      <c r="L787" s="21"/>
      <c r="M787" s="19"/>
      <c r="N787" s="21"/>
      <c r="O787" s="134"/>
      <c r="P787" s="19"/>
      <c r="Q787" s="21"/>
      <c r="R787" s="112"/>
      <c r="S787" s="113"/>
      <c r="T787" s="115"/>
    </row>
    <row r="788" ht="14.25" customHeight="1">
      <c r="C788" s="10"/>
      <c r="D788" s="18"/>
      <c r="E788" s="10"/>
      <c r="F788" s="134"/>
      <c r="G788" s="19"/>
      <c r="H788" s="21"/>
      <c r="I788" s="235"/>
      <c r="J788" s="216"/>
      <c r="K788" s="183"/>
      <c r="L788" s="21"/>
      <c r="M788" s="19"/>
      <c r="N788" s="21"/>
      <c r="O788" s="134"/>
      <c r="P788" s="19"/>
      <c r="Q788" s="21"/>
      <c r="R788" s="112"/>
      <c r="S788" s="113"/>
      <c r="T788" s="115"/>
    </row>
    <row r="789" ht="14.25" customHeight="1">
      <c r="C789" s="10"/>
      <c r="D789" s="18"/>
      <c r="E789" s="10"/>
      <c r="F789" s="134"/>
      <c r="G789" s="19"/>
      <c r="H789" s="21"/>
      <c r="I789" s="235"/>
      <c r="J789" s="216"/>
      <c r="K789" s="183"/>
      <c r="L789" s="21"/>
      <c r="M789" s="19"/>
      <c r="N789" s="21"/>
      <c r="O789" s="134"/>
      <c r="P789" s="19"/>
      <c r="Q789" s="21"/>
      <c r="R789" s="112"/>
      <c r="S789" s="113"/>
      <c r="T789" s="115"/>
    </row>
    <row r="790" ht="14.25" customHeight="1">
      <c r="C790" s="10"/>
      <c r="D790" s="18"/>
      <c r="E790" s="10"/>
      <c r="F790" s="134"/>
      <c r="G790" s="19"/>
      <c r="H790" s="21"/>
      <c r="I790" s="235"/>
      <c r="J790" s="216"/>
      <c r="K790" s="183"/>
      <c r="L790" s="21"/>
      <c r="M790" s="19"/>
      <c r="N790" s="21"/>
      <c r="O790" s="134"/>
      <c r="P790" s="19"/>
      <c r="Q790" s="21"/>
      <c r="R790" s="112"/>
      <c r="S790" s="113"/>
      <c r="T790" s="115"/>
    </row>
    <row r="791" ht="14.25" customHeight="1">
      <c r="C791" s="10"/>
      <c r="D791" s="18"/>
      <c r="E791" s="10"/>
      <c r="F791" s="134"/>
      <c r="G791" s="19"/>
      <c r="H791" s="21"/>
      <c r="I791" s="235"/>
      <c r="J791" s="216"/>
      <c r="K791" s="183"/>
      <c r="L791" s="21"/>
      <c r="M791" s="19"/>
      <c r="N791" s="21"/>
      <c r="O791" s="134"/>
      <c r="P791" s="19"/>
      <c r="Q791" s="21"/>
      <c r="R791" s="112"/>
      <c r="S791" s="113"/>
      <c r="T791" s="115"/>
    </row>
    <row r="792" ht="14.25" customHeight="1">
      <c r="C792" s="10"/>
      <c r="D792" s="18"/>
      <c r="E792" s="10"/>
      <c r="F792" s="134"/>
      <c r="G792" s="19"/>
      <c r="H792" s="21"/>
      <c r="I792" s="235"/>
      <c r="J792" s="216"/>
      <c r="K792" s="183"/>
      <c r="L792" s="21"/>
      <c r="M792" s="19"/>
      <c r="N792" s="21"/>
      <c r="O792" s="134"/>
      <c r="P792" s="19"/>
      <c r="Q792" s="21"/>
      <c r="R792" s="112"/>
      <c r="S792" s="113"/>
      <c r="T792" s="115"/>
    </row>
    <row r="793" ht="14.25" customHeight="1">
      <c r="C793" s="10"/>
      <c r="D793" s="18"/>
      <c r="E793" s="10"/>
      <c r="F793" s="134"/>
      <c r="G793" s="19"/>
      <c r="H793" s="21"/>
      <c r="I793" s="235"/>
      <c r="J793" s="216"/>
      <c r="K793" s="183"/>
      <c r="L793" s="21"/>
      <c r="M793" s="19"/>
      <c r="N793" s="21"/>
      <c r="O793" s="134"/>
      <c r="P793" s="19"/>
      <c r="Q793" s="21"/>
      <c r="R793" s="112"/>
      <c r="S793" s="113"/>
      <c r="T793" s="115"/>
    </row>
    <row r="794" ht="14.25" customHeight="1">
      <c r="C794" s="10"/>
      <c r="D794" s="18"/>
      <c r="E794" s="10"/>
      <c r="F794" s="134"/>
      <c r="G794" s="19"/>
      <c r="H794" s="21"/>
      <c r="I794" s="235"/>
      <c r="J794" s="216"/>
      <c r="K794" s="183"/>
      <c r="L794" s="21"/>
      <c r="M794" s="19"/>
      <c r="N794" s="21"/>
      <c r="O794" s="134"/>
      <c r="P794" s="19"/>
      <c r="Q794" s="21"/>
      <c r="R794" s="112"/>
      <c r="S794" s="113"/>
      <c r="T794" s="115"/>
    </row>
    <row r="795" ht="14.25" customHeight="1">
      <c r="C795" s="10"/>
      <c r="D795" s="18"/>
      <c r="E795" s="10"/>
      <c r="F795" s="134"/>
      <c r="G795" s="19"/>
      <c r="H795" s="21"/>
      <c r="I795" s="235"/>
      <c r="J795" s="216"/>
      <c r="K795" s="183"/>
      <c r="L795" s="21"/>
      <c r="M795" s="19"/>
      <c r="N795" s="21"/>
      <c r="O795" s="134"/>
      <c r="P795" s="19"/>
      <c r="Q795" s="21"/>
      <c r="R795" s="112"/>
      <c r="S795" s="113"/>
      <c r="T795" s="115"/>
    </row>
    <row r="796" ht="14.25" customHeight="1">
      <c r="C796" s="10"/>
      <c r="D796" s="18"/>
      <c r="E796" s="10"/>
      <c r="F796" s="134"/>
      <c r="G796" s="19"/>
      <c r="H796" s="21"/>
      <c r="I796" s="235"/>
      <c r="J796" s="216"/>
      <c r="K796" s="183"/>
      <c r="L796" s="21"/>
      <c r="M796" s="19"/>
      <c r="N796" s="21"/>
      <c r="O796" s="134"/>
      <c r="P796" s="19"/>
      <c r="Q796" s="21"/>
      <c r="R796" s="112"/>
      <c r="S796" s="113"/>
      <c r="T796" s="115"/>
    </row>
    <row r="797" ht="14.25" customHeight="1">
      <c r="C797" s="10"/>
      <c r="D797" s="18"/>
      <c r="E797" s="10"/>
      <c r="F797" s="134"/>
      <c r="G797" s="19"/>
      <c r="H797" s="21"/>
      <c r="I797" s="235"/>
      <c r="J797" s="216"/>
      <c r="K797" s="183"/>
      <c r="L797" s="21"/>
      <c r="M797" s="19"/>
      <c r="N797" s="21"/>
      <c r="O797" s="134"/>
      <c r="P797" s="19"/>
      <c r="Q797" s="21"/>
      <c r="R797" s="112"/>
      <c r="S797" s="113"/>
      <c r="T797" s="115"/>
    </row>
    <row r="798" ht="14.25" customHeight="1">
      <c r="C798" s="10"/>
      <c r="D798" s="18"/>
      <c r="E798" s="10"/>
      <c r="F798" s="134"/>
      <c r="G798" s="19"/>
      <c r="H798" s="21"/>
      <c r="I798" s="235"/>
      <c r="J798" s="216"/>
      <c r="K798" s="183"/>
      <c r="L798" s="21"/>
      <c r="M798" s="19"/>
      <c r="N798" s="21"/>
      <c r="O798" s="134"/>
      <c r="P798" s="19"/>
      <c r="Q798" s="21"/>
      <c r="R798" s="112"/>
      <c r="S798" s="113"/>
      <c r="T798" s="115"/>
    </row>
    <row r="799" ht="14.25" customHeight="1">
      <c r="C799" s="10"/>
      <c r="D799" s="18"/>
      <c r="E799" s="10"/>
      <c r="F799" s="134"/>
      <c r="G799" s="19"/>
      <c r="H799" s="21"/>
      <c r="I799" s="235"/>
      <c r="J799" s="216"/>
      <c r="K799" s="183"/>
      <c r="L799" s="21"/>
      <c r="M799" s="19"/>
      <c r="N799" s="21"/>
      <c r="O799" s="134"/>
      <c r="P799" s="19"/>
      <c r="Q799" s="21"/>
      <c r="R799" s="112"/>
      <c r="S799" s="113"/>
      <c r="T799" s="115"/>
    </row>
    <row r="800" ht="14.25" customHeight="1">
      <c r="C800" s="10"/>
      <c r="D800" s="18"/>
      <c r="E800" s="10"/>
      <c r="F800" s="134"/>
      <c r="G800" s="19"/>
      <c r="H800" s="21"/>
      <c r="I800" s="235"/>
      <c r="J800" s="216"/>
      <c r="K800" s="183"/>
      <c r="L800" s="21"/>
      <c r="M800" s="19"/>
      <c r="N800" s="21"/>
      <c r="O800" s="134"/>
      <c r="P800" s="19"/>
      <c r="Q800" s="21"/>
      <c r="R800" s="112"/>
      <c r="S800" s="113"/>
      <c r="T800" s="115"/>
    </row>
    <row r="801" ht="14.25" customHeight="1">
      <c r="C801" s="10"/>
      <c r="D801" s="18"/>
      <c r="E801" s="10"/>
      <c r="F801" s="134"/>
      <c r="G801" s="19"/>
      <c r="H801" s="21"/>
      <c r="I801" s="235"/>
      <c r="J801" s="216"/>
      <c r="K801" s="183"/>
      <c r="L801" s="21"/>
      <c r="M801" s="19"/>
      <c r="N801" s="21"/>
      <c r="O801" s="134"/>
      <c r="P801" s="19"/>
      <c r="Q801" s="21"/>
      <c r="R801" s="112"/>
      <c r="S801" s="113"/>
      <c r="T801" s="115"/>
    </row>
    <row r="802" ht="14.25" customHeight="1">
      <c r="C802" s="10"/>
      <c r="D802" s="18"/>
      <c r="E802" s="10"/>
      <c r="F802" s="134"/>
      <c r="G802" s="19"/>
      <c r="H802" s="21"/>
      <c r="I802" s="235"/>
      <c r="J802" s="216"/>
      <c r="K802" s="183"/>
      <c r="L802" s="21"/>
      <c r="M802" s="19"/>
      <c r="N802" s="21"/>
      <c r="O802" s="134"/>
      <c r="P802" s="19"/>
      <c r="Q802" s="21"/>
      <c r="R802" s="112"/>
      <c r="S802" s="113"/>
      <c r="T802" s="115"/>
    </row>
    <row r="803" ht="14.25" customHeight="1">
      <c r="C803" s="10"/>
      <c r="D803" s="18"/>
      <c r="E803" s="10"/>
      <c r="F803" s="134"/>
      <c r="G803" s="19"/>
      <c r="H803" s="21"/>
      <c r="I803" s="235"/>
      <c r="J803" s="216"/>
      <c r="K803" s="183"/>
      <c r="L803" s="21"/>
      <c r="M803" s="19"/>
      <c r="N803" s="21"/>
      <c r="O803" s="134"/>
      <c r="P803" s="19"/>
      <c r="Q803" s="21"/>
      <c r="R803" s="112"/>
      <c r="S803" s="113"/>
      <c r="T803" s="115"/>
    </row>
    <row r="804" ht="14.25" customHeight="1">
      <c r="C804" s="10"/>
      <c r="D804" s="18"/>
      <c r="E804" s="10"/>
      <c r="F804" s="134"/>
      <c r="G804" s="19"/>
      <c r="H804" s="21"/>
      <c r="I804" s="235"/>
      <c r="J804" s="216"/>
      <c r="K804" s="183"/>
      <c r="L804" s="21"/>
      <c r="M804" s="19"/>
      <c r="N804" s="21"/>
      <c r="O804" s="134"/>
      <c r="P804" s="19"/>
      <c r="Q804" s="21"/>
      <c r="R804" s="112"/>
      <c r="S804" s="113"/>
      <c r="T804" s="115"/>
    </row>
    <row r="805" ht="14.25" customHeight="1">
      <c r="C805" s="10"/>
      <c r="D805" s="18"/>
      <c r="E805" s="10"/>
      <c r="F805" s="134"/>
      <c r="G805" s="19"/>
      <c r="H805" s="21"/>
      <c r="I805" s="235"/>
      <c r="J805" s="216"/>
      <c r="K805" s="183"/>
      <c r="L805" s="21"/>
      <c r="M805" s="19"/>
      <c r="N805" s="21"/>
      <c r="O805" s="134"/>
      <c r="P805" s="19"/>
      <c r="Q805" s="21"/>
      <c r="R805" s="112"/>
      <c r="S805" s="113"/>
      <c r="T805" s="115"/>
    </row>
    <row r="806" ht="14.25" customHeight="1">
      <c r="C806" s="10"/>
      <c r="D806" s="18"/>
      <c r="E806" s="10"/>
      <c r="F806" s="134"/>
      <c r="G806" s="19"/>
      <c r="H806" s="21"/>
      <c r="I806" s="235"/>
      <c r="J806" s="216"/>
      <c r="K806" s="183"/>
      <c r="L806" s="21"/>
      <c r="M806" s="19"/>
      <c r="N806" s="21"/>
      <c r="O806" s="134"/>
      <c r="P806" s="19"/>
      <c r="Q806" s="21"/>
      <c r="R806" s="112"/>
      <c r="S806" s="113"/>
      <c r="T806" s="115"/>
    </row>
    <row r="807" ht="14.25" customHeight="1">
      <c r="C807" s="10"/>
      <c r="D807" s="18"/>
      <c r="E807" s="10"/>
      <c r="F807" s="134"/>
      <c r="G807" s="19"/>
      <c r="H807" s="21"/>
      <c r="I807" s="235"/>
      <c r="J807" s="216"/>
      <c r="K807" s="183"/>
      <c r="L807" s="21"/>
      <c r="M807" s="19"/>
      <c r="N807" s="21"/>
      <c r="O807" s="134"/>
      <c r="P807" s="19"/>
      <c r="Q807" s="21"/>
      <c r="R807" s="112"/>
      <c r="S807" s="113"/>
      <c r="T807" s="115"/>
    </row>
    <row r="808" ht="14.25" customHeight="1">
      <c r="C808" s="10"/>
      <c r="D808" s="18"/>
      <c r="E808" s="10"/>
      <c r="F808" s="134"/>
      <c r="G808" s="19"/>
      <c r="H808" s="21"/>
      <c r="I808" s="235"/>
      <c r="J808" s="216"/>
      <c r="K808" s="183"/>
      <c r="L808" s="21"/>
      <c r="M808" s="19"/>
      <c r="N808" s="21"/>
      <c r="O808" s="134"/>
      <c r="P808" s="19"/>
      <c r="Q808" s="21"/>
      <c r="R808" s="112"/>
      <c r="S808" s="113"/>
      <c r="T808" s="115"/>
    </row>
    <row r="809" ht="14.25" customHeight="1">
      <c r="C809" s="10"/>
      <c r="D809" s="18"/>
      <c r="E809" s="10"/>
      <c r="F809" s="134"/>
      <c r="G809" s="19"/>
      <c r="H809" s="21"/>
      <c r="I809" s="235"/>
      <c r="J809" s="216"/>
      <c r="K809" s="183"/>
      <c r="L809" s="21"/>
      <c r="M809" s="19"/>
      <c r="N809" s="21"/>
      <c r="O809" s="134"/>
      <c r="P809" s="19"/>
      <c r="Q809" s="21"/>
      <c r="R809" s="112"/>
      <c r="S809" s="113"/>
      <c r="T809" s="115"/>
    </row>
    <row r="810" ht="14.25" customHeight="1">
      <c r="C810" s="10"/>
      <c r="D810" s="18"/>
      <c r="E810" s="10"/>
      <c r="F810" s="134"/>
      <c r="G810" s="19"/>
      <c r="H810" s="21"/>
      <c r="I810" s="235"/>
      <c r="J810" s="216"/>
      <c r="K810" s="183"/>
      <c r="L810" s="21"/>
      <c r="M810" s="19"/>
      <c r="N810" s="21"/>
      <c r="O810" s="134"/>
      <c r="P810" s="19"/>
      <c r="Q810" s="21"/>
      <c r="R810" s="112"/>
      <c r="S810" s="113"/>
      <c r="T810" s="115"/>
    </row>
    <row r="811" ht="14.25" customHeight="1">
      <c r="C811" s="10"/>
      <c r="D811" s="18"/>
      <c r="E811" s="10"/>
      <c r="F811" s="134"/>
      <c r="G811" s="19"/>
      <c r="H811" s="21"/>
      <c r="I811" s="235"/>
      <c r="J811" s="216"/>
      <c r="K811" s="183"/>
      <c r="L811" s="21"/>
      <c r="M811" s="19"/>
      <c r="N811" s="21"/>
      <c r="O811" s="134"/>
      <c r="P811" s="19"/>
      <c r="Q811" s="21"/>
      <c r="R811" s="112"/>
      <c r="S811" s="113"/>
      <c r="T811" s="115"/>
    </row>
    <row r="812" ht="14.25" customHeight="1">
      <c r="C812" s="10"/>
      <c r="D812" s="18"/>
      <c r="E812" s="10"/>
      <c r="F812" s="134"/>
      <c r="G812" s="19"/>
      <c r="H812" s="21"/>
      <c r="I812" s="235"/>
      <c r="J812" s="216"/>
      <c r="K812" s="183"/>
      <c r="L812" s="21"/>
      <c r="M812" s="19"/>
      <c r="N812" s="21"/>
      <c r="O812" s="134"/>
      <c r="P812" s="19"/>
      <c r="Q812" s="21"/>
      <c r="R812" s="112"/>
      <c r="S812" s="113"/>
      <c r="T812" s="115"/>
    </row>
    <row r="813" ht="14.25" customHeight="1">
      <c r="C813" s="10"/>
      <c r="D813" s="18"/>
      <c r="E813" s="10"/>
      <c r="F813" s="134"/>
      <c r="G813" s="19"/>
      <c r="H813" s="21"/>
      <c r="I813" s="235"/>
      <c r="J813" s="216"/>
      <c r="K813" s="183"/>
      <c r="L813" s="21"/>
      <c r="M813" s="19"/>
      <c r="N813" s="21"/>
      <c r="O813" s="134"/>
      <c r="P813" s="19"/>
      <c r="Q813" s="21"/>
      <c r="R813" s="112"/>
      <c r="S813" s="113"/>
      <c r="T813" s="115"/>
    </row>
    <row r="814" ht="14.25" customHeight="1">
      <c r="C814" s="10"/>
      <c r="D814" s="18"/>
      <c r="E814" s="10"/>
      <c r="F814" s="134"/>
      <c r="G814" s="19"/>
      <c r="H814" s="21"/>
      <c r="I814" s="235"/>
      <c r="J814" s="216"/>
      <c r="K814" s="183"/>
      <c r="L814" s="21"/>
      <c r="M814" s="19"/>
      <c r="N814" s="21"/>
      <c r="O814" s="134"/>
      <c r="P814" s="19"/>
      <c r="Q814" s="21"/>
      <c r="R814" s="112"/>
      <c r="S814" s="113"/>
      <c r="T814" s="115"/>
    </row>
    <row r="815" ht="14.25" customHeight="1">
      <c r="C815" s="10"/>
      <c r="D815" s="18"/>
      <c r="E815" s="10"/>
      <c r="F815" s="134"/>
      <c r="G815" s="19"/>
      <c r="H815" s="21"/>
      <c r="I815" s="235"/>
      <c r="J815" s="216"/>
      <c r="K815" s="183"/>
      <c r="L815" s="21"/>
      <c r="M815" s="19"/>
      <c r="N815" s="21"/>
      <c r="O815" s="134"/>
      <c r="P815" s="19"/>
      <c r="Q815" s="21"/>
      <c r="R815" s="112"/>
      <c r="S815" s="113"/>
      <c r="T815" s="115"/>
    </row>
    <row r="816" ht="14.25" customHeight="1">
      <c r="C816" s="10"/>
      <c r="D816" s="18"/>
      <c r="E816" s="10"/>
      <c r="F816" s="134"/>
      <c r="G816" s="19"/>
      <c r="H816" s="21"/>
      <c r="I816" s="235"/>
      <c r="J816" s="216"/>
      <c r="K816" s="183"/>
      <c r="L816" s="21"/>
      <c r="M816" s="19"/>
      <c r="N816" s="21"/>
      <c r="O816" s="134"/>
      <c r="P816" s="19"/>
      <c r="Q816" s="21"/>
      <c r="R816" s="112"/>
      <c r="S816" s="113"/>
      <c r="T816" s="115"/>
    </row>
    <row r="817" ht="14.25" customHeight="1">
      <c r="C817" s="10"/>
      <c r="D817" s="18"/>
      <c r="E817" s="10"/>
      <c r="F817" s="134"/>
      <c r="G817" s="19"/>
      <c r="H817" s="21"/>
      <c r="I817" s="235"/>
      <c r="J817" s="216"/>
      <c r="K817" s="183"/>
      <c r="L817" s="21"/>
      <c r="M817" s="19"/>
      <c r="N817" s="21"/>
      <c r="O817" s="134"/>
      <c r="P817" s="19"/>
      <c r="Q817" s="21"/>
      <c r="R817" s="112"/>
      <c r="S817" s="113"/>
      <c r="T817" s="115"/>
    </row>
    <row r="818" ht="14.25" customHeight="1">
      <c r="C818" s="10"/>
      <c r="D818" s="18"/>
      <c r="E818" s="10"/>
      <c r="F818" s="134"/>
      <c r="G818" s="19"/>
      <c r="H818" s="21"/>
      <c r="I818" s="235"/>
      <c r="J818" s="216"/>
      <c r="K818" s="183"/>
      <c r="L818" s="21"/>
      <c r="M818" s="19"/>
      <c r="N818" s="21"/>
      <c r="O818" s="134"/>
      <c r="P818" s="19"/>
      <c r="Q818" s="21"/>
      <c r="R818" s="112"/>
      <c r="S818" s="113"/>
      <c r="T818" s="115"/>
    </row>
    <row r="819" ht="14.25" customHeight="1">
      <c r="C819" s="10"/>
      <c r="D819" s="18"/>
      <c r="E819" s="10"/>
      <c r="F819" s="134"/>
      <c r="G819" s="19"/>
      <c r="H819" s="21"/>
      <c r="I819" s="235"/>
      <c r="J819" s="216"/>
      <c r="K819" s="183"/>
      <c r="L819" s="21"/>
      <c r="M819" s="19"/>
      <c r="N819" s="21"/>
      <c r="O819" s="134"/>
      <c r="P819" s="19"/>
      <c r="Q819" s="21"/>
      <c r="R819" s="112"/>
      <c r="S819" s="113"/>
      <c r="T819" s="115"/>
    </row>
    <row r="820" ht="14.25" customHeight="1">
      <c r="C820" s="10"/>
      <c r="D820" s="18"/>
      <c r="E820" s="10"/>
      <c r="F820" s="134"/>
      <c r="G820" s="19"/>
      <c r="H820" s="21"/>
      <c r="I820" s="235"/>
      <c r="J820" s="216"/>
      <c r="K820" s="183"/>
      <c r="L820" s="21"/>
      <c r="M820" s="19"/>
      <c r="N820" s="21"/>
      <c r="O820" s="134"/>
      <c r="P820" s="19"/>
      <c r="Q820" s="21"/>
      <c r="R820" s="112"/>
      <c r="S820" s="113"/>
      <c r="T820" s="115"/>
    </row>
    <row r="821" ht="14.25" customHeight="1">
      <c r="C821" s="10"/>
      <c r="D821" s="18"/>
      <c r="E821" s="10"/>
      <c r="F821" s="134"/>
      <c r="G821" s="19"/>
      <c r="H821" s="21"/>
      <c r="I821" s="235"/>
      <c r="J821" s="216"/>
      <c r="K821" s="183"/>
      <c r="L821" s="21"/>
      <c r="M821" s="19"/>
      <c r="N821" s="21"/>
      <c r="O821" s="134"/>
      <c r="P821" s="19"/>
      <c r="Q821" s="21"/>
      <c r="R821" s="112"/>
      <c r="S821" s="113"/>
      <c r="T821" s="115"/>
    </row>
    <row r="822" ht="14.25" customHeight="1">
      <c r="C822" s="10"/>
      <c r="D822" s="18"/>
      <c r="E822" s="10"/>
      <c r="F822" s="134"/>
      <c r="G822" s="19"/>
      <c r="H822" s="21"/>
      <c r="I822" s="235"/>
      <c r="J822" s="216"/>
      <c r="K822" s="183"/>
      <c r="L822" s="21"/>
      <c r="M822" s="19"/>
      <c r="N822" s="21"/>
      <c r="O822" s="134"/>
      <c r="P822" s="19"/>
      <c r="Q822" s="21"/>
      <c r="R822" s="112"/>
      <c r="S822" s="113"/>
      <c r="T822" s="115"/>
    </row>
    <row r="823" ht="14.25" customHeight="1">
      <c r="C823" s="10"/>
      <c r="D823" s="18"/>
      <c r="E823" s="10"/>
      <c r="F823" s="134"/>
      <c r="G823" s="19"/>
      <c r="H823" s="21"/>
      <c r="I823" s="235"/>
      <c r="J823" s="216"/>
      <c r="K823" s="183"/>
      <c r="L823" s="21"/>
      <c r="M823" s="19"/>
      <c r="N823" s="21"/>
      <c r="O823" s="134"/>
      <c r="P823" s="19"/>
      <c r="Q823" s="21"/>
      <c r="R823" s="112"/>
      <c r="S823" s="113"/>
      <c r="T823" s="115"/>
    </row>
    <row r="824" ht="14.25" customHeight="1">
      <c r="C824" s="10"/>
      <c r="D824" s="18"/>
      <c r="E824" s="10"/>
      <c r="F824" s="134"/>
      <c r="G824" s="19"/>
      <c r="H824" s="21"/>
      <c r="I824" s="235"/>
      <c r="J824" s="216"/>
      <c r="K824" s="183"/>
      <c r="L824" s="21"/>
      <c r="M824" s="19"/>
      <c r="N824" s="21"/>
      <c r="O824" s="134"/>
      <c r="P824" s="19"/>
      <c r="Q824" s="21"/>
      <c r="R824" s="112"/>
      <c r="S824" s="113"/>
      <c r="T824" s="115"/>
    </row>
    <row r="825" ht="14.25" customHeight="1">
      <c r="C825" s="10"/>
      <c r="D825" s="18"/>
      <c r="E825" s="10"/>
      <c r="F825" s="134"/>
      <c r="G825" s="19"/>
      <c r="H825" s="21"/>
      <c r="I825" s="235"/>
      <c r="J825" s="216"/>
      <c r="K825" s="183"/>
      <c r="L825" s="21"/>
      <c r="M825" s="19"/>
      <c r="N825" s="21"/>
      <c r="O825" s="134"/>
      <c r="P825" s="19"/>
      <c r="Q825" s="21"/>
      <c r="R825" s="112"/>
      <c r="S825" s="113"/>
      <c r="T825" s="115"/>
    </row>
    <row r="826" ht="14.25" customHeight="1">
      <c r="C826" s="10"/>
      <c r="D826" s="18"/>
      <c r="E826" s="10"/>
      <c r="F826" s="134"/>
      <c r="G826" s="19"/>
      <c r="H826" s="21"/>
      <c r="I826" s="235"/>
      <c r="J826" s="216"/>
      <c r="K826" s="183"/>
      <c r="L826" s="21"/>
      <c r="M826" s="19"/>
      <c r="N826" s="21"/>
      <c r="O826" s="134"/>
      <c r="P826" s="19"/>
      <c r="Q826" s="21"/>
      <c r="R826" s="112"/>
      <c r="S826" s="113"/>
      <c r="T826" s="115"/>
    </row>
    <row r="827" ht="14.25" customHeight="1">
      <c r="C827" s="10"/>
      <c r="D827" s="18"/>
      <c r="E827" s="10"/>
      <c r="F827" s="134"/>
      <c r="G827" s="19"/>
      <c r="H827" s="21"/>
      <c r="I827" s="235"/>
      <c r="J827" s="216"/>
      <c r="K827" s="183"/>
      <c r="L827" s="21"/>
      <c r="M827" s="19"/>
      <c r="N827" s="21"/>
      <c r="O827" s="134"/>
      <c r="P827" s="19"/>
      <c r="Q827" s="21"/>
      <c r="R827" s="112"/>
      <c r="S827" s="113"/>
      <c r="T827" s="115"/>
    </row>
    <row r="828" ht="14.25" customHeight="1">
      <c r="C828" s="10"/>
      <c r="D828" s="18"/>
      <c r="E828" s="10"/>
      <c r="F828" s="134"/>
      <c r="G828" s="19"/>
      <c r="H828" s="21"/>
      <c r="I828" s="235"/>
      <c r="J828" s="216"/>
      <c r="K828" s="183"/>
      <c r="L828" s="21"/>
      <c r="M828" s="19"/>
      <c r="N828" s="21"/>
      <c r="O828" s="134"/>
      <c r="P828" s="19"/>
      <c r="Q828" s="21"/>
      <c r="R828" s="112"/>
      <c r="S828" s="113"/>
      <c r="T828" s="115"/>
    </row>
    <row r="829" ht="14.25" customHeight="1">
      <c r="C829" s="10"/>
      <c r="D829" s="18"/>
      <c r="E829" s="10"/>
      <c r="F829" s="134"/>
      <c r="G829" s="19"/>
      <c r="H829" s="21"/>
      <c r="I829" s="235"/>
      <c r="J829" s="216"/>
      <c r="K829" s="183"/>
      <c r="L829" s="21"/>
      <c r="M829" s="19"/>
      <c r="N829" s="21"/>
      <c r="O829" s="134"/>
      <c r="P829" s="19"/>
      <c r="Q829" s="21"/>
      <c r="R829" s="112"/>
      <c r="S829" s="113"/>
      <c r="T829" s="115"/>
    </row>
    <row r="830" ht="14.25" customHeight="1">
      <c r="C830" s="10"/>
      <c r="D830" s="18"/>
      <c r="E830" s="10"/>
      <c r="F830" s="134"/>
      <c r="G830" s="19"/>
      <c r="H830" s="21"/>
      <c r="I830" s="235"/>
      <c r="J830" s="216"/>
      <c r="K830" s="183"/>
      <c r="L830" s="21"/>
      <c r="M830" s="19"/>
      <c r="N830" s="21"/>
      <c r="O830" s="134"/>
      <c r="P830" s="19"/>
      <c r="Q830" s="21"/>
      <c r="R830" s="112"/>
      <c r="S830" s="113"/>
      <c r="T830" s="115"/>
    </row>
    <row r="831" ht="14.25" customHeight="1">
      <c r="C831" s="10"/>
      <c r="D831" s="18"/>
      <c r="E831" s="10"/>
      <c r="F831" s="134"/>
      <c r="G831" s="19"/>
      <c r="H831" s="21"/>
      <c r="I831" s="235"/>
      <c r="J831" s="216"/>
      <c r="K831" s="183"/>
      <c r="L831" s="21"/>
      <c r="M831" s="19"/>
      <c r="N831" s="21"/>
      <c r="O831" s="134"/>
      <c r="P831" s="19"/>
      <c r="Q831" s="21"/>
      <c r="R831" s="112"/>
      <c r="S831" s="113"/>
      <c r="T831" s="115"/>
    </row>
    <row r="832" ht="14.25" customHeight="1">
      <c r="C832" s="10"/>
      <c r="D832" s="18"/>
      <c r="E832" s="10"/>
      <c r="F832" s="134"/>
      <c r="G832" s="19"/>
      <c r="H832" s="21"/>
      <c r="I832" s="235"/>
      <c r="J832" s="216"/>
      <c r="K832" s="183"/>
      <c r="L832" s="21"/>
      <c r="M832" s="19"/>
      <c r="N832" s="21"/>
      <c r="O832" s="134"/>
      <c r="P832" s="19"/>
      <c r="Q832" s="21"/>
      <c r="R832" s="112"/>
      <c r="S832" s="113"/>
      <c r="T832" s="115"/>
    </row>
    <row r="833" ht="14.25" customHeight="1">
      <c r="C833" s="10"/>
      <c r="D833" s="18"/>
      <c r="E833" s="10"/>
      <c r="F833" s="134"/>
      <c r="G833" s="19"/>
      <c r="H833" s="21"/>
      <c r="I833" s="235"/>
      <c r="J833" s="216"/>
      <c r="K833" s="183"/>
      <c r="L833" s="21"/>
      <c r="M833" s="19"/>
      <c r="N833" s="21"/>
      <c r="O833" s="134"/>
      <c r="P833" s="19"/>
      <c r="Q833" s="21"/>
      <c r="R833" s="112"/>
      <c r="S833" s="113"/>
      <c r="T833" s="115"/>
    </row>
    <row r="834" ht="14.25" customHeight="1">
      <c r="C834" s="10"/>
      <c r="D834" s="18"/>
      <c r="E834" s="10"/>
      <c r="F834" s="134"/>
      <c r="G834" s="19"/>
      <c r="H834" s="21"/>
      <c r="I834" s="235"/>
      <c r="J834" s="216"/>
      <c r="K834" s="183"/>
      <c r="L834" s="21"/>
      <c r="M834" s="19"/>
      <c r="N834" s="21"/>
      <c r="O834" s="134"/>
      <c r="P834" s="19"/>
      <c r="Q834" s="21"/>
      <c r="R834" s="112"/>
      <c r="S834" s="113"/>
      <c r="T834" s="115"/>
    </row>
    <row r="835" ht="14.25" customHeight="1">
      <c r="C835" s="10"/>
      <c r="D835" s="18"/>
      <c r="E835" s="10"/>
      <c r="F835" s="134"/>
      <c r="G835" s="19"/>
      <c r="H835" s="21"/>
      <c r="I835" s="235"/>
      <c r="J835" s="216"/>
      <c r="K835" s="183"/>
      <c r="L835" s="21"/>
      <c r="M835" s="19"/>
      <c r="N835" s="21"/>
      <c r="O835" s="134"/>
      <c r="P835" s="19"/>
      <c r="Q835" s="21"/>
      <c r="R835" s="112"/>
      <c r="S835" s="113"/>
      <c r="T835" s="115"/>
    </row>
    <row r="836" ht="14.25" customHeight="1">
      <c r="C836" s="10"/>
      <c r="D836" s="18"/>
      <c r="E836" s="10"/>
      <c r="F836" s="134"/>
      <c r="G836" s="19"/>
      <c r="H836" s="21"/>
      <c r="I836" s="235"/>
      <c r="J836" s="216"/>
      <c r="K836" s="183"/>
      <c r="L836" s="21"/>
      <c r="M836" s="19"/>
      <c r="N836" s="21"/>
      <c r="O836" s="134"/>
      <c r="P836" s="19"/>
      <c r="Q836" s="21"/>
      <c r="R836" s="112"/>
      <c r="S836" s="113"/>
      <c r="T836" s="115"/>
    </row>
    <row r="837" ht="14.25" customHeight="1">
      <c r="C837" s="10"/>
      <c r="D837" s="18"/>
      <c r="E837" s="10"/>
      <c r="F837" s="134"/>
      <c r="G837" s="19"/>
      <c r="H837" s="21"/>
      <c r="I837" s="235"/>
      <c r="J837" s="216"/>
      <c r="K837" s="183"/>
      <c r="L837" s="21"/>
      <c r="M837" s="19"/>
      <c r="N837" s="21"/>
      <c r="O837" s="134"/>
      <c r="P837" s="19"/>
      <c r="Q837" s="21"/>
      <c r="R837" s="112"/>
      <c r="S837" s="113"/>
      <c r="T837" s="115"/>
    </row>
    <row r="838" ht="14.25" customHeight="1">
      <c r="C838" s="10"/>
      <c r="D838" s="18"/>
      <c r="E838" s="10"/>
      <c r="F838" s="134"/>
      <c r="G838" s="19"/>
      <c r="H838" s="21"/>
      <c r="I838" s="235"/>
      <c r="J838" s="216"/>
      <c r="K838" s="183"/>
      <c r="L838" s="21"/>
      <c r="M838" s="19"/>
      <c r="N838" s="21"/>
      <c r="O838" s="134"/>
      <c r="P838" s="19"/>
      <c r="Q838" s="21"/>
      <c r="R838" s="112"/>
      <c r="S838" s="113"/>
      <c r="T838" s="115"/>
    </row>
    <row r="839" ht="14.25" customHeight="1">
      <c r="C839" s="10"/>
      <c r="D839" s="18"/>
      <c r="E839" s="10"/>
      <c r="F839" s="134"/>
      <c r="G839" s="19"/>
      <c r="H839" s="21"/>
      <c r="I839" s="235"/>
      <c r="J839" s="216"/>
      <c r="K839" s="183"/>
      <c r="L839" s="21"/>
      <c r="M839" s="19"/>
      <c r="N839" s="21"/>
      <c r="O839" s="134"/>
      <c r="P839" s="19"/>
      <c r="Q839" s="21"/>
      <c r="R839" s="112"/>
      <c r="S839" s="113"/>
      <c r="T839" s="115"/>
    </row>
    <row r="840" ht="14.25" customHeight="1">
      <c r="C840" s="10"/>
      <c r="D840" s="18"/>
      <c r="E840" s="10"/>
      <c r="F840" s="134"/>
      <c r="G840" s="19"/>
      <c r="H840" s="21"/>
      <c r="I840" s="235"/>
      <c r="J840" s="216"/>
      <c r="K840" s="183"/>
      <c r="L840" s="21"/>
      <c r="M840" s="19"/>
      <c r="N840" s="21"/>
      <c r="O840" s="134"/>
      <c r="P840" s="19"/>
      <c r="Q840" s="21"/>
      <c r="R840" s="112"/>
      <c r="S840" s="113"/>
      <c r="T840" s="115"/>
    </row>
    <row r="841" ht="14.25" customHeight="1">
      <c r="C841" s="10"/>
      <c r="D841" s="18"/>
      <c r="E841" s="10"/>
      <c r="F841" s="134"/>
      <c r="G841" s="19"/>
      <c r="H841" s="21"/>
      <c r="I841" s="235"/>
      <c r="J841" s="216"/>
      <c r="K841" s="183"/>
      <c r="L841" s="21"/>
      <c r="M841" s="19"/>
      <c r="N841" s="21"/>
      <c r="O841" s="134"/>
      <c r="P841" s="19"/>
      <c r="Q841" s="21"/>
      <c r="R841" s="112"/>
      <c r="S841" s="113"/>
      <c r="T841" s="115"/>
    </row>
    <row r="842" ht="14.25" customHeight="1">
      <c r="C842" s="10"/>
      <c r="D842" s="18"/>
      <c r="E842" s="10"/>
      <c r="F842" s="134"/>
      <c r="G842" s="19"/>
      <c r="H842" s="21"/>
      <c r="I842" s="235"/>
      <c r="J842" s="216"/>
      <c r="K842" s="183"/>
      <c r="L842" s="21"/>
      <c r="M842" s="19"/>
      <c r="N842" s="21"/>
      <c r="O842" s="134"/>
      <c r="P842" s="19"/>
      <c r="Q842" s="21"/>
      <c r="R842" s="112"/>
      <c r="S842" s="113"/>
      <c r="T842" s="115"/>
    </row>
    <row r="843" ht="14.25" customHeight="1">
      <c r="C843" s="10"/>
      <c r="D843" s="18"/>
      <c r="E843" s="10"/>
      <c r="F843" s="134"/>
      <c r="G843" s="19"/>
      <c r="H843" s="21"/>
      <c r="I843" s="235"/>
      <c r="J843" s="216"/>
      <c r="K843" s="183"/>
      <c r="L843" s="21"/>
      <c r="M843" s="19"/>
      <c r="N843" s="21"/>
      <c r="O843" s="134"/>
      <c r="P843" s="19"/>
      <c r="Q843" s="21"/>
      <c r="R843" s="112"/>
      <c r="S843" s="113"/>
      <c r="T843" s="115"/>
    </row>
    <row r="844" ht="14.25" customHeight="1">
      <c r="C844" s="10"/>
      <c r="D844" s="18"/>
      <c r="E844" s="10"/>
      <c r="F844" s="134"/>
      <c r="G844" s="19"/>
      <c r="H844" s="21"/>
      <c r="I844" s="235"/>
      <c r="J844" s="216"/>
      <c r="K844" s="183"/>
      <c r="L844" s="21"/>
      <c r="M844" s="19"/>
      <c r="N844" s="21"/>
      <c r="O844" s="134"/>
      <c r="P844" s="19"/>
      <c r="Q844" s="21"/>
      <c r="R844" s="112"/>
      <c r="S844" s="113"/>
      <c r="T844" s="115"/>
    </row>
    <row r="845" ht="14.25" customHeight="1">
      <c r="C845" s="10"/>
      <c r="D845" s="18"/>
      <c r="E845" s="10"/>
      <c r="F845" s="134"/>
      <c r="G845" s="19"/>
      <c r="H845" s="21"/>
      <c r="I845" s="235"/>
      <c r="J845" s="216"/>
      <c r="K845" s="183"/>
      <c r="L845" s="21"/>
      <c r="M845" s="19"/>
      <c r="N845" s="21"/>
      <c r="O845" s="134"/>
      <c r="P845" s="19"/>
      <c r="Q845" s="21"/>
      <c r="R845" s="112"/>
      <c r="S845" s="113"/>
      <c r="T845" s="115"/>
    </row>
    <row r="846" ht="14.25" customHeight="1">
      <c r="C846" s="10"/>
      <c r="D846" s="18"/>
      <c r="E846" s="10"/>
      <c r="F846" s="134"/>
      <c r="G846" s="19"/>
      <c r="H846" s="21"/>
      <c r="I846" s="235"/>
      <c r="J846" s="216"/>
      <c r="K846" s="183"/>
      <c r="L846" s="21"/>
      <c r="M846" s="19"/>
      <c r="N846" s="21"/>
      <c r="O846" s="134"/>
      <c r="P846" s="19"/>
      <c r="Q846" s="21"/>
      <c r="R846" s="112"/>
      <c r="S846" s="113"/>
      <c r="T846" s="115"/>
    </row>
    <row r="847" ht="14.25" customHeight="1">
      <c r="C847" s="10"/>
      <c r="D847" s="18"/>
      <c r="E847" s="10"/>
      <c r="F847" s="134"/>
      <c r="G847" s="19"/>
      <c r="H847" s="21"/>
      <c r="I847" s="235"/>
      <c r="J847" s="216"/>
      <c r="K847" s="183"/>
      <c r="L847" s="21"/>
      <c r="M847" s="19"/>
      <c r="N847" s="21"/>
      <c r="O847" s="134"/>
      <c r="P847" s="19"/>
      <c r="Q847" s="21"/>
      <c r="R847" s="112"/>
      <c r="S847" s="113"/>
      <c r="T847" s="115"/>
    </row>
    <row r="848" ht="14.25" customHeight="1">
      <c r="C848" s="10"/>
      <c r="D848" s="18"/>
      <c r="E848" s="10"/>
      <c r="F848" s="134"/>
      <c r="G848" s="19"/>
      <c r="H848" s="21"/>
      <c r="I848" s="235"/>
      <c r="J848" s="216"/>
      <c r="K848" s="183"/>
      <c r="L848" s="21"/>
      <c r="M848" s="19"/>
      <c r="N848" s="21"/>
      <c r="O848" s="134"/>
      <c r="P848" s="19"/>
      <c r="Q848" s="21"/>
      <c r="R848" s="112"/>
      <c r="S848" s="113"/>
      <c r="T848" s="115"/>
    </row>
    <row r="849" ht="14.25" customHeight="1">
      <c r="C849" s="10"/>
      <c r="D849" s="18"/>
      <c r="E849" s="10"/>
      <c r="F849" s="134"/>
      <c r="G849" s="19"/>
      <c r="H849" s="21"/>
      <c r="I849" s="235"/>
      <c r="J849" s="216"/>
      <c r="K849" s="183"/>
      <c r="L849" s="21"/>
      <c r="M849" s="19"/>
      <c r="N849" s="21"/>
      <c r="O849" s="134"/>
      <c r="P849" s="19"/>
      <c r="Q849" s="21"/>
      <c r="R849" s="112"/>
      <c r="S849" s="113"/>
      <c r="T849" s="115"/>
    </row>
    <row r="850" ht="14.25" customHeight="1">
      <c r="C850" s="10"/>
      <c r="D850" s="18"/>
      <c r="E850" s="10"/>
      <c r="F850" s="134"/>
      <c r="G850" s="19"/>
      <c r="H850" s="21"/>
      <c r="I850" s="235"/>
      <c r="J850" s="216"/>
      <c r="K850" s="183"/>
      <c r="L850" s="21"/>
      <c r="M850" s="19"/>
      <c r="N850" s="21"/>
      <c r="O850" s="134"/>
      <c r="P850" s="19"/>
      <c r="Q850" s="21"/>
      <c r="R850" s="112"/>
      <c r="S850" s="113"/>
      <c r="T850" s="115"/>
    </row>
    <row r="851" ht="14.25" customHeight="1">
      <c r="C851" s="10"/>
      <c r="D851" s="18"/>
      <c r="E851" s="10"/>
      <c r="F851" s="134"/>
      <c r="G851" s="19"/>
      <c r="H851" s="21"/>
      <c r="I851" s="235"/>
      <c r="J851" s="216"/>
      <c r="K851" s="183"/>
      <c r="L851" s="21"/>
      <c r="M851" s="19"/>
      <c r="N851" s="21"/>
      <c r="O851" s="134"/>
      <c r="P851" s="19"/>
      <c r="Q851" s="21"/>
      <c r="R851" s="112"/>
      <c r="S851" s="113"/>
      <c r="T851" s="115"/>
    </row>
    <row r="852" ht="14.25" customHeight="1">
      <c r="C852" s="10"/>
      <c r="D852" s="18"/>
      <c r="E852" s="10"/>
      <c r="F852" s="134"/>
      <c r="G852" s="19"/>
      <c r="H852" s="21"/>
      <c r="I852" s="235"/>
      <c r="J852" s="216"/>
      <c r="K852" s="183"/>
      <c r="L852" s="21"/>
      <c r="M852" s="19"/>
      <c r="N852" s="21"/>
      <c r="O852" s="134"/>
      <c r="P852" s="19"/>
      <c r="Q852" s="21"/>
      <c r="R852" s="112"/>
      <c r="S852" s="113"/>
      <c r="T852" s="115"/>
    </row>
    <row r="853" ht="14.25" customHeight="1">
      <c r="C853" s="10"/>
      <c r="D853" s="18"/>
      <c r="E853" s="10"/>
      <c r="F853" s="134"/>
      <c r="G853" s="19"/>
      <c r="H853" s="21"/>
      <c r="I853" s="235"/>
      <c r="J853" s="216"/>
      <c r="K853" s="183"/>
      <c r="L853" s="21"/>
      <c r="M853" s="19"/>
      <c r="N853" s="21"/>
      <c r="O853" s="134"/>
      <c r="P853" s="19"/>
      <c r="Q853" s="21"/>
      <c r="R853" s="112"/>
      <c r="S853" s="113"/>
      <c r="T853" s="115"/>
    </row>
    <row r="854" ht="14.25" customHeight="1">
      <c r="C854" s="10"/>
      <c r="D854" s="18"/>
      <c r="E854" s="10"/>
      <c r="F854" s="134"/>
      <c r="G854" s="19"/>
      <c r="H854" s="21"/>
      <c r="I854" s="235"/>
      <c r="J854" s="216"/>
      <c r="K854" s="183"/>
      <c r="L854" s="21"/>
      <c r="M854" s="19"/>
      <c r="N854" s="21"/>
      <c r="O854" s="134"/>
      <c r="P854" s="19"/>
      <c r="Q854" s="21"/>
      <c r="R854" s="112"/>
      <c r="S854" s="113"/>
      <c r="T854" s="115"/>
    </row>
    <row r="855" ht="14.25" customHeight="1">
      <c r="C855" s="10"/>
      <c r="D855" s="18"/>
      <c r="E855" s="10"/>
      <c r="F855" s="134"/>
      <c r="G855" s="19"/>
      <c r="H855" s="21"/>
      <c r="I855" s="235"/>
      <c r="J855" s="216"/>
      <c r="K855" s="183"/>
      <c r="L855" s="21"/>
      <c r="M855" s="19"/>
      <c r="N855" s="21"/>
      <c r="O855" s="134"/>
      <c r="P855" s="19"/>
      <c r="Q855" s="21"/>
      <c r="R855" s="112"/>
      <c r="S855" s="113"/>
      <c r="T855" s="115"/>
    </row>
    <row r="856" ht="14.25" customHeight="1">
      <c r="C856" s="10"/>
      <c r="D856" s="18"/>
      <c r="E856" s="10"/>
      <c r="F856" s="134"/>
      <c r="G856" s="19"/>
      <c r="H856" s="21"/>
      <c r="I856" s="235"/>
      <c r="J856" s="216"/>
      <c r="K856" s="183"/>
      <c r="L856" s="21"/>
      <c r="M856" s="19"/>
      <c r="N856" s="21"/>
      <c r="O856" s="134"/>
      <c r="P856" s="19"/>
      <c r="Q856" s="21"/>
      <c r="R856" s="112"/>
      <c r="S856" s="113"/>
      <c r="T856" s="115"/>
    </row>
    <row r="857" ht="14.25" customHeight="1">
      <c r="C857" s="10"/>
      <c r="D857" s="18"/>
      <c r="E857" s="10"/>
      <c r="F857" s="134"/>
      <c r="G857" s="19"/>
      <c r="H857" s="21"/>
      <c r="I857" s="235"/>
      <c r="J857" s="216"/>
      <c r="K857" s="183"/>
      <c r="L857" s="21"/>
      <c r="M857" s="19"/>
      <c r="N857" s="21"/>
      <c r="O857" s="134"/>
      <c r="P857" s="19"/>
      <c r="Q857" s="21"/>
      <c r="R857" s="112"/>
      <c r="S857" s="113"/>
      <c r="T857" s="115"/>
    </row>
    <row r="858" ht="14.25" customHeight="1">
      <c r="C858" s="10"/>
      <c r="D858" s="18"/>
      <c r="E858" s="10"/>
      <c r="F858" s="134"/>
      <c r="G858" s="19"/>
      <c r="H858" s="21"/>
      <c r="I858" s="235"/>
      <c r="J858" s="216"/>
      <c r="K858" s="183"/>
      <c r="L858" s="21"/>
      <c r="M858" s="19"/>
      <c r="N858" s="21"/>
      <c r="O858" s="134"/>
      <c r="P858" s="19"/>
      <c r="Q858" s="21"/>
      <c r="R858" s="112"/>
      <c r="S858" s="113"/>
      <c r="T858" s="115"/>
    </row>
    <row r="859" ht="14.25" customHeight="1">
      <c r="C859" s="10"/>
      <c r="D859" s="18"/>
      <c r="E859" s="10"/>
      <c r="F859" s="134"/>
      <c r="G859" s="19"/>
      <c r="H859" s="21"/>
      <c r="I859" s="235"/>
      <c r="J859" s="216"/>
      <c r="K859" s="183"/>
      <c r="L859" s="21"/>
      <c r="M859" s="19"/>
      <c r="N859" s="21"/>
      <c r="O859" s="134"/>
      <c r="P859" s="19"/>
      <c r="Q859" s="21"/>
      <c r="R859" s="112"/>
      <c r="S859" s="113"/>
      <c r="T859" s="115"/>
    </row>
    <row r="860" ht="14.25" customHeight="1">
      <c r="C860" s="10"/>
      <c r="D860" s="18"/>
      <c r="E860" s="10"/>
      <c r="F860" s="134"/>
      <c r="G860" s="19"/>
      <c r="H860" s="21"/>
      <c r="I860" s="235"/>
      <c r="J860" s="216"/>
      <c r="K860" s="183"/>
      <c r="L860" s="21"/>
      <c r="M860" s="19"/>
      <c r="N860" s="21"/>
      <c r="O860" s="134"/>
      <c r="P860" s="19"/>
      <c r="Q860" s="21"/>
      <c r="R860" s="112"/>
      <c r="S860" s="113"/>
      <c r="T860" s="115"/>
    </row>
    <row r="861" ht="14.25" customHeight="1">
      <c r="C861" s="10"/>
      <c r="D861" s="18"/>
      <c r="E861" s="10"/>
      <c r="F861" s="134"/>
      <c r="G861" s="19"/>
      <c r="H861" s="21"/>
      <c r="I861" s="235"/>
      <c r="J861" s="216"/>
      <c r="K861" s="183"/>
      <c r="L861" s="21"/>
      <c r="M861" s="19"/>
      <c r="N861" s="21"/>
      <c r="O861" s="134"/>
      <c r="P861" s="19"/>
      <c r="Q861" s="21"/>
      <c r="R861" s="112"/>
      <c r="S861" s="113"/>
      <c r="T861" s="115"/>
    </row>
    <row r="862" ht="14.25" customHeight="1">
      <c r="C862" s="10"/>
      <c r="D862" s="18"/>
      <c r="E862" s="10"/>
      <c r="F862" s="134"/>
      <c r="G862" s="19"/>
      <c r="H862" s="21"/>
      <c r="I862" s="235"/>
      <c r="J862" s="216"/>
      <c r="K862" s="183"/>
      <c r="L862" s="21"/>
      <c r="M862" s="19"/>
      <c r="N862" s="21"/>
      <c r="O862" s="134"/>
      <c r="P862" s="19"/>
      <c r="Q862" s="21"/>
      <c r="R862" s="112"/>
      <c r="S862" s="113"/>
      <c r="T862" s="115"/>
    </row>
    <row r="863" ht="14.25" customHeight="1">
      <c r="C863" s="10"/>
      <c r="D863" s="18"/>
      <c r="E863" s="10"/>
      <c r="F863" s="134"/>
      <c r="G863" s="19"/>
      <c r="H863" s="21"/>
      <c r="I863" s="235"/>
      <c r="J863" s="216"/>
      <c r="K863" s="183"/>
      <c r="L863" s="21"/>
      <c r="M863" s="19"/>
      <c r="N863" s="21"/>
      <c r="O863" s="134"/>
      <c r="P863" s="19"/>
      <c r="Q863" s="21"/>
      <c r="R863" s="112"/>
      <c r="S863" s="113"/>
      <c r="T863" s="115"/>
    </row>
    <row r="864" ht="14.25" customHeight="1">
      <c r="C864" s="10"/>
      <c r="D864" s="18"/>
      <c r="E864" s="10"/>
      <c r="F864" s="134"/>
      <c r="G864" s="19"/>
      <c r="H864" s="21"/>
      <c r="I864" s="235"/>
      <c r="J864" s="216"/>
      <c r="K864" s="183"/>
      <c r="L864" s="21"/>
      <c r="M864" s="19"/>
      <c r="N864" s="21"/>
      <c r="O864" s="134"/>
      <c r="P864" s="19"/>
      <c r="Q864" s="21"/>
      <c r="R864" s="112"/>
      <c r="S864" s="113"/>
      <c r="T864" s="115"/>
    </row>
    <row r="865" ht="14.25" customHeight="1">
      <c r="C865" s="10"/>
      <c r="D865" s="18"/>
      <c r="E865" s="10"/>
      <c r="F865" s="134"/>
      <c r="G865" s="19"/>
      <c r="H865" s="21"/>
      <c r="I865" s="235"/>
      <c r="J865" s="216"/>
      <c r="K865" s="183"/>
      <c r="L865" s="21"/>
      <c r="M865" s="19"/>
      <c r="N865" s="21"/>
      <c r="O865" s="134"/>
      <c r="P865" s="19"/>
      <c r="Q865" s="21"/>
      <c r="R865" s="112"/>
      <c r="S865" s="113"/>
      <c r="T865" s="115"/>
    </row>
    <row r="866" ht="14.25" customHeight="1">
      <c r="C866" s="10"/>
      <c r="D866" s="18"/>
      <c r="E866" s="10"/>
      <c r="F866" s="134"/>
      <c r="G866" s="19"/>
      <c r="H866" s="21"/>
      <c r="I866" s="235"/>
      <c r="J866" s="216"/>
      <c r="K866" s="183"/>
      <c r="L866" s="21"/>
      <c r="M866" s="19"/>
      <c r="N866" s="21"/>
      <c r="O866" s="134"/>
      <c r="P866" s="19"/>
      <c r="Q866" s="21"/>
      <c r="R866" s="112"/>
      <c r="S866" s="113"/>
      <c r="T866" s="115"/>
    </row>
    <row r="867" ht="14.25" customHeight="1">
      <c r="C867" s="10"/>
      <c r="D867" s="18"/>
      <c r="E867" s="10"/>
      <c r="F867" s="134"/>
      <c r="G867" s="19"/>
      <c r="H867" s="21"/>
      <c r="I867" s="235"/>
      <c r="J867" s="216"/>
      <c r="K867" s="183"/>
      <c r="L867" s="21"/>
      <c r="M867" s="19"/>
      <c r="N867" s="21"/>
      <c r="O867" s="134"/>
      <c r="P867" s="19"/>
      <c r="Q867" s="21"/>
      <c r="R867" s="112"/>
      <c r="S867" s="113"/>
      <c r="T867" s="115"/>
    </row>
    <row r="868" ht="14.25" customHeight="1">
      <c r="C868" s="10"/>
      <c r="D868" s="18"/>
      <c r="E868" s="10"/>
      <c r="F868" s="134"/>
      <c r="G868" s="19"/>
      <c r="H868" s="21"/>
      <c r="I868" s="235"/>
      <c r="J868" s="216"/>
      <c r="K868" s="183"/>
      <c r="L868" s="21"/>
      <c r="M868" s="19"/>
      <c r="N868" s="21"/>
      <c r="O868" s="134"/>
      <c r="P868" s="19"/>
      <c r="Q868" s="21"/>
      <c r="R868" s="112"/>
      <c r="S868" s="113"/>
      <c r="T868" s="115"/>
    </row>
    <row r="869" ht="14.25" customHeight="1">
      <c r="C869" s="10"/>
      <c r="D869" s="18"/>
      <c r="E869" s="10"/>
      <c r="F869" s="134"/>
      <c r="G869" s="19"/>
      <c r="H869" s="21"/>
      <c r="I869" s="235"/>
      <c r="J869" s="216"/>
      <c r="K869" s="183"/>
      <c r="L869" s="21"/>
      <c r="M869" s="19"/>
      <c r="N869" s="21"/>
      <c r="O869" s="134"/>
      <c r="P869" s="19"/>
      <c r="Q869" s="21"/>
      <c r="R869" s="112"/>
      <c r="S869" s="113"/>
      <c r="T869" s="115"/>
    </row>
    <row r="870" ht="14.25" customHeight="1">
      <c r="C870" s="10"/>
      <c r="D870" s="18"/>
      <c r="E870" s="10"/>
      <c r="F870" s="134"/>
      <c r="G870" s="19"/>
      <c r="H870" s="21"/>
      <c r="I870" s="235"/>
      <c r="J870" s="216"/>
      <c r="K870" s="183"/>
      <c r="L870" s="21"/>
      <c r="M870" s="19"/>
      <c r="N870" s="21"/>
      <c r="O870" s="134"/>
      <c r="P870" s="19"/>
      <c r="Q870" s="21"/>
      <c r="R870" s="112"/>
      <c r="S870" s="113"/>
      <c r="T870" s="115"/>
    </row>
    <row r="871" ht="14.25" customHeight="1">
      <c r="C871" s="10"/>
      <c r="D871" s="18"/>
      <c r="E871" s="10"/>
      <c r="F871" s="134"/>
      <c r="G871" s="19"/>
      <c r="H871" s="21"/>
      <c r="I871" s="235"/>
      <c r="J871" s="216"/>
      <c r="K871" s="183"/>
      <c r="L871" s="21"/>
      <c r="M871" s="19"/>
      <c r="N871" s="21"/>
      <c r="O871" s="134"/>
      <c r="P871" s="19"/>
      <c r="Q871" s="21"/>
      <c r="R871" s="112"/>
      <c r="S871" s="113"/>
      <c r="T871" s="115"/>
    </row>
    <row r="872" ht="14.25" customHeight="1">
      <c r="C872" s="10"/>
      <c r="D872" s="18"/>
      <c r="E872" s="10"/>
      <c r="F872" s="134"/>
      <c r="G872" s="19"/>
      <c r="H872" s="21"/>
      <c r="I872" s="235"/>
      <c r="J872" s="216"/>
      <c r="K872" s="183"/>
      <c r="L872" s="21"/>
      <c r="M872" s="19"/>
      <c r="N872" s="21"/>
      <c r="O872" s="134"/>
      <c r="P872" s="19"/>
      <c r="Q872" s="21"/>
      <c r="R872" s="112"/>
      <c r="S872" s="113"/>
      <c r="T872" s="115"/>
    </row>
    <row r="873" ht="14.25" customHeight="1">
      <c r="C873" s="10"/>
      <c r="D873" s="18"/>
      <c r="E873" s="10"/>
      <c r="F873" s="134"/>
      <c r="G873" s="19"/>
      <c r="H873" s="21"/>
      <c r="I873" s="235"/>
      <c r="J873" s="216"/>
      <c r="K873" s="183"/>
      <c r="L873" s="21"/>
      <c r="M873" s="19"/>
      <c r="N873" s="21"/>
      <c r="O873" s="134"/>
      <c r="P873" s="19"/>
      <c r="Q873" s="21"/>
      <c r="R873" s="112"/>
      <c r="S873" s="113"/>
      <c r="T873" s="115"/>
    </row>
    <row r="874" ht="14.25" customHeight="1">
      <c r="C874" s="10"/>
      <c r="D874" s="18"/>
      <c r="E874" s="10"/>
      <c r="F874" s="134"/>
      <c r="G874" s="19"/>
      <c r="H874" s="21"/>
      <c r="I874" s="235"/>
      <c r="J874" s="216"/>
      <c r="K874" s="183"/>
      <c r="L874" s="21"/>
      <c r="M874" s="19"/>
      <c r="N874" s="21"/>
      <c r="O874" s="134"/>
      <c r="P874" s="19"/>
      <c r="Q874" s="21"/>
      <c r="R874" s="112"/>
      <c r="S874" s="113"/>
      <c r="T874" s="115"/>
    </row>
    <row r="875" ht="14.25" customHeight="1">
      <c r="C875" s="10"/>
      <c r="D875" s="18"/>
      <c r="E875" s="10"/>
      <c r="F875" s="134"/>
      <c r="G875" s="19"/>
      <c r="H875" s="21"/>
      <c r="I875" s="235"/>
      <c r="J875" s="216"/>
      <c r="K875" s="183"/>
      <c r="L875" s="21"/>
      <c r="M875" s="19"/>
      <c r="N875" s="21"/>
      <c r="O875" s="134"/>
      <c r="P875" s="19"/>
      <c r="Q875" s="21"/>
      <c r="R875" s="112"/>
      <c r="S875" s="113"/>
      <c r="T875" s="115"/>
    </row>
    <row r="876" ht="14.25" customHeight="1">
      <c r="C876" s="10"/>
      <c r="D876" s="18"/>
      <c r="E876" s="10"/>
      <c r="F876" s="134"/>
      <c r="G876" s="19"/>
      <c r="H876" s="21"/>
      <c r="I876" s="235"/>
      <c r="J876" s="216"/>
      <c r="K876" s="183"/>
      <c r="L876" s="21"/>
      <c r="M876" s="19"/>
      <c r="N876" s="21"/>
      <c r="O876" s="134"/>
      <c r="P876" s="19"/>
      <c r="Q876" s="21"/>
      <c r="R876" s="112"/>
      <c r="S876" s="113"/>
      <c r="T876" s="115"/>
    </row>
    <row r="877" ht="14.25" customHeight="1">
      <c r="C877" s="10"/>
      <c r="D877" s="18"/>
      <c r="E877" s="10"/>
      <c r="F877" s="134"/>
      <c r="G877" s="19"/>
      <c r="H877" s="21"/>
      <c r="I877" s="235"/>
      <c r="J877" s="216"/>
      <c r="K877" s="183"/>
      <c r="L877" s="21"/>
      <c r="M877" s="19"/>
      <c r="N877" s="21"/>
      <c r="O877" s="134"/>
      <c r="P877" s="19"/>
      <c r="Q877" s="21"/>
      <c r="R877" s="112"/>
      <c r="S877" s="113"/>
      <c r="T877" s="115"/>
    </row>
    <row r="878" ht="14.25" customHeight="1">
      <c r="C878" s="10"/>
      <c r="D878" s="18"/>
      <c r="E878" s="10"/>
      <c r="F878" s="134"/>
      <c r="G878" s="19"/>
      <c r="H878" s="21"/>
      <c r="I878" s="235"/>
      <c r="J878" s="216"/>
      <c r="K878" s="183"/>
      <c r="L878" s="21"/>
      <c r="M878" s="19"/>
      <c r="N878" s="21"/>
      <c r="O878" s="134"/>
      <c r="P878" s="19"/>
      <c r="Q878" s="21"/>
      <c r="R878" s="112"/>
      <c r="S878" s="113"/>
      <c r="T878" s="115"/>
    </row>
    <row r="879" ht="14.25" customHeight="1">
      <c r="C879" s="10"/>
      <c r="D879" s="18"/>
      <c r="E879" s="10"/>
      <c r="F879" s="134"/>
      <c r="G879" s="19"/>
      <c r="H879" s="21"/>
      <c r="I879" s="235"/>
      <c r="J879" s="216"/>
      <c r="K879" s="183"/>
      <c r="L879" s="21"/>
      <c r="M879" s="19"/>
      <c r="N879" s="21"/>
      <c r="O879" s="134"/>
      <c r="P879" s="19"/>
      <c r="Q879" s="21"/>
      <c r="R879" s="112"/>
      <c r="S879" s="113"/>
      <c r="T879" s="115"/>
    </row>
    <row r="880" ht="14.25" customHeight="1">
      <c r="C880" s="10"/>
      <c r="D880" s="18"/>
      <c r="E880" s="10"/>
      <c r="F880" s="134"/>
      <c r="G880" s="19"/>
      <c r="H880" s="21"/>
      <c r="I880" s="235"/>
      <c r="J880" s="216"/>
      <c r="K880" s="183"/>
      <c r="L880" s="21"/>
      <c r="M880" s="19"/>
      <c r="N880" s="21"/>
      <c r="O880" s="134"/>
      <c r="P880" s="19"/>
      <c r="Q880" s="21"/>
      <c r="R880" s="112"/>
      <c r="S880" s="113"/>
      <c r="T880" s="115"/>
    </row>
    <row r="881" ht="14.25" customHeight="1">
      <c r="C881" s="10"/>
      <c r="D881" s="18"/>
      <c r="E881" s="10"/>
      <c r="F881" s="134"/>
      <c r="G881" s="19"/>
      <c r="H881" s="21"/>
      <c r="I881" s="235"/>
      <c r="J881" s="216"/>
      <c r="K881" s="183"/>
      <c r="L881" s="21"/>
      <c r="M881" s="19"/>
      <c r="N881" s="21"/>
      <c r="O881" s="134"/>
      <c r="P881" s="19"/>
      <c r="Q881" s="21"/>
      <c r="R881" s="112"/>
      <c r="S881" s="113"/>
      <c r="T881" s="115"/>
    </row>
    <row r="882" ht="14.25" customHeight="1">
      <c r="C882" s="10"/>
      <c r="D882" s="18"/>
      <c r="E882" s="10"/>
      <c r="F882" s="134"/>
      <c r="G882" s="19"/>
      <c r="H882" s="21"/>
      <c r="I882" s="235"/>
      <c r="J882" s="216"/>
      <c r="K882" s="183"/>
      <c r="L882" s="21"/>
      <c r="M882" s="19"/>
      <c r="N882" s="21"/>
      <c r="O882" s="134"/>
      <c r="P882" s="19"/>
      <c r="Q882" s="21"/>
      <c r="R882" s="112"/>
      <c r="S882" s="113"/>
      <c r="T882" s="115"/>
    </row>
    <row r="883" ht="14.25" customHeight="1">
      <c r="C883" s="10"/>
      <c r="D883" s="18"/>
      <c r="E883" s="10"/>
      <c r="F883" s="134"/>
      <c r="G883" s="19"/>
      <c r="H883" s="21"/>
      <c r="I883" s="235"/>
      <c r="J883" s="216"/>
      <c r="K883" s="183"/>
      <c r="L883" s="21"/>
      <c r="M883" s="19"/>
      <c r="N883" s="21"/>
      <c r="O883" s="134"/>
      <c r="P883" s="19"/>
      <c r="Q883" s="21"/>
      <c r="R883" s="112"/>
      <c r="S883" s="113"/>
      <c r="T883" s="115"/>
    </row>
    <row r="884" ht="14.25" customHeight="1">
      <c r="C884" s="10"/>
      <c r="D884" s="18"/>
      <c r="E884" s="10"/>
      <c r="F884" s="134"/>
      <c r="G884" s="19"/>
      <c r="H884" s="21"/>
      <c r="I884" s="235"/>
      <c r="J884" s="216"/>
      <c r="K884" s="183"/>
      <c r="L884" s="21"/>
      <c r="M884" s="19"/>
      <c r="N884" s="21"/>
      <c r="O884" s="134"/>
      <c r="P884" s="19"/>
      <c r="Q884" s="21"/>
      <c r="R884" s="112"/>
      <c r="S884" s="113"/>
      <c r="T884" s="115"/>
    </row>
    <row r="885" ht="14.25" customHeight="1">
      <c r="C885" s="10"/>
      <c r="D885" s="18"/>
      <c r="E885" s="10"/>
      <c r="F885" s="134"/>
      <c r="G885" s="19"/>
      <c r="H885" s="21"/>
      <c r="I885" s="235"/>
      <c r="J885" s="216"/>
      <c r="K885" s="183"/>
      <c r="L885" s="21"/>
      <c r="M885" s="19"/>
      <c r="N885" s="21"/>
      <c r="O885" s="134"/>
      <c r="P885" s="19"/>
      <c r="Q885" s="21"/>
      <c r="R885" s="112"/>
      <c r="S885" s="113"/>
      <c r="T885" s="115"/>
    </row>
    <row r="886" ht="14.25" customHeight="1">
      <c r="C886" s="10"/>
      <c r="D886" s="18"/>
      <c r="E886" s="10"/>
      <c r="F886" s="134"/>
      <c r="G886" s="19"/>
      <c r="H886" s="21"/>
      <c r="I886" s="235"/>
      <c r="J886" s="216"/>
      <c r="K886" s="183"/>
      <c r="L886" s="21"/>
      <c r="M886" s="19"/>
      <c r="N886" s="21"/>
      <c r="O886" s="134"/>
      <c r="P886" s="19"/>
      <c r="Q886" s="21"/>
      <c r="R886" s="112"/>
      <c r="S886" s="113"/>
      <c r="T886" s="115"/>
    </row>
    <row r="887" ht="14.25" customHeight="1">
      <c r="C887" s="10"/>
      <c r="D887" s="18"/>
      <c r="E887" s="10"/>
      <c r="F887" s="134"/>
      <c r="G887" s="19"/>
      <c r="H887" s="21"/>
      <c r="I887" s="235"/>
      <c r="J887" s="216"/>
      <c r="K887" s="183"/>
      <c r="L887" s="21"/>
      <c r="M887" s="19"/>
      <c r="N887" s="21"/>
      <c r="O887" s="134"/>
      <c r="P887" s="19"/>
      <c r="Q887" s="21"/>
      <c r="R887" s="112"/>
      <c r="S887" s="113"/>
      <c r="T887" s="115"/>
    </row>
    <row r="888" ht="14.25" customHeight="1">
      <c r="C888" s="10"/>
      <c r="D888" s="18"/>
      <c r="E888" s="10"/>
      <c r="F888" s="134"/>
      <c r="G888" s="19"/>
      <c r="H888" s="21"/>
      <c r="I888" s="235"/>
      <c r="J888" s="216"/>
      <c r="K888" s="183"/>
      <c r="L888" s="21"/>
      <c r="M888" s="19"/>
      <c r="N888" s="21"/>
      <c r="O888" s="134"/>
      <c r="P888" s="19"/>
      <c r="Q888" s="21"/>
      <c r="R888" s="112"/>
      <c r="S888" s="113"/>
      <c r="T888" s="115"/>
    </row>
    <row r="889" ht="14.25" customHeight="1">
      <c r="C889" s="10"/>
      <c r="D889" s="18"/>
      <c r="E889" s="10"/>
      <c r="F889" s="134"/>
      <c r="G889" s="19"/>
      <c r="H889" s="21"/>
      <c r="I889" s="235"/>
      <c r="J889" s="216"/>
      <c r="K889" s="183"/>
      <c r="L889" s="21"/>
      <c r="M889" s="19"/>
      <c r="N889" s="21"/>
      <c r="O889" s="134"/>
      <c r="P889" s="19"/>
      <c r="Q889" s="21"/>
      <c r="R889" s="112"/>
      <c r="S889" s="113"/>
      <c r="T889" s="115"/>
    </row>
    <row r="890" ht="14.25" customHeight="1">
      <c r="C890" s="10"/>
      <c r="D890" s="18"/>
      <c r="E890" s="10"/>
      <c r="F890" s="134"/>
      <c r="G890" s="19"/>
      <c r="H890" s="21"/>
      <c r="I890" s="235"/>
      <c r="J890" s="216"/>
      <c r="K890" s="183"/>
      <c r="L890" s="21"/>
      <c r="M890" s="19"/>
      <c r="N890" s="21"/>
      <c r="O890" s="134"/>
      <c r="P890" s="19"/>
      <c r="Q890" s="21"/>
      <c r="R890" s="112"/>
      <c r="S890" s="113"/>
      <c r="T890" s="115"/>
    </row>
    <row r="891" ht="14.25" customHeight="1">
      <c r="C891" s="10"/>
      <c r="D891" s="18"/>
      <c r="E891" s="10"/>
      <c r="F891" s="134"/>
      <c r="G891" s="19"/>
      <c r="H891" s="21"/>
      <c r="I891" s="235"/>
      <c r="J891" s="216"/>
      <c r="K891" s="183"/>
      <c r="L891" s="21"/>
      <c r="M891" s="19"/>
      <c r="N891" s="21"/>
      <c r="O891" s="134"/>
      <c r="P891" s="19"/>
      <c r="Q891" s="21"/>
      <c r="R891" s="112"/>
      <c r="S891" s="113"/>
      <c r="T891" s="115"/>
    </row>
    <row r="892" ht="14.25" customHeight="1">
      <c r="C892" s="10"/>
      <c r="D892" s="18"/>
      <c r="E892" s="10"/>
      <c r="F892" s="134"/>
      <c r="G892" s="19"/>
      <c r="H892" s="21"/>
      <c r="I892" s="235"/>
      <c r="J892" s="216"/>
      <c r="K892" s="183"/>
      <c r="L892" s="21"/>
      <c r="M892" s="19"/>
      <c r="N892" s="21"/>
      <c r="O892" s="134"/>
      <c r="P892" s="19"/>
      <c r="Q892" s="21"/>
      <c r="R892" s="112"/>
      <c r="S892" s="113"/>
      <c r="T892" s="115"/>
    </row>
    <row r="893" ht="14.25" customHeight="1">
      <c r="C893" s="10"/>
      <c r="D893" s="18"/>
      <c r="E893" s="10"/>
      <c r="F893" s="134"/>
      <c r="G893" s="19"/>
      <c r="H893" s="21"/>
      <c r="I893" s="235"/>
      <c r="J893" s="216"/>
      <c r="K893" s="183"/>
      <c r="L893" s="21"/>
      <c r="M893" s="19"/>
      <c r="N893" s="21"/>
      <c r="O893" s="134"/>
      <c r="P893" s="19"/>
      <c r="Q893" s="21"/>
      <c r="R893" s="112"/>
      <c r="S893" s="113"/>
      <c r="T893" s="115"/>
    </row>
    <row r="894" ht="14.25" customHeight="1">
      <c r="C894" s="10"/>
      <c r="D894" s="18"/>
      <c r="E894" s="10"/>
      <c r="F894" s="134"/>
      <c r="G894" s="19"/>
      <c r="H894" s="21"/>
      <c r="I894" s="235"/>
      <c r="J894" s="216"/>
      <c r="K894" s="183"/>
      <c r="L894" s="21"/>
      <c r="M894" s="19"/>
      <c r="N894" s="21"/>
      <c r="O894" s="134"/>
      <c r="P894" s="19"/>
      <c r="Q894" s="21"/>
      <c r="R894" s="112"/>
      <c r="S894" s="113"/>
      <c r="T894" s="115"/>
    </row>
    <row r="895" ht="14.25" customHeight="1">
      <c r="C895" s="10"/>
      <c r="D895" s="18"/>
      <c r="E895" s="10"/>
      <c r="F895" s="134"/>
      <c r="G895" s="19"/>
      <c r="H895" s="21"/>
      <c r="I895" s="235"/>
      <c r="J895" s="216"/>
      <c r="K895" s="183"/>
      <c r="L895" s="21"/>
      <c r="M895" s="19"/>
      <c r="N895" s="21"/>
      <c r="O895" s="134"/>
      <c r="P895" s="19"/>
      <c r="Q895" s="21"/>
      <c r="R895" s="112"/>
      <c r="S895" s="113"/>
      <c r="T895" s="115"/>
    </row>
    <row r="896" ht="14.25" customHeight="1">
      <c r="C896" s="10"/>
      <c r="D896" s="18"/>
      <c r="E896" s="10"/>
      <c r="F896" s="134"/>
      <c r="G896" s="19"/>
      <c r="H896" s="21"/>
      <c r="I896" s="235"/>
      <c r="J896" s="216"/>
      <c r="K896" s="183"/>
      <c r="L896" s="21"/>
      <c r="M896" s="19"/>
      <c r="N896" s="21"/>
      <c r="O896" s="134"/>
      <c r="P896" s="19"/>
      <c r="Q896" s="21"/>
      <c r="R896" s="112"/>
      <c r="S896" s="113"/>
      <c r="T896" s="115"/>
    </row>
    <row r="897" ht="14.25" customHeight="1">
      <c r="C897" s="10"/>
      <c r="D897" s="18"/>
      <c r="E897" s="10"/>
      <c r="F897" s="134"/>
      <c r="G897" s="19"/>
      <c r="H897" s="21"/>
      <c r="I897" s="235"/>
      <c r="J897" s="216"/>
      <c r="K897" s="183"/>
      <c r="L897" s="21"/>
      <c r="M897" s="19"/>
      <c r="N897" s="21"/>
      <c r="O897" s="134"/>
      <c r="P897" s="19"/>
      <c r="Q897" s="21"/>
      <c r="R897" s="112"/>
      <c r="S897" s="113"/>
      <c r="T897" s="115"/>
    </row>
    <row r="898" ht="14.25" customHeight="1">
      <c r="C898" s="10"/>
      <c r="D898" s="18"/>
      <c r="E898" s="10"/>
      <c r="F898" s="134"/>
      <c r="G898" s="19"/>
      <c r="H898" s="21"/>
      <c r="I898" s="235"/>
      <c r="J898" s="216"/>
      <c r="K898" s="183"/>
      <c r="L898" s="21"/>
      <c r="M898" s="19"/>
      <c r="N898" s="21"/>
      <c r="O898" s="134"/>
      <c r="P898" s="19"/>
      <c r="Q898" s="21"/>
      <c r="R898" s="112"/>
      <c r="S898" s="113"/>
      <c r="T898" s="115"/>
    </row>
    <row r="899" ht="14.25" customHeight="1">
      <c r="C899" s="10"/>
      <c r="D899" s="18"/>
      <c r="E899" s="10"/>
      <c r="F899" s="134"/>
      <c r="G899" s="19"/>
      <c r="H899" s="21"/>
      <c r="I899" s="235"/>
      <c r="J899" s="216"/>
      <c r="K899" s="183"/>
      <c r="L899" s="21"/>
      <c r="M899" s="19"/>
      <c r="N899" s="21"/>
      <c r="O899" s="134"/>
      <c r="P899" s="19"/>
      <c r="Q899" s="21"/>
      <c r="R899" s="112"/>
      <c r="S899" s="113"/>
      <c r="T899" s="115"/>
    </row>
    <row r="900" ht="14.25" customHeight="1">
      <c r="C900" s="10"/>
      <c r="D900" s="18"/>
      <c r="E900" s="10"/>
      <c r="F900" s="134"/>
      <c r="G900" s="19"/>
      <c r="H900" s="21"/>
      <c r="I900" s="235"/>
      <c r="J900" s="216"/>
      <c r="K900" s="183"/>
      <c r="L900" s="21"/>
      <c r="M900" s="19"/>
      <c r="N900" s="21"/>
      <c r="O900" s="134"/>
      <c r="P900" s="19"/>
      <c r="Q900" s="21"/>
      <c r="R900" s="112"/>
      <c r="S900" s="113"/>
      <c r="T900" s="115"/>
    </row>
    <row r="901" ht="14.25" customHeight="1">
      <c r="C901" s="10"/>
      <c r="D901" s="18"/>
      <c r="E901" s="10"/>
      <c r="F901" s="134"/>
      <c r="G901" s="19"/>
      <c r="H901" s="21"/>
      <c r="I901" s="235"/>
      <c r="J901" s="216"/>
      <c r="K901" s="183"/>
      <c r="L901" s="21"/>
      <c r="M901" s="19"/>
      <c r="N901" s="21"/>
      <c r="O901" s="134"/>
      <c r="P901" s="19"/>
      <c r="Q901" s="21"/>
      <c r="R901" s="112"/>
      <c r="S901" s="113"/>
      <c r="T901" s="115"/>
    </row>
    <row r="902" ht="14.25" customHeight="1">
      <c r="C902" s="10"/>
      <c r="D902" s="18"/>
      <c r="E902" s="10"/>
      <c r="F902" s="134"/>
      <c r="G902" s="19"/>
      <c r="H902" s="21"/>
      <c r="I902" s="235"/>
      <c r="J902" s="216"/>
      <c r="K902" s="183"/>
      <c r="L902" s="21"/>
      <c r="M902" s="19"/>
      <c r="N902" s="21"/>
      <c r="O902" s="134"/>
      <c r="P902" s="19"/>
      <c r="Q902" s="21"/>
      <c r="R902" s="112"/>
      <c r="S902" s="113"/>
      <c r="T902" s="115"/>
    </row>
    <row r="903" ht="14.25" customHeight="1">
      <c r="C903" s="10"/>
      <c r="D903" s="18"/>
      <c r="E903" s="10"/>
      <c r="F903" s="134"/>
      <c r="G903" s="19"/>
      <c r="H903" s="21"/>
      <c r="I903" s="235"/>
      <c r="J903" s="216"/>
      <c r="K903" s="183"/>
      <c r="L903" s="21"/>
      <c r="M903" s="19"/>
      <c r="N903" s="21"/>
      <c r="O903" s="134"/>
      <c r="P903" s="19"/>
      <c r="Q903" s="21"/>
      <c r="R903" s="112"/>
      <c r="S903" s="113"/>
      <c r="T903" s="115"/>
    </row>
    <row r="904" ht="14.25" customHeight="1">
      <c r="C904" s="10"/>
      <c r="D904" s="18"/>
      <c r="E904" s="10"/>
      <c r="F904" s="134"/>
      <c r="G904" s="19"/>
      <c r="H904" s="21"/>
      <c r="I904" s="235"/>
      <c r="J904" s="216"/>
      <c r="K904" s="183"/>
      <c r="L904" s="21"/>
      <c r="M904" s="19"/>
      <c r="N904" s="21"/>
      <c r="O904" s="134"/>
      <c r="P904" s="19"/>
      <c r="Q904" s="21"/>
      <c r="R904" s="112"/>
      <c r="S904" s="113"/>
      <c r="T904" s="115"/>
    </row>
    <row r="905" ht="14.25" customHeight="1">
      <c r="C905" s="10"/>
      <c r="D905" s="18"/>
      <c r="E905" s="10"/>
      <c r="F905" s="134"/>
      <c r="G905" s="19"/>
      <c r="H905" s="21"/>
      <c r="I905" s="235"/>
      <c r="J905" s="216"/>
      <c r="K905" s="183"/>
      <c r="L905" s="21"/>
      <c r="M905" s="19"/>
      <c r="N905" s="21"/>
      <c r="O905" s="134"/>
      <c r="P905" s="19"/>
      <c r="Q905" s="21"/>
      <c r="R905" s="112"/>
      <c r="S905" s="113"/>
      <c r="T905" s="115"/>
    </row>
    <row r="906" ht="14.25" customHeight="1">
      <c r="C906" s="10"/>
      <c r="D906" s="18"/>
      <c r="E906" s="10"/>
      <c r="F906" s="134"/>
      <c r="G906" s="19"/>
      <c r="H906" s="21"/>
      <c r="I906" s="235"/>
      <c r="J906" s="216"/>
      <c r="K906" s="183"/>
      <c r="L906" s="21"/>
      <c r="M906" s="19"/>
      <c r="N906" s="21"/>
      <c r="O906" s="134"/>
      <c r="P906" s="19"/>
      <c r="Q906" s="21"/>
      <c r="R906" s="112"/>
      <c r="S906" s="113"/>
      <c r="T906" s="115"/>
    </row>
    <row r="907" ht="14.25" customHeight="1">
      <c r="C907" s="10"/>
      <c r="D907" s="18"/>
      <c r="E907" s="10"/>
      <c r="F907" s="134"/>
      <c r="G907" s="19"/>
      <c r="H907" s="21"/>
      <c r="I907" s="235"/>
      <c r="J907" s="216"/>
      <c r="K907" s="183"/>
      <c r="L907" s="21"/>
      <c r="M907" s="19"/>
      <c r="N907" s="21"/>
      <c r="O907" s="134"/>
      <c r="P907" s="19"/>
      <c r="Q907" s="21"/>
      <c r="R907" s="112"/>
      <c r="S907" s="113"/>
      <c r="T907" s="115"/>
    </row>
    <row r="908" ht="14.25" customHeight="1">
      <c r="C908" s="10"/>
      <c r="D908" s="18"/>
      <c r="E908" s="10"/>
      <c r="F908" s="134"/>
      <c r="G908" s="19"/>
      <c r="H908" s="21"/>
      <c r="I908" s="235"/>
      <c r="J908" s="216"/>
      <c r="K908" s="183"/>
      <c r="L908" s="21"/>
      <c r="M908" s="19"/>
      <c r="N908" s="21"/>
      <c r="O908" s="134"/>
      <c r="P908" s="19"/>
      <c r="Q908" s="21"/>
      <c r="R908" s="112"/>
      <c r="S908" s="113"/>
      <c r="T908" s="115"/>
    </row>
    <row r="909" ht="14.25" customHeight="1">
      <c r="C909" s="10"/>
      <c r="D909" s="18"/>
      <c r="E909" s="10"/>
      <c r="F909" s="134"/>
      <c r="G909" s="19"/>
      <c r="H909" s="21"/>
      <c r="I909" s="235"/>
      <c r="J909" s="216"/>
      <c r="K909" s="183"/>
      <c r="L909" s="21"/>
      <c r="M909" s="19"/>
      <c r="N909" s="21"/>
      <c r="O909" s="134"/>
      <c r="P909" s="19"/>
      <c r="Q909" s="21"/>
      <c r="R909" s="112"/>
      <c r="S909" s="113"/>
      <c r="T909" s="115"/>
    </row>
    <row r="910" ht="14.25" customHeight="1">
      <c r="C910" s="10"/>
      <c r="D910" s="18"/>
      <c r="E910" s="10"/>
      <c r="F910" s="134"/>
      <c r="G910" s="19"/>
      <c r="H910" s="21"/>
      <c r="I910" s="235"/>
      <c r="J910" s="216"/>
      <c r="K910" s="183"/>
      <c r="L910" s="21"/>
      <c r="M910" s="19"/>
      <c r="N910" s="21"/>
      <c r="O910" s="134"/>
      <c r="P910" s="19"/>
      <c r="Q910" s="21"/>
      <c r="R910" s="112"/>
      <c r="S910" s="113"/>
      <c r="T910" s="115"/>
    </row>
    <row r="911" ht="14.25" customHeight="1">
      <c r="C911" s="10"/>
      <c r="D911" s="18"/>
      <c r="E911" s="10"/>
      <c r="F911" s="134"/>
      <c r="G911" s="19"/>
      <c r="H911" s="21"/>
      <c r="I911" s="235"/>
      <c r="J911" s="216"/>
      <c r="K911" s="183"/>
      <c r="L911" s="21"/>
      <c r="M911" s="19"/>
      <c r="N911" s="21"/>
      <c r="O911" s="134"/>
      <c r="P911" s="19"/>
      <c r="Q911" s="21"/>
      <c r="R911" s="112"/>
      <c r="S911" s="113"/>
      <c r="T911" s="115"/>
    </row>
    <row r="912" ht="14.25" customHeight="1">
      <c r="C912" s="10"/>
      <c r="D912" s="18"/>
      <c r="E912" s="10"/>
      <c r="F912" s="134"/>
      <c r="G912" s="19"/>
      <c r="H912" s="21"/>
      <c r="I912" s="235"/>
      <c r="J912" s="216"/>
      <c r="K912" s="183"/>
      <c r="L912" s="21"/>
      <c r="M912" s="19"/>
      <c r="N912" s="21"/>
      <c r="O912" s="134"/>
      <c r="P912" s="19"/>
      <c r="Q912" s="21"/>
      <c r="R912" s="112"/>
      <c r="S912" s="113"/>
      <c r="T912" s="115"/>
    </row>
    <row r="913" ht="14.25" customHeight="1">
      <c r="C913" s="10"/>
      <c r="D913" s="18"/>
      <c r="E913" s="10"/>
      <c r="F913" s="134"/>
      <c r="G913" s="19"/>
      <c r="H913" s="21"/>
      <c r="I913" s="235"/>
      <c r="J913" s="216"/>
      <c r="K913" s="183"/>
      <c r="L913" s="21"/>
      <c r="M913" s="19"/>
      <c r="N913" s="21"/>
      <c r="O913" s="134"/>
      <c r="P913" s="19"/>
      <c r="Q913" s="21"/>
      <c r="R913" s="112"/>
      <c r="S913" s="113"/>
      <c r="T913" s="115"/>
    </row>
    <row r="914" ht="14.25" customHeight="1">
      <c r="C914" s="10"/>
      <c r="D914" s="18"/>
      <c r="E914" s="10"/>
      <c r="F914" s="134"/>
      <c r="G914" s="19"/>
      <c r="H914" s="21"/>
      <c r="I914" s="235"/>
      <c r="J914" s="216"/>
      <c r="K914" s="183"/>
      <c r="L914" s="21"/>
      <c r="M914" s="19"/>
      <c r="N914" s="21"/>
      <c r="O914" s="134"/>
      <c r="P914" s="19"/>
      <c r="Q914" s="21"/>
      <c r="R914" s="112"/>
      <c r="S914" s="113"/>
      <c r="T914" s="115"/>
    </row>
    <row r="915" ht="14.25" customHeight="1">
      <c r="C915" s="10"/>
      <c r="D915" s="18"/>
      <c r="E915" s="10"/>
      <c r="F915" s="134"/>
      <c r="G915" s="19"/>
      <c r="H915" s="21"/>
      <c r="I915" s="235"/>
      <c r="J915" s="216"/>
      <c r="K915" s="183"/>
      <c r="L915" s="21"/>
      <c r="M915" s="19"/>
      <c r="N915" s="21"/>
      <c r="O915" s="134"/>
      <c r="P915" s="19"/>
      <c r="Q915" s="21"/>
      <c r="R915" s="112"/>
      <c r="S915" s="113"/>
      <c r="T915" s="115"/>
    </row>
    <row r="916" ht="14.25" customHeight="1">
      <c r="C916" s="10"/>
      <c r="D916" s="18"/>
      <c r="E916" s="10"/>
      <c r="F916" s="134"/>
      <c r="G916" s="19"/>
      <c r="H916" s="21"/>
      <c r="I916" s="235"/>
      <c r="J916" s="216"/>
      <c r="K916" s="183"/>
      <c r="L916" s="21"/>
      <c r="M916" s="19"/>
      <c r="N916" s="21"/>
      <c r="O916" s="134"/>
      <c r="P916" s="19"/>
      <c r="Q916" s="21"/>
      <c r="R916" s="112"/>
      <c r="S916" s="113"/>
      <c r="T916" s="115"/>
    </row>
    <row r="917" ht="14.25" customHeight="1">
      <c r="C917" s="10"/>
      <c r="D917" s="18"/>
      <c r="E917" s="10"/>
      <c r="F917" s="134"/>
      <c r="G917" s="19"/>
      <c r="H917" s="21"/>
      <c r="I917" s="235"/>
      <c r="J917" s="216"/>
      <c r="K917" s="183"/>
      <c r="L917" s="21"/>
      <c r="M917" s="19"/>
      <c r="N917" s="21"/>
      <c r="O917" s="134"/>
      <c r="P917" s="19"/>
      <c r="Q917" s="21"/>
      <c r="R917" s="112"/>
      <c r="S917" s="113"/>
      <c r="T917" s="115"/>
    </row>
    <row r="918" ht="14.25" customHeight="1">
      <c r="C918" s="10"/>
      <c r="D918" s="18"/>
      <c r="E918" s="10"/>
      <c r="F918" s="134"/>
      <c r="G918" s="19"/>
      <c r="H918" s="21"/>
      <c r="I918" s="235"/>
      <c r="J918" s="216"/>
      <c r="K918" s="183"/>
      <c r="L918" s="21"/>
      <c r="M918" s="19"/>
      <c r="N918" s="21"/>
      <c r="O918" s="134"/>
      <c r="P918" s="19"/>
      <c r="Q918" s="21"/>
      <c r="R918" s="112"/>
      <c r="S918" s="113"/>
      <c r="T918" s="115"/>
    </row>
    <row r="919" ht="14.25" customHeight="1">
      <c r="C919" s="10"/>
      <c r="D919" s="18"/>
      <c r="E919" s="10"/>
      <c r="F919" s="134"/>
      <c r="G919" s="19"/>
      <c r="H919" s="21"/>
      <c r="I919" s="235"/>
      <c r="J919" s="216"/>
      <c r="K919" s="183"/>
      <c r="L919" s="21"/>
      <c r="M919" s="19"/>
      <c r="N919" s="21"/>
      <c r="O919" s="134"/>
      <c r="P919" s="19"/>
      <c r="Q919" s="21"/>
      <c r="R919" s="112"/>
      <c r="S919" s="113"/>
      <c r="T919" s="115"/>
    </row>
    <row r="920" ht="14.25" customHeight="1">
      <c r="C920" s="10"/>
      <c r="D920" s="18"/>
      <c r="E920" s="10"/>
      <c r="F920" s="134"/>
      <c r="G920" s="19"/>
      <c r="H920" s="21"/>
      <c r="I920" s="235"/>
      <c r="J920" s="216"/>
      <c r="K920" s="183"/>
      <c r="L920" s="21"/>
      <c r="M920" s="19"/>
      <c r="N920" s="21"/>
      <c r="O920" s="134"/>
      <c r="P920" s="19"/>
      <c r="Q920" s="21"/>
      <c r="R920" s="112"/>
      <c r="S920" s="113"/>
      <c r="T920" s="115"/>
    </row>
    <row r="921" ht="14.25" customHeight="1">
      <c r="C921" s="10"/>
      <c r="D921" s="18"/>
      <c r="E921" s="10"/>
      <c r="F921" s="134"/>
      <c r="G921" s="19"/>
      <c r="H921" s="21"/>
      <c r="I921" s="235"/>
      <c r="J921" s="216"/>
      <c r="K921" s="183"/>
      <c r="L921" s="21"/>
      <c r="M921" s="19"/>
      <c r="N921" s="21"/>
      <c r="O921" s="134"/>
      <c r="P921" s="19"/>
      <c r="Q921" s="21"/>
      <c r="R921" s="112"/>
      <c r="S921" s="113"/>
      <c r="T921" s="115"/>
    </row>
    <row r="922" ht="14.25" customHeight="1">
      <c r="C922" s="10"/>
      <c r="D922" s="18"/>
      <c r="E922" s="10"/>
      <c r="F922" s="134"/>
      <c r="G922" s="19"/>
      <c r="H922" s="21"/>
      <c r="I922" s="235"/>
      <c r="J922" s="216"/>
      <c r="K922" s="183"/>
      <c r="L922" s="21"/>
      <c r="M922" s="19"/>
      <c r="N922" s="21"/>
      <c r="O922" s="134"/>
      <c r="P922" s="19"/>
      <c r="Q922" s="21"/>
      <c r="R922" s="112"/>
      <c r="S922" s="113"/>
      <c r="T922" s="115"/>
    </row>
    <row r="923" ht="14.25" customHeight="1">
      <c r="C923" s="10"/>
      <c r="D923" s="18"/>
      <c r="E923" s="10"/>
      <c r="F923" s="134"/>
      <c r="G923" s="19"/>
      <c r="H923" s="21"/>
      <c r="I923" s="235"/>
      <c r="J923" s="216"/>
      <c r="K923" s="183"/>
      <c r="L923" s="21"/>
      <c r="M923" s="19"/>
      <c r="N923" s="21"/>
      <c r="O923" s="134"/>
      <c r="P923" s="19"/>
      <c r="Q923" s="21"/>
      <c r="R923" s="112"/>
      <c r="S923" s="113"/>
      <c r="T923" s="115"/>
    </row>
    <row r="924" ht="14.25" customHeight="1">
      <c r="C924" s="10"/>
      <c r="D924" s="18"/>
      <c r="E924" s="10"/>
      <c r="F924" s="134"/>
      <c r="G924" s="19"/>
      <c r="H924" s="21"/>
      <c r="I924" s="235"/>
      <c r="J924" s="216"/>
      <c r="K924" s="183"/>
      <c r="L924" s="21"/>
      <c r="M924" s="19"/>
      <c r="N924" s="21"/>
      <c r="O924" s="134"/>
      <c r="P924" s="19"/>
      <c r="Q924" s="21"/>
      <c r="R924" s="112"/>
      <c r="S924" s="113"/>
      <c r="T924" s="115"/>
    </row>
    <row r="925" ht="14.25" customHeight="1">
      <c r="C925" s="10"/>
      <c r="D925" s="18"/>
      <c r="E925" s="10"/>
      <c r="F925" s="134"/>
      <c r="G925" s="19"/>
      <c r="H925" s="21"/>
      <c r="I925" s="235"/>
      <c r="J925" s="216"/>
      <c r="K925" s="183"/>
      <c r="L925" s="21"/>
      <c r="M925" s="19"/>
      <c r="N925" s="21"/>
      <c r="O925" s="134"/>
      <c r="P925" s="19"/>
      <c r="Q925" s="21"/>
      <c r="R925" s="112"/>
      <c r="S925" s="113"/>
      <c r="T925" s="115"/>
    </row>
    <row r="926" ht="14.25" customHeight="1">
      <c r="C926" s="10"/>
      <c r="D926" s="18"/>
      <c r="E926" s="10"/>
      <c r="F926" s="134"/>
      <c r="G926" s="19"/>
      <c r="H926" s="21"/>
      <c r="I926" s="235"/>
      <c r="J926" s="216"/>
      <c r="K926" s="183"/>
      <c r="L926" s="21"/>
      <c r="M926" s="19"/>
      <c r="N926" s="21"/>
      <c r="O926" s="134"/>
      <c r="P926" s="19"/>
      <c r="Q926" s="21"/>
      <c r="R926" s="112"/>
      <c r="S926" s="113"/>
      <c r="T926" s="115"/>
    </row>
    <row r="927" ht="14.25" customHeight="1">
      <c r="C927" s="10"/>
      <c r="D927" s="18"/>
      <c r="E927" s="10"/>
      <c r="F927" s="134"/>
      <c r="G927" s="19"/>
      <c r="H927" s="21"/>
      <c r="I927" s="235"/>
      <c r="J927" s="216"/>
      <c r="K927" s="66"/>
      <c r="L927" s="66"/>
      <c r="M927" s="19"/>
      <c r="N927" s="21"/>
      <c r="O927" s="134"/>
      <c r="P927" s="19"/>
      <c r="Q927" s="21"/>
      <c r="R927" s="112"/>
      <c r="S927" s="113"/>
      <c r="T927" s="115"/>
    </row>
    <row r="928" ht="14.25" customHeight="1">
      <c r="C928" s="10"/>
      <c r="D928" s="18"/>
      <c r="E928" s="10"/>
      <c r="F928" s="134"/>
      <c r="G928" s="19"/>
      <c r="H928" s="21"/>
      <c r="I928" s="235"/>
      <c r="J928" s="216"/>
      <c r="K928" s="66"/>
      <c r="L928" s="66"/>
      <c r="M928" s="19"/>
      <c r="N928" s="21"/>
      <c r="O928" s="134"/>
      <c r="P928" s="19"/>
      <c r="Q928" s="21"/>
      <c r="R928" s="112"/>
      <c r="S928" s="113"/>
      <c r="T928" s="115"/>
    </row>
    <row r="929" ht="14.25" customHeight="1">
      <c r="C929" s="10"/>
      <c r="D929" s="18"/>
      <c r="E929" s="10"/>
      <c r="F929" s="134"/>
      <c r="G929" s="19"/>
      <c r="H929" s="21"/>
      <c r="I929" s="235"/>
      <c r="J929" s="216"/>
      <c r="K929" s="66"/>
      <c r="L929" s="66"/>
      <c r="M929" s="19"/>
      <c r="N929" s="21"/>
      <c r="O929" s="134"/>
      <c r="P929" s="19"/>
      <c r="Q929" s="21"/>
      <c r="R929" s="112"/>
      <c r="S929" s="113"/>
      <c r="T929" s="115"/>
    </row>
    <row r="930" ht="14.25" customHeight="1">
      <c r="C930" s="10"/>
      <c r="D930" s="18"/>
      <c r="E930" s="10"/>
      <c r="F930" s="134"/>
      <c r="G930" s="19"/>
      <c r="H930" s="21"/>
      <c r="I930" s="235"/>
      <c r="J930" s="216"/>
      <c r="K930" s="66"/>
      <c r="L930" s="66"/>
      <c r="M930" s="19"/>
      <c r="N930" s="21"/>
      <c r="O930" s="134"/>
      <c r="P930" s="19"/>
      <c r="Q930" s="21"/>
      <c r="R930" s="112"/>
      <c r="S930" s="113"/>
      <c r="T930" s="115"/>
    </row>
    <row r="931" ht="14.25" customHeight="1">
      <c r="C931" s="10"/>
      <c r="D931" s="18"/>
      <c r="E931" s="10"/>
      <c r="F931" s="134"/>
      <c r="G931" s="19"/>
      <c r="H931" s="21"/>
      <c r="I931" s="235"/>
      <c r="J931" s="216"/>
      <c r="K931" s="66"/>
      <c r="L931" s="66"/>
      <c r="M931" s="19"/>
      <c r="N931" s="21"/>
      <c r="O931" s="134"/>
      <c r="P931" s="19"/>
      <c r="Q931" s="21"/>
      <c r="R931" s="112"/>
      <c r="S931" s="113"/>
      <c r="T931" s="115"/>
    </row>
    <row r="932" ht="14.25" customHeight="1">
      <c r="C932" s="10"/>
      <c r="D932" s="18"/>
      <c r="E932" s="10"/>
      <c r="F932" s="134"/>
      <c r="G932" s="19"/>
      <c r="H932" s="21"/>
      <c r="I932" s="235"/>
      <c r="J932" s="216"/>
      <c r="K932" s="66"/>
      <c r="L932" s="66"/>
      <c r="M932" s="19"/>
      <c r="N932" s="21"/>
      <c r="O932" s="134"/>
      <c r="P932" s="19"/>
      <c r="Q932" s="21"/>
      <c r="R932" s="112"/>
      <c r="S932" s="113"/>
      <c r="T932" s="115"/>
    </row>
    <row r="933" ht="14.25" customHeight="1">
      <c r="C933" s="10"/>
      <c r="D933" s="18"/>
      <c r="E933" s="10"/>
      <c r="F933" s="134"/>
      <c r="G933" s="19"/>
      <c r="H933" s="21"/>
      <c r="I933" s="235"/>
      <c r="J933" s="216"/>
      <c r="K933" s="66"/>
      <c r="L933" s="66"/>
      <c r="M933" s="19"/>
      <c r="N933" s="21"/>
      <c r="O933" s="134"/>
      <c r="P933" s="19"/>
      <c r="Q933" s="21"/>
      <c r="R933" s="112"/>
      <c r="S933" s="113"/>
      <c r="T933" s="115"/>
    </row>
    <row r="934" ht="14.25" customHeight="1">
      <c r="C934" s="10"/>
      <c r="D934" s="18"/>
      <c r="E934" s="10"/>
      <c r="F934" s="134"/>
      <c r="G934" s="19"/>
      <c r="H934" s="21"/>
      <c r="I934" s="235"/>
      <c r="J934" s="216"/>
      <c r="K934" s="66"/>
      <c r="L934" s="66"/>
      <c r="M934" s="19"/>
      <c r="N934" s="21"/>
      <c r="O934" s="134"/>
      <c r="P934" s="19"/>
      <c r="Q934" s="21"/>
      <c r="R934" s="112"/>
      <c r="S934" s="113"/>
      <c r="T934" s="115"/>
    </row>
    <row r="935" ht="14.25" customHeight="1">
      <c r="C935" s="10"/>
      <c r="D935" s="18"/>
      <c r="E935" s="10"/>
      <c r="F935" s="134"/>
      <c r="G935" s="19"/>
      <c r="H935" s="21"/>
      <c r="I935" s="235"/>
      <c r="J935" s="216"/>
      <c r="K935" s="66"/>
      <c r="L935" s="66"/>
      <c r="M935" s="19"/>
      <c r="N935" s="21"/>
      <c r="O935" s="134"/>
      <c r="P935" s="19"/>
      <c r="Q935" s="21"/>
      <c r="R935" s="112"/>
      <c r="S935" s="113"/>
      <c r="T935" s="115"/>
    </row>
    <row r="936" ht="14.25" customHeight="1">
      <c r="C936" s="10"/>
      <c r="D936" s="18"/>
      <c r="E936" s="10"/>
      <c r="F936" s="134"/>
      <c r="G936" s="19"/>
      <c r="H936" s="21"/>
      <c r="I936" s="235"/>
      <c r="J936" s="216"/>
      <c r="K936" s="66"/>
      <c r="L936" s="66"/>
      <c r="M936" s="19"/>
      <c r="N936" s="21"/>
      <c r="O936" s="134"/>
      <c r="P936" s="19"/>
      <c r="Q936" s="21"/>
      <c r="R936" s="112"/>
      <c r="S936" s="113"/>
      <c r="T936" s="115"/>
    </row>
    <row r="937" ht="14.25" customHeight="1">
      <c r="C937" s="10"/>
      <c r="D937" s="18"/>
      <c r="E937" s="10"/>
      <c r="F937" s="134"/>
      <c r="G937" s="19"/>
      <c r="H937" s="21"/>
      <c r="I937" s="235"/>
      <c r="J937" s="216"/>
      <c r="K937" s="66"/>
      <c r="L937" s="66"/>
      <c r="M937" s="19"/>
      <c r="N937" s="21"/>
      <c r="O937" s="134"/>
      <c r="P937" s="19"/>
      <c r="Q937" s="21"/>
      <c r="R937" s="112"/>
      <c r="S937" s="113"/>
      <c r="T937" s="115"/>
    </row>
    <row r="938" ht="14.25" customHeight="1">
      <c r="C938" s="10"/>
      <c r="D938" s="18"/>
      <c r="E938" s="10"/>
      <c r="F938" s="134"/>
      <c r="G938" s="19"/>
      <c r="H938" s="21"/>
      <c r="I938" s="235"/>
      <c r="J938" s="216"/>
      <c r="K938" s="66"/>
      <c r="L938" s="66"/>
      <c r="M938" s="19"/>
      <c r="N938" s="21"/>
      <c r="O938" s="134"/>
      <c r="P938" s="19"/>
      <c r="Q938" s="21"/>
      <c r="R938" s="112"/>
      <c r="S938" s="113"/>
      <c r="T938" s="115"/>
    </row>
    <row r="939" ht="14.25" customHeight="1">
      <c r="C939" s="10"/>
      <c r="D939" s="18"/>
      <c r="E939" s="10"/>
      <c r="F939" s="134"/>
      <c r="G939" s="19"/>
      <c r="H939" s="21"/>
      <c r="I939" s="235"/>
      <c r="J939" s="216"/>
      <c r="K939" s="66"/>
      <c r="L939" s="66"/>
      <c r="M939" s="19"/>
      <c r="N939" s="21"/>
      <c r="O939" s="134"/>
      <c r="P939" s="19"/>
      <c r="Q939" s="21"/>
      <c r="R939" s="112"/>
      <c r="S939" s="113"/>
      <c r="T939" s="115"/>
    </row>
    <row r="940" ht="14.25" customHeight="1">
      <c r="C940" s="10"/>
      <c r="D940" s="18"/>
      <c r="E940" s="10"/>
      <c r="F940" s="134"/>
      <c r="G940" s="19"/>
      <c r="H940" s="21"/>
      <c r="I940" s="235"/>
      <c r="J940" s="216"/>
      <c r="K940" s="66"/>
      <c r="L940" s="66"/>
      <c r="M940" s="19"/>
      <c r="N940" s="21"/>
      <c r="O940" s="134"/>
      <c r="P940" s="19"/>
      <c r="Q940" s="21"/>
      <c r="R940" s="112"/>
      <c r="S940" s="113"/>
      <c r="T940" s="115"/>
    </row>
    <row r="941" ht="14.25" customHeight="1">
      <c r="C941" s="10"/>
      <c r="D941" s="18"/>
      <c r="E941" s="10"/>
      <c r="F941" s="134"/>
      <c r="G941" s="19"/>
      <c r="H941" s="21"/>
      <c r="I941" s="235"/>
      <c r="J941" s="216"/>
      <c r="K941" s="66"/>
      <c r="L941" s="66"/>
      <c r="M941" s="19"/>
      <c r="N941" s="21"/>
      <c r="O941" s="134"/>
      <c r="P941" s="19"/>
      <c r="Q941" s="21"/>
      <c r="R941" s="112"/>
      <c r="S941" s="113"/>
      <c r="T941" s="115"/>
    </row>
    <row r="942" ht="14.25" customHeight="1">
      <c r="C942" s="10"/>
      <c r="D942" s="18"/>
      <c r="E942" s="10"/>
      <c r="F942" s="134"/>
      <c r="G942" s="19"/>
      <c r="H942" s="21"/>
      <c r="I942" s="235"/>
      <c r="J942" s="216"/>
      <c r="K942" s="66"/>
      <c r="L942" s="66"/>
      <c r="M942" s="19"/>
      <c r="N942" s="21"/>
      <c r="O942" s="134"/>
      <c r="P942" s="19"/>
      <c r="Q942" s="21"/>
      <c r="R942" s="112"/>
      <c r="S942" s="113"/>
      <c r="T942" s="115"/>
    </row>
    <row r="943" ht="14.25" customHeight="1">
      <c r="C943" s="10"/>
      <c r="D943" s="18"/>
      <c r="E943" s="10"/>
      <c r="F943" s="134"/>
      <c r="G943" s="19"/>
      <c r="H943" s="21"/>
      <c r="I943" s="235"/>
      <c r="J943" s="216"/>
      <c r="K943" s="66"/>
      <c r="L943" s="66"/>
      <c r="M943" s="19"/>
      <c r="N943" s="21"/>
      <c r="O943" s="134"/>
      <c r="P943" s="19"/>
      <c r="Q943" s="21"/>
      <c r="R943" s="112"/>
      <c r="S943" s="113"/>
      <c r="T943" s="115"/>
    </row>
    <row r="944" ht="14.25" customHeight="1">
      <c r="C944" s="10"/>
      <c r="D944" s="18"/>
      <c r="E944" s="10"/>
      <c r="F944" s="134"/>
      <c r="G944" s="19"/>
      <c r="H944" s="21"/>
      <c r="I944" s="235"/>
      <c r="J944" s="216"/>
      <c r="K944" s="66"/>
      <c r="L944" s="66"/>
      <c r="M944" s="19"/>
      <c r="N944" s="21"/>
      <c r="O944" s="134"/>
      <c r="P944" s="19"/>
      <c r="Q944" s="21"/>
      <c r="R944" s="112"/>
      <c r="S944" s="113"/>
      <c r="T944" s="115"/>
    </row>
    <row r="945" ht="14.25" customHeight="1">
      <c r="C945" s="10"/>
      <c r="D945" s="18"/>
      <c r="E945" s="10"/>
      <c r="F945" s="134"/>
      <c r="G945" s="19"/>
      <c r="H945" s="21"/>
      <c r="I945" s="235"/>
      <c r="J945" s="216"/>
      <c r="K945" s="66"/>
      <c r="L945" s="66"/>
      <c r="M945" s="19"/>
      <c r="N945" s="21"/>
      <c r="O945" s="134"/>
      <c r="P945" s="19"/>
      <c r="Q945" s="21"/>
      <c r="R945" s="112"/>
      <c r="S945" s="113"/>
      <c r="T945" s="115"/>
    </row>
    <row r="946" ht="14.25" customHeight="1">
      <c r="C946" s="10"/>
      <c r="D946" s="18"/>
      <c r="E946" s="10"/>
      <c r="F946" s="134"/>
      <c r="G946" s="19"/>
      <c r="H946" s="21"/>
      <c r="I946" s="235"/>
      <c r="J946" s="216"/>
      <c r="K946" s="66"/>
      <c r="L946" s="66"/>
      <c r="M946" s="19"/>
      <c r="N946" s="21"/>
      <c r="O946" s="134"/>
      <c r="P946" s="19"/>
      <c r="Q946" s="21"/>
      <c r="R946" s="112"/>
      <c r="S946" s="113"/>
      <c r="T946" s="115"/>
    </row>
    <row r="947" ht="14.25" customHeight="1">
      <c r="C947" s="10"/>
      <c r="D947" s="18"/>
      <c r="E947" s="10"/>
      <c r="F947" s="134"/>
      <c r="G947" s="19"/>
      <c r="H947" s="21"/>
      <c r="I947" s="235"/>
      <c r="J947" s="216"/>
      <c r="K947" s="66"/>
      <c r="L947" s="66"/>
      <c r="M947" s="19"/>
      <c r="N947" s="21"/>
      <c r="O947" s="134"/>
      <c r="P947" s="19"/>
      <c r="Q947" s="21"/>
      <c r="R947" s="112"/>
      <c r="S947" s="113"/>
      <c r="T947" s="115"/>
    </row>
    <row r="948" ht="14.25" customHeight="1">
      <c r="C948" s="10"/>
      <c r="D948" s="18"/>
      <c r="E948" s="10"/>
      <c r="F948" s="134"/>
      <c r="G948" s="19"/>
      <c r="H948" s="21"/>
      <c r="I948" s="235"/>
      <c r="J948" s="216"/>
      <c r="K948" s="66"/>
      <c r="L948" s="66"/>
      <c r="M948" s="19"/>
      <c r="N948" s="21"/>
      <c r="O948" s="134"/>
      <c r="P948" s="19"/>
      <c r="Q948" s="21"/>
      <c r="R948" s="112"/>
      <c r="S948" s="113"/>
      <c r="T948" s="115"/>
    </row>
    <row r="949" ht="14.25" customHeight="1">
      <c r="C949" s="10"/>
      <c r="D949" s="18"/>
      <c r="E949" s="10"/>
      <c r="F949" s="134"/>
      <c r="G949" s="19"/>
      <c r="H949" s="21"/>
      <c r="I949" s="235"/>
      <c r="J949" s="216"/>
      <c r="K949" s="66"/>
      <c r="L949" s="66"/>
      <c r="M949" s="19"/>
      <c r="N949" s="21"/>
      <c r="O949" s="134"/>
      <c r="P949" s="19"/>
      <c r="Q949" s="21"/>
      <c r="R949" s="112"/>
      <c r="S949" s="113"/>
      <c r="T949" s="115"/>
    </row>
    <row r="950" ht="14.25" customHeight="1">
      <c r="C950" s="10"/>
      <c r="D950" s="18"/>
      <c r="E950" s="10"/>
      <c r="F950" s="134"/>
      <c r="G950" s="19"/>
      <c r="H950" s="21"/>
      <c r="I950" s="235"/>
      <c r="J950" s="216"/>
      <c r="K950" s="66"/>
      <c r="L950" s="66"/>
      <c r="M950" s="19"/>
      <c r="N950" s="21"/>
      <c r="O950" s="134"/>
      <c r="P950" s="19"/>
      <c r="Q950" s="21"/>
      <c r="R950" s="112"/>
      <c r="S950" s="113"/>
      <c r="T950" s="115"/>
    </row>
    <row r="951" ht="14.25" customHeight="1">
      <c r="C951" s="10"/>
      <c r="D951" s="18"/>
      <c r="E951" s="10"/>
      <c r="F951" s="134"/>
      <c r="G951" s="19"/>
      <c r="H951" s="21"/>
      <c r="I951" s="235"/>
      <c r="J951" s="216"/>
      <c r="K951" s="66"/>
      <c r="L951" s="66"/>
      <c r="M951" s="19"/>
      <c r="N951" s="21"/>
      <c r="O951" s="134"/>
      <c r="P951" s="19"/>
      <c r="Q951" s="21"/>
      <c r="R951" s="112"/>
      <c r="S951" s="113"/>
      <c r="T951" s="115"/>
    </row>
    <row r="952" ht="14.25" customHeight="1">
      <c r="C952" s="10"/>
      <c r="D952" s="18"/>
      <c r="E952" s="10"/>
      <c r="F952" s="134"/>
      <c r="G952" s="19"/>
      <c r="H952" s="21"/>
      <c r="I952" s="235"/>
      <c r="J952" s="216"/>
      <c r="K952" s="66"/>
      <c r="L952" s="66"/>
      <c r="M952" s="19"/>
      <c r="N952" s="21"/>
      <c r="O952" s="134"/>
      <c r="P952" s="19"/>
      <c r="Q952" s="21"/>
      <c r="R952" s="112"/>
      <c r="S952" s="113"/>
      <c r="T952" s="115"/>
    </row>
    <row r="953" ht="14.25" customHeight="1">
      <c r="C953" s="10"/>
      <c r="D953" s="18"/>
      <c r="E953" s="10"/>
      <c r="F953" s="134"/>
      <c r="G953" s="19"/>
      <c r="H953" s="21"/>
      <c r="I953" s="235"/>
      <c r="J953" s="216"/>
      <c r="K953" s="66"/>
      <c r="L953" s="66"/>
      <c r="M953" s="19"/>
      <c r="N953" s="21"/>
      <c r="O953" s="134"/>
      <c r="P953" s="19"/>
      <c r="Q953" s="21"/>
      <c r="R953" s="112"/>
      <c r="S953" s="113"/>
      <c r="T953" s="115"/>
    </row>
    <row r="954" ht="14.25" customHeight="1">
      <c r="C954" s="10"/>
      <c r="D954" s="18"/>
      <c r="E954" s="10"/>
      <c r="F954" s="134"/>
      <c r="G954" s="19"/>
      <c r="H954" s="21"/>
      <c r="I954" s="235"/>
      <c r="J954" s="216"/>
      <c r="K954" s="66"/>
      <c r="L954" s="66"/>
      <c r="M954" s="19"/>
      <c r="N954" s="21"/>
      <c r="O954" s="134"/>
      <c r="P954" s="19"/>
      <c r="Q954" s="21"/>
      <c r="R954" s="112"/>
      <c r="S954" s="113"/>
      <c r="T954" s="115"/>
    </row>
    <row r="955" ht="14.25" customHeight="1">
      <c r="C955" s="10"/>
      <c r="D955" s="18"/>
      <c r="E955" s="10"/>
      <c r="F955" s="134"/>
      <c r="G955" s="19"/>
      <c r="H955" s="21"/>
      <c r="I955" s="235"/>
      <c r="J955" s="216"/>
      <c r="K955" s="66"/>
      <c r="L955" s="66"/>
      <c r="M955" s="19"/>
      <c r="N955" s="21"/>
      <c r="O955" s="134"/>
      <c r="P955" s="19"/>
      <c r="Q955" s="21"/>
      <c r="R955" s="112"/>
      <c r="S955" s="113"/>
      <c r="T955" s="115"/>
    </row>
    <row r="956" ht="14.25" customHeight="1">
      <c r="C956" s="10"/>
      <c r="D956" s="18"/>
      <c r="E956" s="10"/>
      <c r="F956" s="134"/>
      <c r="G956" s="19"/>
      <c r="H956" s="21"/>
      <c r="I956" s="235"/>
      <c r="J956" s="216"/>
      <c r="K956" s="66"/>
      <c r="L956" s="66"/>
      <c r="M956" s="19"/>
      <c r="N956" s="21"/>
      <c r="O956" s="134"/>
      <c r="P956" s="19"/>
      <c r="Q956" s="21"/>
      <c r="R956" s="112"/>
      <c r="S956" s="113"/>
      <c r="T956" s="115"/>
    </row>
    <row r="957" ht="14.25" customHeight="1">
      <c r="C957" s="10"/>
      <c r="D957" s="18"/>
      <c r="E957" s="10"/>
      <c r="F957" s="134"/>
      <c r="G957" s="19"/>
      <c r="H957" s="21"/>
      <c r="I957" s="235"/>
      <c r="J957" s="216"/>
      <c r="K957" s="66"/>
      <c r="L957" s="66"/>
      <c r="M957" s="19"/>
      <c r="N957" s="21"/>
      <c r="O957" s="134"/>
      <c r="P957" s="19"/>
      <c r="Q957" s="21"/>
      <c r="R957" s="112"/>
      <c r="S957" s="113"/>
      <c r="T957" s="115"/>
    </row>
    <row r="958" ht="14.25" customHeight="1">
      <c r="C958" s="10"/>
      <c r="D958" s="18"/>
      <c r="E958" s="10"/>
      <c r="F958" s="134"/>
      <c r="G958" s="19"/>
      <c r="H958" s="21"/>
      <c r="I958" s="235"/>
      <c r="J958" s="216"/>
      <c r="K958" s="66"/>
      <c r="L958" s="66"/>
      <c r="M958" s="19"/>
      <c r="N958" s="21"/>
      <c r="O958" s="134"/>
      <c r="P958" s="19"/>
      <c r="Q958" s="21"/>
      <c r="R958" s="112"/>
      <c r="S958" s="113"/>
      <c r="T958" s="115"/>
    </row>
    <row r="959" ht="14.25" customHeight="1">
      <c r="C959" s="10"/>
      <c r="D959" s="18"/>
      <c r="E959" s="10"/>
      <c r="F959" s="134"/>
      <c r="G959" s="19"/>
      <c r="H959" s="21"/>
      <c r="I959" s="235"/>
      <c r="J959" s="216"/>
      <c r="K959" s="66"/>
      <c r="L959" s="66"/>
      <c r="M959" s="19"/>
      <c r="N959" s="21"/>
      <c r="O959" s="134"/>
      <c r="P959" s="19"/>
      <c r="Q959" s="21"/>
      <c r="R959" s="112"/>
      <c r="S959" s="113"/>
      <c r="T959" s="115"/>
    </row>
    <row r="960" ht="14.25" customHeight="1">
      <c r="C960" s="10"/>
      <c r="D960" s="18"/>
      <c r="E960" s="10"/>
      <c r="F960" s="134"/>
      <c r="G960" s="19"/>
      <c r="H960" s="21"/>
      <c r="I960" s="235"/>
      <c r="J960" s="216"/>
      <c r="K960" s="66"/>
      <c r="L960" s="66"/>
      <c r="M960" s="19"/>
      <c r="N960" s="21"/>
      <c r="O960" s="134"/>
      <c r="P960" s="19"/>
      <c r="Q960" s="21"/>
      <c r="R960" s="112"/>
      <c r="S960" s="113"/>
      <c r="T960" s="115"/>
    </row>
    <row r="961" ht="14.25" customHeight="1">
      <c r="C961" s="10"/>
      <c r="D961" s="18"/>
      <c r="E961" s="10"/>
      <c r="F961" s="134"/>
      <c r="G961" s="19"/>
      <c r="H961" s="21"/>
      <c r="I961" s="235"/>
      <c r="J961" s="216"/>
      <c r="K961" s="66"/>
      <c r="L961" s="66"/>
      <c r="M961" s="19"/>
      <c r="N961" s="21"/>
      <c r="O961" s="134"/>
      <c r="P961" s="19"/>
      <c r="Q961" s="21"/>
      <c r="R961" s="112"/>
      <c r="S961" s="113"/>
      <c r="T961" s="115"/>
    </row>
    <row r="962" ht="14.25" customHeight="1">
      <c r="C962" s="10"/>
      <c r="D962" s="18"/>
      <c r="E962" s="10"/>
      <c r="F962" s="134"/>
      <c r="G962" s="19"/>
      <c r="H962" s="21"/>
      <c r="I962" s="235"/>
      <c r="J962" s="216"/>
      <c r="K962" s="66"/>
      <c r="L962" s="66"/>
      <c r="M962" s="19"/>
      <c r="N962" s="21"/>
      <c r="O962" s="134"/>
      <c r="P962" s="19"/>
      <c r="Q962" s="21"/>
      <c r="R962" s="112"/>
      <c r="S962" s="113"/>
      <c r="T962" s="115"/>
    </row>
    <row r="963" ht="14.25" customHeight="1">
      <c r="C963" s="10"/>
      <c r="D963" s="18"/>
      <c r="E963" s="10"/>
      <c r="F963" s="134"/>
      <c r="G963" s="19"/>
      <c r="H963" s="21"/>
      <c r="I963" s="235"/>
      <c r="J963" s="216"/>
      <c r="K963" s="66"/>
      <c r="L963" s="66"/>
      <c r="M963" s="19"/>
      <c r="N963" s="21"/>
      <c r="O963" s="134"/>
      <c r="P963" s="19"/>
      <c r="Q963" s="21"/>
      <c r="R963" s="112"/>
      <c r="S963" s="113"/>
      <c r="T963" s="115"/>
    </row>
    <row r="964" ht="14.25" customHeight="1">
      <c r="C964" s="10"/>
      <c r="D964" s="18"/>
      <c r="E964" s="10"/>
      <c r="F964" s="134"/>
      <c r="G964" s="19"/>
      <c r="H964" s="21"/>
      <c r="I964" s="235"/>
      <c r="J964" s="216"/>
      <c r="K964" s="66"/>
      <c r="L964" s="66"/>
      <c r="M964" s="19"/>
      <c r="N964" s="21"/>
      <c r="O964" s="134"/>
      <c r="P964" s="19"/>
      <c r="Q964" s="21"/>
      <c r="R964" s="112"/>
      <c r="S964" s="113"/>
      <c r="T964" s="115"/>
    </row>
    <row r="965" ht="14.25" customHeight="1">
      <c r="C965" s="10"/>
      <c r="D965" s="18"/>
      <c r="E965" s="10"/>
      <c r="F965" s="134"/>
      <c r="G965" s="19"/>
      <c r="H965" s="21"/>
      <c r="I965" s="235"/>
      <c r="J965" s="216"/>
      <c r="K965" s="66"/>
      <c r="L965" s="66"/>
      <c r="M965" s="19"/>
      <c r="N965" s="21"/>
      <c r="O965" s="134"/>
      <c r="P965" s="19"/>
      <c r="Q965" s="21"/>
      <c r="R965" s="112"/>
      <c r="S965" s="113"/>
      <c r="T965" s="115"/>
    </row>
    <row r="966" ht="14.25" customHeight="1">
      <c r="C966" s="10"/>
      <c r="D966" s="18"/>
      <c r="E966" s="10"/>
      <c r="F966" s="134"/>
      <c r="G966" s="19"/>
      <c r="H966" s="21"/>
      <c r="I966" s="235"/>
      <c r="J966" s="216"/>
      <c r="K966" s="66"/>
      <c r="L966" s="66"/>
      <c r="M966" s="19"/>
      <c r="N966" s="21"/>
      <c r="O966" s="134"/>
      <c r="P966" s="19"/>
      <c r="Q966" s="21"/>
      <c r="R966" s="112"/>
      <c r="S966" s="113"/>
      <c r="T966" s="115"/>
    </row>
    <row r="967" ht="14.25" customHeight="1">
      <c r="C967" s="10"/>
      <c r="D967" s="18"/>
      <c r="E967" s="10"/>
      <c r="F967" s="134"/>
      <c r="G967" s="19"/>
      <c r="H967" s="21"/>
      <c r="I967" s="235"/>
      <c r="J967" s="216"/>
      <c r="K967" s="66"/>
      <c r="L967" s="66"/>
      <c r="M967" s="19"/>
      <c r="N967" s="21"/>
      <c r="O967" s="134"/>
      <c r="P967" s="19"/>
      <c r="Q967" s="21"/>
      <c r="R967" s="112"/>
      <c r="S967" s="113"/>
      <c r="T967" s="115"/>
    </row>
    <row r="968" ht="14.25" customHeight="1">
      <c r="C968" s="10"/>
      <c r="D968" s="18"/>
      <c r="E968" s="10"/>
      <c r="F968" s="134"/>
      <c r="G968" s="19"/>
      <c r="H968" s="21"/>
      <c r="I968" s="235"/>
      <c r="J968" s="216"/>
      <c r="K968" s="66"/>
      <c r="L968" s="66"/>
      <c r="M968" s="19"/>
      <c r="N968" s="21"/>
      <c r="O968" s="134"/>
      <c r="P968" s="19"/>
      <c r="Q968" s="21"/>
      <c r="R968" s="112"/>
      <c r="S968" s="113"/>
      <c r="T968" s="115"/>
    </row>
    <row r="969" ht="14.25" customHeight="1">
      <c r="C969" s="10"/>
      <c r="D969" s="18"/>
      <c r="E969" s="10"/>
      <c r="F969" s="134"/>
      <c r="G969" s="19"/>
      <c r="H969" s="21"/>
      <c r="I969" s="235"/>
      <c r="J969" s="216"/>
      <c r="K969" s="66"/>
      <c r="L969" s="66"/>
      <c r="M969" s="19"/>
      <c r="N969" s="21"/>
      <c r="O969" s="134"/>
      <c r="P969" s="19"/>
      <c r="Q969" s="21"/>
      <c r="R969" s="112"/>
      <c r="S969" s="113"/>
      <c r="T969" s="115"/>
    </row>
    <row r="970" ht="14.25" customHeight="1">
      <c r="C970" s="10"/>
      <c r="D970" s="18"/>
      <c r="E970" s="10"/>
      <c r="F970" s="134"/>
      <c r="G970" s="19"/>
      <c r="H970" s="21"/>
      <c r="I970" s="235"/>
      <c r="J970" s="216"/>
      <c r="K970" s="66"/>
      <c r="L970" s="66"/>
      <c r="M970" s="19"/>
      <c r="N970" s="21"/>
      <c r="O970" s="134"/>
      <c r="P970" s="19"/>
      <c r="Q970" s="21"/>
      <c r="R970" s="112"/>
      <c r="S970" s="113"/>
      <c r="T970" s="115"/>
    </row>
    <row r="971" ht="14.25" customHeight="1">
      <c r="C971" s="10"/>
      <c r="D971" s="18"/>
      <c r="E971" s="10"/>
      <c r="F971" s="134"/>
      <c r="G971" s="19"/>
      <c r="H971" s="21"/>
      <c r="I971" s="235"/>
      <c r="J971" s="216"/>
      <c r="K971" s="66"/>
      <c r="L971" s="66"/>
      <c r="M971" s="19"/>
      <c r="N971" s="21"/>
      <c r="O971" s="134"/>
      <c r="P971" s="19"/>
      <c r="Q971" s="21"/>
      <c r="R971" s="112"/>
      <c r="S971" s="113"/>
      <c r="T971" s="115"/>
    </row>
    <row r="972" ht="14.25" customHeight="1">
      <c r="C972" s="10"/>
      <c r="D972" s="18"/>
      <c r="E972" s="10"/>
      <c r="F972" s="134"/>
      <c r="G972" s="19"/>
      <c r="H972" s="21"/>
      <c r="I972" s="235"/>
      <c r="J972" s="216"/>
      <c r="K972" s="66"/>
      <c r="L972" s="66"/>
      <c r="M972" s="19"/>
      <c r="N972" s="21"/>
      <c r="O972" s="134"/>
      <c r="P972" s="19"/>
      <c r="Q972" s="21"/>
      <c r="R972" s="112"/>
      <c r="S972" s="113"/>
      <c r="T972" s="115"/>
    </row>
    <row r="973" ht="14.25" customHeight="1">
      <c r="C973" s="10"/>
      <c r="D973" s="18"/>
      <c r="E973" s="10"/>
      <c r="F973" s="134"/>
      <c r="G973" s="19"/>
      <c r="H973" s="21"/>
      <c r="I973" s="235"/>
      <c r="J973" s="216"/>
      <c r="K973" s="66"/>
      <c r="L973" s="66"/>
      <c r="M973" s="19"/>
      <c r="N973" s="21"/>
      <c r="O973" s="134"/>
      <c r="P973" s="19"/>
      <c r="Q973" s="21"/>
      <c r="R973" s="112"/>
      <c r="S973" s="113"/>
      <c r="T973" s="115"/>
    </row>
    <row r="974" ht="14.25" customHeight="1">
      <c r="C974" s="10"/>
      <c r="D974" s="18"/>
      <c r="E974" s="10"/>
      <c r="F974" s="134"/>
      <c r="G974" s="19"/>
      <c r="H974" s="21"/>
      <c r="I974" s="235"/>
      <c r="J974" s="216"/>
      <c r="K974" s="66"/>
      <c r="L974" s="66"/>
      <c r="M974" s="19"/>
      <c r="N974" s="21"/>
      <c r="O974" s="134"/>
      <c r="P974" s="19"/>
      <c r="Q974" s="21"/>
      <c r="R974" s="112"/>
      <c r="S974" s="113"/>
      <c r="T974" s="115"/>
    </row>
    <row r="975" ht="14.25" customHeight="1">
      <c r="C975" s="10"/>
      <c r="D975" s="18"/>
      <c r="E975" s="10"/>
      <c r="F975" s="134"/>
      <c r="G975" s="19"/>
      <c r="H975" s="21"/>
      <c r="I975" s="235"/>
      <c r="J975" s="216"/>
      <c r="K975" s="66"/>
      <c r="L975" s="66"/>
      <c r="M975" s="19"/>
      <c r="N975" s="21"/>
      <c r="O975" s="134"/>
      <c r="P975" s="19"/>
      <c r="Q975" s="21"/>
      <c r="R975" s="112"/>
      <c r="S975" s="113"/>
      <c r="T975" s="115"/>
    </row>
    <row r="976" ht="14.25" customHeight="1">
      <c r="C976" s="10"/>
      <c r="D976" s="18"/>
      <c r="E976" s="10"/>
      <c r="F976" s="134"/>
      <c r="G976" s="19"/>
      <c r="H976" s="21"/>
      <c r="I976" s="235"/>
      <c r="J976" s="216"/>
      <c r="K976" s="66"/>
      <c r="L976" s="66"/>
      <c r="M976" s="19"/>
      <c r="N976" s="21"/>
      <c r="O976" s="134"/>
      <c r="P976" s="19"/>
      <c r="Q976" s="21"/>
      <c r="R976" s="112"/>
      <c r="S976" s="113"/>
      <c r="T976" s="115"/>
    </row>
    <row r="977" ht="14.25" customHeight="1">
      <c r="C977" s="10"/>
      <c r="D977" s="18"/>
      <c r="E977" s="10"/>
      <c r="F977" s="134"/>
      <c r="G977" s="19"/>
      <c r="H977" s="21"/>
      <c r="I977" s="235"/>
      <c r="J977" s="216"/>
      <c r="K977" s="66"/>
      <c r="L977" s="66"/>
      <c r="M977" s="19"/>
      <c r="N977" s="21"/>
      <c r="O977" s="134"/>
      <c r="P977" s="19"/>
      <c r="Q977" s="21"/>
      <c r="R977" s="112"/>
      <c r="S977" s="113"/>
      <c r="T977" s="115"/>
    </row>
    <row r="978" ht="14.25" customHeight="1">
      <c r="C978" s="10"/>
      <c r="D978" s="18"/>
      <c r="E978" s="10"/>
      <c r="F978" s="134"/>
      <c r="G978" s="19"/>
      <c r="H978" s="21"/>
      <c r="I978" s="235"/>
      <c r="J978" s="216"/>
      <c r="K978" s="66"/>
      <c r="L978" s="66"/>
      <c r="M978" s="19"/>
      <c r="N978" s="21"/>
      <c r="O978" s="134"/>
      <c r="P978" s="19"/>
      <c r="Q978" s="21"/>
      <c r="R978" s="112"/>
      <c r="S978" s="113"/>
      <c r="T978" s="115"/>
    </row>
    <row r="979" ht="14.25" customHeight="1">
      <c r="C979" s="10"/>
      <c r="D979" s="18"/>
      <c r="E979" s="10"/>
      <c r="F979" s="134"/>
      <c r="G979" s="19"/>
      <c r="H979" s="21"/>
      <c r="I979" s="235"/>
      <c r="J979" s="216"/>
      <c r="K979" s="66"/>
      <c r="L979" s="66"/>
      <c r="M979" s="19"/>
      <c r="N979" s="21"/>
      <c r="O979" s="134"/>
      <c r="P979" s="19"/>
      <c r="Q979" s="21"/>
      <c r="R979" s="112"/>
      <c r="S979" s="113"/>
      <c r="T979" s="115"/>
    </row>
    <row r="980" ht="14.25" customHeight="1">
      <c r="C980" s="10"/>
      <c r="D980" s="18"/>
      <c r="E980" s="10"/>
      <c r="F980" s="134"/>
      <c r="G980" s="19"/>
      <c r="H980" s="21"/>
      <c r="I980" s="235"/>
      <c r="J980" s="216"/>
      <c r="K980" s="66"/>
      <c r="L980" s="66"/>
      <c r="M980" s="19"/>
      <c r="N980" s="21"/>
      <c r="O980" s="134"/>
      <c r="P980" s="19"/>
      <c r="Q980" s="21"/>
      <c r="R980" s="112"/>
      <c r="S980" s="113"/>
      <c r="T980" s="115"/>
    </row>
    <row r="981" ht="14.25" customHeight="1">
      <c r="C981" s="10"/>
      <c r="D981" s="18"/>
      <c r="E981" s="10"/>
      <c r="F981" s="134"/>
      <c r="G981" s="19"/>
      <c r="H981" s="21"/>
      <c r="I981" s="235"/>
      <c r="J981" s="216"/>
      <c r="K981" s="66"/>
      <c r="L981" s="66"/>
      <c r="M981" s="19"/>
      <c r="N981" s="21"/>
      <c r="O981" s="134"/>
      <c r="P981" s="19"/>
      <c r="Q981" s="21"/>
      <c r="R981" s="112"/>
      <c r="S981" s="113"/>
      <c r="T981" s="115"/>
    </row>
    <row r="982" ht="14.25" customHeight="1">
      <c r="C982" s="10"/>
      <c r="D982" s="18"/>
      <c r="E982" s="10"/>
      <c r="F982" s="134"/>
      <c r="G982" s="19"/>
      <c r="H982" s="21"/>
      <c r="I982" s="235"/>
      <c r="J982" s="216"/>
      <c r="K982" s="66"/>
      <c r="L982" s="66"/>
      <c r="M982" s="19"/>
      <c r="N982" s="21"/>
      <c r="O982" s="134"/>
      <c r="P982" s="19"/>
      <c r="Q982" s="21"/>
      <c r="R982" s="112"/>
      <c r="S982" s="113"/>
      <c r="T982" s="115"/>
    </row>
    <row r="983" ht="14.25" customHeight="1">
      <c r="C983" s="10"/>
      <c r="D983" s="18"/>
      <c r="E983" s="10"/>
      <c r="F983" s="134"/>
      <c r="G983" s="19"/>
      <c r="H983" s="21"/>
      <c r="I983" s="235"/>
      <c r="J983" s="216"/>
      <c r="K983" s="66"/>
      <c r="L983" s="66"/>
      <c r="M983" s="19"/>
      <c r="N983" s="21"/>
      <c r="O983" s="134"/>
      <c r="P983" s="19"/>
      <c r="Q983" s="21"/>
      <c r="R983" s="112"/>
      <c r="S983" s="113"/>
      <c r="T983" s="115"/>
    </row>
    <row r="984" ht="14.25" customHeight="1">
      <c r="C984" s="10"/>
      <c r="D984" s="18"/>
      <c r="E984" s="10"/>
      <c r="F984" s="134"/>
      <c r="G984" s="19"/>
      <c r="H984" s="21"/>
      <c r="I984" s="235"/>
      <c r="J984" s="216"/>
      <c r="K984" s="66"/>
      <c r="L984" s="66"/>
      <c r="M984" s="19"/>
      <c r="N984" s="21"/>
      <c r="O984" s="134"/>
      <c r="P984" s="19"/>
      <c r="Q984" s="21"/>
      <c r="R984" s="112"/>
      <c r="S984" s="113"/>
      <c r="T984" s="115"/>
    </row>
    <row r="985" ht="14.25" customHeight="1">
      <c r="C985" s="10"/>
      <c r="D985" s="18"/>
      <c r="E985" s="10"/>
      <c r="F985" s="134"/>
      <c r="G985" s="19"/>
      <c r="H985" s="21"/>
      <c r="I985" s="235"/>
      <c r="J985" s="216"/>
      <c r="K985" s="66"/>
      <c r="L985" s="66"/>
      <c r="M985" s="19"/>
      <c r="N985" s="21"/>
      <c r="O985" s="134"/>
      <c r="P985" s="19"/>
      <c r="Q985" s="21"/>
      <c r="R985" s="112"/>
      <c r="S985" s="113"/>
      <c r="T985" s="115"/>
    </row>
    <row r="986" ht="14.25" customHeight="1">
      <c r="C986" s="10"/>
      <c r="D986" s="18"/>
      <c r="E986" s="10"/>
      <c r="F986" s="134"/>
      <c r="G986" s="19"/>
      <c r="H986" s="21"/>
      <c r="I986" s="235"/>
      <c r="J986" s="216"/>
      <c r="K986" s="66"/>
      <c r="L986" s="66"/>
      <c r="M986" s="19"/>
      <c r="N986" s="21"/>
      <c r="O986" s="134"/>
      <c r="P986" s="19"/>
      <c r="Q986" s="21"/>
      <c r="R986" s="112"/>
      <c r="S986" s="113"/>
      <c r="T986" s="115"/>
    </row>
    <row r="987" ht="14.25" customHeight="1">
      <c r="C987" s="10"/>
      <c r="D987" s="18"/>
      <c r="E987" s="10"/>
      <c r="F987" s="134"/>
      <c r="G987" s="19"/>
      <c r="H987" s="21"/>
      <c r="I987" s="235"/>
      <c r="J987" s="216"/>
      <c r="K987" s="66"/>
      <c r="L987" s="66"/>
      <c r="M987" s="19"/>
      <c r="N987" s="21"/>
      <c r="O987" s="134"/>
      <c r="P987" s="19"/>
      <c r="Q987" s="21"/>
      <c r="R987" s="112"/>
      <c r="S987" s="113"/>
      <c r="T987" s="115"/>
    </row>
    <row r="988" ht="14.25" customHeight="1">
      <c r="C988" s="10"/>
      <c r="D988" s="18"/>
      <c r="E988" s="10"/>
      <c r="F988" s="134"/>
      <c r="G988" s="19"/>
      <c r="H988" s="21"/>
      <c r="I988" s="235"/>
      <c r="J988" s="216"/>
      <c r="K988" s="66"/>
      <c r="L988" s="66"/>
      <c r="M988" s="19"/>
      <c r="N988" s="21"/>
      <c r="O988" s="134"/>
      <c r="P988" s="19"/>
      <c r="Q988" s="21"/>
      <c r="R988" s="112"/>
      <c r="S988" s="113"/>
      <c r="T988" s="115"/>
    </row>
    <row r="989" ht="14.25" customHeight="1">
      <c r="C989" s="10"/>
      <c r="D989" s="18"/>
      <c r="E989" s="10"/>
      <c r="F989" s="134"/>
      <c r="G989" s="19"/>
      <c r="H989" s="21"/>
      <c r="I989" s="235"/>
      <c r="J989" s="216"/>
      <c r="K989" s="66"/>
      <c r="L989" s="66"/>
      <c r="M989" s="19"/>
      <c r="N989" s="21"/>
      <c r="O989" s="134"/>
      <c r="P989" s="19"/>
      <c r="Q989" s="21"/>
      <c r="R989" s="112"/>
      <c r="S989" s="113"/>
      <c r="T989" s="115"/>
    </row>
    <row r="990" ht="14.25" customHeight="1">
      <c r="C990" s="10"/>
      <c r="D990" s="18"/>
      <c r="E990" s="10"/>
      <c r="F990" s="134"/>
      <c r="G990" s="19"/>
      <c r="H990" s="21"/>
      <c r="I990" s="235"/>
      <c r="J990" s="216"/>
      <c r="K990" s="66"/>
      <c r="L990" s="66"/>
      <c r="M990" s="19"/>
      <c r="N990" s="21"/>
      <c r="O990" s="134"/>
      <c r="P990" s="19"/>
      <c r="Q990" s="21"/>
      <c r="R990" s="112"/>
      <c r="S990" s="113"/>
      <c r="T990" s="115"/>
    </row>
    <row r="991" ht="14.25" customHeight="1">
      <c r="C991" s="10"/>
      <c r="D991" s="18"/>
      <c r="E991" s="10"/>
      <c r="F991" s="134"/>
      <c r="G991" s="19"/>
      <c r="H991" s="21"/>
      <c r="I991" s="235"/>
      <c r="J991" s="216"/>
      <c r="K991" s="66"/>
      <c r="L991" s="66"/>
      <c r="M991" s="19"/>
      <c r="N991" s="21"/>
      <c r="O991" s="134"/>
      <c r="P991" s="19"/>
      <c r="Q991" s="21"/>
      <c r="R991" s="112"/>
      <c r="S991" s="113"/>
      <c r="T991" s="115"/>
    </row>
    <row r="992" ht="14.25" customHeight="1">
      <c r="C992" s="10"/>
      <c r="D992" s="18"/>
      <c r="E992" s="10"/>
      <c r="F992" s="134"/>
      <c r="G992" s="19"/>
      <c r="H992" s="21"/>
      <c r="I992" s="235"/>
      <c r="J992" s="216"/>
      <c r="K992" s="66"/>
      <c r="L992" s="66"/>
      <c r="M992" s="19"/>
      <c r="N992" s="21"/>
      <c r="O992" s="134"/>
      <c r="P992" s="19"/>
      <c r="Q992" s="21"/>
      <c r="R992" s="112"/>
      <c r="S992" s="113"/>
      <c r="T992" s="115"/>
    </row>
    <row r="993" ht="14.25" customHeight="1">
      <c r="C993" s="10"/>
      <c r="D993" s="18"/>
      <c r="E993" s="10"/>
      <c r="F993" s="134"/>
      <c r="G993" s="19"/>
      <c r="H993" s="21"/>
      <c r="I993" s="235"/>
      <c r="J993" s="216"/>
      <c r="K993" s="66"/>
      <c r="L993" s="66"/>
      <c r="M993" s="19"/>
      <c r="N993" s="21"/>
      <c r="O993" s="134"/>
      <c r="P993" s="19"/>
      <c r="Q993" s="21"/>
      <c r="R993" s="112"/>
      <c r="S993" s="113"/>
      <c r="T993" s="115"/>
    </row>
    <row r="994" ht="14.25" customHeight="1">
      <c r="C994" s="10"/>
      <c r="D994" s="18"/>
      <c r="E994" s="10"/>
      <c r="F994" s="134"/>
      <c r="G994" s="19"/>
      <c r="H994" s="21"/>
      <c r="I994" s="235"/>
      <c r="J994" s="216"/>
      <c r="K994" s="66"/>
      <c r="L994" s="66"/>
      <c r="M994" s="19"/>
      <c r="N994" s="21"/>
      <c r="O994" s="134"/>
      <c r="P994" s="19"/>
      <c r="Q994" s="21"/>
      <c r="R994" s="112"/>
      <c r="S994" s="113"/>
      <c r="T994" s="115"/>
    </row>
    <row r="995" ht="14.25" customHeight="1">
      <c r="C995" s="10"/>
      <c r="D995" s="18"/>
      <c r="E995" s="10"/>
      <c r="F995" s="134"/>
      <c r="G995" s="19"/>
      <c r="H995" s="21"/>
      <c r="I995" s="235"/>
      <c r="J995" s="216"/>
      <c r="K995" s="66"/>
      <c r="L995" s="66"/>
      <c r="M995" s="19"/>
      <c r="N995" s="21"/>
      <c r="O995" s="134"/>
      <c r="P995" s="19"/>
      <c r="Q995" s="21"/>
      <c r="R995" s="112"/>
      <c r="S995" s="113"/>
      <c r="T995" s="115"/>
    </row>
    <row r="996" ht="14.25" customHeight="1">
      <c r="C996" s="10"/>
      <c r="D996" s="18"/>
      <c r="E996" s="10"/>
      <c r="F996" s="134"/>
      <c r="G996" s="19"/>
      <c r="H996" s="21"/>
      <c r="I996" s="235"/>
      <c r="J996" s="216"/>
      <c r="K996" s="66"/>
      <c r="L996" s="66"/>
      <c r="M996" s="19"/>
      <c r="N996" s="21"/>
      <c r="O996" s="134"/>
      <c r="P996" s="19"/>
      <c r="Q996" s="21"/>
      <c r="R996" s="112"/>
      <c r="S996" s="113"/>
      <c r="T996" s="115"/>
    </row>
    <row r="997" ht="14.25" customHeight="1">
      <c r="C997" s="10"/>
      <c r="D997" s="18"/>
      <c r="E997" s="10"/>
      <c r="F997" s="134"/>
      <c r="G997" s="19"/>
      <c r="H997" s="21"/>
      <c r="I997" s="235"/>
      <c r="J997" s="216"/>
      <c r="K997" s="66"/>
      <c r="L997" s="66"/>
      <c r="M997" s="19"/>
      <c r="N997" s="21"/>
      <c r="O997" s="134"/>
      <c r="P997" s="19"/>
      <c r="Q997" s="21"/>
      <c r="R997" s="112"/>
      <c r="S997" s="113"/>
      <c r="T997" s="115"/>
    </row>
    <row r="998" ht="14.25" customHeight="1">
      <c r="C998" s="10"/>
      <c r="D998" s="18"/>
      <c r="E998" s="10"/>
      <c r="F998" s="134"/>
      <c r="G998" s="19"/>
      <c r="H998" s="21"/>
      <c r="I998" s="235"/>
      <c r="J998" s="216"/>
      <c r="K998" s="66"/>
      <c r="L998" s="66"/>
      <c r="M998" s="19"/>
      <c r="N998" s="21"/>
      <c r="O998" s="134"/>
      <c r="P998" s="19"/>
      <c r="Q998" s="21"/>
      <c r="R998" s="112"/>
      <c r="S998" s="113"/>
      <c r="T998" s="115"/>
    </row>
    <row r="999" ht="14.25" customHeight="1">
      <c r="C999" s="10"/>
      <c r="D999" s="18"/>
      <c r="E999" s="10"/>
      <c r="F999" s="134"/>
      <c r="G999" s="19"/>
      <c r="H999" s="21"/>
      <c r="I999" s="235"/>
      <c r="J999" s="216"/>
      <c r="K999" s="66"/>
      <c r="L999" s="66"/>
      <c r="M999" s="19"/>
      <c r="N999" s="21"/>
      <c r="O999" s="134"/>
      <c r="P999" s="19"/>
      <c r="Q999" s="21"/>
      <c r="R999" s="112"/>
      <c r="S999" s="113"/>
      <c r="T999" s="115"/>
    </row>
    <row r="1000" ht="14.25" customHeight="1">
      <c r="C1000" s="10"/>
      <c r="D1000" s="18"/>
      <c r="E1000" s="10"/>
      <c r="F1000" s="134"/>
      <c r="G1000" s="19"/>
      <c r="H1000" s="21"/>
      <c r="I1000" s="235"/>
      <c r="J1000" s="216"/>
      <c r="K1000" s="66"/>
      <c r="L1000" s="66"/>
      <c r="M1000" s="19"/>
      <c r="N1000" s="21"/>
      <c r="O1000" s="134"/>
      <c r="P1000" s="19"/>
      <c r="Q1000" s="21"/>
      <c r="R1000" s="112"/>
      <c r="S1000" s="113"/>
      <c r="T1000" s="115"/>
    </row>
    <row r="1001" ht="14.25" customHeight="1">
      <c r="C1001" s="10"/>
      <c r="D1001" s="18"/>
      <c r="E1001" s="10"/>
      <c r="F1001" s="134"/>
      <c r="G1001" s="19"/>
      <c r="H1001" s="21"/>
      <c r="I1001" s="235"/>
      <c r="J1001" s="216"/>
      <c r="K1001" s="66"/>
      <c r="L1001" s="66"/>
      <c r="M1001" s="19"/>
      <c r="N1001" s="21"/>
      <c r="O1001" s="134"/>
      <c r="P1001" s="19"/>
      <c r="Q1001" s="21"/>
      <c r="R1001" s="112"/>
      <c r="S1001" s="113"/>
      <c r="T1001" s="115"/>
    </row>
    <row r="1002" ht="14.25" customHeight="1">
      <c r="C1002" s="10"/>
      <c r="D1002" s="18"/>
      <c r="E1002" s="10"/>
      <c r="F1002" s="134"/>
      <c r="G1002" s="19"/>
      <c r="H1002" s="21"/>
      <c r="I1002" s="235"/>
      <c r="J1002" s="216"/>
      <c r="K1002" s="66"/>
      <c r="L1002" s="66"/>
      <c r="M1002" s="19"/>
      <c r="N1002" s="21"/>
      <c r="O1002" s="134"/>
      <c r="P1002" s="19"/>
      <c r="Q1002" s="21"/>
      <c r="R1002" s="112"/>
      <c r="S1002" s="113"/>
      <c r="T1002" s="115"/>
    </row>
    <row r="1003" ht="14.25" customHeight="1">
      <c r="C1003" s="10"/>
      <c r="D1003" s="18"/>
      <c r="E1003" s="10"/>
      <c r="F1003" s="134"/>
      <c r="G1003" s="19"/>
      <c r="H1003" s="21"/>
      <c r="I1003" s="235"/>
      <c r="J1003" s="216"/>
      <c r="K1003" s="66"/>
      <c r="L1003" s="66"/>
      <c r="N1003" s="66"/>
      <c r="O1003" s="258"/>
      <c r="P1003" s="19"/>
      <c r="Q1003" s="21"/>
      <c r="R1003" s="112"/>
      <c r="S1003" s="113"/>
      <c r="T1003" s="115"/>
    </row>
    <row r="1004" ht="14.25" customHeight="1">
      <c r="C1004" s="10"/>
      <c r="G1004" s="19"/>
      <c r="H1004" s="21"/>
      <c r="I1004" s="235"/>
      <c r="J1004" s="216"/>
      <c r="K1004" s="66"/>
      <c r="L1004" s="66"/>
      <c r="Q1004" s="66"/>
      <c r="R1004" s="258"/>
      <c r="S1004" s="113"/>
      <c r="T1004" s="115"/>
    </row>
  </sheetData>
  <dataValidations>
    <dataValidation type="list" allowBlank="1" sqref="F2:F96">
      <formula1>"Berks Country Cumberland County,Lancaster County,Schuylkill County,York,Multiple"</formula1>
    </dataValidation>
    <dataValidation type="list" allowBlank="1" sqref="L2:L96">
      <formula1>"Burlington County,Camden,Gloucester County,VJSDVA Outpatient,W. Philadelphia,Multiple"</formula1>
    </dataValidation>
    <dataValidation type="list" allowBlank="1" sqref="R2:R96 R103:R109">
      <formula1>"Atlantic County,Cape May County,Cumberland County,Kent County,Sussex County,Multiple"</formula1>
    </dataValidation>
    <dataValidation type="list" allowBlank="1" sqref="O2:O96 O103:O128">
      <formula1>"Allentown,Columbia County,Northampton County,Sayre,Tobyhanna,Wayne County,Williamsport,Multiple"</formula1>
    </dataValidation>
    <dataValidation type="list" allowBlank="1" sqref="I2:I96">
      <formula1>"Delaware County,Spring County,Multiple"</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23.5"/>
    <col customWidth="1" min="3" max="3" width="7.63"/>
    <col customWidth="1" min="4" max="4" width="22.63"/>
    <col customWidth="1" min="5" max="6" width="7.63"/>
  </cols>
  <sheetData>
    <row r="1" ht="14.25" customHeight="1">
      <c r="A1" s="117" t="s">
        <v>384</v>
      </c>
      <c r="B1" s="117" t="s">
        <v>386</v>
      </c>
      <c r="C1" s="117"/>
      <c r="D1" s="117" t="s">
        <v>387</v>
      </c>
      <c r="E1" s="117" t="s">
        <v>388</v>
      </c>
      <c r="F1" s="117"/>
    </row>
    <row r="2" ht="14.25" hidden="1" customHeight="1">
      <c r="A2" s="8" t="s">
        <v>389</v>
      </c>
      <c r="B2" s="8" t="s">
        <v>390</v>
      </c>
      <c r="D2" s="121" t="str">
        <f>HYPERLINK("http://www.alaska.va.gov/services/ETHICS_CONSULTATION.ASP")</f>
        <v>http://www.alaska.va.gov/services/ETHICS_CONSULTATION.ASP</v>
      </c>
      <c r="E2" s="8" t="s">
        <v>392</v>
      </c>
    </row>
    <row r="3" ht="14.25" hidden="1" customHeight="1">
      <c r="A3" s="8" t="s">
        <v>389</v>
      </c>
      <c r="B3" s="8" t="s">
        <v>393</v>
      </c>
      <c r="D3" s="121" t="str">
        <f>HYPERLINK("http://www.alaska.va.gov/services/GREEN_ENVIRONMENTAL_MANAGEMENT_SYSTEM_GEMS.ASP")</f>
        <v>http://www.alaska.va.gov/services/GREEN_ENVIRONMENTAL_MANAGEMENT_SYSTEM_GEMS.ASP</v>
      </c>
      <c r="E3" s="8" t="s">
        <v>392</v>
      </c>
    </row>
    <row r="4" ht="14.25" hidden="1" customHeight="1">
      <c r="A4" s="8" t="s">
        <v>389</v>
      </c>
      <c r="B4" s="8" t="s">
        <v>395</v>
      </c>
      <c r="D4" s="121" t="str">
        <f>HYPERLINK("http://www.alaska.va.gov/services/HOME_TELEHEALTH.ASP")</f>
        <v>http://www.alaska.va.gov/services/HOME_TELEHEALTH.ASP</v>
      </c>
      <c r="E4" s="8" t="s">
        <v>392</v>
      </c>
    </row>
    <row r="5" ht="14.25" hidden="1" customHeight="1">
      <c r="A5" s="8" t="s">
        <v>389</v>
      </c>
      <c r="B5" s="8" t="s">
        <v>396</v>
      </c>
      <c r="D5" s="121" t="str">
        <f>HYPERLINK("http://www.alaska.va.gov/services/HUMAN_RESOURCES_MANAGEMENT_SERVICES.ASP")</f>
        <v>http://www.alaska.va.gov/services/HUMAN_RESOURCES_MANAGEMENT_SERVICES.ASP</v>
      </c>
      <c r="E5" s="8" t="s">
        <v>392</v>
      </c>
    </row>
    <row r="6" ht="14.25" hidden="1" customHeight="1">
      <c r="A6" s="8" t="s">
        <v>389</v>
      </c>
      <c r="B6" s="8" t="s">
        <v>399</v>
      </c>
      <c r="D6" s="121" t="str">
        <f>HYPERLINK("http://www.alaska.va.gov/services/JUMPSTART.ASP")</f>
        <v>http://www.alaska.va.gov/services/JUMPSTART.ASP</v>
      </c>
      <c r="E6" s="8" t="s">
        <v>392</v>
      </c>
    </row>
    <row r="7" ht="14.25" hidden="1" customHeight="1">
      <c r="A7" s="8" t="s">
        <v>389</v>
      </c>
      <c r="B7" s="8" t="s">
        <v>400</v>
      </c>
      <c r="D7" s="121" t="str">
        <f>HYPERLINK("http://www.alaska.va.gov/services/LESBIAN_GAY_BISEXUAL_AND_TRANSGENDER_LGBT.ASP")</f>
        <v>http://www.alaska.va.gov/services/LESBIAN_GAY_BISEXUAL_AND_TRANSGENDER_LGBT.ASP</v>
      </c>
      <c r="E7" s="8" t="s">
        <v>392</v>
      </c>
    </row>
    <row r="8" ht="14.25" hidden="1" customHeight="1">
      <c r="A8" s="8" t="s">
        <v>389</v>
      </c>
      <c r="B8" s="8" t="s">
        <v>323</v>
      </c>
      <c r="D8" s="121" t="str">
        <f>HYPERLINK("http://www.alaska.va.gov/services/MENTALHEALTH.ASP")</f>
        <v>http://www.alaska.va.gov/services/MENTALHEALTH.ASP</v>
      </c>
      <c r="E8" s="8" t="s">
        <v>392</v>
      </c>
    </row>
    <row r="9" ht="14.25" hidden="1" customHeight="1">
      <c r="A9" s="8" t="s">
        <v>389</v>
      </c>
      <c r="B9" s="8" t="s">
        <v>325</v>
      </c>
      <c r="D9" s="121" t="str">
        <f>HYPERLINK("http://www.alaska.va.gov/services/MINORITY_VETERANS_PROGRAM_COORDINATORS.ASP")</f>
        <v>http://www.alaska.va.gov/services/MINORITY_VETERANS_PROGRAM_COORDINATORS.ASP</v>
      </c>
      <c r="E9" s="8" t="s">
        <v>392</v>
      </c>
    </row>
    <row r="10" ht="14.25" hidden="1" customHeight="1">
      <c r="A10" s="8" t="s">
        <v>389</v>
      </c>
      <c r="B10" s="8" t="s">
        <v>401</v>
      </c>
      <c r="D10" s="121" t="str">
        <f>HYPERLINK("http://www.alaska.va.gov/services/PATIENT_ALIGNED_CARE_TEAM_PACT_CALL_CENTER.ASP")</f>
        <v>http://www.alaska.va.gov/services/PATIENT_ALIGNED_CARE_TEAM_PACT_CALL_CENTER.ASP</v>
      </c>
      <c r="E10" s="8" t="s">
        <v>392</v>
      </c>
    </row>
    <row r="11" ht="14.25" hidden="1" customHeight="1">
      <c r="A11" s="8" t="s">
        <v>389</v>
      </c>
      <c r="B11" s="8" t="s">
        <v>402</v>
      </c>
      <c r="D11" s="121" t="str">
        <f>HYPERLINK("http://www.alaska.va.gov/services/PATIENT_REPRESENTATIVE_ANCHORAGE.ASP")</f>
        <v>http://www.alaska.va.gov/services/PATIENT_REPRESENTATIVE_ANCHORAGE.ASP</v>
      </c>
      <c r="E11" s="8" t="s">
        <v>392</v>
      </c>
    </row>
    <row r="12" ht="14.25" hidden="1" customHeight="1">
      <c r="A12" s="8" t="s">
        <v>389</v>
      </c>
      <c r="B12" s="8" t="s">
        <v>343</v>
      </c>
      <c r="D12" s="121" t="str">
        <f>HYPERLINK("http://www.alaska.va.gov/services/PHARMACY.ASP")</f>
        <v>http://www.alaska.va.gov/services/PHARMACY.ASP</v>
      </c>
      <c r="E12" s="8" t="s">
        <v>392</v>
      </c>
    </row>
    <row r="13" ht="14.25" hidden="1" customHeight="1">
      <c r="A13" s="8" t="s">
        <v>389</v>
      </c>
      <c r="B13" s="8" t="s">
        <v>403</v>
      </c>
      <c r="D13" s="121" t="str">
        <f>HYPERLINK("http://www.alaska.va.gov/services/RURAL_HEALTH.ASP")</f>
        <v>http://www.alaska.va.gov/services/RURAL_HEALTH.ASP</v>
      </c>
      <c r="E13" s="8" t="s">
        <v>392</v>
      </c>
    </row>
    <row r="14" ht="14.25" hidden="1" customHeight="1">
      <c r="A14" s="8" t="s">
        <v>389</v>
      </c>
      <c r="B14" s="8" t="s">
        <v>404</v>
      </c>
      <c r="D14" s="121" t="str">
        <f>HYPERLINK("http://www.alaska.va.gov/services/VETERANS_LISTENING_SESSION.ASP")</f>
        <v>http://www.alaska.va.gov/services/VETERANS_LISTENING_SESSION.ASP</v>
      </c>
      <c r="E14" s="8" t="s">
        <v>392</v>
      </c>
    </row>
    <row r="15" ht="14.25" hidden="1" customHeight="1">
      <c r="A15" s="8" t="s">
        <v>389</v>
      </c>
      <c r="B15" s="8" t="s">
        <v>405</v>
      </c>
      <c r="D15" s="121" t="str">
        <f>HYPERLINK("http://www.alaska.va.gov/services/VOLUNTARY_SERVICE_OFFICE.ASP")</f>
        <v>http://www.alaska.va.gov/services/VOLUNTARY_SERVICE_OFFICE.ASP</v>
      </c>
      <c r="E15" s="8" t="s">
        <v>392</v>
      </c>
    </row>
    <row r="16" ht="14.25" hidden="1" customHeight="1">
      <c r="A16" s="8" t="s">
        <v>406</v>
      </c>
      <c r="B16" s="8" t="s">
        <v>407</v>
      </c>
      <c r="D16" s="121" t="str">
        <f>HYPERLINK("http://www.albany.va.gov/services/ADULT_DAY_HEALTH_CARE.ASP")</f>
        <v>http://www.albany.va.gov/services/ADULT_DAY_HEALTH_CARE.ASP</v>
      </c>
      <c r="E16" s="8" t="s">
        <v>392</v>
      </c>
    </row>
    <row r="17" ht="14.25" hidden="1" customHeight="1">
      <c r="A17" s="8" t="s">
        <v>406</v>
      </c>
      <c r="B17" s="8" t="s">
        <v>408</v>
      </c>
      <c r="D17" s="121" t="str">
        <f>HYPERLINK("http://www.albany.va.gov/services/AGENT_ORANGE_REGISTRY_EXAMS.ASP")</f>
        <v>http://www.albany.va.gov/services/AGENT_ORANGE_REGISTRY_EXAMS.ASP</v>
      </c>
      <c r="E17" s="8" t="s">
        <v>392</v>
      </c>
    </row>
    <row r="18" ht="14.25" hidden="1" customHeight="1">
      <c r="A18" s="8" t="s">
        <v>406</v>
      </c>
      <c r="B18" s="8" t="s">
        <v>409</v>
      </c>
      <c r="D18" s="121" t="str">
        <f>HYPERLINK("http://www.albany.va.gov/services/ALZHEIMER_S_DISEASE_AND_DEMENTIA_CARE.ASP")</f>
        <v>http://www.albany.va.gov/services/ALZHEIMER_S_DISEASE_AND_DEMENTIA_CARE.ASP</v>
      </c>
      <c r="E18" s="8" t="s">
        <v>392</v>
      </c>
    </row>
    <row r="19" ht="14.25" hidden="1" customHeight="1">
      <c r="A19" s="8" t="s">
        <v>406</v>
      </c>
      <c r="B19" s="8" t="s">
        <v>410</v>
      </c>
      <c r="D19" s="121" t="str">
        <f>HYPERLINK("http://www.albany.va.gov/services/ANESTHESIOLOGY.ASP")</f>
        <v>http://www.albany.va.gov/services/ANESTHESIOLOGY.ASP</v>
      </c>
      <c r="E19" s="8" t="s">
        <v>392</v>
      </c>
    </row>
    <row r="20" ht="14.25" hidden="1" customHeight="1">
      <c r="A20" s="8" t="s">
        <v>406</v>
      </c>
      <c r="B20" s="8" t="s">
        <v>411</v>
      </c>
      <c r="D20" s="121" t="str">
        <f>HYPERLINK("http://www.albany.va.gov/services/AUDIOLOGY_SPEECH_PATHOLOGY.ASP")</f>
        <v>http://www.albany.va.gov/services/AUDIOLOGY_SPEECH_PATHOLOGY.ASP</v>
      </c>
      <c r="E20" s="8" t="s">
        <v>392</v>
      </c>
    </row>
    <row r="21" ht="14.25" hidden="1" customHeight="1">
      <c r="A21" s="8" t="s">
        <v>406</v>
      </c>
      <c r="B21" s="8" t="s">
        <v>413</v>
      </c>
      <c r="D21" s="121" t="str">
        <f>HYPERLINK("http://www.albany.va.gov/services/CANCER_CARE_ONCOLOGY.ASP")</f>
        <v>http://www.albany.va.gov/services/CANCER_CARE_ONCOLOGY.ASP</v>
      </c>
      <c r="E21" s="8" t="s">
        <v>392</v>
      </c>
    </row>
    <row r="22" ht="14.25" hidden="1" customHeight="1">
      <c r="A22" s="8" t="s">
        <v>406</v>
      </c>
      <c r="B22" s="8" t="s">
        <v>414</v>
      </c>
      <c r="D22" s="121" t="str">
        <f>HYPERLINK("http://www.albany.va.gov/services/CARDIOLOGY.ASP")</f>
        <v>http://www.albany.va.gov/services/CARDIOLOGY.ASP</v>
      </c>
      <c r="E22" s="8" t="s">
        <v>392</v>
      </c>
    </row>
    <row r="23" ht="14.25" hidden="1" customHeight="1">
      <c r="A23" s="8" t="s">
        <v>406</v>
      </c>
      <c r="B23" s="8" t="s">
        <v>417</v>
      </c>
      <c r="D23" s="121" t="str">
        <f>HYPERLINK("http://www.albany.va.gov/services/CHAPLAIN.ASP")</f>
        <v>http://www.albany.va.gov/services/CHAPLAIN.ASP</v>
      </c>
      <c r="E23" s="8" t="s">
        <v>392</v>
      </c>
    </row>
    <row r="24" ht="14.25" hidden="1" customHeight="1">
      <c r="A24" s="8" t="s">
        <v>406</v>
      </c>
      <c r="B24" s="8" t="s">
        <v>418</v>
      </c>
      <c r="D24" s="121" t="str">
        <f>HYPERLINK("http://www.albany.va.gov/services/CHIROPRACTIC_CARE.ASP")</f>
        <v>http://www.albany.va.gov/services/CHIROPRACTIC_CARE.ASP</v>
      </c>
      <c r="E24" s="8" t="s">
        <v>392</v>
      </c>
    </row>
    <row r="25" ht="14.25" hidden="1" customHeight="1">
      <c r="A25" s="8" t="s">
        <v>406</v>
      </c>
      <c r="B25" s="8" t="s">
        <v>420</v>
      </c>
      <c r="D25" s="121" t="str">
        <f>HYPERLINK("http://www.albany.va.gov/services/COMMUNITY_LIVING_CENTERS_AND_NURSING_HOME.ASP")</f>
        <v>http://www.albany.va.gov/services/COMMUNITY_LIVING_CENTERS_AND_NURSING_HOME.ASP</v>
      </c>
      <c r="E25" s="8" t="s">
        <v>392</v>
      </c>
    </row>
    <row r="26" ht="14.25" hidden="1" customHeight="1">
      <c r="A26" s="8" t="s">
        <v>406</v>
      </c>
      <c r="B26" s="8" t="s">
        <v>422</v>
      </c>
      <c r="D26" s="121" t="str">
        <f>HYPERLINK("http://www.albany.va.gov/services/COMPENSATION_AND_PENSION_EXAMS.ASP")</f>
        <v>http://www.albany.va.gov/services/COMPENSATION_AND_PENSION_EXAMS.ASP</v>
      </c>
      <c r="E26" s="8" t="s">
        <v>392</v>
      </c>
    </row>
    <row r="27" ht="14.25" hidden="1" customHeight="1">
      <c r="A27" s="8" t="s">
        <v>406</v>
      </c>
      <c r="B27" s="8" t="s">
        <v>423</v>
      </c>
      <c r="D27" s="121" t="str">
        <f>HYPERLINK("http://www.albany.va.gov/services/DIABETES.ASP")</f>
        <v>http://www.albany.va.gov/services/DIABETES.ASP</v>
      </c>
      <c r="E27" s="8" t="s">
        <v>392</v>
      </c>
    </row>
    <row r="28" ht="14.25" hidden="1" customHeight="1">
      <c r="A28" s="8" t="s">
        <v>406</v>
      </c>
      <c r="B28" s="8" t="s">
        <v>424</v>
      </c>
      <c r="D28" s="121" t="str">
        <f>HYPERLINK("http://www.albany.va.gov/services/DIALYSIS.ASP")</f>
        <v>http://www.albany.va.gov/services/DIALYSIS.ASP</v>
      </c>
      <c r="E28" s="8" t="s">
        <v>392</v>
      </c>
    </row>
    <row r="29" ht="14.25" hidden="1" customHeight="1">
      <c r="A29" s="8" t="s">
        <v>406</v>
      </c>
      <c r="B29" s="8" t="s">
        <v>426</v>
      </c>
      <c r="D29" s="121" t="str">
        <f>HYPERLINK("http://www.albany.va.gov/services/EYE_AND_VISION_CARE.ASP")</f>
        <v>http://www.albany.va.gov/services/EYE_AND_VISION_CARE.ASP</v>
      </c>
      <c r="E29" s="8" t="s">
        <v>392</v>
      </c>
    </row>
    <row r="30" ht="14.25" hidden="1" customHeight="1">
      <c r="A30" s="8" t="s">
        <v>406</v>
      </c>
      <c r="B30" s="8" t="s">
        <v>428</v>
      </c>
      <c r="D30" s="121" t="str">
        <f>HYPERLINK("http://www.albany.va.gov/services/FEE_BASIS_FEE_SERVICE.ASP")</f>
        <v>http://www.albany.va.gov/services/FEE_BASIS_FEE_SERVICE.ASP</v>
      </c>
      <c r="E30" s="8" t="s">
        <v>392</v>
      </c>
    </row>
    <row r="31" ht="14.25" hidden="1" customHeight="1">
      <c r="A31" s="8" t="s">
        <v>406</v>
      </c>
      <c r="B31" s="8" t="s">
        <v>429</v>
      </c>
      <c r="D31" s="121" t="str">
        <f>HYPERLINK("http://www.albany.va.gov/services/OBSTETRICS_AND_GYNECOLOGY.ASP")</f>
        <v>http://www.albany.va.gov/services/OBSTETRICS_AND_GYNECOLOGY.ASP</v>
      </c>
      <c r="E31" s="8" t="s">
        <v>392</v>
      </c>
    </row>
    <row r="32" ht="14.25" hidden="1" customHeight="1">
      <c r="A32" s="8" t="s">
        <v>406</v>
      </c>
      <c r="B32" s="8" t="s">
        <v>430</v>
      </c>
      <c r="D32" s="121" t="str">
        <f>HYPERLINK("http://www.albany.va.gov/services/HIV_AND_AIDS_TREATMENT.ASP")</f>
        <v>http://www.albany.va.gov/services/HIV_AND_AIDS_TREATMENT.ASP</v>
      </c>
      <c r="E32" s="8" t="s">
        <v>392</v>
      </c>
    </row>
    <row r="33" ht="14.25" hidden="1" customHeight="1">
      <c r="A33" s="8" t="s">
        <v>406</v>
      </c>
      <c r="B33" s="8" t="s">
        <v>431</v>
      </c>
      <c r="D33" s="121" t="str">
        <f>HYPERLINK("http://www.albany.va.gov/services/HOME_BASED_PRIMARY_CARE.ASP")</f>
        <v>http://www.albany.va.gov/services/HOME_BASED_PRIMARY_CARE.ASP</v>
      </c>
      <c r="E33" s="8" t="s">
        <v>392</v>
      </c>
    </row>
    <row r="34" ht="14.25" hidden="1" customHeight="1">
      <c r="A34" s="8" t="s">
        <v>406</v>
      </c>
      <c r="B34" s="8" t="s">
        <v>395</v>
      </c>
      <c r="D34" s="121" t="str">
        <f>HYPERLINK("http://www.albany.va.gov/services/HOME_TELEHEALTH.ASP")</f>
        <v>http://www.albany.va.gov/services/HOME_TELEHEALTH.ASP</v>
      </c>
      <c r="E34" s="8" t="s">
        <v>392</v>
      </c>
    </row>
    <row r="35" ht="14.25" hidden="1" customHeight="1">
      <c r="A35" s="8" t="s">
        <v>406</v>
      </c>
      <c r="B35" s="8" t="s">
        <v>436</v>
      </c>
      <c r="D35" s="121" t="str">
        <f>HYPERLINK("http://www.albany.va.gov/services/HOMEMAKER_AND_HOME_HEALTH_AIDE_PROGRAM.ASP")</f>
        <v>http://www.albany.va.gov/services/HOMEMAKER_AND_HOME_HEALTH_AIDE_PROGRAM.ASP</v>
      </c>
      <c r="E35" s="8" t="s">
        <v>392</v>
      </c>
    </row>
    <row r="36" ht="14.25" hidden="1" customHeight="1">
      <c r="A36" s="8" t="s">
        <v>406</v>
      </c>
      <c r="B36" s="8" t="s">
        <v>437</v>
      </c>
      <c r="D36" s="121" t="str">
        <f>HYPERLINK("http://www.albany.va.gov/services/HOSPICE_AND_PALLIATIVE_CARE.ASP")</f>
        <v>http://www.albany.va.gov/services/HOSPICE_AND_PALLIATIVE_CARE.ASP</v>
      </c>
      <c r="E36" s="8" t="s">
        <v>392</v>
      </c>
    </row>
    <row r="37" ht="14.25" hidden="1" customHeight="1">
      <c r="A37" s="8" t="s">
        <v>406</v>
      </c>
      <c r="B37" s="8" t="s">
        <v>438</v>
      </c>
      <c r="D37" s="121" t="str">
        <f>HYPERLINK("http://www.albany.va.gov/services/LGBT_PATIENT_CENTERED_CARE.ASP")</f>
        <v>http://www.albany.va.gov/services/LGBT_PATIENT_CENTERED_CARE.ASP</v>
      </c>
      <c r="E37" s="8" t="s">
        <v>392</v>
      </c>
    </row>
    <row r="38" ht="14.25" hidden="1" customHeight="1">
      <c r="A38" s="8" t="s">
        <v>406</v>
      </c>
      <c r="B38" s="8" t="s">
        <v>440</v>
      </c>
      <c r="D38" s="121" t="str">
        <f>HYPERLINK("http://www.albany.va.gov/services/LAB_AND_PATHOLOGY_SERVICES.ASP")</f>
        <v>http://www.albany.va.gov/services/LAB_AND_PATHOLOGY_SERVICES.ASP</v>
      </c>
      <c r="E38" s="8" t="s">
        <v>392</v>
      </c>
    </row>
    <row r="39" ht="14.25" hidden="1" customHeight="1">
      <c r="A39" s="8" t="s">
        <v>406</v>
      </c>
      <c r="B39" s="8" t="s">
        <v>441</v>
      </c>
      <c r="D39" s="121" t="str">
        <f>HYPERLINK("http://www.albany.va.gov/services/MOVE_WEIGHT_MANAGEMENT_PROGRAM.ASP")</f>
        <v>http://www.albany.va.gov/services/MOVE_WEIGHT_MANAGEMENT_PROGRAM.ASP</v>
      </c>
      <c r="E39" s="8" t="s">
        <v>392</v>
      </c>
    </row>
    <row r="40" ht="14.25" hidden="1" customHeight="1">
      <c r="A40" s="8" t="s">
        <v>406</v>
      </c>
      <c r="B40" s="8" t="s">
        <v>442</v>
      </c>
      <c r="D40" s="121" t="str">
        <f>HYPERLINK("http://www.albany.va.gov/services/MAMMOGRAPHY.ASP")</f>
        <v>http://www.albany.va.gov/services/MAMMOGRAPHY.ASP</v>
      </c>
      <c r="E40" s="8" t="s">
        <v>392</v>
      </c>
    </row>
    <row r="41" ht="14.25" hidden="1" customHeight="1">
      <c r="A41" s="8" t="s">
        <v>406</v>
      </c>
      <c r="B41" s="8" t="s">
        <v>444</v>
      </c>
      <c r="D41" s="121" t="str">
        <f>HYPERLINK("http://www.albany.va.gov/services/PHARMACY.ASP")</f>
        <v>http://www.albany.va.gov/services/PHARMACY.ASP</v>
      </c>
      <c r="E41" s="8" t="s">
        <v>392</v>
      </c>
    </row>
    <row r="42" ht="14.25" hidden="1" customHeight="1">
      <c r="A42" s="8" t="s">
        <v>406</v>
      </c>
      <c r="B42" s="8" t="s">
        <v>323</v>
      </c>
      <c r="D42" s="121" t="str">
        <f>HYPERLINK("http://www.albany.va.gov/services/MENTAL_HEALTH.ASP")</f>
        <v>http://www.albany.va.gov/services/MENTAL_HEALTH.ASP</v>
      </c>
      <c r="E42" s="8" t="s">
        <v>392</v>
      </c>
    </row>
    <row r="43" ht="14.25" hidden="1" customHeight="1">
      <c r="A43" s="8" t="s">
        <v>406</v>
      </c>
      <c r="B43" s="8" t="s">
        <v>445</v>
      </c>
      <c r="D43" s="121" t="str">
        <f>HYPERLINK("http://www.albany.va.gov/services/MILITARY_SEXUAL_TRAUMA_COUNSELING.ASP")</f>
        <v>http://www.albany.va.gov/services/MILITARY_SEXUAL_TRAUMA_COUNSELING.ASP</v>
      </c>
      <c r="E43" s="8" t="s">
        <v>392</v>
      </c>
    </row>
    <row r="44" ht="14.25" hidden="1" customHeight="1">
      <c r="A44" s="8" t="s">
        <v>406</v>
      </c>
      <c r="B44" s="8" t="s">
        <v>332</v>
      </c>
      <c r="D44" s="121" t="str">
        <f>HYPERLINK("http://www.albany.va.gov/services/NUTRITION_AND_FOOD_SERVICES.ASP")</f>
        <v>http://www.albany.va.gov/services/NUTRITION_AND_FOOD_SERVICES.ASP</v>
      </c>
      <c r="E44" s="8" t="s">
        <v>392</v>
      </c>
    </row>
    <row r="45" ht="14.25" hidden="1" customHeight="1">
      <c r="A45" s="8" t="s">
        <v>406</v>
      </c>
      <c r="B45" s="8" t="s">
        <v>447</v>
      </c>
      <c r="D45" s="121" t="str">
        <f>HYPERLINK("http://www.albany.va.gov/services/OEF_OIF_OND_VETERANS_POINT_OF_CONTACT.ASP")</f>
        <v>http://www.albany.va.gov/services/OEF_OIF_OND_VETERANS_POINT_OF_CONTACT.ASP</v>
      </c>
      <c r="E45" s="8" t="s">
        <v>392</v>
      </c>
    </row>
    <row r="46" ht="14.25" hidden="1" customHeight="1">
      <c r="A46" s="8" t="s">
        <v>406</v>
      </c>
      <c r="B46" s="8" t="s">
        <v>337</v>
      </c>
      <c r="D46" s="121" t="str">
        <f>HYPERLINK("http://www.albany.va.gov/services/OPHTHALMOLOGY.ASP")</f>
        <v>http://www.albany.va.gov/services/OPHTHALMOLOGY.ASP</v>
      </c>
      <c r="E46" s="8" t="s">
        <v>392</v>
      </c>
    </row>
    <row r="47" ht="14.25" hidden="1" customHeight="1">
      <c r="A47" s="8" t="s">
        <v>406</v>
      </c>
      <c r="B47" s="8" t="s">
        <v>449</v>
      </c>
      <c r="D47" s="121" t="str">
        <f>HYPERLINK("http://www.albany.va.gov/services/PAIN_MANAGEMENT.ASP")</f>
        <v>http://www.albany.va.gov/services/PAIN_MANAGEMENT.ASP</v>
      </c>
      <c r="E47" s="8" t="s">
        <v>392</v>
      </c>
    </row>
    <row r="48" ht="14.25" hidden="1" customHeight="1">
      <c r="A48" s="8" t="s">
        <v>406</v>
      </c>
      <c r="B48" s="8" t="s">
        <v>450</v>
      </c>
      <c r="D48" s="121" t="str">
        <f>HYPERLINK("http://www.albany.va.gov/services/PODIATRY.ASP")</f>
        <v>http://www.albany.va.gov/services/PODIATRY.ASP</v>
      </c>
      <c r="E48" s="8" t="s">
        <v>392</v>
      </c>
    </row>
    <row r="49" ht="14.25" hidden="1" customHeight="1">
      <c r="A49" s="8" t="s">
        <v>406</v>
      </c>
      <c r="B49" s="8" t="s">
        <v>451</v>
      </c>
      <c r="D49" s="121" t="str">
        <f>HYPERLINK("http://www.albany.va.gov/services/POLYTRAUMA_PROGRAM.ASP")</f>
        <v>http://www.albany.va.gov/services/POLYTRAUMA_PROGRAM.ASP</v>
      </c>
      <c r="E49" s="8" t="s">
        <v>392</v>
      </c>
    </row>
    <row r="50" ht="14.25" hidden="1" customHeight="1">
      <c r="A50" s="8" t="s">
        <v>406</v>
      </c>
      <c r="B50" s="8" t="s">
        <v>453</v>
      </c>
      <c r="D50" s="121" t="str">
        <f>HYPERLINK("http://www.albany.va.gov/services/POSTTRAUMATIC_STRESS_DISORDER_PTSD.ASP")</f>
        <v>http://www.albany.va.gov/services/POSTTRAUMATIC_STRESS_DISORDER_PTSD.ASP</v>
      </c>
      <c r="E50" s="8" t="s">
        <v>392</v>
      </c>
    </row>
    <row r="51" ht="14.25" hidden="1" customHeight="1">
      <c r="A51" s="8" t="s">
        <v>406</v>
      </c>
      <c r="B51" s="8" t="s">
        <v>348</v>
      </c>
      <c r="D51" s="121" t="str">
        <f>HYPERLINK("http://www.albany.va.gov/services/PRIMARY_CARE.ASP")</f>
        <v>http://www.albany.va.gov/services/PRIMARY_CARE.ASP</v>
      </c>
      <c r="E51" s="8" t="s">
        <v>392</v>
      </c>
    </row>
    <row r="52" ht="14.25" hidden="1" customHeight="1">
      <c r="A52" s="8" t="s">
        <v>406</v>
      </c>
      <c r="B52" s="8" t="s">
        <v>456</v>
      </c>
      <c r="D52" s="121" t="str">
        <f>HYPERLINK("http://www.albany.va.gov/services/PROSTHETICS_AND_SENSORY_AIDS_SERVICE.ASP")</f>
        <v>http://www.albany.va.gov/services/PROSTHETICS_AND_SENSORY_AIDS_SERVICE.ASP</v>
      </c>
      <c r="E52" s="8" t="s">
        <v>392</v>
      </c>
    </row>
    <row r="53" ht="14.25" hidden="1" customHeight="1">
      <c r="A53" s="8" t="s">
        <v>406</v>
      </c>
      <c r="B53" s="8" t="s">
        <v>461</v>
      </c>
      <c r="D53" s="121" t="str">
        <f>HYPERLINK("http://www.albany.va.gov/services/RADIOLOGY_AND_DIAGNOSTIC_IMAGING.ASP")</f>
        <v>http://www.albany.va.gov/services/RADIOLOGY_AND_DIAGNOSTIC_IMAGING.ASP</v>
      </c>
      <c r="E53" s="8" t="s">
        <v>392</v>
      </c>
    </row>
    <row r="54" ht="14.25" hidden="1" customHeight="1">
      <c r="A54" s="8" t="s">
        <v>406</v>
      </c>
      <c r="B54" s="8" t="s">
        <v>463</v>
      </c>
      <c r="D54" s="121" t="str">
        <f>HYPERLINK("http://www.albany.va.gov/services/SPINAL_CORD_INJURY_AND_DISORDERS.ASP")</f>
        <v>http://www.albany.va.gov/services/SPINAL_CORD_INJURY_AND_DISORDERS.ASP</v>
      </c>
      <c r="E54" s="8" t="s">
        <v>392</v>
      </c>
    </row>
    <row r="55" ht="14.25" hidden="1" customHeight="1">
      <c r="A55" s="8" t="s">
        <v>406</v>
      </c>
      <c r="B55" s="8" t="s">
        <v>466</v>
      </c>
      <c r="D55" s="121" t="str">
        <f>HYPERLINK("http://www.albany.va.gov/services/SUBSTANCE_ABUSE_SERVICES.ASP")</f>
        <v>http://www.albany.va.gov/services/SUBSTANCE_ABUSE_SERVICES.ASP</v>
      </c>
      <c r="E55" s="8" t="s">
        <v>392</v>
      </c>
    </row>
    <row r="56" ht="14.25" hidden="1" customHeight="1">
      <c r="A56" s="8" t="s">
        <v>406</v>
      </c>
      <c r="B56" s="8" t="s">
        <v>370</v>
      </c>
      <c r="D56" s="121" t="str">
        <f>HYPERLINK("http://www.albany.va.gov/services/TELEHEALTH.ASP")</f>
        <v>http://www.albany.va.gov/services/TELEHEALTH.ASP</v>
      </c>
      <c r="E56" s="8" t="s">
        <v>392</v>
      </c>
    </row>
    <row r="57" ht="14.25" hidden="1" customHeight="1">
      <c r="A57" s="8" t="s">
        <v>406</v>
      </c>
      <c r="B57" s="8" t="s">
        <v>469</v>
      </c>
      <c r="D57" s="121" t="str">
        <f>HYPERLINK("http://www.albany.va.gov/services/UROLOGY.ASP")</f>
        <v>http://www.albany.va.gov/services/UROLOGY.ASP</v>
      </c>
      <c r="E57" s="8" t="s">
        <v>392</v>
      </c>
    </row>
    <row r="58" ht="14.25" hidden="1" customHeight="1">
      <c r="A58" s="8" t="s">
        <v>406</v>
      </c>
      <c r="B58" s="8" t="s">
        <v>470</v>
      </c>
      <c r="D58" s="121" t="str">
        <f>HYPERLINK("http://www.albany.va.gov/services/VA_NURSE_HELPLINE.ASP")</f>
        <v>http://www.albany.va.gov/services/VA_NURSE_HELPLINE.ASP</v>
      </c>
      <c r="E58" s="8" t="s">
        <v>392</v>
      </c>
    </row>
    <row r="59" ht="14.25" hidden="1" customHeight="1">
      <c r="A59" s="8" t="s">
        <v>406</v>
      </c>
      <c r="B59" s="8" t="s">
        <v>471</v>
      </c>
      <c r="D59" s="121" t="str">
        <f>HYPERLINK("http://www.albany.va.gov/services/VISION_REHABILITATION_SERVICES.ASP")</f>
        <v>http://www.albany.va.gov/services/VISION_REHABILITATION_SERVICES.ASP</v>
      </c>
      <c r="E59" s="8" t="s">
        <v>392</v>
      </c>
    </row>
    <row r="60" ht="14.25" hidden="1" customHeight="1">
      <c r="A60" s="8" t="s">
        <v>406</v>
      </c>
      <c r="B60" s="8" t="s">
        <v>472</v>
      </c>
      <c r="D60" s="121" t="str">
        <f>HYPERLINK("http://www.albany.va.gov/services/WOMEN_S_HEALTH.ASP")</f>
        <v>http://www.albany.va.gov/services/WOMEN_S_HEALTH.ASP</v>
      </c>
      <c r="E60" s="8" t="s">
        <v>392</v>
      </c>
    </row>
    <row r="61" ht="14.25" hidden="1" customHeight="1">
      <c r="A61" s="8" t="s">
        <v>474</v>
      </c>
      <c r="B61" s="8" t="s">
        <v>475</v>
      </c>
      <c r="D61" s="121" t="str">
        <f>HYPERLINK("http://www.albuquerque.va.gov/services/ADMISSIONS.ASP")</f>
        <v>http://www.albuquerque.va.gov/services/ADMISSIONS.ASP</v>
      </c>
      <c r="E61" s="8" t="s">
        <v>392</v>
      </c>
    </row>
    <row r="62" ht="14.25" hidden="1" customHeight="1">
      <c r="A62" s="8" t="s">
        <v>474</v>
      </c>
      <c r="B62" s="8" t="s">
        <v>477</v>
      </c>
      <c r="D62" s="121" t="str">
        <f>HYPERLINK("http://www.albuquerque.va.gov/services/CAREGIVER_SUPPORT_COORDINATOR.ASP")</f>
        <v>http://www.albuquerque.va.gov/services/CAREGIVER_SUPPORT_COORDINATOR.ASP</v>
      </c>
      <c r="E62" s="8" t="s">
        <v>392</v>
      </c>
    </row>
    <row r="63" ht="14.25" hidden="1" customHeight="1">
      <c r="A63" s="8" t="s">
        <v>474</v>
      </c>
      <c r="B63" s="8" t="s">
        <v>478</v>
      </c>
      <c r="D63" s="121" t="str">
        <f>HYPERLINK("http://www.albuquerque.va.gov/services/CHAPLAIN_SERVICE.ASP")</f>
        <v>http://www.albuquerque.va.gov/services/CHAPLAIN_SERVICE.ASP</v>
      </c>
      <c r="E63" s="8" t="s">
        <v>392</v>
      </c>
    </row>
    <row r="64" ht="14.25" hidden="1" customHeight="1">
      <c r="A64" s="8" t="s">
        <v>474</v>
      </c>
      <c r="B64" s="8" t="s">
        <v>479</v>
      </c>
      <c r="D64" s="121" t="str">
        <f>HYPERLINK("http://www.albuquerque.va.gov/services/COMMUNITY_MENTAL_HEALTH_POINT_OF_CONTACT.ASP")</f>
        <v>http://www.albuquerque.va.gov/services/COMMUNITY_MENTAL_HEALTH_POINT_OF_CONTACT.ASP</v>
      </c>
      <c r="E64" s="8" t="s">
        <v>392</v>
      </c>
    </row>
    <row r="65" ht="14.25" hidden="1" customHeight="1">
      <c r="A65" s="8" t="s">
        <v>474</v>
      </c>
      <c r="B65" s="8" t="s">
        <v>480</v>
      </c>
      <c r="D65" s="121" t="str">
        <f>HYPERLINK("http://www.albuquerque.va.gov/services/COMPENSATION_PENSION.ASP")</f>
        <v>http://www.albuquerque.va.gov/services/COMPENSATION_PENSION.ASP</v>
      </c>
      <c r="E65" s="8" t="s">
        <v>392</v>
      </c>
    </row>
    <row r="66" ht="14.25" hidden="1" customHeight="1">
      <c r="A66" s="8" t="s">
        <v>474</v>
      </c>
      <c r="B66" s="8" t="s">
        <v>483</v>
      </c>
      <c r="D66" s="121" t="str">
        <f>HYPERLINK("http://www.albuquerque.va.gov/services/DECEDENT_AFFAIRS.ASP")</f>
        <v>http://www.albuquerque.va.gov/services/DECEDENT_AFFAIRS.ASP</v>
      </c>
      <c r="E66" s="8" t="s">
        <v>392</v>
      </c>
    </row>
    <row r="67" ht="14.25" hidden="1" customHeight="1">
      <c r="A67" s="8" t="s">
        <v>474</v>
      </c>
      <c r="B67" s="8" t="s">
        <v>308</v>
      </c>
      <c r="D67" s="121" t="str">
        <f>HYPERLINK("http://www.albuquerque.va.gov/services/EMERGENCY_DEPARTMENT.ASP")</f>
        <v>http://www.albuquerque.va.gov/services/EMERGENCY_DEPARTMENT.ASP</v>
      </c>
      <c r="E67" s="8" t="s">
        <v>392</v>
      </c>
    </row>
    <row r="68" ht="14.25" hidden="1" customHeight="1">
      <c r="A68" s="8" t="s">
        <v>474</v>
      </c>
      <c r="B68" s="8" t="s">
        <v>485</v>
      </c>
      <c r="D68" s="121" t="str">
        <f>HYPERLINK("http://www.albuquerque.va.gov/services/ENROLLMENT.ASP")</f>
        <v>http://www.albuquerque.va.gov/services/ENROLLMENT.ASP</v>
      </c>
      <c r="E68" s="8" t="s">
        <v>392</v>
      </c>
    </row>
    <row r="69" ht="14.25" hidden="1" customHeight="1">
      <c r="A69" s="8" t="s">
        <v>474</v>
      </c>
      <c r="B69" s="8" t="s">
        <v>486</v>
      </c>
      <c r="D69" s="121" t="str">
        <f>HYPERLINK("http://www.albuquerque.va.gov/services/FORMER_PRISONER_OF_WAR_ADVOCATE.ASP")</f>
        <v>http://www.albuquerque.va.gov/services/FORMER_PRISONER_OF_WAR_ADVOCATE.ASP</v>
      </c>
      <c r="E69" s="8" t="s">
        <v>392</v>
      </c>
    </row>
    <row r="70" ht="14.25" hidden="1" customHeight="1">
      <c r="A70" s="8" t="s">
        <v>474</v>
      </c>
      <c r="B70" s="8" t="s">
        <v>489</v>
      </c>
      <c r="D70" s="121" t="str">
        <f>HYPERLINK("http://www.albuquerque.va.gov/services/HOMELESS_PROGRAM_COORDINATOR.ASP")</f>
        <v>http://www.albuquerque.va.gov/services/HOMELESS_PROGRAM_COORDINATOR.ASP</v>
      </c>
      <c r="E70" s="8" t="s">
        <v>392</v>
      </c>
    </row>
    <row r="71" ht="14.25" hidden="1" customHeight="1">
      <c r="A71" s="8" t="s">
        <v>474</v>
      </c>
      <c r="B71" s="8" t="s">
        <v>491</v>
      </c>
      <c r="D71" s="121" t="str">
        <f>HYPERLINK("http://www.albuquerque.va.gov/services/LGBT_PROGRAM.ASP")</f>
        <v>http://www.albuquerque.va.gov/services/LGBT_PROGRAM.ASP</v>
      </c>
      <c r="E71" s="8" t="s">
        <v>392</v>
      </c>
    </row>
    <row r="72" ht="14.25" hidden="1" customHeight="1">
      <c r="A72" s="8" t="s">
        <v>474</v>
      </c>
      <c r="B72" s="8" t="s">
        <v>323</v>
      </c>
      <c r="D72" s="121" t="str">
        <f>HYPERLINK("http://www.albuquerque.va.gov/services/MENTAL_HEALTH.ASP")</f>
        <v>http://www.albuquerque.va.gov/services/MENTAL_HEALTH.ASP</v>
      </c>
      <c r="E72" s="8" t="s">
        <v>392</v>
      </c>
    </row>
    <row r="73" ht="14.25" hidden="1" customHeight="1">
      <c r="A73" s="8" t="s">
        <v>474</v>
      </c>
      <c r="B73" s="8" t="s">
        <v>324</v>
      </c>
      <c r="D73" s="121" t="str">
        <f>HYPERLINK("http://www.albuquerque.va.gov/services/MILITARY_SEXUAL_TRAUMA.ASP")</f>
        <v>http://www.albuquerque.va.gov/services/MILITARY_SEXUAL_TRAUMA.ASP</v>
      </c>
      <c r="E73" s="8" t="s">
        <v>392</v>
      </c>
    </row>
    <row r="74" ht="14.25" hidden="1" customHeight="1">
      <c r="A74" s="8" t="s">
        <v>474</v>
      </c>
      <c r="B74" s="8" t="s">
        <v>494</v>
      </c>
      <c r="D74" s="121" t="str">
        <f>HYPERLINK("http://www.albuquerque.va.gov/services/MYHEALTHEVET.ASP")</f>
        <v>http://www.albuquerque.va.gov/services/MYHEALTHEVET.ASP</v>
      </c>
      <c r="E74" s="8" t="s">
        <v>392</v>
      </c>
    </row>
    <row r="75" ht="14.25" hidden="1" customHeight="1">
      <c r="A75" s="8" t="s">
        <v>474</v>
      </c>
      <c r="B75" s="8" t="s">
        <v>335</v>
      </c>
      <c r="D75" s="121" t="str">
        <f>HYPERLINK("http://www.albuquerque.va.gov/services/NUTRITION_AND_FOOD_SERVICES.ASP")</f>
        <v>http://www.albuquerque.va.gov/services/NUTRITION_AND_FOOD_SERVICES.ASP</v>
      </c>
      <c r="E75" s="8" t="s">
        <v>392</v>
      </c>
    </row>
    <row r="76" ht="14.25" hidden="1" customHeight="1">
      <c r="A76" s="8" t="s">
        <v>474</v>
      </c>
      <c r="B76" s="8" t="s">
        <v>496</v>
      </c>
      <c r="D76" s="121" t="str">
        <f>HYPERLINK("http://www.albuquerque.va.gov/services/PATHOLOGY_AND_LABORATORY.ASP")</f>
        <v>http://www.albuquerque.va.gov/services/PATHOLOGY_AND_LABORATORY.ASP</v>
      </c>
      <c r="E76" s="8" t="s">
        <v>392</v>
      </c>
    </row>
    <row r="77" ht="14.25" hidden="1" customHeight="1">
      <c r="A77" s="8" t="s">
        <v>474</v>
      </c>
      <c r="B77" s="8" t="s">
        <v>498</v>
      </c>
      <c r="D77" s="121" t="str">
        <f>HYPERLINK("http://www.albuquerque.va.gov/services/PATIENT_HEALTH_EDUCATION.ASP")</f>
        <v>http://www.albuquerque.va.gov/services/PATIENT_HEALTH_EDUCATION.ASP</v>
      </c>
      <c r="E77" s="8" t="s">
        <v>392</v>
      </c>
    </row>
    <row r="78" ht="14.25" hidden="1" customHeight="1">
      <c r="A78" s="8" t="s">
        <v>474</v>
      </c>
      <c r="B78" s="8" t="s">
        <v>500</v>
      </c>
      <c r="D78" s="121" t="str">
        <f>HYPERLINK("http://www.albuquerque.va.gov/services/PATIENT_TRAVEL.ASP")</f>
        <v>http://www.albuquerque.va.gov/services/PATIENT_TRAVEL.ASP</v>
      </c>
      <c r="E78" s="8" t="s">
        <v>392</v>
      </c>
    </row>
    <row r="79" ht="14.25" hidden="1" customHeight="1">
      <c r="A79" s="8" t="s">
        <v>474</v>
      </c>
      <c r="B79" s="8" t="s">
        <v>343</v>
      </c>
      <c r="D79" s="121" t="str">
        <f>HYPERLINK("http://www.albuquerque.va.gov/services/PHARMACY.ASP")</f>
        <v>http://www.albuquerque.va.gov/services/PHARMACY.ASP</v>
      </c>
      <c r="E79" s="8" t="s">
        <v>392</v>
      </c>
    </row>
    <row r="80" ht="14.25" hidden="1" customHeight="1">
      <c r="A80" s="8" t="s">
        <v>474</v>
      </c>
      <c r="B80" s="8" t="s">
        <v>502</v>
      </c>
      <c r="D80" s="121" t="str">
        <f>HYPERLINK("http://www.albuquerque.va.gov/services/PRIVACY_OFFICE_AND_FREEDOM_OF_INFORMATION_ACT_FOIA.ASP")</f>
        <v>http://www.albuquerque.va.gov/services/PRIVACY_OFFICE_AND_FREEDOM_OF_INFORMATION_ACT_FOIA.ASP</v>
      </c>
      <c r="E80" s="8" t="s">
        <v>392</v>
      </c>
    </row>
    <row r="81" ht="14.25" hidden="1" customHeight="1">
      <c r="A81" s="8" t="s">
        <v>474</v>
      </c>
      <c r="B81" s="8" t="s">
        <v>504</v>
      </c>
      <c r="D81" s="121" t="str">
        <f>HYPERLINK("http://www.albuquerque.va.gov/services/PUBLIC_AFFAIRS.ASP")</f>
        <v>http://www.albuquerque.va.gov/services/PUBLIC_AFFAIRS.ASP</v>
      </c>
      <c r="E81" s="8" t="s">
        <v>392</v>
      </c>
    </row>
    <row r="82" ht="14.25" hidden="1" customHeight="1">
      <c r="A82" s="8" t="s">
        <v>474</v>
      </c>
      <c r="B82" s="8" t="s">
        <v>505</v>
      </c>
      <c r="D82" s="121" t="str">
        <f>HYPERLINK("http://www.albuquerque.va.gov/services/RECREATION_THERAPY.ASP")</f>
        <v>http://www.albuquerque.va.gov/services/RECREATION_THERAPY.ASP</v>
      </c>
      <c r="E82" s="8" t="s">
        <v>392</v>
      </c>
    </row>
    <row r="83" ht="14.25" hidden="1" customHeight="1">
      <c r="A83" s="8" t="s">
        <v>474</v>
      </c>
      <c r="B83" s="8" t="s">
        <v>507</v>
      </c>
      <c r="D83" s="121" t="str">
        <f>HYPERLINK("http://www.albuquerque.va.gov/services/RELEASEOFINFORMATION.ASP")</f>
        <v>http://www.albuquerque.va.gov/services/RELEASEOFINFORMATION.ASP</v>
      </c>
      <c r="E83" s="8" t="s">
        <v>392</v>
      </c>
    </row>
    <row r="84" ht="14.25" hidden="1" customHeight="1">
      <c r="A84" s="8" t="s">
        <v>474</v>
      </c>
      <c r="B84" s="8" t="s">
        <v>508</v>
      </c>
      <c r="D84" s="121" t="str">
        <f>HYPERLINK("http://www.albuquerque.va.gov/services/RESEARCH.ASP")</f>
        <v>http://www.albuquerque.va.gov/services/RESEARCH.ASP</v>
      </c>
      <c r="E84" s="8" t="s">
        <v>392</v>
      </c>
    </row>
    <row r="85" ht="14.25" hidden="1" customHeight="1">
      <c r="A85" s="8" t="s">
        <v>474</v>
      </c>
      <c r="B85" s="8" t="s">
        <v>355</v>
      </c>
      <c r="D85" s="121" t="str">
        <f>HYPERLINK("http://www.albuquerque.va.gov/services/RETURNING_SERVICE_MEMBERS.ASP")</f>
        <v>http://www.albuquerque.va.gov/services/RETURNING_SERVICE_MEMBERS.ASP</v>
      </c>
      <c r="E85" s="8" t="s">
        <v>392</v>
      </c>
    </row>
    <row r="86" ht="14.25" hidden="1" customHeight="1">
      <c r="A86" s="8" t="s">
        <v>474</v>
      </c>
      <c r="B86" s="8" t="s">
        <v>509</v>
      </c>
      <c r="D86" s="121" t="str">
        <f>HYPERLINK("http://www.albuquerque.va.gov/services/NMVAHCS_SPINAL_CORD_INJURY_DISORDERS.ASP")</f>
        <v>http://www.albuquerque.va.gov/services/NMVAHCS_SPINAL_CORD_INJURY_DISORDERS.ASP</v>
      </c>
      <c r="E86" s="8" t="s">
        <v>392</v>
      </c>
    </row>
    <row r="87" ht="14.25" hidden="1" customHeight="1">
      <c r="A87" s="8" t="s">
        <v>474</v>
      </c>
      <c r="B87" s="8" t="s">
        <v>511</v>
      </c>
      <c r="D87" s="121" t="str">
        <f>HYPERLINK("http://www.albuquerque.va.gov/services/VA_POLICE.ASP")</f>
        <v>http://www.albuquerque.va.gov/services/VA_POLICE.ASP</v>
      </c>
      <c r="E87" s="8" t="s">
        <v>392</v>
      </c>
    </row>
    <row r="88" ht="14.25" hidden="1" customHeight="1">
      <c r="A88" s="8" t="s">
        <v>474</v>
      </c>
      <c r="B88" s="8" t="s">
        <v>512</v>
      </c>
      <c r="D88" s="121" t="str">
        <f>HYPERLINK("http://www.albuquerque.va.gov/services/VETERAN_SERVICE_ORGANIZATIONS.ASP")</f>
        <v>http://www.albuquerque.va.gov/services/VETERAN_SERVICE_ORGANIZATIONS.ASP</v>
      </c>
      <c r="E88" s="8" t="s">
        <v>392</v>
      </c>
    </row>
    <row r="89" ht="14.25" hidden="1" customHeight="1">
      <c r="A89" s="8" t="s">
        <v>474</v>
      </c>
      <c r="B89" s="8" t="s">
        <v>516</v>
      </c>
      <c r="D89" s="121" t="str">
        <f>HYPERLINK("http://www.albuquerque.va.gov/services/VETERANS_JUSTICE_OUTREACH.ASP")</f>
        <v>http://www.albuquerque.va.gov/services/VETERANS_JUSTICE_OUTREACH.ASP</v>
      </c>
      <c r="E89" s="8" t="s">
        <v>392</v>
      </c>
    </row>
    <row r="90" ht="14.25" hidden="1" customHeight="1">
      <c r="A90" s="8" t="s">
        <v>474</v>
      </c>
      <c r="B90" s="8" t="s">
        <v>518</v>
      </c>
      <c r="D90" s="121" t="str">
        <f>HYPERLINK("http://www.albuquerque.va.gov/services/VOLUNTARY_SERVICE.ASP")</f>
        <v>http://www.albuquerque.va.gov/services/VOLUNTARY_SERVICE.ASP</v>
      </c>
      <c r="E90" s="8" t="s">
        <v>392</v>
      </c>
    </row>
    <row r="91" ht="14.25" hidden="1" customHeight="1">
      <c r="A91" s="8" t="s">
        <v>474</v>
      </c>
      <c r="B91" s="8" t="s">
        <v>520</v>
      </c>
      <c r="D91" s="121" t="str">
        <f>HYPERLINK("http://www.albuquerque.va.gov/services/WOMEN_VETERANS_HEALTH_PROGRAM.ASP")</f>
        <v>http://www.albuquerque.va.gov/services/WOMEN_VETERANS_HEALTH_PROGRAM.ASP</v>
      </c>
      <c r="E91" s="8" t="s">
        <v>392</v>
      </c>
    </row>
    <row r="92" ht="14.25" hidden="1" customHeight="1">
      <c r="A92" s="8" t="s">
        <v>522</v>
      </c>
      <c r="B92" s="8" t="s">
        <v>523</v>
      </c>
      <c r="D92" s="121" t="str">
        <f>HYPERLINK("http://www.alexandria.va.gov/services/LGBT.ASP")</f>
        <v>http://www.alexandria.va.gov/services/LGBT.ASP</v>
      </c>
      <c r="E92" s="8" t="s">
        <v>392</v>
      </c>
    </row>
    <row r="93" ht="14.25" hidden="1" customHeight="1">
      <c r="A93" s="8" t="s">
        <v>522</v>
      </c>
      <c r="B93" s="8" t="s">
        <v>323</v>
      </c>
      <c r="D93" s="121" t="str">
        <f>HYPERLINK("http://www.alexandria.va.gov/services/MENTAL_HEALTH.ASP")</f>
        <v>http://www.alexandria.va.gov/services/MENTAL_HEALTH.ASP</v>
      </c>
      <c r="E93" s="8" t="s">
        <v>392</v>
      </c>
    </row>
    <row r="94" ht="14.25" hidden="1" customHeight="1">
      <c r="A94" s="8" t="s">
        <v>522</v>
      </c>
      <c r="B94" s="8" t="s">
        <v>343</v>
      </c>
      <c r="D94" s="121" t="str">
        <f>HYPERLINK("http://www.alexandria.va.gov/services/PHARMACY.ASP")</f>
        <v>http://www.alexandria.va.gov/services/PHARMACY.ASP</v>
      </c>
      <c r="E94" s="8" t="s">
        <v>392</v>
      </c>
    </row>
    <row r="95" ht="14.25" hidden="1" customHeight="1">
      <c r="A95" s="8" t="s">
        <v>522</v>
      </c>
      <c r="B95" s="8" t="s">
        <v>526</v>
      </c>
      <c r="D95" s="121" t="str">
        <f>HYPERLINK("http://www.alexandria.va.gov/services/SERVICES.ASP")</f>
        <v>http://www.alexandria.va.gov/services/SERVICES.ASP</v>
      </c>
      <c r="E95" s="8" t="s">
        <v>392</v>
      </c>
    </row>
    <row r="96" ht="14.25" hidden="1" customHeight="1">
      <c r="A96" s="116" t="s">
        <v>530</v>
      </c>
      <c r="B96" s="8" t="s">
        <v>531</v>
      </c>
      <c r="D96" s="121" t="str">
        <f>HYPERLINK("http://www.altoona.va.gov/services/ECRC.ASP")</f>
        <v>http://www.altoona.va.gov/services/ECRC.ASP</v>
      </c>
      <c r="E96" s="8" t="s">
        <v>392</v>
      </c>
    </row>
    <row r="97" ht="14.25" hidden="1" customHeight="1">
      <c r="A97" s="116" t="s">
        <v>530</v>
      </c>
      <c r="B97" s="8" t="s">
        <v>244</v>
      </c>
      <c r="D97" s="121" t="str">
        <f>HYPERLINK("http://www.altoona.va.gov/services/AUDIOLOGY.ASP")</f>
        <v>http://www.altoona.va.gov/services/AUDIOLOGY.ASP</v>
      </c>
      <c r="E97" s="8" t="s">
        <v>392</v>
      </c>
    </row>
    <row r="98" ht="14.25" hidden="1" customHeight="1">
      <c r="A98" s="116" t="s">
        <v>530</v>
      </c>
      <c r="B98" s="8" t="s">
        <v>372</v>
      </c>
      <c r="D98" s="121" t="str">
        <f>HYPERLINK("http://www.altoona.va.gov/services/BENEFICIARY-TRAVEL.ASP")</f>
        <v>http://www.altoona.va.gov/services/BENEFICIARY-TRAVEL.ASP</v>
      </c>
      <c r="E98" s="8" t="s">
        <v>392</v>
      </c>
    </row>
    <row r="99" ht="14.25" hidden="1" customHeight="1">
      <c r="A99" s="116" t="s">
        <v>530</v>
      </c>
      <c r="B99" s="8" t="s">
        <v>300</v>
      </c>
      <c r="D99" s="121" t="str">
        <f>HYPERLINK("http://www.altoona.va.gov/services/CAREGIVER-PROGRAM.ASP")</f>
        <v>http://www.altoona.va.gov/services/CAREGIVER-PROGRAM.ASP</v>
      </c>
      <c r="E99" s="8" t="s">
        <v>392</v>
      </c>
    </row>
    <row r="100" ht="14.25" hidden="1" customHeight="1">
      <c r="A100" s="116" t="s">
        <v>530</v>
      </c>
      <c r="B100" s="8" t="s">
        <v>439</v>
      </c>
      <c r="D100" s="121" t="str">
        <f>HYPERLINK("http://www.altoona.va.gov/services/COMMUNITY_LIVING_CENTER.ASP")</f>
        <v>http://www.altoona.va.gov/services/COMMUNITY_LIVING_CENTER.ASP</v>
      </c>
      <c r="E100" s="8" t="s">
        <v>392</v>
      </c>
    </row>
    <row r="101" ht="14.25" hidden="1" customHeight="1">
      <c r="A101" s="116" t="s">
        <v>530</v>
      </c>
      <c r="B101" s="8" t="s">
        <v>455</v>
      </c>
      <c r="D101" s="121" t="str">
        <f>HYPERLINK("http://www.altoona.va.gov/services/COMPENSATION-AND-PENSION.ASP")</f>
        <v>http://www.altoona.va.gov/services/COMPENSATION-AND-PENSION.ASP</v>
      </c>
      <c r="E101" s="8" t="s">
        <v>392</v>
      </c>
    </row>
    <row r="102" ht="14.25" hidden="1" customHeight="1">
      <c r="A102" s="116" t="s">
        <v>530</v>
      </c>
      <c r="B102" s="8" t="s">
        <v>303</v>
      </c>
      <c r="D102" s="121" t="str">
        <f>HYPERLINK("http://www.altoona.va.gov/services/DENTAL-CLINIC.ASP")</f>
        <v>http://www.altoona.va.gov/services/DENTAL-CLINIC.ASP</v>
      </c>
      <c r="E102" s="8" t="s">
        <v>392</v>
      </c>
    </row>
    <row r="103" ht="14.25" hidden="1" customHeight="1">
      <c r="A103" s="116" t="s">
        <v>530</v>
      </c>
      <c r="B103" s="8" t="s">
        <v>467</v>
      </c>
      <c r="D103" s="121" t="str">
        <f>HYPERLINK("http://www.altoona.va.gov/services/FPOW_ADVOCATE.ASP")</f>
        <v>http://www.altoona.va.gov/services/FPOW_ADVOCATE.ASP</v>
      </c>
      <c r="E103" s="8" t="s">
        <v>392</v>
      </c>
    </row>
    <row r="104" ht="14.25" hidden="1" customHeight="1">
      <c r="A104" s="116" t="s">
        <v>530</v>
      </c>
      <c r="B104" s="8" t="s">
        <v>312</v>
      </c>
      <c r="D104" s="121" t="str">
        <f>HYPERLINK("http://www.altoona.va.gov/services/HOMELESS-VETERANS.ASP")</f>
        <v>http://www.altoona.va.gov/services/HOMELESS-VETERANS.ASP</v>
      </c>
      <c r="E104" s="8" t="s">
        <v>392</v>
      </c>
    </row>
    <row r="105" ht="14.25" hidden="1" customHeight="1">
      <c r="A105" s="116" t="s">
        <v>530</v>
      </c>
      <c r="B105" s="8" t="s">
        <v>481</v>
      </c>
      <c r="D105" s="121" t="str">
        <f>HYPERLINK("http://www.altoona.va.gov/services/LIBRARY.ASP")</f>
        <v>http://www.altoona.va.gov/services/LIBRARY.ASP</v>
      </c>
      <c r="E105" s="8" t="s">
        <v>392</v>
      </c>
    </row>
    <row r="106" ht="14.25" hidden="1" customHeight="1">
      <c r="A106" s="116" t="s">
        <v>530</v>
      </c>
      <c r="B106" s="8" t="s">
        <v>323</v>
      </c>
      <c r="D106" s="121" t="str">
        <f>HYPERLINK("http://www.altoona.va.gov/services/MENTAL_HEALTH.ASP")</f>
        <v>http://www.altoona.va.gov/services/MENTAL_HEALTH.ASP</v>
      </c>
      <c r="E106" s="8" t="s">
        <v>392</v>
      </c>
    </row>
    <row r="107" ht="14.25" hidden="1" customHeight="1">
      <c r="A107" s="116" t="s">
        <v>530</v>
      </c>
      <c r="B107" s="8" t="s">
        <v>324</v>
      </c>
      <c r="D107" s="121" t="str">
        <f>HYPERLINK("http://www.altoona.va.gov/services/MILITARY-SEXUAL-TRAUMA.ASP")</f>
        <v>http://www.altoona.va.gov/services/MILITARY-SEXUAL-TRAUMA.ASP</v>
      </c>
      <c r="E107" s="8" t="s">
        <v>392</v>
      </c>
    </row>
    <row r="108" ht="14.25" hidden="1" customHeight="1">
      <c r="A108" s="116" t="s">
        <v>530</v>
      </c>
      <c r="B108" s="8" t="s">
        <v>325</v>
      </c>
      <c r="D108" s="121" t="str">
        <f>HYPERLINK("http://www.altoona.va.gov/services/MINORITY_VETERANS_PROGRAM_COORDINATOR.ASP")</f>
        <v>http://www.altoona.va.gov/services/MINORITY_VETERANS_PROGRAM_COORDINATOR.ASP</v>
      </c>
      <c r="E108" s="8" t="s">
        <v>392</v>
      </c>
    </row>
    <row r="109" ht="14.25" hidden="1" customHeight="1">
      <c r="A109" s="116" t="s">
        <v>530</v>
      </c>
      <c r="B109" s="8" t="s">
        <v>332</v>
      </c>
      <c r="D109" s="121" t="str">
        <f>HYPERLINK("http://www.altoona.va.gov/services/NUTRITION-AND-FOOD-SERVICES.ASP")</f>
        <v>http://www.altoona.va.gov/services/NUTRITION-AND-FOOD-SERVICES.ASP</v>
      </c>
      <c r="E109" s="8" t="s">
        <v>392</v>
      </c>
    </row>
    <row r="110" ht="14.25" hidden="1" customHeight="1">
      <c r="A110" s="116" t="s">
        <v>530</v>
      </c>
      <c r="B110" s="8" t="s">
        <v>314</v>
      </c>
      <c r="D110" s="121" t="str">
        <f>HYPERLINK("http://www.altoona.va.gov/services/PATHOLOGY-LABORATORY-MEDICINE.ASP")</f>
        <v>http://www.altoona.va.gov/services/PATHOLOGY-LABORATORY-MEDICINE.ASP</v>
      </c>
      <c r="E110" s="8" t="s">
        <v>392</v>
      </c>
    </row>
    <row r="111" ht="14.25" hidden="1" customHeight="1">
      <c r="A111" s="116" t="s">
        <v>530</v>
      </c>
      <c r="B111" s="8" t="s">
        <v>343</v>
      </c>
      <c r="D111" s="121" t="str">
        <f>HYPERLINK("http://www.altoona.va.gov/services/PHARMACY.ASP")</f>
        <v>http://www.altoona.va.gov/services/PHARMACY.ASP</v>
      </c>
      <c r="E111" s="8" t="s">
        <v>392</v>
      </c>
    </row>
    <row r="112" ht="14.25" hidden="1" customHeight="1">
      <c r="A112" s="116" t="s">
        <v>530</v>
      </c>
      <c r="B112" s="8" t="s">
        <v>344</v>
      </c>
      <c r="D112" s="121" t="str">
        <f>HYPERLINK("http://www.altoona.va.gov/services/PHYSICAL-MEDICINE-AND-REHABILITATION.ASP")</f>
        <v>http://www.altoona.va.gov/services/PHYSICAL-MEDICINE-AND-REHABILITATION.ASP</v>
      </c>
      <c r="E112" s="8" t="s">
        <v>392</v>
      </c>
    </row>
    <row r="113" ht="14.25" hidden="1" customHeight="1">
      <c r="A113" s="116" t="s">
        <v>530</v>
      </c>
      <c r="B113" s="8" t="s">
        <v>348</v>
      </c>
      <c r="D113" s="121" t="str">
        <f>HYPERLINK("http://www.altoona.va.gov/services/PRIMARY.ASP")</f>
        <v>http://www.altoona.va.gov/services/PRIMARY.ASP</v>
      </c>
      <c r="E113" s="8" t="s">
        <v>392</v>
      </c>
    </row>
    <row r="114" ht="14.25" hidden="1" customHeight="1">
      <c r="A114" s="116" t="s">
        <v>530</v>
      </c>
      <c r="B114" s="8" t="s">
        <v>352</v>
      </c>
      <c r="D114" s="121" t="str">
        <f>HYPERLINK("http://www.altoona.va.gov/services/PROTHETICS-SENSORY-AIDS.ASP")</f>
        <v>http://www.altoona.va.gov/services/PROTHETICS-SENSORY-AIDS.ASP</v>
      </c>
      <c r="E114" s="8" t="s">
        <v>392</v>
      </c>
    </row>
    <row r="115" ht="14.25" hidden="1" customHeight="1">
      <c r="A115" s="116" t="s">
        <v>530</v>
      </c>
      <c r="B115" s="8" t="s">
        <v>350</v>
      </c>
      <c r="D115" s="121" t="str">
        <f>HYPERLINK("http://www.altoona.va.gov/services/RADIOLOGY-IMAGING-X-RAY.ASP")</f>
        <v>http://www.altoona.va.gov/services/RADIOLOGY-IMAGING-X-RAY.ASP</v>
      </c>
      <c r="E115" s="8" t="s">
        <v>392</v>
      </c>
    </row>
    <row r="116" ht="14.25" hidden="1" customHeight="1">
      <c r="A116" s="116" t="s">
        <v>530</v>
      </c>
      <c r="B116" s="8" t="s">
        <v>355</v>
      </c>
      <c r="D116" s="121" t="str">
        <f>HYPERLINK("http://www.altoona.va.gov/services/RETURNING-SERVICE-MEMBERS.ASP")</f>
        <v>http://www.altoona.va.gov/services/RETURNING-SERVICE-MEMBERS.ASP</v>
      </c>
      <c r="E116" s="8" t="s">
        <v>392</v>
      </c>
    </row>
    <row r="117" ht="14.25" hidden="1" customHeight="1">
      <c r="A117" s="116" t="s">
        <v>530</v>
      </c>
      <c r="B117" s="8" t="s">
        <v>360</v>
      </c>
      <c r="D117" s="121" t="str">
        <f>HYPERLINK("http://www.altoona.va.gov/services/SOCIALWORK.ASP")</f>
        <v>http://www.altoona.va.gov/services/SOCIALWORK.ASP</v>
      </c>
      <c r="E117" s="8" t="s">
        <v>392</v>
      </c>
    </row>
    <row r="118" ht="14.25" hidden="1" customHeight="1">
      <c r="A118" s="116" t="s">
        <v>530</v>
      </c>
      <c r="B118" s="8" t="s">
        <v>361</v>
      </c>
      <c r="D118" s="121" t="str">
        <f>HYPERLINK("http://www.altoona.va.gov/services/SPECIALTY.ASP")</f>
        <v>http://www.altoona.va.gov/services/SPECIALTY.ASP</v>
      </c>
      <c r="E118" s="8" t="s">
        <v>392</v>
      </c>
    </row>
    <row r="119" ht="14.25" hidden="1" customHeight="1">
      <c r="A119" s="116" t="s">
        <v>530</v>
      </c>
      <c r="B119" s="8" t="s">
        <v>564</v>
      </c>
      <c r="D119" s="121" t="str">
        <f>HYPERLINK("http://www.altoona.va.gov/services/SUICIDE-PREVENTION.ASP")</f>
        <v>http://www.altoona.va.gov/services/SUICIDE-PREVENTION.ASP</v>
      </c>
      <c r="E119" s="8" t="s">
        <v>392</v>
      </c>
    </row>
    <row r="120" ht="14.25" hidden="1" customHeight="1">
      <c r="A120" s="116" t="s">
        <v>530</v>
      </c>
      <c r="B120" s="8" t="s">
        <v>370</v>
      </c>
      <c r="D120" s="121" t="str">
        <f>HYPERLINK("http://www.altoona.va.gov/services/TELEHEALTH.ASP")</f>
        <v>http://www.altoona.va.gov/services/TELEHEALTH.ASP</v>
      </c>
      <c r="E120" s="8" t="s">
        <v>392</v>
      </c>
    </row>
    <row r="121" ht="14.25" hidden="1" customHeight="1">
      <c r="A121" s="116" t="s">
        <v>530</v>
      </c>
      <c r="B121" s="8" t="s">
        <v>566</v>
      </c>
      <c r="D121" s="121" t="str">
        <f>HYPERLINK("http://www.altoona.va.gov/services/VETERAN-JUSTICE-OUTREACH.ASP")</f>
        <v>http://www.altoona.va.gov/services/VETERAN-JUSTICE-OUTREACH.ASP</v>
      </c>
      <c r="E121" s="8" t="s">
        <v>392</v>
      </c>
    </row>
    <row r="122" ht="14.25" hidden="1" customHeight="1">
      <c r="A122" s="116" t="s">
        <v>530</v>
      </c>
      <c r="B122" s="8" t="s">
        <v>569</v>
      </c>
      <c r="D122" s="121" t="str">
        <f>HYPERLINK("http://www.altoona.va.gov/services/VETERANS-CRISIS-LINE.ASP")</f>
        <v>http://www.altoona.va.gov/services/VETERANS-CRISIS-LINE.ASP</v>
      </c>
      <c r="E122" s="8" t="s">
        <v>392</v>
      </c>
    </row>
    <row r="123" ht="14.25" hidden="1" customHeight="1">
      <c r="A123" s="116" t="s">
        <v>530</v>
      </c>
      <c r="B123" s="8" t="s">
        <v>318</v>
      </c>
      <c r="D123" s="121" t="str">
        <f>HYPERLINK("http://www.altoona.va.gov/services/VISUAL-IMPAIRMENT-SERVICES.ASP")</f>
        <v>http://www.altoona.va.gov/services/VISUAL-IMPAIRMENT-SERVICES.ASP</v>
      </c>
      <c r="E123" s="8" t="s">
        <v>392</v>
      </c>
    </row>
    <row r="124" ht="14.25" hidden="1" customHeight="1">
      <c r="A124" s="116" t="s">
        <v>530</v>
      </c>
      <c r="B124" s="8" t="s">
        <v>378</v>
      </c>
      <c r="D124" s="121" t="str">
        <f>HYPERLINK("http://www.altoona.va.gov/services/WOMEN-VETERANS-PROGRAM.ASP")</f>
        <v>http://www.altoona.va.gov/services/WOMEN-VETERANS-PROGRAM.ASP</v>
      </c>
      <c r="E124" s="8" t="s">
        <v>392</v>
      </c>
    </row>
    <row r="125" ht="14.25" hidden="1" customHeight="1">
      <c r="A125" s="61" t="s">
        <v>574</v>
      </c>
      <c r="B125" s="8" t="s">
        <v>575</v>
      </c>
      <c r="D125" s="121" t="str">
        <f>HYPERLINK("http://www.amarillo.va.gov/services/ADVANCE_DIRECTIVES.ASP")</f>
        <v>http://www.amarillo.va.gov/services/ADVANCE_DIRECTIVES.ASP</v>
      </c>
      <c r="E125" s="8" t="s">
        <v>392</v>
      </c>
    </row>
    <row r="126" ht="14.25" hidden="1" customHeight="1">
      <c r="A126" s="61" t="s">
        <v>574</v>
      </c>
      <c r="B126" s="8" t="s">
        <v>576</v>
      </c>
      <c r="D126" s="121" t="str">
        <f>HYPERLINK("http://www.amarillo.va.gov/services/ADVANCED_LOW_VISION_CLINIC.ASP")</f>
        <v>http://www.amarillo.va.gov/services/ADVANCED_LOW_VISION_CLINIC.ASP</v>
      </c>
      <c r="E126" s="8" t="s">
        <v>392</v>
      </c>
    </row>
    <row r="127" ht="14.25" hidden="1" customHeight="1">
      <c r="A127" s="8" t="s">
        <v>574</v>
      </c>
      <c r="B127" s="8" t="s">
        <v>578</v>
      </c>
      <c r="D127" s="121" t="str">
        <f t="shared" ref="D127:D128" si="1">HYPERLINK("http://www.amarillo.va.gov/services/APPOINTMENTS.ASP")</f>
        <v>http://www.amarillo.va.gov/services/APPOINTMENTS.ASP</v>
      </c>
      <c r="E127" s="8" t="s">
        <v>392</v>
      </c>
    </row>
    <row r="128" ht="14.25" hidden="1" customHeight="1">
      <c r="A128" s="8" t="s">
        <v>574</v>
      </c>
      <c r="B128" s="8" t="s">
        <v>578</v>
      </c>
      <c r="D128" s="121" t="str">
        <f t="shared" si="1"/>
        <v>http://www.amarillo.va.gov/services/APPOINTMENTS.ASP</v>
      </c>
      <c r="E128" s="8" t="s">
        <v>392</v>
      </c>
    </row>
    <row r="129" ht="14.25" hidden="1" customHeight="1">
      <c r="A129" s="8" t="s">
        <v>574</v>
      </c>
      <c r="B129" s="8" t="s">
        <v>413</v>
      </c>
      <c r="D129" s="121" t="str">
        <f>HYPERLINK("http://www.amarillo.va.gov/services/CANCER_CARE.ASP")</f>
        <v>http://www.amarillo.va.gov/services/CANCER_CARE.ASP</v>
      </c>
      <c r="E129" s="8" t="s">
        <v>392</v>
      </c>
    </row>
    <row r="130" ht="14.25" hidden="1" customHeight="1">
      <c r="A130" s="8" t="s">
        <v>574</v>
      </c>
      <c r="B130" s="8" t="s">
        <v>488</v>
      </c>
      <c r="D130" s="121" t="str">
        <f>HYPERLINK("http://www.amarillo.va.gov/services/CAREGIVER_SUPPORT_PROGRAM.ASP")</f>
        <v>http://www.amarillo.va.gov/services/CAREGIVER_SUPPORT_PROGRAM.ASP</v>
      </c>
      <c r="E130" s="8" t="s">
        <v>392</v>
      </c>
    </row>
    <row r="131" ht="14.25" hidden="1" customHeight="1">
      <c r="A131" s="8" t="s">
        <v>574</v>
      </c>
      <c r="B131" s="8" t="s">
        <v>580</v>
      </c>
      <c r="D131" s="121" t="str">
        <f>HYPERLINK("http://www.amarillo.va.gov/services/COMMUNITY_BASED_OUTPATIENT_CLINCIS.ASP")</f>
        <v>http://www.amarillo.va.gov/services/COMMUNITY_BASED_OUTPATIENT_CLINCIS.ASP</v>
      </c>
      <c r="E131" s="8" t="s">
        <v>392</v>
      </c>
    </row>
    <row r="132" ht="14.25" hidden="1" customHeight="1">
      <c r="A132" s="8" t="s">
        <v>574</v>
      </c>
      <c r="B132" s="8" t="s">
        <v>582</v>
      </c>
      <c r="D132" s="121" t="str">
        <f>HYPERLINK("http://www.amarillo.va.gov/services/COMMUNITY_HEALTH_NURSING_COORDINATORS.ASP")</f>
        <v>http://www.amarillo.va.gov/services/COMMUNITY_HEALTH_NURSING_COORDINATORS.ASP</v>
      </c>
      <c r="E132" s="8" t="s">
        <v>392</v>
      </c>
    </row>
    <row r="133" ht="14.25" hidden="1" customHeight="1">
      <c r="A133" s="8" t="s">
        <v>574</v>
      </c>
      <c r="B133" s="8" t="s">
        <v>482</v>
      </c>
      <c r="D133" s="121" t="str">
        <f>HYPERLINK("http://www.amarillo.va.gov/services/COMMUNITY_LIVING_CENTER.ASP")</f>
        <v>http://www.amarillo.va.gov/services/COMMUNITY_LIVING_CENTER.ASP</v>
      </c>
      <c r="E133" s="8" t="s">
        <v>392</v>
      </c>
    </row>
    <row r="134" ht="14.25" hidden="1" customHeight="1">
      <c r="A134" s="8" t="s">
        <v>574</v>
      </c>
      <c r="B134" s="8" t="s">
        <v>583</v>
      </c>
      <c r="D134" s="121" t="str">
        <f>HYPERLINK("http://www.amarillo.va.gov/services/CONTRACT_NURSING_HOME_PROGRAM.ASP")</f>
        <v>http://www.amarillo.va.gov/services/CONTRACT_NURSING_HOME_PROGRAM.ASP</v>
      </c>
      <c r="E134" s="8" t="s">
        <v>392</v>
      </c>
    </row>
    <row r="135" ht="14.25" hidden="1" customHeight="1">
      <c r="A135" s="8" t="s">
        <v>574</v>
      </c>
      <c r="B135" s="8" t="s">
        <v>513</v>
      </c>
      <c r="D135" s="121" t="str">
        <f>HYPERLINK("http://www.amarillo.va.gov/services/DENTAL_SERVICE.ASP")</f>
        <v>http://www.amarillo.va.gov/services/DENTAL_SERVICE.ASP</v>
      </c>
      <c r="E135" s="8" t="s">
        <v>392</v>
      </c>
    </row>
    <row r="136" ht="14.25" hidden="1" customHeight="1">
      <c r="A136" s="8" t="s">
        <v>574</v>
      </c>
      <c r="B136" s="8" t="s">
        <v>308</v>
      </c>
      <c r="D136" s="121" t="str">
        <f>HYPERLINK("http://www.amarillo.va.gov/services/EMERGENCY_DEPARTMENT.ASP")</f>
        <v>http://www.amarillo.va.gov/services/EMERGENCY_DEPARTMENT.ASP</v>
      </c>
      <c r="E136" s="8" t="s">
        <v>392</v>
      </c>
    </row>
    <row r="137" ht="14.25" hidden="1" customHeight="1">
      <c r="A137" s="8" t="s">
        <v>574</v>
      </c>
      <c r="B137" s="8" t="s">
        <v>585</v>
      </c>
      <c r="D137" s="121" t="str">
        <f>HYPERLINK("http://www.amarillo.va.gov/services/FAMILY_SERVICES_PROGRAM.ASP")</f>
        <v>http://www.amarillo.va.gov/services/FAMILY_SERVICES_PROGRAM.ASP</v>
      </c>
      <c r="E137" s="8" t="s">
        <v>392</v>
      </c>
    </row>
    <row r="138" ht="14.25" hidden="1" customHeight="1">
      <c r="A138" s="8" t="s">
        <v>574</v>
      </c>
      <c r="B138" s="8" t="s">
        <v>587</v>
      </c>
      <c r="D138" s="121" t="str">
        <f>HYPERLINK("http://www.amarillo.va.gov/services/HUD_VASH_PROGRAM.ASP")</f>
        <v>http://www.amarillo.va.gov/services/HUD_VASH_PROGRAM.ASP</v>
      </c>
      <c r="E138" s="8" t="s">
        <v>392</v>
      </c>
    </row>
    <row r="139" ht="14.25" hidden="1" customHeight="1">
      <c r="A139" s="8" t="s">
        <v>574</v>
      </c>
      <c r="B139" s="8" t="s">
        <v>588</v>
      </c>
      <c r="D139" s="121" t="str">
        <f>HYPERLINK("http://www.amarillo.va.gov/services/HEALTH_CARE_FOR_HOMELESS_VETERANS.ASP")</f>
        <v>http://www.amarillo.va.gov/services/HEALTH_CARE_FOR_HOMELESS_VETERANS.ASP</v>
      </c>
      <c r="E139" s="8" t="s">
        <v>392</v>
      </c>
    </row>
    <row r="140" ht="14.25" hidden="1" customHeight="1">
      <c r="A140" s="8" t="s">
        <v>574</v>
      </c>
      <c r="B140" s="8" t="s">
        <v>431</v>
      </c>
      <c r="D140" s="121" t="str">
        <f>HYPERLINK("http://www.amarillo.va.gov/services/HOME_BASED_PRIMARY_CARE.ASP")</f>
        <v>http://www.amarillo.va.gov/services/HOME_BASED_PRIMARY_CARE.ASP</v>
      </c>
      <c r="E140" s="8" t="s">
        <v>392</v>
      </c>
    </row>
    <row r="141" ht="14.25" hidden="1" customHeight="1">
      <c r="A141" s="8" t="s">
        <v>574</v>
      </c>
      <c r="B141" s="8" t="s">
        <v>590</v>
      </c>
      <c r="D141" s="121" t="str">
        <f>HYPERLINK("http://www.amarillo.va.gov/services/HOMELESS_VETERAN_COORDINATOR.ASP")</f>
        <v>http://www.amarillo.va.gov/services/HOMELESS_VETERAN_COORDINATOR.ASP</v>
      </c>
      <c r="E141" s="8" t="s">
        <v>392</v>
      </c>
    </row>
    <row r="142" ht="14.25" hidden="1" customHeight="1">
      <c r="A142" s="8" t="s">
        <v>574</v>
      </c>
      <c r="B142" s="8" t="s">
        <v>437</v>
      </c>
      <c r="D142" s="121" t="str">
        <f>HYPERLINK("http://www.amarillo.va.gov/services/HOSPICE_AND_PALLIATIVE_CARE.ASP")</f>
        <v>http://www.amarillo.va.gov/services/HOSPICE_AND_PALLIATIVE_CARE.ASP</v>
      </c>
      <c r="E142" s="8" t="s">
        <v>392</v>
      </c>
    </row>
    <row r="143" ht="14.25" hidden="1" customHeight="1">
      <c r="A143" s="8" t="s">
        <v>574</v>
      </c>
      <c r="B143" s="8" t="s">
        <v>593</v>
      </c>
      <c r="D143" s="121" t="str">
        <f>HYPERLINK("http://www.amarillo.va.gov/services/HUD_VASH_PROGRAM.ASP")</f>
        <v>http://www.amarillo.va.gov/services/HUD_VASH_PROGRAM.ASP</v>
      </c>
      <c r="E143" s="8" t="s">
        <v>595</v>
      </c>
    </row>
    <row r="144" ht="14.25" hidden="1" customHeight="1">
      <c r="A144" s="8" t="s">
        <v>574</v>
      </c>
      <c r="B144" s="8" t="s">
        <v>584</v>
      </c>
      <c r="D144" s="121" t="str">
        <f>HYPERLINK("http://www.amarillo.va.gov/services/LABORATORY.ASP")</f>
        <v>http://www.amarillo.va.gov/services/LABORATORY.ASP</v>
      </c>
      <c r="E144" s="8" t="s">
        <v>392</v>
      </c>
    </row>
    <row r="145" ht="14.25" hidden="1" customHeight="1">
      <c r="A145" s="8" t="s">
        <v>574</v>
      </c>
      <c r="B145" s="8" t="s">
        <v>597</v>
      </c>
      <c r="D145" s="121" t="str">
        <f>HYPERLINK("http://www.amarillo.va.gov/services/LODGE.ASP")</f>
        <v>http://www.amarillo.va.gov/services/LODGE.ASP</v>
      </c>
      <c r="E145" s="8" t="s">
        <v>392</v>
      </c>
    </row>
    <row r="146" ht="14.25" hidden="1" customHeight="1">
      <c r="A146" s="8" t="s">
        <v>574</v>
      </c>
      <c r="B146" s="8" t="s">
        <v>598</v>
      </c>
      <c r="D146" s="121" t="str">
        <f>HYPERLINK("http://www.amarillo.va.gov/services/MOVE.ASP")</f>
        <v>http://www.amarillo.va.gov/services/MOVE.ASP</v>
      </c>
      <c r="E146" s="8" t="s">
        <v>392</v>
      </c>
    </row>
    <row r="147" ht="14.25" hidden="1" customHeight="1">
      <c r="A147" s="8" t="s">
        <v>574</v>
      </c>
      <c r="B147" s="8" t="s">
        <v>599</v>
      </c>
      <c r="D147" s="121" t="str">
        <f>HYPERLINK("http://www.amarillo.va.gov/services/MEDICAL_SERVICE.ASP")</f>
        <v>http://www.amarillo.va.gov/services/MEDICAL_SERVICE.ASP</v>
      </c>
      <c r="E147" s="8" t="s">
        <v>392</v>
      </c>
    </row>
    <row r="148" ht="14.25" hidden="1" customHeight="1">
      <c r="A148" s="8" t="s">
        <v>574</v>
      </c>
      <c r="B148" s="8" t="s">
        <v>323</v>
      </c>
      <c r="D148" s="121" t="str">
        <f>HYPERLINK("http://www.amarillo.va.gov/services/MENTAL_HEALTH_SERVICES.ASP")</f>
        <v>http://www.amarillo.va.gov/services/MENTAL_HEALTH_SERVICES.ASP</v>
      </c>
      <c r="E148" s="8" t="s">
        <v>392</v>
      </c>
    </row>
    <row r="149" ht="14.25" hidden="1" customHeight="1">
      <c r="A149" s="8" t="s">
        <v>574</v>
      </c>
      <c r="B149" s="8" t="s">
        <v>600</v>
      </c>
      <c r="D149" s="121" t="str">
        <f>HYPERLINK("http://www.amarillo.va.gov/services/MENTAL_HEALTH_INTENSIVE_CASE_MANAGEMENT.ASP")</f>
        <v>http://www.amarillo.va.gov/services/MENTAL_HEALTH_INTENSIVE_CASE_MANAGEMENT.ASP</v>
      </c>
      <c r="E149" s="8" t="s">
        <v>392</v>
      </c>
    </row>
    <row r="150" ht="14.25" hidden="1" customHeight="1">
      <c r="A150" s="8" t="s">
        <v>574</v>
      </c>
      <c r="B150" s="8" t="s">
        <v>603</v>
      </c>
      <c r="D150" s="121" t="str">
        <f>HYPERLINK("http://www.amarillo.va.gov/services/NUCLEAR_MEDECINE.ASP")</f>
        <v>http://www.amarillo.va.gov/services/NUCLEAR_MEDECINE.ASP</v>
      </c>
      <c r="E150" s="8" t="s">
        <v>392</v>
      </c>
    </row>
    <row r="151" ht="14.25" hidden="1" customHeight="1">
      <c r="A151" s="8" t="s">
        <v>574</v>
      </c>
      <c r="B151" s="8" t="s">
        <v>335</v>
      </c>
      <c r="D151" s="121" t="str">
        <f>HYPERLINK("http://www.amarillo.va.gov/services/NUTRITION_AND_FOOD_SERVICE.ASP")</f>
        <v>http://www.amarillo.va.gov/services/NUTRITION_AND_FOOD_SERVICE.ASP</v>
      </c>
      <c r="E151" s="8" t="s">
        <v>392</v>
      </c>
    </row>
    <row r="152" ht="14.25" hidden="1" customHeight="1">
      <c r="A152" s="8" t="s">
        <v>574</v>
      </c>
      <c r="B152" s="8" t="s">
        <v>606</v>
      </c>
      <c r="D152" s="121" t="str">
        <f>HYPERLINK("http://www.amarillo.va.gov/services/PATIENT_ALIGNED_CARE_TEAMS.ASP")</f>
        <v>http://www.amarillo.va.gov/services/PATIENT_ALIGNED_CARE_TEAMS.ASP</v>
      </c>
      <c r="E152" s="8" t="s">
        <v>392</v>
      </c>
    </row>
    <row r="153" ht="14.25" hidden="1" customHeight="1">
      <c r="A153" s="8" t="s">
        <v>574</v>
      </c>
      <c r="B153" s="8" t="s">
        <v>343</v>
      </c>
      <c r="D153" s="121" t="str">
        <f>HYPERLINK("http://www.amarillo.va.gov/services/PHARMACY.ASP")</f>
        <v>http://www.amarillo.va.gov/services/PHARMACY.ASP</v>
      </c>
      <c r="E153" s="8" t="s">
        <v>392</v>
      </c>
    </row>
    <row r="154" ht="14.25" hidden="1" customHeight="1">
      <c r="A154" s="8" t="s">
        <v>574</v>
      </c>
      <c r="B154" s="8" t="s">
        <v>608</v>
      </c>
      <c r="D154" s="121" t="str">
        <f>HYPERLINK("http://www.amarillo.va.gov/services/PHYSICAL_THERAPY.ASP")</f>
        <v>http://www.amarillo.va.gov/services/PHYSICAL_THERAPY.ASP</v>
      </c>
      <c r="E154" s="8" t="s">
        <v>392</v>
      </c>
    </row>
    <row r="155" ht="14.25" hidden="1" customHeight="1">
      <c r="A155" s="8" t="s">
        <v>574</v>
      </c>
      <c r="B155" s="8" t="s">
        <v>609</v>
      </c>
      <c r="D155" s="121" t="str">
        <f>HYPERLINK("http://www.amarillo.va.gov/services/PROSTHETIC_TREATMENT.ASP")</f>
        <v>http://www.amarillo.va.gov/services/PROSTHETIC_TREATMENT.ASP</v>
      </c>
      <c r="E155" s="8" t="s">
        <v>392</v>
      </c>
    </row>
    <row r="156" ht="14.25" hidden="1" customHeight="1">
      <c r="A156" s="8" t="s">
        <v>574</v>
      </c>
      <c r="B156" s="8" t="s">
        <v>505</v>
      </c>
      <c r="D156" s="121" t="str">
        <f>HYPERLINK("http://www.amarillo.va.gov/services/RECREATION_THERAPY.ASP")</f>
        <v>http://www.amarillo.va.gov/services/RECREATION_THERAPY.ASP</v>
      </c>
      <c r="E156" s="8" t="s">
        <v>392</v>
      </c>
    </row>
    <row r="157" ht="14.25" hidden="1" customHeight="1">
      <c r="A157" s="8" t="s">
        <v>574</v>
      </c>
      <c r="B157" s="8" t="s">
        <v>610</v>
      </c>
      <c r="D157" s="121" t="str">
        <f>HYPERLINK("http://www.amarillo.va.gov/services/REHABILITATION.ASP")</f>
        <v>http://www.amarillo.va.gov/services/REHABILITATION.ASP</v>
      </c>
      <c r="E157" s="8" t="s">
        <v>392</v>
      </c>
    </row>
    <row r="158" ht="14.25" hidden="1" customHeight="1">
      <c r="A158" s="8" t="s">
        <v>574</v>
      </c>
      <c r="B158" s="8" t="s">
        <v>612</v>
      </c>
      <c r="D158" s="121" t="str">
        <f>HYPERLINK("http://www.amarillo.va.gov/services/SPEECH_PATHOLOGY_AND_AUDIOLOGY.ASP")</f>
        <v>http://www.amarillo.va.gov/services/SPEECH_PATHOLOGY_AND_AUDIOLOGY.ASP</v>
      </c>
      <c r="E158" s="8" t="s">
        <v>392</v>
      </c>
    </row>
    <row r="159" ht="14.25" hidden="1" customHeight="1">
      <c r="A159" s="8" t="s">
        <v>574</v>
      </c>
      <c r="B159" s="8" t="s">
        <v>616</v>
      </c>
      <c r="D159" s="121" t="str">
        <f>HYPERLINK("http://www.amarillo.va.gov/services/SUBSTANCE_USE_DISORDER_PROGRAM.ASP")</f>
        <v>http://www.amarillo.va.gov/services/SUBSTANCE_USE_DISORDER_PROGRAM.ASP</v>
      </c>
      <c r="E159" s="8" t="s">
        <v>392</v>
      </c>
    </row>
    <row r="160" ht="14.25" hidden="1" customHeight="1">
      <c r="A160" s="8" t="s">
        <v>574</v>
      </c>
      <c r="B160" s="8" t="s">
        <v>617</v>
      </c>
      <c r="D160" s="121" t="str">
        <f>HYPERLINK("http://www.amarillo.va.gov/services/SUICIDE_PREVENTIONS.ASP")</f>
        <v>http://www.amarillo.va.gov/services/SUICIDE_PREVENTIONS.ASP</v>
      </c>
      <c r="E160" s="8" t="s">
        <v>392</v>
      </c>
    </row>
    <row r="161" ht="14.25" hidden="1" customHeight="1">
      <c r="A161" s="8" t="s">
        <v>574</v>
      </c>
      <c r="B161" s="8" t="s">
        <v>620</v>
      </c>
      <c r="D161" s="121" t="str">
        <f>HYPERLINK("http://www.amarillo.va.gov/services/TELE_NURSE_TRIAGE_AFTER_HOURS_PROGRAM.ASP")</f>
        <v>http://www.amarillo.va.gov/services/TELE_NURSE_TRIAGE_AFTER_HOURS_PROGRAM.ASP</v>
      </c>
      <c r="E161" s="8" t="s">
        <v>392</v>
      </c>
    </row>
    <row r="162" ht="14.25" hidden="1" customHeight="1">
      <c r="A162" s="8" t="s">
        <v>574</v>
      </c>
      <c r="B162" s="8" t="s">
        <v>370</v>
      </c>
      <c r="D162" s="121" t="str">
        <f>HYPERLINK("http://www.amarillo.va.gov/services/TELEHEALTH.ASP")</f>
        <v>http://www.amarillo.va.gov/services/TELEHEALTH.ASP</v>
      </c>
      <c r="E162" s="8" t="s">
        <v>392</v>
      </c>
    </row>
    <row r="163" ht="14.25" hidden="1" customHeight="1">
      <c r="A163" s="8" t="s">
        <v>574</v>
      </c>
      <c r="B163" s="8" t="s">
        <v>622</v>
      </c>
      <c r="D163" s="121" t="str">
        <f>HYPERLINK("http://www.amarillo.va.gov/services/TOBACCO_CESSATION_PROGRAM.ASP")</f>
        <v>http://www.amarillo.va.gov/services/TOBACCO_CESSATION_PROGRAM.ASP</v>
      </c>
      <c r="E163" s="8" t="s">
        <v>392</v>
      </c>
    </row>
    <row r="164" ht="14.25" hidden="1" customHeight="1">
      <c r="A164" s="8" t="s">
        <v>574</v>
      </c>
      <c r="B164" s="8" t="s">
        <v>625</v>
      </c>
      <c r="D164" s="121" t="str">
        <f>HYPERLINK("http://www.amarillo.va.gov/services/VET_CENTER.ASP")</f>
        <v>http://www.amarillo.va.gov/services/VET_CENTER.ASP</v>
      </c>
      <c r="E164" s="8" t="s">
        <v>392</v>
      </c>
    </row>
    <row r="165" ht="14.25" hidden="1" customHeight="1">
      <c r="A165" s="8" t="s">
        <v>629</v>
      </c>
      <c r="B165" s="8" t="s">
        <v>632</v>
      </c>
      <c r="D165" s="121" t="str">
        <f>HYPERLINK("http://www.annarbor.va.gov/services/BARIATRIC_SURGERY.ASP")</f>
        <v>http://www.annarbor.va.gov/services/BARIATRIC_SURGERY.ASP</v>
      </c>
      <c r="E165" s="8" t="s">
        <v>392</v>
      </c>
    </row>
    <row r="166" ht="14.25" hidden="1" customHeight="1">
      <c r="A166" s="8" t="s">
        <v>629</v>
      </c>
      <c r="B166" s="8" t="s">
        <v>484</v>
      </c>
      <c r="D166" s="121" t="str">
        <f>HYPERLINK("http://www.annarbor.va.gov/services/CAREGIVER_SUPPORT.ASP")</f>
        <v>http://www.annarbor.va.gov/services/CAREGIVER_SUPPORT.ASP</v>
      </c>
      <c r="E166" s="8" t="s">
        <v>392</v>
      </c>
    </row>
    <row r="167" ht="14.25" hidden="1" customHeight="1">
      <c r="A167" s="8" t="s">
        <v>629</v>
      </c>
      <c r="B167" s="8" t="s">
        <v>641</v>
      </c>
      <c r="D167" s="121" t="str">
        <f>HYPERLINK("http://www.annarbor.va.gov/services/FPOW.ASP")</f>
        <v>http://www.annarbor.va.gov/services/FPOW.ASP</v>
      </c>
      <c r="E167" s="8" t="s">
        <v>392</v>
      </c>
    </row>
    <row r="168" ht="14.25" hidden="1" customHeight="1">
      <c r="A168" s="8" t="s">
        <v>629</v>
      </c>
      <c r="B168" s="8" t="s">
        <v>644</v>
      </c>
      <c r="D168" s="121" t="str">
        <f>HYPERLINK("http://www.annarbor.va.gov/services/LESBIAN_GAY_BISEXUAL_AND_TRANSGENDER_LGBT_VETERANS_PROGRAM.ASP")</f>
        <v>http://www.annarbor.va.gov/services/LESBIAN_GAY_BISEXUAL_AND_TRANSGENDER_LGBT_VETERANS_PROGRAM.ASP</v>
      </c>
      <c r="E168" s="8" t="s">
        <v>392</v>
      </c>
    </row>
    <row r="169" ht="14.25" hidden="1" customHeight="1">
      <c r="A169" s="8" t="s">
        <v>629</v>
      </c>
      <c r="B169" s="8" t="s">
        <v>323</v>
      </c>
      <c r="D169" s="121" t="str">
        <f>HYPERLINK("http://www.annarbor.va.gov/services/MENTALHEALTH.ASP")</f>
        <v>http://www.annarbor.va.gov/services/MENTALHEALTH.ASP</v>
      </c>
      <c r="E169" s="8" t="s">
        <v>392</v>
      </c>
    </row>
    <row r="170" ht="14.25" hidden="1" customHeight="1">
      <c r="A170" s="8" t="s">
        <v>629</v>
      </c>
      <c r="B170" s="8" t="s">
        <v>651</v>
      </c>
      <c r="D170" s="121" t="str">
        <f>HYPERLINK("http://www.annarbor.va.gov/services/PALLIATIVECARE.ASP")</f>
        <v>http://www.annarbor.va.gov/services/PALLIATIVECARE.ASP</v>
      </c>
      <c r="E170" s="8" t="s">
        <v>392</v>
      </c>
    </row>
    <row r="171" ht="14.25" hidden="1" customHeight="1">
      <c r="A171" s="8" t="s">
        <v>629</v>
      </c>
      <c r="B171" s="8" t="s">
        <v>343</v>
      </c>
      <c r="D171" s="121" t="str">
        <f>HYPERLINK("http://www.annarbor.va.gov/services/PHARMACY.ASP")</f>
        <v>http://www.annarbor.va.gov/services/PHARMACY.ASP</v>
      </c>
      <c r="E171" s="8" t="s">
        <v>392</v>
      </c>
    </row>
    <row r="172" ht="14.25" hidden="1" customHeight="1">
      <c r="A172" s="8" t="s">
        <v>629</v>
      </c>
      <c r="B172" s="8" t="s">
        <v>348</v>
      </c>
      <c r="D172" s="121" t="str">
        <f>HYPERLINK("http://www.annarbor.va.gov/services/PRIMARY.ASP")</f>
        <v>http://www.annarbor.va.gov/services/PRIMARY.ASP</v>
      </c>
      <c r="E172" s="8" t="s">
        <v>392</v>
      </c>
    </row>
    <row r="173" ht="14.25" hidden="1" customHeight="1">
      <c r="A173" s="8" t="s">
        <v>629</v>
      </c>
      <c r="B173" s="8" t="s">
        <v>657</v>
      </c>
      <c r="D173" s="121" t="str">
        <f>HYPERLINK("http://www.annarbor.va.gov/services/ECRC.ASP")</f>
        <v>http://www.annarbor.va.gov/services/ECRC.ASP</v>
      </c>
      <c r="E173" s="8" t="s">
        <v>392</v>
      </c>
    </row>
    <row r="174" ht="14.25" hidden="1" customHeight="1">
      <c r="A174" s="8" t="s">
        <v>629</v>
      </c>
      <c r="B174" s="8" t="s">
        <v>508</v>
      </c>
      <c r="D174" s="121" t="str">
        <f>HYPERLINK("http://www.annarbor.va.gov/services/RESEARCH.ASP")</f>
        <v>http://www.annarbor.va.gov/services/RESEARCH.ASP</v>
      </c>
      <c r="E174" s="8" t="s">
        <v>392</v>
      </c>
    </row>
    <row r="175" ht="14.25" hidden="1" customHeight="1">
      <c r="A175" s="8" t="s">
        <v>629</v>
      </c>
      <c r="B175" s="8" t="s">
        <v>665</v>
      </c>
      <c r="D175" s="121" t="str">
        <f>HYPERLINK("http://www.annarbor.va.gov/services/SCAN-ECHO.ASP")</f>
        <v>http://www.annarbor.va.gov/services/SCAN-ECHO.ASP</v>
      </c>
      <c r="E175" s="8" t="s">
        <v>392</v>
      </c>
    </row>
    <row r="176" ht="14.25" hidden="1" customHeight="1">
      <c r="A176" s="8" t="s">
        <v>629</v>
      </c>
      <c r="B176" s="8" t="s">
        <v>360</v>
      </c>
      <c r="D176" s="121" t="str">
        <f>HYPERLINK("http://www.annarbor.va.gov/services/SOCIALWORK.ASP")</f>
        <v>http://www.annarbor.va.gov/services/SOCIALWORK.ASP</v>
      </c>
      <c r="E176" s="8" t="s">
        <v>392</v>
      </c>
    </row>
    <row r="177" ht="14.25" hidden="1" customHeight="1">
      <c r="A177" s="8" t="s">
        <v>629</v>
      </c>
      <c r="B177" s="8" t="s">
        <v>363</v>
      </c>
      <c r="D177" s="121" t="str">
        <f>HYPERLINK("http://www.annarbor.va.gov/services/SPECIALTY.ASP")</f>
        <v>http://www.annarbor.va.gov/services/SPECIALTY.ASP</v>
      </c>
      <c r="E177" s="8" t="s">
        <v>392</v>
      </c>
    </row>
    <row r="178" ht="14.25" hidden="1" customHeight="1">
      <c r="A178" s="8" t="s">
        <v>629</v>
      </c>
      <c r="B178" s="8" t="s">
        <v>672</v>
      </c>
      <c r="D178" s="121" t="str">
        <f>HYPERLINK("http://www.annarbor.va.gov/services/SCI.ASP")</f>
        <v>http://www.annarbor.va.gov/services/SCI.ASP</v>
      </c>
      <c r="E178" s="8" t="s">
        <v>392</v>
      </c>
    </row>
    <row r="179" ht="14.25" hidden="1" customHeight="1">
      <c r="A179" s="8" t="s">
        <v>629</v>
      </c>
      <c r="B179" s="8" t="s">
        <v>469</v>
      </c>
      <c r="D179" s="121" t="str">
        <f>HYPERLINK("http://www.annarbor.va.gov/services/UROLOGY.ASP")</f>
        <v>http://www.annarbor.va.gov/services/UROLOGY.ASP</v>
      </c>
      <c r="E179" s="8" t="s">
        <v>392</v>
      </c>
    </row>
    <row r="180" ht="14.25" hidden="1" customHeight="1">
      <c r="A180" s="8" t="s">
        <v>629</v>
      </c>
      <c r="B180" s="8" t="s">
        <v>566</v>
      </c>
      <c r="D180" s="121" t="str">
        <f>HYPERLINK("http://www.annarbor.va.gov/services/VJO.ASP")</f>
        <v>http://www.annarbor.va.gov/services/VJO.ASP</v>
      </c>
      <c r="E180" s="8" t="s">
        <v>392</v>
      </c>
    </row>
    <row r="181" ht="14.25" hidden="1" customHeight="1">
      <c r="A181" s="8" t="s">
        <v>629</v>
      </c>
      <c r="B181" s="8" t="s">
        <v>677</v>
      </c>
      <c r="D181" s="121" t="str">
        <f>HYPERLINK("http://www.annarbor.va.gov/services/VETERANS_INTEGRATION_TO_ACADEMIC_LEADERSHIP.ASP")</f>
        <v>http://www.annarbor.va.gov/services/VETERANS_INTEGRATION_TO_ACADEMIC_LEADERSHIP.ASP</v>
      </c>
      <c r="E181" s="8" t="s">
        <v>392</v>
      </c>
    </row>
    <row r="182" ht="14.25" hidden="1" customHeight="1">
      <c r="A182" s="8" t="s">
        <v>629</v>
      </c>
      <c r="B182" s="8" t="s">
        <v>680</v>
      </c>
      <c r="D182" s="121" t="str">
        <f>HYPERLINK("http://www.annarbor.va.gov/services/VISUAL_IMPAIRMENT_SERVICES_TEAM-VIST.ASP")</f>
        <v>http://www.annarbor.va.gov/services/VISUAL_IMPAIRMENT_SERVICES_TEAM-VIST.ASP</v>
      </c>
      <c r="E182" s="8" t="s">
        <v>392</v>
      </c>
    </row>
    <row r="183" ht="14.25" hidden="1" customHeight="1">
      <c r="A183" s="8" t="s">
        <v>685</v>
      </c>
      <c r="B183" s="8" t="s">
        <v>686</v>
      </c>
      <c r="D183" s="121" t="str">
        <f>HYPERLINK("http://www.asheville.va.gov/services/APPOINTMENTS.ASP")</f>
        <v>http://www.asheville.va.gov/services/APPOINTMENTS.ASP</v>
      </c>
      <c r="E183" s="8" t="s">
        <v>392</v>
      </c>
    </row>
    <row r="184" ht="14.25" hidden="1" customHeight="1">
      <c r="A184" s="8" t="s">
        <v>685</v>
      </c>
      <c r="B184" s="8" t="s">
        <v>244</v>
      </c>
      <c r="D184" s="121" t="str">
        <f>HYPERLINK("http://www.asheville.va.gov/services/AUDIOLOGY.ASP")</f>
        <v>http://www.asheville.va.gov/services/AUDIOLOGY.ASP</v>
      </c>
      <c r="E184" s="8" t="s">
        <v>392</v>
      </c>
    </row>
    <row r="185" ht="14.25" hidden="1" customHeight="1">
      <c r="A185" s="8" t="s">
        <v>685</v>
      </c>
      <c r="B185" s="8" t="s">
        <v>636</v>
      </c>
      <c r="D185" s="121" t="str">
        <f>HYPERLINK("http://www.asheville.va.gov/services/BENEFICIARY_TRAVEL.ASP")</f>
        <v>http://www.asheville.va.gov/services/BENEFICIARY_TRAVEL.ASP</v>
      </c>
      <c r="E185" s="8" t="s">
        <v>392</v>
      </c>
    </row>
    <row r="186" ht="14.25" hidden="1" customHeight="1">
      <c r="A186" s="8" t="s">
        <v>685</v>
      </c>
      <c r="B186" s="8" t="s">
        <v>692</v>
      </c>
      <c r="D186" s="121" t="str">
        <f>HYPERLINK("http://www.asheville.va.gov/services/CARE_IN_THE_COMMUNITY.ASP")</f>
        <v>http://www.asheville.va.gov/services/CARE_IN_THE_COMMUNITY.ASP</v>
      </c>
      <c r="E186" s="8" t="s">
        <v>392</v>
      </c>
    </row>
    <row r="187" ht="14.25" hidden="1" customHeight="1">
      <c r="A187" s="8" t="s">
        <v>685</v>
      </c>
      <c r="B187" s="8" t="s">
        <v>304</v>
      </c>
      <c r="D187" s="121" t="str">
        <f>HYPERLINK("http://www.asheville.va.gov/services/DENTAL.ASP")</f>
        <v>http://www.asheville.va.gov/services/DENTAL.ASP</v>
      </c>
      <c r="E187" s="8" t="s">
        <v>392</v>
      </c>
    </row>
    <row r="188" ht="14.25" hidden="1" customHeight="1">
      <c r="A188" s="8" t="s">
        <v>685</v>
      </c>
      <c r="B188" s="8" t="s">
        <v>309</v>
      </c>
      <c r="D188" s="121" t="str">
        <f>HYPERLINK("http://www.asheville.va.gov/services/ECRC.ASP")</f>
        <v>http://www.asheville.va.gov/services/ECRC.ASP</v>
      </c>
      <c r="E188" s="8" t="s">
        <v>392</v>
      </c>
    </row>
    <row r="189" ht="14.25" hidden="1" customHeight="1">
      <c r="A189" s="8" t="s">
        <v>685</v>
      </c>
      <c r="B189" s="8" t="s">
        <v>431</v>
      </c>
      <c r="D189" s="121" t="str">
        <f>HYPERLINK("http://www.asheville.va.gov/services/HOME_BASED_PRIMARY_CARE.ASP")</f>
        <v>http://www.asheville.va.gov/services/HOME_BASED_PRIMARY_CARE.ASP</v>
      </c>
      <c r="E189" s="8" t="s">
        <v>392</v>
      </c>
    </row>
    <row r="190" ht="14.25" hidden="1" customHeight="1">
      <c r="A190" s="8" t="s">
        <v>685</v>
      </c>
      <c r="B190" s="8" t="s">
        <v>437</v>
      </c>
      <c r="D190" s="121" t="str">
        <f>HYPERLINK("http://www.asheville.va.gov/services/HOSPICE_AND_PALLIATIVE_CARE.ASP")</f>
        <v>http://www.asheville.va.gov/services/HOSPICE_AND_PALLIATIVE_CARE.ASP</v>
      </c>
      <c r="E190" s="8" t="s">
        <v>392</v>
      </c>
    </row>
    <row r="191" ht="14.25" hidden="1" customHeight="1">
      <c r="A191" s="8" t="s">
        <v>685</v>
      </c>
      <c r="B191" s="8" t="s">
        <v>698</v>
      </c>
      <c r="D191" s="121" t="str">
        <f>HYPERLINK("http://www.asheville.va.gov/services/IMAGING.ASP")</f>
        <v>http://www.asheville.va.gov/services/IMAGING.ASP</v>
      </c>
      <c r="E191" s="8" t="s">
        <v>392</v>
      </c>
    </row>
    <row r="192" ht="14.25" hidden="1" customHeight="1">
      <c r="A192" s="8" t="s">
        <v>685</v>
      </c>
      <c r="B192" s="8" t="s">
        <v>701</v>
      </c>
      <c r="D192" s="121" t="str">
        <f>HYPERLINK("http://www.asheville.va.gov/services/MFHC.ASP")</f>
        <v>http://www.asheville.va.gov/services/MFHC.ASP</v>
      </c>
      <c r="E192" s="8" t="s">
        <v>392</v>
      </c>
    </row>
    <row r="193" ht="14.25" hidden="1" customHeight="1">
      <c r="A193" s="8" t="s">
        <v>685</v>
      </c>
      <c r="B193" s="8" t="s">
        <v>323</v>
      </c>
      <c r="D193" s="121" t="str">
        <f>HYPERLINK("http://www.asheville.va.gov/services/MENTALHEALTH.ASP")</f>
        <v>http://www.asheville.va.gov/services/MENTALHEALTH.ASP</v>
      </c>
      <c r="E193" s="8" t="s">
        <v>392</v>
      </c>
    </row>
    <row r="194" ht="14.25" hidden="1" customHeight="1">
      <c r="A194" s="8" t="s">
        <v>685</v>
      </c>
      <c r="B194" s="8" t="s">
        <v>707</v>
      </c>
      <c r="D194" s="121" t="str">
        <f>HYPERLINK("http://www.asheville.va.gov/services/MHV.ASP")</f>
        <v>http://www.asheville.va.gov/services/MHV.ASP</v>
      </c>
      <c r="E194" s="8" t="s">
        <v>392</v>
      </c>
    </row>
    <row r="195" ht="14.25" hidden="1" customHeight="1">
      <c r="A195" s="8" t="s">
        <v>685</v>
      </c>
      <c r="B195" s="8" t="s">
        <v>343</v>
      </c>
      <c r="D195" s="121" t="str">
        <f>HYPERLINK("http://www.asheville.va.gov/services/PHARMACY.ASP")</f>
        <v>http://www.asheville.va.gov/services/PHARMACY.ASP</v>
      </c>
      <c r="E195" s="8" t="s">
        <v>392</v>
      </c>
    </row>
    <row r="196" ht="14.25" hidden="1" customHeight="1">
      <c r="A196" s="8" t="s">
        <v>685</v>
      </c>
      <c r="B196" s="8" t="s">
        <v>713</v>
      </c>
      <c r="D196" s="121" t="str">
        <f>HYPERLINK("http://www.asheville.va.gov/services/VA_POLICE.ASP")</f>
        <v>http://www.asheville.va.gov/services/VA_POLICE.ASP</v>
      </c>
      <c r="E196" s="8" t="s">
        <v>392</v>
      </c>
    </row>
    <row r="197" ht="14.25" hidden="1" customHeight="1">
      <c r="A197" s="8" t="s">
        <v>685</v>
      </c>
      <c r="B197" s="8" t="s">
        <v>348</v>
      </c>
      <c r="D197" s="121" t="str">
        <f>HYPERLINK("http://www.asheville.va.gov/services/PRIMARY.ASP")</f>
        <v>http://www.asheville.va.gov/services/PRIMARY.ASP</v>
      </c>
      <c r="E197" s="8" t="s">
        <v>392</v>
      </c>
    </row>
    <row r="198" ht="14.25" hidden="1" customHeight="1">
      <c r="A198" s="8" t="s">
        <v>685</v>
      </c>
      <c r="B198" s="8" t="s">
        <v>721</v>
      </c>
      <c r="D198" s="121" t="str">
        <f>HYPERLINK("http://www.asheville.va.gov/services/PSYCHOLOGY.ASP")</f>
        <v>http://www.asheville.va.gov/services/PSYCHOLOGY.ASP</v>
      </c>
      <c r="E198" s="8" t="s">
        <v>392</v>
      </c>
    </row>
    <row r="199" ht="14.25" hidden="1" customHeight="1">
      <c r="A199" s="8" t="s">
        <v>685</v>
      </c>
      <c r="B199" s="8" t="s">
        <v>708</v>
      </c>
      <c r="D199" s="121" t="str">
        <f>HYPERLINK("http://www.asheville.va.gov/services/RELEASE_OF_INFORMATION.ASP")</f>
        <v>http://www.asheville.va.gov/services/RELEASE_OF_INFORMATION.ASP</v>
      </c>
      <c r="E199" s="8" t="s">
        <v>392</v>
      </c>
    </row>
    <row r="200" ht="14.25" hidden="1" customHeight="1">
      <c r="A200" s="8" t="s">
        <v>685</v>
      </c>
      <c r="B200" s="8" t="s">
        <v>508</v>
      </c>
      <c r="D200" s="121" t="str">
        <f>HYPERLINK("http://www.asheville.va.gov/services/RESEARCH.ASP")</f>
        <v>http://www.asheville.va.gov/services/RESEARCH.ASP</v>
      </c>
      <c r="E200" s="8" t="s">
        <v>392</v>
      </c>
    </row>
    <row r="201" ht="14.25" hidden="1" customHeight="1">
      <c r="A201" s="8" t="s">
        <v>685</v>
      </c>
      <c r="B201" s="8" t="s">
        <v>360</v>
      </c>
      <c r="D201" s="121" t="str">
        <f>HYPERLINK("http://www.asheville.va.gov/services/SOCIALWORK.ASP")</f>
        <v>http://www.asheville.va.gov/services/SOCIALWORK.ASP</v>
      </c>
      <c r="E201" s="8" t="s">
        <v>392</v>
      </c>
    </row>
    <row r="202" ht="14.25" hidden="1" customHeight="1">
      <c r="A202" s="8" t="s">
        <v>685</v>
      </c>
      <c r="B202" s="8" t="s">
        <v>363</v>
      </c>
      <c r="D202" s="121" t="str">
        <f>HYPERLINK("http://www.asheville.va.gov/services/SPECIALTY.ASP")</f>
        <v>http://www.asheville.va.gov/services/SPECIALTY.ASP</v>
      </c>
      <c r="E202" s="8" t="s">
        <v>392</v>
      </c>
    </row>
    <row r="203" ht="14.25" hidden="1" customHeight="1">
      <c r="A203" s="8" t="s">
        <v>685</v>
      </c>
      <c r="B203" s="8" t="s">
        <v>364</v>
      </c>
      <c r="D203" s="121" t="str">
        <f>HYPERLINK("http://www.asheville.va.gov/services/SCI.ASP")</f>
        <v>http://www.asheville.va.gov/services/SCI.ASP</v>
      </c>
      <c r="E203" s="8" t="s">
        <v>392</v>
      </c>
    </row>
    <row r="204" ht="14.25" hidden="1" customHeight="1">
      <c r="A204" s="8" t="s">
        <v>685</v>
      </c>
      <c r="B204" s="8" t="s">
        <v>736</v>
      </c>
      <c r="D204" s="121" t="str">
        <f>HYPERLINK("http://www.asheville.va.gov/services/URGENT_CARE_QUESTIONS.ASP")</f>
        <v>http://www.asheville.va.gov/services/URGENT_CARE_QUESTIONS.ASP</v>
      </c>
      <c r="E204" s="8" t="s">
        <v>392</v>
      </c>
    </row>
    <row r="205" ht="14.25" hidden="1" customHeight="1">
      <c r="A205" s="8" t="s">
        <v>685</v>
      </c>
      <c r="B205" s="8" t="s">
        <v>742</v>
      </c>
      <c r="D205" s="121" t="str">
        <f>HYPERLINK("http://www.asheville.va.gov/services/VETERANS_TRANSPORTATION_SERVICE.ASP")</f>
        <v>http://www.asheville.va.gov/services/VETERANS_TRANSPORTATION_SERVICE.ASP</v>
      </c>
      <c r="E205" s="8" t="s">
        <v>392</v>
      </c>
    </row>
    <row r="206" ht="14.25" hidden="1" customHeight="1">
      <c r="A206" s="8" t="s">
        <v>685</v>
      </c>
      <c r="B206" s="8" t="s">
        <v>744</v>
      </c>
      <c r="D206" s="121" t="str">
        <f>HYPERLINK("http://www.asheville.va.gov/services/VOCATIONAL_REHABILITATION_AND_EMPLOYMENT.ASP")</f>
        <v>http://www.asheville.va.gov/services/VOCATIONAL_REHABILITATION_AND_EMPLOYMENT.ASP</v>
      </c>
      <c r="E206" s="8" t="s">
        <v>392</v>
      </c>
    </row>
    <row r="207" ht="14.25" hidden="1" customHeight="1">
      <c r="A207" s="8" t="s">
        <v>685</v>
      </c>
      <c r="B207" s="8" t="s">
        <v>747</v>
      </c>
      <c r="D207" s="121" t="str">
        <f>HYPERLINK("http://www.asheville.va.gov/services/WOMEN_VETERANS_HEALTH.ASP")</f>
        <v>http://www.asheville.va.gov/services/WOMEN_VETERANS_HEALTH.ASP</v>
      </c>
      <c r="E207" s="8" t="s">
        <v>392</v>
      </c>
    </row>
    <row r="208" ht="14.25" hidden="1" customHeight="1">
      <c r="A208" s="8" t="s">
        <v>749</v>
      </c>
      <c r="B208" s="8" t="s">
        <v>244</v>
      </c>
      <c r="D208" s="121" t="str">
        <f>HYPERLINK("http://www.atlanta.va.gov/services/AUDIOLOGY.ASP")</f>
        <v>http://www.atlanta.va.gov/services/AUDIOLOGY.ASP</v>
      </c>
      <c r="E208" s="8" t="s">
        <v>392</v>
      </c>
    </row>
    <row r="209" ht="14.25" hidden="1" customHeight="1">
      <c r="A209" s="8" t="s">
        <v>749</v>
      </c>
      <c r="B209" s="8" t="s">
        <v>750</v>
      </c>
      <c r="D209" s="121" t="str">
        <f>HYPERLINK("http://www.atlanta.va.gov/services/BRONZE_GERI_PACT_CLINIC.ASP")</f>
        <v>http://www.atlanta.va.gov/services/BRONZE_GERI_PACT_CLINIC.ASP</v>
      </c>
      <c r="E209" s="8" t="s">
        <v>392</v>
      </c>
    </row>
    <row r="210" ht="14.25" hidden="1" customHeight="1">
      <c r="A210" s="8" t="s">
        <v>749</v>
      </c>
      <c r="B210" s="8" t="s">
        <v>751</v>
      </c>
      <c r="D210" s="121" t="str">
        <f>HYPERLINK("http://www.atlanta.va.gov/services/CWT_PROGRAM.ASP")</f>
        <v>http://www.atlanta.va.gov/services/CWT_PROGRAM.ASP</v>
      </c>
      <c r="E210" s="8" t="s">
        <v>392</v>
      </c>
    </row>
    <row r="211" ht="14.25" hidden="1" customHeight="1">
      <c r="A211" s="8" t="s">
        <v>749</v>
      </c>
      <c r="B211" s="8" t="s">
        <v>478</v>
      </c>
      <c r="D211" s="121" t="str">
        <f>HYPERLINK("http://www.atlanta.va.gov/services/CHAPLAIN_SERVICE.ASP")</f>
        <v>http://www.atlanta.va.gov/services/CHAPLAIN_SERVICE.ASP</v>
      </c>
      <c r="E211" s="8" t="s">
        <v>392</v>
      </c>
    </row>
    <row r="212" ht="14.25" hidden="1" customHeight="1">
      <c r="A212" s="8" t="s">
        <v>749</v>
      </c>
      <c r="B212" s="8" t="s">
        <v>455</v>
      </c>
      <c r="D212" s="121" t="str">
        <f>HYPERLINK("http://www.atlanta.va.gov/services/COMPENSATION_AND_PENSION.ASP")</f>
        <v>http://www.atlanta.va.gov/services/COMPENSATION_AND_PENSION.ASP</v>
      </c>
      <c r="E212" s="8" t="s">
        <v>392</v>
      </c>
    </row>
    <row r="213" ht="14.25" hidden="1" customHeight="1">
      <c r="A213" s="8" t="s">
        <v>749</v>
      </c>
      <c r="B213" s="8" t="s">
        <v>304</v>
      </c>
      <c r="D213" s="121" t="str">
        <f>HYPERLINK("http://www.atlanta.va.gov/services/DENTAL.ASP")</f>
        <v>http://www.atlanta.va.gov/services/DENTAL.ASP</v>
      </c>
      <c r="E213" s="8" t="s">
        <v>392</v>
      </c>
    </row>
    <row r="214" ht="14.25" hidden="1" customHeight="1">
      <c r="A214" s="8" t="s">
        <v>749</v>
      </c>
      <c r="B214" s="8" t="s">
        <v>308</v>
      </c>
      <c r="D214" s="121" t="str">
        <f>HYPERLINK("http://www.atlanta.va.gov/services/EMERGENCY_DEPARTMENT.ASP")</f>
        <v>http://www.atlanta.va.gov/services/EMERGENCY_DEPARTMENT.ASP</v>
      </c>
      <c r="E214" s="8" t="s">
        <v>392</v>
      </c>
    </row>
    <row r="215" ht="14.25" hidden="1" customHeight="1">
      <c r="A215" s="8" t="s">
        <v>749</v>
      </c>
      <c r="B215" s="8" t="s">
        <v>758</v>
      </c>
      <c r="D215" s="121" t="str">
        <f>HYPERLINK("http://www.atlanta.va.gov/services/EMERGENCY_MANAGEMENT.ASP")</f>
        <v>http://www.atlanta.va.gov/services/EMERGENCY_MANAGEMENT.ASP</v>
      </c>
      <c r="E215" s="8" t="s">
        <v>392</v>
      </c>
    </row>
    <row r="216" ht="14.25" hidden="1" customHeight="1">
      <c r="A216" s="8" t="s">
        <v>749</v>
      </c>
      <c r="B216" s="8" t="s">
        <v>760</v>
      </c>
      <c r="D216" s="121" t="str">
        <f>HYPERLINK("http://www.atlanta.va.gov/services/EMPOWER_VETERANS_PROGRAM.ASP")</f>
        <v>http://www.atlanta.va.gov/services/EMPOWER_VETERANS_PROGRAM.ASP</v>
      </c>
      <c r="E216" s="8" t="s">
        <v>392</v>
      </c>
    </row>
    <row r="217" ht="14.25" hidden="1" customHeight="1">
      <c r="A217" s="8" t="s">
        <v>749</v>
      </c>
      <c r="B217" s="8" t="s">
        <v>762</v>
      </c>
      <c r="D217" s="121" t="str">
        <f>HYPERLINK("http://www.atlanta.va.gov/services/FINANCIAL_MANAGEMENT.ASP")</f>
        <v>http://www.atlanta.va.gov/services/FINANCIAL_MANAGEMENT.ASP</v>
      </c>
      <c r="E217" s="8" t="s">
        <v>392</v>
      </c>
    </row>
    <row r="218" ht="14.25" hidden="1" customHeight="1">
      <c r="A218" s="8" t="s">
        <v>749</v>
      </c>
      <c r="B218" s="8" t="s">
        <v>763</v>
      </c>
      <c r="D218" s="121" t="str">
        <f>HYPERLINK("http://www.atlanta.va.gov/services/GROUNDS_AND_TRANSPORTATION.ASP")</f>
        <v>http://www.atlanta.va.gov/services/GROUNDS_AND_TRANSPORTATION.ASP</v>
      </c>
      <c r="E218" s="8" t="s">
        <v>392</v>
      </c>
    </row>
    <row r="219" ht="14.25" hidden="1" customHeight="1">
      <c r="A219" s="8" t="s">
        <v>749</v>
      </c>
      <c r="B219" s="8" t="s">
        <v>764</v>
      </c>
      <c r="D219" s="121" t="str">
        <f>HYPERLINK("http://www.atlanta.va.gov/services/HEALTH_ADMINISTRATION_SERVICE_HAS.ASP")</f>
        <v>http://www.atlanta.va.gov/services/HEALTH_ADMINISTRATION_SERVICE_HAS.ASP</v>
      </c>
      <c r="E219" s="8" t="s">
        <v>392</v>
      </c>
    </row>
    <row r="220" ht="14.25" hidden="1" customHeight="1">
      <c r="A220" s="8" t="s">
        <v>749</v>
      </c>
      <c r="B220" s="8" t="s">
        <v>766</v>
      </c>
      <c r="D220" s="121" t="str">
        <f>HYPERLINK("http://www.atlanta.va.gov/services/HOSPICE.ASP")</f>
        <v>http://www.atlanta.va.gov/services/HOSPICE.ASP</v>
      </c>
      <c r="E220" s="8" t="s">
        <v>392</v>
      </c>
    </row>
    <row r="221" ht="14.25" hidden="1" customHeight="1">
      <c r="A221" s="8" t="s">
        <v>749</v>
      </c>
      <c r="B221" s="8" t="s">
        <v>768</v>
      </c>
      <c r="D221" s="121" t="str">
        <f>HYPERLINK("http://www.atlanta.va.gov/services/INFECTION_DISEASE_SECTION_OF_THE_MEDICAL_SPECIALTY_CARE_SERVICE_LINE.ASP")</f>
        <v>http://www.atlanta.va.gov/services/INFECTION_DISEASE_SECTION_OF_THE_MEDICAL_SPECIALTY_CARE_SERVICE_LINE.ASP</v>
      </c>
      <c r="E221" s="8" t="s">
        <v>392</v>
      </c>
    </row>
    <row r="222" ht="14.25" hidden="1" customHeight="1">
      <c r="A222" s="8" t="s">
        <v>749</v>
      </c>
      <c r="B222" s="8" t="s">
        <v>771</v>
      </c>
      <c r="D222" s="121" t="str">
        <f>HYPERLINK("http://www.atlanta.va.gov/services/MEDICAL_SPECIALTY_CARE_SERVICES.ASP")</f>
        <v>http://www.atlanta.va.gov/services/MEDICAL_SPECIALTY_CARE_SERVICES.ASP</v>
      </c>
      <c r="E222" s="8" t="s">
        <v>392</v>
      </c>
    </row>
    <row r="223" ht="14.25" hidden="1" customHeight="1">
      <c r="A223" s="8" t="s">
        <v>749</v>
      </c>
      <c r="B223" s="8" t="s">
        <v>323</v>
      </c>
      <c r="D223" s="121" t="str">
        <f>HYPERLINK("http://www.atlanta.va.gov/services/MENTAL_HEALTH.ASP")</f>
        <v>http://www.atlanta.va.gov/services/MENTAL_HEALTH.ASP</v>
      </c>
      <c r="E223" s="8" t="s">
        <v>392</v>
      </c>
    </row>
    <row r="224" ht="14.25" hidden="1" customHeight="1">
      <c r="A224" s="8" t="s">
        <v>749</v>
      </c>
      <c r="B224" s="8" t="s">
        <v>773</v>
      </c>
      <c r="D224" s="121" t="str">
        <f>HYPERLINK("http://www.atlanta.va.gov/services/NUCLEAR_MEDICINE_SERVICE_LINE.ASP")</f>
        <v>http://www.atlanta.va.gov/services/NUCLEAR_MEDICINE_SERVICE_LINE.ASP</v>
      </c>
      <c r="E224" s="8" t="s">
        <v>392</v>
      </c>
    </row>
    <row r="225" ht="14.25" hidden="1" customHeight="1">
      <c r="A225" s="8" t="s">
        <v>749</v>
      </c>
      <c r="B225" s="8" t="s">
        <v>332</v>
      </c>
      <c r="D225" s="121" t="str">
        <f>HYPERLINK("http://www.atlanta.va.gov/services/NUTRITION_AND_FOOD_SERVICES.ASP")</f>
        <v>http://www.atlanta.va.gov/services/NUTRITION_AND_FOOD_SERVICES.ASP</v>
      </c>
      <c r="E225" s="8" t="s">
        <v>392</v>
      </c>
    </row>
    <row r="226" ht="14.25" hidden="1" customHeight="1">
      <c r="A226" s="8" t="s">
        <v>749</v>
      </c>
      <c r="B226" s="8" t="s">
        <v>356</v>
      </c>
      <c r="D226" s="121" t="str">
        <f>HYPERLINK("http://www.atlanta.va.gov/services/OEF_OIF_OND.ASP")</f>
        <v>http://www.atlanta.va.gov/services/OEF_OIF_OND.ASP</v>
      </c>
      <c r="E226" s="8" t="s">
        <v>392</v>
      </c>
    </row>
    <row r="227" ht="14.25" hidden="1" customHeight="1">
      <c r="A227" s="8" t="s">
        <v>749</v>
      </c>
      <c r="B227" s="8" t="s">
        <v>779</v>
      </c>
      <c r="D227" s="121" t="str">
        <f>HYPERLINK("http://www.atlanta.va.gov/services/PM_R.ASP")</f>
        <v>http://www.atlanta.va.gov/services/PM_R.ASP</v>
      </c>
      <c r="E227" s="8" t="s">
        <v>392</v>
      </c>
    </row>
    <row r="228" ht="14.25" hidden="1" customHeight="1">
      <c r="A228" s="8" t="s">
        <v>749</v>
      </c>
      <c r="B228" s="8" t="s">
        <v>781</v>
      </c>
      <c r="D228" s="121" t="str">
        <f>HYPERLINK("http://www.atlanta.va.gov/services/PALLIATIVEINPATIENT.ASP")</f>
        <v>http://www.atlanta.va.gov/services/PALLIATIVEINPATIENT.ASP</v>
      </c>
      <c r="E228" s="8" t="s">
        <v>392</v>
      </c>
    </row>
    <row r="229" ht="14.25" hidden="1" customHeight="1">
      <c r="A229" s="8" t="s">
        <v>749</v>
      </c>
      <c r="B229" s="8" t="s">
        <v>782</v>
      </c>
      <c r="D229" s="121" t="str">
        <f>HYPERLINK("http://www.atlanta.va.gov/services/PALLIATIVE.ASP")</f>
        <v>http://www.atlanta.va.gov/services/PALLIATIVE.ASP</v>
      </c>
      <c r="E229" s="8" t="s">
        <v>392</v>
      </c>
    </row>
    <row r="230" ht="14.25" hidden="1" customHeight="1">
      <c r="A230" s="8" t="s">
        <v>749</v>
      </c>
      <c r="B230" s="8" t="s">
        <v>784</v>
      </c>
      <c r="D230" s="121" t="str">
        <f>HYPERLINK("http://www.atlanta.va.gov/services/PHAMACY_SERVICE.ASP")</f>
        <v>http://www.atlanta.va.gov/services/PHAMACY_SERVICE.ASP</v>
      </c>
      <c r="E230" s="8" t="s">
        <v>392</v>
      </c>
    </row>
    <row r="231" ht="14.25" hidden="1" customHeight="1">
      <c r="A231" s="8" t="s">
        <v>749</v>
      </c>
      <c r="B231" s="8" t="s">
        <v>785</v>
      </c>
      <c r="D231" s="121" t="str">
        <f>HYPERLINK("http://www.atlanta.va.gov/services/PHARMACY.ASP")</f>
        <v>http://www.atlanta.va.gov/services/PHARMACY.ASP</v>
      </c>
      <c r="E231" s="8" t="s">
        <v>392</v>
      </c>
    </row>
    <row r="232" ht="14.25" hidden="1" customHeight="1">
      <c r="A232" s="8" t="s">
        <v>749</v>
      </c>
      <c r="B232" s="8" t="s">
        <v>788</v>
      </c>
      <c r="D232" s="121" t="str">
        <f>HYPERLINK("http://www.atlanta.va.gov/services/PRIMARY_CARE_GOLD_TEAM.ASP")</f>
        <v>http://www.atlanta.va.gov/services/PRIMARY_CARE_GOLD_TEAM.ASP</v>
      </c>
      <c r="E232" s="8" t="s">
        <v>392</v>
      </c>
    </row>
    <row r="233" ht="14.25" hidden="1" customHeight="1">
      <c r="A233" s="8" t="s">
        <v>749</v>
      </c>
      <c r="B233" s="8" t="s">
        <v>789</v>
      </c>
      <c r="D233" s="121" t="str">
        <f>HYPERLINK("http://www.atlanta.va.gov/services/PRIMARY_CARE_PURPLE_TEAM.ASP")</f>
        <v>http://www.atlanta.va.gov/services/PRIMARY_CARE_PURPLE_TEAM.ASP</v>
      </c>
      <c r="E233" s="8" t="s">
        <v>392</v>
      </c>
    </row>
    <row r="234" ht="14.25" hidden="1" customHeight="1">
      <c r="A234" s="8" t="s">
        <v>749</v>
      </c>
      <c r="B234" s="8" t="s">
        <v>791</v>
      </c>
      <c r="D234" s="121" t="str">
        <f>HYPERLINK("http://www.atlanta.va.gov/services/PULMONARY_SERVICE_LINE.ASP")</f>
        <v>http://www.atlanta.va.gov/services/PULMONARY_SERVICE_LINE.ASP</v>
      </c>
      <c r="E234" s="8" t="s">
        <v>392</v>
      </c>
    </row>
    <row r="235" ht="14.25" hidden="1" customHeight="1">
      <c r="A235" s="8" t="s">
        <v>749</v>
      </c>
      <c r="B235" s="8" t="s">
        <v>794</v>
      </c>
      <c r="D235" s="121" t="str">
        <f>HYPERLINK("http://www.atlanta.va.gov/services/READJUSTMENT_COUNSELING_SERVICE.ASP")</f>
        <v>http://www.atlanta.va.gov/services/READJUSTMENT_COUNSELING_SERVICE.ASP</v>
      </c>
      <c r="E235" s="8" t="s">
        <v>392</v>
      </c>
    </row>
    <row r="236" ht="14.25" hidden="1" customHeight="1">
      <c r="A236" s="8" t="s">
        <v>749</v>
      </c>
      <c r="B236" s="8" t="s">
        <v>799</v>
      </c>
      <c r="D236" s="121" t="str">
        <f>HYPERLINK("http://www.atlanta.va.gov/services/REGIONAL_TELEHEALTH_SERVICES.ASP")</f>
        <v>http://www.atlanta.va.gov/services/REGIONAL_TELEHEALTH_SERVICES.ASP</v>
      </c>
      <c r="E236" s="8" t="s">
        <v>392</v>
      </c>
    </row>
    <row r="237" ht="14.25" hidden="1" customHeight="1">
      <c r="A237" s="8" t="s">
        <v>749</v>
      </c>
      <c r="B237" s="8" t="s">
        <v>508</v>
      </c>
      <c r="D237" s="121" t="str">
        <f>HYPERLINK("http://www.atlanta.va.gov/services/RESEARCH.ASP")</f>
        <v>http://www.atlanta.va.gov/services/RESEARCH.ASP</v>
      </c>
      <c r="E237" s="8" t="s">
        <v>392</v>
      </c>
    </row>
    <row r="238" ht="14.25" hidden="1" customHeight="1">
      <c r="A238" s="8" t="s">
        <v>749</v>
      </c>
      <c r="B238" s="8" t="s">
        <v>801</v>
      </c>
      <c r="D238" s="121" t="str">
        <f>HYPERLINK("http://www.atlanta.va.gov/services/RESEARCH-CVNR.ASP")</f>
        <v>http://www.atlanta.va.gov/services/RESEARCH-CVNR.ASP</v>
      </c>
      <c r="E238" s="8" t="s">
        <v>392</v>
      </c>
    </row>
    <row r="239" ht="14.25" hidden="1" customHeight="1">
      <c r="A239" s="8" t="s">
        <v>749</v>
      </c>
      <c r="B239" s="8" t="s">
        <v>802</v>
      </c>
      <c r="D239" s="121" t="str">
        <f>HYPERLINK("http://www.atlanta.va.gov/services/SAFETY_OFFICE.ASP")</f>
        <v>http://www.atlanta.va.gov/services/SAFETY_OFFICE.ASP</v>
      </c>
      <c r="E239" s="8" t="s">
        <v>392</v>
      </c>
    </row>
    <row r="240" ht="14.25" hidden="1" customHeight="1">
      <c r="A240" s="8" t="s">
        <v>749</v>
      </c>
      <c r="B240" s="8" t="s">
        <v>804</v>
      </c>
      <c r="D240" s="121" t="str">
        <f>HYPERLINK("http://www.atlanta.va.gov/services/SPEECH_PATHOLOGY.ASP")</f>
        <v>http://www.atlanta.va.gov/services/SPEECH_PATHOLOGY.ASP</v>
      </c>
      <c r="E240" s="8" t="s">
        <v>392</v>
      </c>
    </row>
    <row r="241" ht="14.25" hidden="1" customHeight="1">
      <c r="A241" s="8" t="s">
        <v>749</v>
      </c>
      <c r="B241" s="8" t="s">
        <v>806</v>
      </c>
      <c r="D241" s="121" t="str">
        <f>HYPERLINK("http://www.atlanta.va.gov/services/SURGICAL_PERIOPERATIVE_CARE_SERVICE_LINE.ASP")</f>
        <v>http://www.atlanta.va.gov/services/SURGICAL_PERIOPERATIVE_CARE_SERVICE_LINE.ASP</v>
      </c>
      <c r="E241" s="8" t="s">
        <v>392</v>
      </c>
    </row>
    <row r="242" ht="14.25" hidden="1" customHeight="1">
      <c r="A242" s="8" t="s">
        <v>749</v>
      </c>
      <c r="B242" s="8" t="s">
        <v>811</v>
      </c>
      <c r="D242" s="121" t="str">
        <f>HYPERLINK("http://www.atlanta.va.gov/services/SURGICAL.ASP")</f>
        <v>http://www.atlanta.va.gov/services/SURGICAL.ASP</v>
      </c>
      <c r="E242" s="8" t="s">
        <v>392</v>
      </c>
    </row>
    <row r="243" ht="14.25" hidden="1" customHeight="1">
      <c r="A243" s="8" t="s">
        <v>749</v>
      </c>
      <c r="B243" s="8" t="s">
        <v>813</v>
      </c>
      <c r="D243" s="121" t="str">
        <f>HYPERLINK("http://www.atlanta.va.gov/services/TELE-STROKE_REHABILITATION.ASP")</f>
        <v>http://www.atlanta.va.gov/services/TELE-STROKE_REHABILITATION.ASP</v>
      </c>
      <c r="E243" s="8" t="s">
        <v>392</v>
      </c>
    </row>
    <row r="244" ht="14.25" hidden="1" customHeight="1">
      <c r="A244" s="8" t="s">
        <v>749</v>
      </c>
      <c r="B244" s="8" t="s">
        <v>815</v>
      </c>
      <c r="D244" s="121" t="str">
        <f>HYPERLINK("http://www.atlanta.va.gov/services/TAP.ASP")</f>
        <v>http://www.atlanta.va.gov/services/TAP.ASP</v>
      </c>
      <c r="E244" s="8" t="s">
        <v>392</v>
      </c>
    </row>
    <row r="245" ht="14.25" hidden="1" customHeight="1">
      <c r="A245" s="8" t="s">
        <v>749</v>
      </c>
      <c r="B245" s="8" t="s">
        <v>818</v>
      </c>
      <c r="D245" s="121" t="str">
        <f>HYPERLINK("http://www.atlanta.va.gov/services/TRAUMATIC_BRAIN_INJURY.ASP")</f>
        <v>http://www.atlanta.va.gov/services/TRAUMATIC_BRAIN_INJURY.ASP</v>
      </c>
      <c r="E245" s="8" t="s">
        <v>392</v>
      </c>
    </row>
    <row r="246" ht="14.25" hidden="1" customHeight="1">
      <c r="A246" s="8" t="s">
        <v>749</v>
      </c>
      <c r="B246" s="8" t="s">
        <v>820</v>
      </c>
      <c r="D246" s="121" t="str">
        <f>HYPERLINK("http://www.atlanta.va.gov/services/VCS_CANTEEN.ASP")</f>
        <v>http://www.atlanta.va.gov/services/VCS_CANTEEN.ASP</v>
      </c>
      <c r="E246" s="8" t="s">
        <v>392</v>
      </c>
    </row>
    <row r="247" ht="14.25" hidden="1" customHeight="1">
      <c r="A247" s="8" t="s">
        <v>749</v>
      </c>
      <c r="B247" s="8" t="s">
        <v>822</v>
      </c>
      <c r="D247" s="121" t="str">
        <f>HYPERLINK("http://www.atlanta.va.gov/services/VOCATIONAL_SERVICES.ASP")</f>
        <v>http://www.atlanta.va.gov/services/VOCATIONAL_SERVICES.ASP</v>
      </c>
      <c r="E247" s="8" t="s">
        <v>392</v>
      </c>
    </row>
    <row r="248" ht="14.25" hidden="1" customHeight="1">
      <c r="A248" s="8" t="s">
        <v>749</v>
      </c>
      <c r="B248" s="8" t="s">
        <v>518</v>
      </c>
      <c r="D248" s="121" t="str">
        <f>HYPERLINK("http://www.atlanta.va.gov/services/VOLUNTARY_SERVICE.ASP")</f>
        <v>http://www.atlanta.va.gov/services/VOLUNTARY_SERVICE.ASP</v>
      </c>
      <c r="E248" s="8" t="s">
        <v>392</v>
      </c>
    </row>
    <row r="249" ht="14.25" hidden="1" customHeight="1">
      <c r="A249" s="8" t="s">
        <v>749</v>
      </c>
      <c r="B249" s="8" t="s">
        <v>826</v>
      </c>
      <c r="D249" s="121" t="str">
        <f>HYPERLINK("http://www.atlanta.va.gov/services/WHOLE_HEALTH_SYSTEM.ASP")</f>
        <v>http://www.atlanta.va.gov/services/WHOLE_HEALTH_SYSTEM.ASP</v>
      </c>
      <c r="E249" s="8" t="s">
        <v>392</v>
      </c>
    </row>
    <row r="250" ht="14.25" hidden="1" customHeight="1">
      <c r="A250" s="8" t="s">
        <v>827</v>
      </c>
      <c r="B250" s="8" t="s">
        <v>828</v>
      </c>
      <c r="D250" s="121" t="str">
        <f>HYPERLINK("http://www.augusta.va.gov/services/AUDIOLOGY_AND_SPEECH_PATHOLOGY.ASP")</f>
        <v>http://www.augusta.va.gov/services/AUDIOLOGY_AND_SPEECH_PATHOLOGY.ASP</v>
      </c>
      <c r="E250" s="8" t="s">
        <v>392</v>
      </c>
    </row>
    <row r="251" ht="14.25" hidden="1" customHeight="1">
      <c r="A251" s="8" t="s">
        <v>827</v>
      </c>
      <c r="B251" s="8" t="s">
        <v>478</v>
      </c>
      <c r="D251" s="121" t="str">
        <f>HYPERLINK("http://www.augusta.va.gov/services/CHAP.ASP")</f>
        <v>http://www.augusta.va.gov/services/CHAP.ASP</v>
      </c>
      <c r="E251" s="8" t="s">
        <v>392</v>
      </c>
    </row>
    <row r="252" ht="14.25" hidden="1" customHeight="1">
      <c r="A252" s="8" t="s">
        <v>827</v>
      </c>
      <c r="B252" s="8" t="s">
        <v>830</v>
      </c>
      <c r="D252" s="121" t="str">
        <f>HYPERLINK("http://www.augusta.va.gov/services/CLINICAL_PASTORAL_EDUCATION_CPE_PROGRAM.ASP")</f>
        <v>http://www.augusta.va.gov/services/CLINICAL_PASTORAL_EDUCATION_CPE_PROGRAM.ASP</v>
      </c>
      <c r="E252" s="8" t="s">
        <v>392</v>
      </c>
    </row>
    <row r="253" ht="14.25" hidden="1" customHeight="1">
      <c r="A253" s="8" t="s">
        <v>827</v>
      </c>
      <c r="B253" s="8" t="s">
        <v>832</v>
      </c>
      <c r="D253" s="121" t="str">
        <f>HYPERLINK("http://www.augusta.va.gov/services/DENTAL.ASP")</f>
        <v>http://www.augusta.va.gov/services/DENTAL.ASP</v>
      </c>
      <c r="E253" s="8" t="s">
        <v>392</v>
      </c>
    </row>
    <row r="254" ht="14.25" hidden="1" customHeight="1">
      <c r="A254" s="8" t="s">
        <v>827</v>
      </c>
      <c r="B254" s="8" t="s">
        <v>323</v>
      </c>
      <c r="D254" s="121" t="str">
        <f>HYPERLINK("http://www.augusta.va.gov/services/MENTALHEALTH.ASP")</f>
        <v>http://www.augusta.va.gov/services/MENTALHEALTH.ASP</v>
      </c>
      <c r="E254" s="8" t="s">
        <v>392</v>
      </c>
    </row>
    <row r="255" ht="14.25" hidden="1" customHeight="1">
      <c r="A255" s="8" t="s">
        <v>827</v>
      </c>
      <c r="B255" s="8" t="s">
        <v>326</v>
      </c>
      <c r="D255" s="121" t="str">
        <f>HYPERLINK("http://www.augusta.va.gov/services/MINORITY_VETERANS.ASP")</f>
        <v>http://www.augusta.va.gov/services/MINORITY_VETERANS.ASP</v>
      </c>
      <c r="E255" s="8" t="s">
        <v>392</v>
      </c>
    </row>
    <row r="256" ht="14.25" hidden="1" customHeight="1">
      <c r="A256" s="8" t="s">
        <v>827</v>
      </c>
      <c r="B256" s="8" t="s">
        <v>343</v>
      </c>
      <c r="D256" s="121" t="str">
        <f>HYPERLINK("http://www.augusta.va.gov/services/PHARMACY.ASP")</f>
        <v>http://www.augusta.va.gov/services/PHARMACY.ASP</v>
      </c>
      <c r="E256" s="8" t="s">
        <v>392</v>
      </c>
    </row>
    <row r="257" ht="14.25" hidden="1" customHeight="1">
      <c r="A257" s="8" t="s">
        <v>827</v>
      </c>
      <c r="B257" s="8" t="s">
        <v>348</v>
      </c>
      <c r="D257" s="121" t="str">
        <f>HYPERLINK("http://www.augusta.va.gov/services/PRIMARY.ASP")</f>
        <v>http://www.augusta.va.gov/services/PRIMARY.ASP</v>
      </c>
      <c r="E257" s="8" t="s">
        <v>392</v>
      </c>
    </row>
    <row r="258" ht="14.25" hidden="1" customHeight="1">
      <c r="A258" s="8" t="s">
        <v>827</v>
      </c>
      <c r="B258" s="8" t="s">
        <v>610</v>
      </c>
      <c r="D258" s="121" t="str">
        <f>HYPERLINK("http://www.augusta.va.gov/services/ECRC.ASP")</f>
        <v>http://www.augusta.va.gov/services/ECRC.ASP</v>
      </c>
      <c r="E258" s="8" t="s">
        <v>392</v>
      </c>
    </row>
    <row r="259" ht="14.25" hidden="1" customHeight="1">
      <c r="A259" s="8" t="s">
        <v>827</v>
      </c>
      <c r="B259" s="8" t="s">
        <v>508</v>
      </c>
      <c r="D259" s="121" t="str">
        <f>HYPERLINK("http://www.augusta.va.gov/services/RESEARCH.ASP")</f>
        <v>http://www.augusta.va.gov/services/RESEARCH.ASP</v>
      </c>
      <c r="E259" s="8" t="s">
        <v>392</v>
      </c>
    </row>
    <row r="260" ht="14.25" hidden="1" customHeight="1">
      <c r="A260" s="8" t="s">
        <v>827</v>
      </c>
      <c r="B260" s="8" t="s">
        <v>360</v>
      </c>
      <c r="D260" s="121" t="str">
        <f>HYPERLINK("http://www.augusta.va.gov/services/SOCIALWORK.ASP")</f>
        <v>http://www.augusta.va.gov/services/SOCIALWORK.ASP</v>
      </c>
      <c r="E260" s="8" t="s">
        <v>392</v>
      </c>
    </row>
    <row r="261" ht="14.25" hidden="1" customHeight="1">
      <c r="A261" s="8" t="s">
        <v>827</v>
      </c>
      <c r="B261" s="8" t="s">
        <v>363</v>
      </c>
      <c r="D261" s="121" t="str">
        <f>HYPERLINK("http://www.augusta.va.gov/services/SPECIALTY.ASP")</f>
        <v>http://www.augusta.va.gov/services/SPECIALTY.ASP</v>
      </c>
      <c r="E261" s="8" t="s">
        <v>392</v>
      </c>
    </row>
    <row r="262" ht="14.25" hidden="1" customHeight="1">
      <c r="A262" s="8" t="s">
        <v>827</v>
      </c>
      <c r="B262" s="8" t="s">
        <v>364</v>
      </c>
      <c r="D262" s="121" t="str">
        <f>HYPERLINK("http://www.augusta.va.gov/services/SPINAL_CORD_INJURY.ASP")</f>
        <v>http://www.augusta.va.gov/services/SPINAL_CORD_INJURY.ASP</v>
      </c>
      <c r="E262" s="8" t="s">
        <v>392</v>
      </c>
    </row>
    <row r="263" ht="14.25" hidden="1" customHeight="1">
      <c r="A263" s="8" t="s">
        <v>827</v>
      </c>
      <c r="B263" s="8" t="s">
        <v>836</v>
      </c>
      <c r="D263" s="121" t="str">
        <f>HYPERLINK("http://www.augusta.va.gov/services/TRANSITION_CENTER.ASP")</f>
        <v>http://www.augusta.va.gov/services/TRANSITION_CENTER.ASP</v>
      </c>
      <c r="E263" s="8" t="s">
        <v>392</v>
      </c>
    </row>
    <row r="264" ht="14.25" hidden="1" customHeight="1">
      <c r="A264" s="8" t="s">
        <v>837</v>
      </c>
      <c r="B264" s="8" t="s">
        <v>407</v>
      </c>
      <c r="D264" s="121" t="str">
        <f>HYPERLINK("http://www.bath.va.gov/services/ADULT_DAY_HEALTH_CARE.ASP")</f>
        <v>http://www.bath.va.gov/services/ADULT_DAY_HEALTH_CARE.ASP</v>
      </c>
      <c r="E264" s="8" t="s">
        <v>392</v>
      </c>
    </row>
    <row r="265" ht="14.25" hidden="1" customHeight="1">
      <c r="A265" s="8" t="s">
        <v>837</v>
      </c>
      <c r="B265" s="8" t="s">
        <v>408</v>
      </c>
      <c r="D265" s="121" t="str">
        <f>HYPERLINK("http://www.bath.va.gov/services/AGENT_ORANGE_REGISTRY_EXAMS.ASP")</f>
        <v>http://www.bath.va.gov/services/AGENT_ORANGE_REGISTRY_EXAMS.ASP</v>
      </c>
      <c r="E265" s="8" t="s">
        <v>392</v>
      </c>
    </row>
    <row r="266" ht="14.25" hidden="1" customHeight="1">
      <c r="A266" s="8" t="s">
        <v>837</v>
      </c>
      <c r="B266" s="8" t="s">
        <v>828</v>
      </c>
      <c r="D266" s="121" t="str">
        <f>HYPERLINK("http://www.bath.va.gov/services/AUDIOLOGY_AND_SPEECH_PATHOLOGY.ASP")</f>
        <v>http://www.bath.va.gov/services/AUDIOLOGY_AND_SPEECH_PATHOLOGY.ASP</v>
      </c>
      <c r="E266" s="8" t="s">
        <v>392</v>
      </c>
    </row>
    <row r="267" ht="14.25" hidden="1" customHeight="1">
      <c r="A267" s="8" t="s">
        <v>837</v>
      </c>
      <c r="B267" s="8" t="s">
        <v>417</v>
      </c>
      <c r="D267" s="121" t="str">
        <f>HYPERLINK("http://www.bath.va.gov/services/CHAPLAIN.ASP")</f>
        <v>http://www.bath.va.gov/services/CHAPLAIN.ASP</v>
      </c>
      <c r="E267" s="8" t="s">
        <v>392</v>
      </c>
    </row>
    <row r="268" ht="14.25" hidden="1" customHeight="1">
      <c r="A268" s="8" t="s">
        <v>837</v>
      </c>
      <c r="B268" s="8" t="s">
        <v>418</v>
      </c>
      <c r="D268" s="121" t="str">
        <f>HYPERLINK("http://www.bath.va.gov/services/CHIROPRACTIC_SERVICES.ASP")</f>
        <v>http://www.bath.va.gov/services/CHIROPRACTIC_SERVICES.ASP</v>
      </c>
      <c r="E268" s="8" t="s">
        <v>392</v>
      </c>
    </row>
    <row r="269" ht="14.25" hidden="1" customHeight="1">
      <c r="A269" s="8" t="s">
        <v>837</v>
      </c>
      <c r="B269" s="8" t="s">
        <v>482</v>
      </c>
      <c r="D269" s="121" t="str">
        <f>HYPERLINK("http://www.bath.va.gov/services/COMMUNITY_LIVING_CENTER.ASP")</f>
        <v>http://www.bath.va.gov/services/COMMUNITY_LIVING_CENTER.ASP</v>
      </c>
      <c r="E269" s="8" t="s">
        <v>392</v>
      </c>
    </row>
    <row r="270" ht="14.25" hidden="1" customHeight="1">
      <c r="A270" s="8" t="s">
        <v>837</v>
      </c>
      <c r="B270" s="8" t="s">
        <v>422</v>
      </c>
      <c r="D270" s="121" t="str">
        <f>HYPERLINK("http://www.bath.va.gov/services/COMPENSATION_AND_PENSION_EXAMS.ASP")</f>
        <v>http://www.bath.va.gov/services/COMPENSATION_AND_PENSION_EXAMS.ASP</v>
      </c>
      <c r="E270" s="8" t="s">
        <v>392</v>
      </c>
    </row>
    <row r="271" ht="14.25" hidden="1" customHeight="1">
      <c r="A271" s="8" t="s">
        <v>837</v>
      </c>
      <c r="B271" s="8" t="s">
        <v>303</v>
      </c>
      <c r="D271" s="121" t="str">
        <f>HYPERLINK("http://www.bath.va.gov/services/DENTAL_CLINIC.ASP")</f>
        <v>http://www.bath.va.gov/services/DENTAL_CLINIC.ASP</v>
      </c>
      <c r="E271" s="8" t="s">
        <v>392</v>
      </c>
    </row>
    <row r="272" ht="14.25" hidden="1" customHeight="1">
      <c r="A272" s="8" t="s">
        <v>837</v>
      </c>
      <c r="B272" s="8" t="s">
        <v>423</v>
      </c>
      <c r="D272" s="121" t="str">
        <f>HYPERLINK("http://www.bath.va.gov/services/DIABETES.ASP")</f>
        <v>http://www.bath.va.gov/services/DIABETES.ASP</v>
      </c>
      <c r="E272" s="8" t="s">
        <v>392</v>
      </c>
    </row>
    <row r="273" ht="14.25" hidden="1" customHeight="1">
      <c r="A273" s="8" t="s">
        <v>837</v>
      </c>
      <c r="B273" s="8" t="s">
        <v>842</v>
      </c>
      <c r="D273" s="121" t="str">
        <f>HYPERLINK("http://www.bath.va.gov/services/DIAGNOSTIC_IMAGING.ASP")</f>
        <v>http://www.bath.va.gov/services/DIAGNOSTIC_IMAGING.ASP</v>
      </c>
      <c r="E273" s="8" t="s">
        <v>392</v>
      </c>
    </row>
    <row r="274" ht="14.25" hidden="1" customHeight="1">
      <c r="A274" s="8" t="s">
        <v>837</v>
      </c>
      <c r="B274" s="8" t="s">
        <v>843</v>
      </c>
      <c r="D274" s="121" t="str">
        <f>HYPERLINK("http://www.bath.va.gov/services/DOMICILIARY_RESIDENTIAL_REHABILITATION_TREATMENT_PROGRAM.ASP")</f>
        <v>http://www.bath.va.gov/services/DOMICILIARY_RESIDENTIAL_REHABILITATION_TREATMENT_PROGRAM.ASP</v>
      </c>
      <c r="E274" s="8" t="s">
        <v>392</v>
      </c>
    </row>
    <row r="275" ht="14.25" hidden="1" customHeight="1">
      <c r="A275" s="8" t="s">
        <v>837</v>
      </c>
      <c r="B275" s="8" t="s">
        <v>426</v>
      </c>
      <c r="D275" s="121" t="str">
        <f>HYPERLINK("http://www.bath.va.gov/services/EYE_AND_VISION_CARE.ASP")</f>
        <v>http://www.bath.va.gov/services/EYE_AND_VISION_CARE.ASP</v>
      </c>
      <c r="E275" s="8" t="s">
        <v>392</v>
      </c>
    </row>
    <row r="276" ht="14.25" hidden="1" customHeight="1">
      <c r="A276" s="8" t="s">
        <v>837</v>
      </c>
      <c r="B276" s="8" t="s">
        <v>428</v>
      </c>
      <c r="D276" s="121" t="str">
        <f>HYPERLINK("http://www.bath.va.gov/services/FEE_BASIS_FEE_SERVICE.ASP")</f>
        <v>http://www.bath.va.gov/services/FEE_BASIS_FEE_SERVICE.ASP</v>
      </c>
      <c r="E276" s="8" t="s">
        <v>392</v>
      </c>
    </row>
    <row r="277" ht="14.25" hidden="1" customHeight="1">
      <c r="A277" s="8" t="s">
        <v>837</v>
      </c>
      <c r="B277" s="8" t="s">
        <v>486</v>
      </c>
      <c r="D277" s="121" t="str">
        <f>HYPERLINK("http://www.bath.va.gov/services/FORMER_PRISONER_OF_WAR_ADVOCATE.ASP")</f>
        <v>http://www.bath.va.gov/services/FORMER_PRISONER_OF_WAR_ADVOCATE.ASP</v>
      </c>
      <c r="E277" s="8" t="s">
        <v>392</v>
      </c>
    </row>
    <row r="278" ht="14.25" hidden="1" customHeight="1">
      <c r="A278" s="8" t="s">
        <v>837</v>
      </c>
      <c r="B278" s="8" t="s">
        <v>588</v>
      </c>
      <c r="D278" s="121" t="str">
        <f>HYPERLINK("http://www.bath.va.gov/services/HEALTH.ASP")</f>
        <v>http://www.bath.va.gov/services/HEALTH.ASP</v>
      </c>
      <c r="E278" s="8" t="s">
        <v>392</v>
      </c>
    </row>
    <row r="279" ht="14.25" hidden="1" customHeight="1">
      <c r="A279" s="8" t="s">
        <v>837</v>
      </c>
      <c r="B279" s="8" t="s">
        <v>431</v>
      </c>
      <c r="D279" s="121" t="str">
        <f>HYPERLINK("http://www.bath.va.gov/services/HOME_BASED_PRIMARY_CARE.ASP")</f>
        <v>http://www.bath.va.gov/services/HOME_BASED_PRIMARY_CARE.ASP</v>
      </c>
      <c r="E279" s="8" t="s">
        <v>392</v>
      </c>
    </row>
    <row r="280" ht="14.25" hidden="1" customHeight="1">
      <c r="A280" s="8" t="s">
        <v>837</v>
      </c>
      <c r="B280" s="8" t="s">
        <v>395</v>
      </c>
      <c r="D280" s="121" t="str">
        <f>HYPERLINK("http://www.bath.va.gov/services/HOME_TELEHEALTH.ASP")</f>
        <v>http://www.bath.va.gov/services/HOME_TELEHEALTH.ASP</v>
      </c>
      <c r="E280" s="8" t="s">
        <v>392</v>
      </c>
    </row>
    <row r="281" ht="14.25" hidden="1" customHeight="1">
      <c r="A281" s="8" t="s">
        <v>837</v>
      </c>
      <c r="B281" s="8" t="s">
        <v>436</v>
      </c>
      <c r="D281" s="121" t="str">
        <f>HYPERLINK("http://www.bath.va.gov/services/HOMEMAKER_AND_HOME_HEALTH_AIDE_PROGRAM.ASP")</f>
        <v>http://www.bath.va.gov/services/HOMEMAKER_AND_HOME_HEALTH_AIDE_PROGRAM.ASP</v>
      </c>
      <c r="E281" s="8" t="s">
        <v>392</v>
      </c>
    </row>
    <row r="282" ht="14.25" hidden="1" customHeight="1">
      <c r="A282" s="8" t="s">
        <v>837</v>
      </c>
      <c r="B282" s="8" t="s">
        <v>437</v>
      </c>
      <c r="D282" s="121" t="str">
        <f>HYPERLINK("http://www.bath.va.gov/services/HOSPICE_AND_PALLIATIVE_CARE.ASP")</f>
        <v>http://www.bath.va.gov/services/HOSPICE_AND_PALLIATIVE_CARE.ASP</v>
      </c>
      <c r="E282" s="8" t="s">
        <v>392</v>
      </c>
    </row>
    <row r="283" ht="14.25" hidden="1" customHeight="1">
      <c r="A283" s="8" t="s">
        <v>837</v>
      </c>
      <c r="B283" s="8" t="s">
        <v>438</v>
      </c>
      <c r="D283" s="121" t="str">
        <f>HYPERLINK("http://www.bath.va.gov/services/LGBT_PATIENT_CENTERED_CARE.ASP")</f>
        <v>http://www.bath.va.gov/services/LGBT_PATIENT_CENTERED_CARE.ASP</v>
      </c>
      <c r="E283" s="8" t="s">
        <v>392</v>
      </c>
    </row>
    <row r="284" ht="14.25" hidden="1" customHeight="1">
      <c r="A284" s="8" t="s">
        <v>837</v>
      </c>
      <c r="B284" s="8" t="s">
        <v>440</v>
      </c>
      <c r="D284" s="121" t="str">
        <f>HYPERLINK("http://www.bath.va.gov/services/LAB_AND_PATHOLOGY_SERVICES.ASP")</f>
        <v>http://www.bath.va.gov/services/LAB_AND_PATHOLOGY_SERVICES.ASP</v>
      </c>
      <c r="E284" s="8" t="s">
        <v>392</v>
      </c>
    </row>
    <row r="285" ht="14.25" hidden="1" customHeight="1">
      <c r="A285" s="8" t="s">
        <v>837</v>
      </c>
      <c r="B285" s="8" t="s">
        <v>441</v>
      </c>
      <c r="D285" s="121" t="str">
        <f>HYPERLINK("http://www.bath.va.gov/services/MOVE_WEIGHT_MANAGEMENT_PROGRAM.ASP")</f>
        <v>http://www.bath.va.gov/services/MOVE_WEIGHT_MANAGEMENT_PROGRAM.ASP</v>
      </c>
      <c r="E285" s="8" t="s">
        <v>392</v>
      </c>
    </row>
    <row r="286" ht="14.25" hidden="1" customHeight="1">
      <c r="A286" s="8" t="s">
        <v>837</v>
      </c>
      <c r="B286" s="8" t="s">
        <v>442</v>
      </c>
      <c r="D286" s="121" t="str">
        <f>HYPERLINK("http://www.bath.va.gov/services/MAMMOGRAPHY.ASP")</f>
        <v>http://www.bath.va.gov/services/MAMMOGRAPHY.ASP</v>
      </c>
      <c r="E286" s="8" t="s">
        <v>392</v>
      </c>
    </row>
    <row r="287" ht="14.25" hidden="1" customHeight="1">
      <c r="A287" s="8" t="s">
        <v>837</v>
      </c>
      <c r="B287" s="8" t="s">
        <v>323</v>
      </c>
      <c r="D287" s="121" t="str">
        <f>HYPERLINK("http://www.bath.va.gov/services/MENTAL_HEALTH.ASP")</f>
        <v>http://www.bath.va.gov/services/MENTAL_HEALTH.ASP</v>
      </c>
      <c r="E287" s="8" t="s">
        <v>392</v>
      </c>
    </row>
    <row r="288" ht="14.25" hidden="1" customHeight="1">
      <c r="A288" s="8" t="s">
        <v>837</v>
      </c>
      <c r="B288" s="8" t="s">
        <v>326</v>
      </c>
      <c r="D288" s="121" t="str">
        <f>HYPERLINK("http://www.bath.va.gov/services/MINORITY_VETERANS_PROGRAM.ASP")</f>
        <v>http://www.bath.va.gov/services/MINORITY_VETERANS_PROGRAM.ASP</v>
      </c>
      <c r="E288" s="8" t="s">
        <v>392</v>
      </c>
    </row>
    <row r="289" ht="14.25" hidden="1" customHeight="1">
      <c r="A289" s="8" t="s">
        <v>837</v>
      </c>
      <c r="B289" s="8" t="s">
        <v>332</v>
      </c>
      <c r="D289" s="121" t="str">
        <f>HYPERLINK("http://www.bath.va.gov/services/NUTRITION_AND_FOOD_SERVICES.ASP")</f>
        <v>http://www.bath.va.gov/services/NUTRITION_AND_FOOD_SERVICES.ASP</v>
      </c>
      <c r="E289" s="8" t="s">
        <v>392</v>
      </c>
    </row>
    <row r="290" ht="14.25" hidden="1" customHeight="1">
      <c r="A290" s="8" t="s">
        <v>837</v>
      </c>
      <c r="B290" s="8" t="s">
        <v>850</v>
      </c>
      <c r="D290" s="121" t="str">
        <f>HYPERLINK("http://www.bath.va.gov/services/OEF_OIF_OND_VETERANS_POINT_OF_CONTACT.ASP")</f>
        <v>http://www.bath.va.gov/services/OEF_OIF_OND_VETERANS_POINT_OF_CONTACT.ASP</v>
      </c>
      <c r="E290" s="8" t="s">
        <v>392</v>
      </c>
    </row>
    <row r="291" ht="14.25" hidden="1" customHeight="1">
      <c r="A291" s="8" t="s">
        <v>837</v>
      </c>
      <c r="B291" s="8" t="s">
        <v>852</v>
      </c>
      <c r="D291" s="121" t="str">
        <f>HYPERLINK("http://www.bath.va.gov/services/OBSTETRICS_AND_GYNECOLOGY.ASP")</f>
        <v>http://www.bath.va.gov/services/OBSTETRICS_AND_GYNECOLOGY.ASP</v>
      </c>
      <c r="E291" s="8" t="s">
        <v>392</v>
      </c>
    </row>
    <row r="292" ht="14.25" hidden="1" customHeight="1">
      <c r="A292" s="8" t="s">
        <v>837</v>
      </c>
      <c r="B292" s="8" t="s">
        <v>853</v>
      </c>
      <c r="D292" s="121" t="str">
        <f>HYPERLINK("http://www.bath.va.gov/services/OCCUPATIONAL_THERAPY_AND_PHYSICAL_MEDICINE.ASP")</f>
        <v>http://www.bath.va.gov/services/OCCUPATIONAL_THERAPY_AND_PHYSICAL_MEDICINE.ASP</v>
      </c>
      <c r="E292" s="8" t="s">
        <v>392</v>
      </c>
    </row>
    <row r="293" ht="14.25" hidden="1" customHeight="1">
      <c r="A293" s="8" t="s">
        <v>837</v>
      </c>
      <c r="B293" s="8" t="s">
        <v>343</v>
      </c>
      <c r="D293" s="121" t="str">
        <f>HYPERLINK("http://www.bath.va.gov/services/PHARMACY.ASP")</f>
        <v>http://www.bath.va.gov/services/PHARMACY.ASP</v>
      </c>
      <c r="E293" s="8" t="s">
        <v>392</v>
      </c>
    </row>
    <row r="294" ht="14.25" hidden="1" customHeight="1">
      <c r="A294" s="8" t="s">
        <v>837</v>
      </c>
      <c r="B294" s="8" t="s">
        <v>450</v>
      </c>
      <c r="D294" s="121" t="str">
        <f>HYPERLINK("http://www.bath.va.gov/services/PODIATRY.ASP")</f>
        <v>http://www.bath.va.gov/services/PODIATRY.ASP</v>
      </c>
      <c r="E294" s="8" t="s">
        <v>392</v>
      </c>
    </row>
    <row r="295" ht="14.25" hidden="1" customHeight="1">
      <c r="A295" s="8" t="s">
        <v>837</v>
      </c>
      <c r="B295" s="8" t="s">
        <v>451</v>
      </c>
      <c r="D295" s="121" t="str">
        <f>HYPERLINK("http://www.bath.va.gov/services/POLYTRAUMA_PROGRAM.ASP")</f>
        <v>http://www.bath.va.gov/services/POLYTRAUMA_PROGRAM.ASP</v>
      </c>
      <c r="E295" s="8" t="s">
        <v>392</v>
      </c>
    </row>
    <row r="296" ht="14.25" hidden="1" customHeight="1">
      <c r="A296" s="8" t="s">
        <v>837</v>
      </c>
      <c r="B296" s="8" t="s">
        <v>855</v>
      </c>
      <c r="D296" s="121" t="str">
        <f>HYPERLINK("http://www.bath.va.gov/services/POSTTRAUMATIC_STRESS_DISORDER.ASP")</f>
        <v>http://www.bath.va.gov/services/POSTTRAUMATIC_STRESS_DISORDER.ASP</v>
      </c>
      <c r="E296" s="8" t="s">
        <v>392</v>
      </c>
    </row>
    <row r="297" ht="14.25" hidden="1" customHeight="1">
      <c r="A297" s="8" t="s">
        <v>837</v>
      </c>
      <c r="B297" s="8" t="s">
        <v>856</v>
      </c>
      <c r="D297" s="121" t="str">
        <f>HYPERLINK("http://www.bath.va.gov/services/PRIMARY_CARE_MEDICINE.ASP")</f>
        <v>http://www.bath.va.gov/services/PRIMARY_CARE_MEDICINE.ASP</v>
      </c>
      <c r="E297" s="8" t="s">
        <v>392</v>
      </c>
    </row>
    <row r="298" ht="14.25" hidden="1" customHeight="1">
      <c r="A298" s="8" t="s">
        <v>837</v>
      </c>
      <c r="B298" s="8" t="s">
        <v>456</v>
      </c>
      <c r="D298" s="121" t="str">
        <f>HYPERLINK("http://www.bath.va.gov/services/PROSTHETICS_AND_SENSORY_AIDS.ASP")</f>
        <v>http://www.bath.va.gov/services/PROSTHETICS_AND_SENSORY_AIDS.ASP</v>
      </c>
      <c r="E298" s="8" t="s">
        <v>392</v>
      </c>
    </row>
    <row r="299" ht="14.25" hidden="1" customHeight="1">
      <c r="A299" s="8" t="s">
        <v>837</v>
      </c>
      <c r="B299" s="8" t="s">
        <v>858</v>
      </c>
      <c r="D299" s="121" t="str">
        <f>HYPERLINK("http://www.bath.va.gov/services/SPECIALTY_CARE_SERVICES.ASP")</f>
        <v>http://www.bath.va.gov/services/SPECIALTY_CARE_SERVICES.ASP</v>
      </c>
      <c r="E299" s="8" t="s">
        <v>392</v>
      </c>
    </row>
    <row r="300" ht="14.25" hidden="1" customHeight="1">
      <c r="A300" s="8" t="s">
        <v>837</v>
      </c>
      <c r="B300" s="8" t="s">
        <v>463</v>
      </c>
      <c r="D300" s="121" t="str">
        <f>HYPERLINK("http://www.bath.va.gov/services/SPINAL_CORD_INJURY_AND_DISORDERS.ASP")</f>
        <v>http://www.bath.va.gov/services/SPINAL_CORD_INJURY_AND_DISORDERS.ASP</v>
      </c>
      <c r="E300" s="8" t="s">
        <v>392</v>
      </c>
    </row>
    <row r="301" ht="14.25" hidden="1" customHeight="1">
      <c r="A301" s="8" t="s">
        <v>837</v>
      </c>
      <c r="B301" s="8" t="s">
        <v>370</v>
      </c>
      <c r="D301" s="121" t="str">
        <f>HYPERLINK("http://www.bath.va.gov/services/TELEHEALTH.ASP")</f>
        <v>http://www.bath.va.gov/services/TELEHEALTH.ASP</v>
      </c>
      <c r="E301" s="8" t="s">
        <v>392</v>
      </c>
    </row>
    <row r="302" ht="14.25" hidden="1" customHeight="1">
      <c r="A302" s="8" t="s">
        <v>837</v>
      </c>
      <c r="B302" s="8" t="s">
        <v>469</v>
      </c>
      <c r="D302" s="121" t="str">
        <f>HYPERLINK("http://www.bath.va.gov/services/UROLOGY.ASP")</f>
        <v>http://www.bath.va.gov/services/UROLOGY.ASP</v>
      </c>
      <c r="E302" s="8" t="s">
        <v>392</v>
      </c>
    </row>
    <row r="303" ht="14.25" hidden="1" customHeight="1">
      <c r="A303" s="8" t="s">
        <v>837</v>
      </c>
      <c r="B303" s="8" t="s">
        <v>470</v>
      </c>
      <c r="D303" s="121" t="str">
        <f>HYPERLINK("http://www.bath.va.gov/services/VA_NURSE_HELPLINE.ASP")</f>
        <v>http://www.bath.va.gov/services/VA_NURSE_HELPLINE.ASP</v>
      </c>
      <c r="E303" s="8" t="s">
        <v>392</v>
      </c>
    </row>
    <row r="304" ht="14.25" hidden="1" customHeight="1">
      <c r="A304" s="8" t="s">
        <v>837</v>
      </c>
      <c r="B304" s="8" t="s">
        <v>471</v>
      </c>
      <c r="D304" s="121" t="str">
        <f>HYPERLINK("http://www.bath.va.gov/services/VISION_REHABILITATION_SERVICES.ASP")</f>
        <v>http://www.bath.va.gov/services/VISION_REHABILITATION_SERVICES.ASP</v>
      </c>
      <c r="E304" s="8" t="s">
        <v>392</v>
      </c>
    </row>
    <row r="305" ht="14.25" hidden="1" customHeight="1">
      <c r="A305" s="8" t="s">
        <v>860</v>
      </c>
      <c r="B305" s="8" t="s">
        <v>624</v>
      </c>
      <c r="D305" s="121" t="str">
        <f>HYPERLINK("http://www.battlecreek.va.gov/services/APPOINTMENTS.ASP")</f>
        <v>http://www.battlecreek.va.gov/services/APPOINTMENTS.ASP</v>
      </c>
      <c r="E305" s="8" t="s">
        <v>392</v>
      </c>
    </row>
    <row r="306" ht="14.25" hidden="1" customHeight="1">
      <c r="A306" s="8" t="s">
        <v>860</v>
      </c>
      <c r="B306" s="8" t="s">
        <v>244</v>
      </c>
      <c r="D306" s="121" t="str">
        <f>HYPERLINK("http://www.battlecreek.va.gov/services/AUDIOLOGY_AND_SPEECH_THERAPY.ASP")</f>
        <v>http://www.battlecreek.va.gov/services/AUDIOLOGY_AND_SPEECH_THERAPY.ASP</v>
      </c>
      <c r="E306" s="8" t="s">
        <v>392</v>
      </c>
    </row>
    <row r="307" ht="14.25" hidden="1" customHeight="1">
      <c r="A307" s="8" t="s">
        <v>860</v>
      </c>
      <c r="B307" s="8" t="s">
        <v>862</v>
      </c>
      <c r="D307" s="121" t="str">
        <f>HYPERLINK("http://www.battlecreek.va.gov/services/VISOR_BLIND_REHAB.ASP")</f>
        <v>http://www.battlecreek.va.gov/services/VISOR_BLIND_REHAB.ASP</v>
      </c>
      <c r="E307" s="8" t="s">
        <v>595</v>
      </c>
    </row>
    <row r="308" ht="14.25" hidden="1" customHeight="1">
      <c r="A308" s="8" t="s">
        <v>860</v>
      </c>
      <c r="B308" s="8" t="s">
        <v>864</v>
      </c>
      <c r="D308" s="121" t="str">
        <f>HYPERLINK("http://www.battlecreek.va.gov/services/CANTEEN.ASP")</f>
        <v>http://www.battlecreek.va.gov/services/CANTEEN.ASP</v>
      </c>
      <c r="E308" s="8" t="s">
        <v>392</v>
      </c>
    </row>
    <row r="309" ht="14.25" hidden="1" customHeight="1">
      <c r="A309" s="8" t="s">
        <v>860</v>
      </c>
      <c r="B309" s="8" t="s">
        <v>865</v>
      </c>
      <c r="D309" s="121" t="str">
        <f>HYPERLINK("http://www.battlecreek.va.gov/services/CARE_COORDINATION_TELEHEALTH.ASP")</f>
        <v>http://www.battlecreek.va.gov/services/CARE_COORDINATION_TELEHEALTH.ASP</v>
      </c>
      <c r="E309" s="8" t="s">
        <v>392</v>
      </c>
    </row>
    <row r="310" ht="14.25" hidden="1" customHeight="1">
      <c r="A310" s="8" t="s">
        <v>860</v>
      </c>
      <c r="B310" s="8" t="s">
        <v>488</v>
      </c>
      <c r="D310" s="121" t="str">
        <f>HYPERLINK("http://www.battlecreek.va.gov/services/CAREGIVER_SUPPORT_PROGRAM.ASP")</f>
        <v>http://www.battlecreek.va.gov/services/CAREGIVER_SUPPORT_PROGRAM.ASP</v>
      </c>
      <c r="E310" s="8" t="s">
        <v>392</v>
      </c>
    </row>
    <row r="311" ht="14.25" hidden="1" customHeight="1">
      <c r="A311" s="8" t="s">
        <v>860</v>
      </c>
      <c r="B311" s="8" t="s">
        <v>478</v>
      </c>
      <c r="D311" s="121" t="str">
        <f>HYPERLINK("http://www.battlecreek.va.gov/services/CHAPLAIN_SERVICE.ASP")</f>
        <v>http://www.battlecreek.va.gov/services/CHAPLAIN_SERVICE.ASP</v>
      </c>
      <c r="E311" s="8" t="s">
        <v>392</v>
      </c>
    </row>
    <row r="312" ht="14.25" hidden="1" customHeight="1">
      <c r="A312" s="8" t="s">
        <v>860</v>
      </c>
      <c r="B312" s="8" t="s">
        <v>868</v>
      </c>
      <c r="D312" s="121" t="str">
        <f>HYPERLINK("http://www.battlecreek.va.gov/services/CHRONIC_PAIN_MANAGEMENT.ASP")</f>
        <v>http://www.battlecreek.va.gov/services/CHRONIC_PAIN_MANAGEMENT.ASP</v>
      </c>
      <c r="E312" s="8" t="s">
        <v>392</v>
      </c>
    </row>
    <row r="313" ht="14.25" hidden="1" customHeight="1">
      <c r="A313" s="8" t="s">
        <v>860</v>
      </c>
      <c r="B313" s="8" t="s">
        <v>692</v>
      </c>
      <c r="D313" s="121" t="str">
        <f>HYPERLINK("http://www.battlecreek.va.gov/services/COMMUNITY_CARE.ASP")</f>
        <v>http://www.battlecreek.va.gov/services/COMMUNITY_CARE.ASP</v>
      </c>
      <c r="E313" s="8" t="s">
        <v>392</v>
      </c>
    </row>
    <row r="314" ht="14.25" hidden="1" customHeight="1">
      <c r="A314" s="8" t="s">
        <v>860</v>
      </c>
      <c r="B314" s="8" t="s">
        <v>482</v>
      </c>
      <c r="D314" s="121" t="str">
        <f>HYPERLINK("http://www.battlecreek.va.gov/services/COMMUNITY_LIVING_CENTER.ASP")</f>
        <v>http://www.battlecreek.va.gov/services/COMMUNITY_LIVING_CENTER.ASP</v>
      </c>
      <c r="E314" s="8" t="s">
        <v>392</v>
      </c>
    </row>
    <row r="315" ht="14.25" hidden="1" customHeight="1">
      <c r="A315" s="8" t="s">
        <v>860</v>
      </c>
      <c r="B315" s="8" t="s">
        <v>870</v>
      </c>
      <c r="D315" s="121" t="str">
        <f>HYPERLINK("http://www.battlecreek.va.gov/services/COMPENSATED_WORK_THERAPY.ASP")</f>
        <v>http://www.battlecreek.va.gov/services/COMPENSATED_WORK_THERAPY.ASP</v>
      </c>
      <c r="E315" s="8" t="s">
        <v>392</v>
      </c>
    </row>
    <row r="316" ht="14.25" hidden="1" customHeight="1">
      <c r="A316" s="8" t="s">
        <v>860</v>
      </c>
      <c r="B316" s="8" t="s">
        <v>871</v>
      </c>
      <c r="D316" s="121" t="str">
        <f>HYPERLINK("http://www.battlecreek.va.gov/services/VETERANS_TRANSPORTATION_SERVICE.ASP")</f>
        <v>http://www.battlecreek.va.gov/services/VETERANS_TRANSPORTATION_SERVICE.ASP</v>
      </c>
      <c r="E316" s="8" t="s">
        <v>595</v>
      </c>
    </row>
    <row r="317" ht="14.25" hidden="1" customHeight="1">
      <c r="A317" s="8" t="s">
        <v>860</v>
      </c>
      <c r="B317" s="8" t="s">
        <v>872</v>
      </c>
      <c r="D317" s="121" t="str">
        <f>HYPERLINK("http://www.battlecreek.va.gov/services/PATIENT_ADVOCATES.ASP")</f>
        <v>http://www.battlecreek.va.gov/services/PATIENT_ADVOCATES.ASP</v>
      </c>
      <c r="E317" s="8" t="s">
        <v>595</v>
      </c>
    </row>
    <row r="318" ht="14.25" hidden="1" customHeight="1">
      <c r="A318" s="8" t="s">
        <v>860</v>
      </c>
      <c r="B318" s="8" t="s">
        <v>513</v>
      </c>
      <c r="D318" s="121" t="str">
        <f>HYPERLINK("http://www.battlecreek.va.gov/services/DENTAL.ASP")</f>
        <v>http://www.battlecreek.va.gov/services/DENTAL.ASP</v>
      </c>
      <c r="E318" s="8" t="s">
        <v>392</v>
      </c>
    </row>
    <row r="319" ht="14.25" hidden="1" customHeight="1">
      <c r="A319" s="8" t="s">
        <v>860</v>
      </c>
      <c r="B319" s="8" t="s">
        <v>874</v>
      </c>
      <c r="D319" s="121" t="str">
        <f>HYPERLINK("http://www.battlecreek.va.gov/services/NUTRITION_AND_FOOD_SERVICE.ASP")</f>
        <v>http://www.battlecreek.va.gov/services/NUTRITION_AND_FOOD_SERVICE.ASP</v>
      </c>
      <c r="E319" s="8" t="s">
        <v>595</v>
      </c>
    </row>
    <row r="320" ht="14.25" hidden="1" customHeight="1">
      <c r="A320" s="8" t="s">
        <v>860</v>
      </c>
      <c r="B320" s="8" t="s">
        <v>875</v>
      </c>
      <c r="D320" s="121" t="str">
        <f>HYPERLINK("http://www.battlecreek.va.gov/services/PSYCHOSOCIAL_RRTP.ASP")</f>
        <v>http://www.battlecreek.va.gov/services/PSYCHOSOCIAL_RRTP.ASP</v>
      </c>
      <c r="E320" s="8" t="s">
        <v>595</v>
      </c>
    </row>
    <row r="321" ht="14.25" hidden="1" customHeight="1">
      <c r="A321" s="8" t="s">
        <v>860</v>
      </c>
      <c r="B321" s="8" t="s">
        <v>876</v>
      </c>
      <c r="D321" s="121" t="str">
        <f>HYPERLINK("http://www.battlecreek.va.gov/services/EMPLOYEE_WELLNESS.ASP")</f>
        <v>http://www.battlecreek.va.gov/services/EMPLOYEE_WELLNESS.ASP</v>
      </c>
      <c r="E321" s="8" t="s">
        <v>392</v>
      </c>
    </row>
    <row r="322" ht="14.25" hidden="1" customHeight="1">
      <c r="A322" s="8" t="s">
        <v>860</v>
      </c>
      <c r="B322" s="8" t="s">
        <v>878</v>
      </c>
      <c r="D322" s="121" t="str">
        <f>HYPERLINK("http://www.battlecreek.va.gov/services/FLU_SHOT_CLINICS.ASP")</f>
        <v>http://www.battlecreek.va.gov/services/FLU_SHOT_CLINICS.ASP</v>
      </c>
      <c r="E322" s="8" t="s">
        <v>392</v>
      </c>
    </row>
    <row r="323" ht="14.25" hidden="1" customHeight="1">
      <c r="A323" s="8" t="s">
        <v>860</v>
      </c>
      <c r="B323" s="8" t="s">
        <v>486</v>
      </c>
      <c r="D323" s="121" t="str">
        <f>HYPERLINK("http://www.battlecreek.va.gov/services/FORMER_POW.ASP")</f>
        <v>http://www.battlecreek.va.gov/services/FORMER_POW.ASP</v>
      </c>
      <c r="E323" s="8" t="s">
        <v>392</v>
      </c>
    </row>
    <row r="324" ht="14.25" hidden="1" customHeight="1">
      <c r="A324" s="8" t="s">
        <v>860</v>
      </c>
      <c r="B324" s="8" t="s">
        <v>588</v>
      </c>
      <c r="D324" s="121" t="str">
        <f>HYPERLINK("http://www.battlecreek.va.gov/services/HOMELESS_CONTINUUM.ASP")</f>
        <v>http://www.battlecreek.va.gov/services/HOMELESS_CONTINUUM.ASP</v>
      </c>
      <c r="E324" s="8" t="s">
        <v>392</v>
      </c>
    </row>
    <row r="325" ht="14.25" hidden="1" customHeight="1">
      <c r="A325" s="8" t="s">
        <v>860</v>
      </c>
      <c r="B325" s="8" t="s">
        <v>431</v>
      </c>
      <c r="D325" s="121" t="str">
        <f>HYPERLINK("http://www.battlecreek.va.gov/services/HOME_BASED_PRIMARY_CARE.ASP")</f>
        <v>http://www.battlecreek.va.gov/services/HOME_BASED_PRIMARY_CARE.ASP</v>
      </c>
      <c r="E325" s="8" t="s">
        <v>392</v>
      </c>
    </row>
    <row r="326" ht="14.25" hidden="1" customHeight="1">
      <c r="A326" s="8" t="s">
        <v>860</v>
      </c>
      <c r="B326" s="8" t="s">
        <v>766</v>
      </c>
      <c r="D326" s="121" t="str">
        <f>HYPERLINK("http://www.battlecreek.va.gov/services/PALLIATIVE_CARE.ASP")</f>
        <v>http://www.battlecreek.va.gov/services/PALLIATIVE_CARE.ASP</v>
      </c>
      <c r="E326" s="8" t="s">
        <v>595</v>
      </c>
    </row>
    <row r="327" ht="14.25" hidden="1" customHeight="1">
      <c r="A327" s="8" t="s">
        <v>860</v>
      </c>
      <c r="B327" s="8" t="s">
        <v>670</v>
      </c>
      <c r="D327" s="121" t="str">
        <f>HYPERLINK("http://www.battlecreek.va.gov/services/HUMAN_RESOURCES.ASP")</f>
        <v>http://www.battlecreek.va.gov/services/HUMAN_RESOURCES.ASP</v>
      </c>
      <c r="E327" s="8" t="s">
        <v>392</v>
      </c>
    </row>
    <row r="328" ht="14.25" hidden="1" customHeight="1">
      <c r="A328" s="8" t="s">
        <v>860</v>
      </c>
      <c r="B328" s="8" t="s">
        <v>882</v>
      </c>
      <c r="D328" s="121" t="str">
        <f>HYPERLINK("http://www.battlecreek.va.gov/services/INPATIENT_MEDICAL_UNIT.ASP")</f>
        <v>http://www.battlecreek.va.gov/services/INPATIENT_MEDICAL_UNIT.ASP</v>
      </c>
      <c r="E328" s="8" t="s">
        <v>392</v>
      </c>
    </row>
    <row r="329" ht="14.25" hidden="1" customHeight="1">
      <c r="A329" s="8" t="s">
        <v>860</v>
      </c>
      <c r="B329" s="8" t="s">
        <v>885</v>
      </c>
      <c r="D329" s="121" t="str">
        <f>HYPERLINK("http://www.battlecreek.va.gov/services/INPATIENT_MENTAL_HEALTH.ASP")</f>
        <v>http://www.battlecreek.va.gov/services/INPATIENT_MENTAL_HEALTH.ASP</v>
      </c>
      <c r="E329" s="8" t="s">
        <v>392</v>
      </c>
    </row>
    <row r="330" ht="14.25" hidden="1" customHeight="1">
      <c r="A330" s="8" t="s">
        <v>860</v>
      </c>
      <c r="B330" s="8" t="s">
        <v>886</v>
      </c>
      <c r="D330" s="121" t="str">
        <f>HYPERLINK("http://www.battlecreek.va.gov/services/REHAB.ASP")</f>
        <v>http://www.battlecreek.va.gov/services/REHAB.ASP</v>
      </c>
      <c r="E330" s="8" t="s">
        <v>392</v>
      </c>
    </row>
    <row r="331" ht="14.25" hidden="1" customHeight="1">
      <c r="A331" s="8" t="s">
        <v>860</v>
      </c>
      <c r="B331" s="8" t="s">
        <v>887</v>
      </c>
      <c r="D331" s="121" t="str">
        <f>HYPERLINK("http://www.battlecreek.va.gov/services/LABORATORY_AND_PATHOLOGY.ASP")</f>
        <v>http://www.battlecreek.va.gov/services/LABORATORY_AND_PATHOLOGY.ASP</v>
      </c>
      <c r="E331" s="8" t="s">
        <v>392</v>
      </c>
    </row>
    <row r="332" ht="14.25" hidden="1" customHeight="1">
      <c r="A332" s="8" t="s">
        <v>860</v>
      </c>
      <c r="B332" s="8" t="s">
        <v>889</v>
      </c>
      <c r="D332" s="121" t="str">
        <f>HYPERLINK("http://www.battlecreek.va.gov/services/LODGING.ASP")</f>
        <v>http://www.battlecreek.va.gov/services/LODGING.ASP</v>
      </c>
      <c r="E332" s="8" t="s">
        <v>392</v>
      </c>
    </row>
    <row r="333" ht="14.25" hidden="1" customHeight="1">
      <c r="A333" s="8" t="s">
        <v>860</v>
      </c>
      <c r="B333" s="8" t="s">
        <v>890</v>
      </c>
      <c r="D333" s="121" t="str">
        <f>HYPERLINK("http://www.battlecreek.va.gov/services/MOVE_WEIGHT_MANAGEMENT_PROGRAM.ASP")</f>
        <v>http://www.battlecreek.va.gov/services/MOVE_WEIGHT_MANAGEMENT_PROGRAM.ASP</v>
      </c>
      <c r="E333" s="8" t="s">
        <v>392</v>
      </c>
    </row>
    <row r="334" ht="14.25" hidden="1" customHeight="1">
      <c r="A334" s="8" t="s">
        <v>860</v>
      </c>
      <c r="B334" s="8" t="s">
        <v>476</v>
      </c>
      <c r="D334" s="121" t="str">
        <f>HYPERLINK("http://www.battlecreek.va.gov/services/MEDICAL_FOSTER_HOME.ASP")</f>
        <v>http://www.battlecreek.va.gov/services/MEDICAL_FOSTER_HOME.ASP</v>
      </c>
      <c r="E334" s="8" t="s">
        <v>392</v>
      </c>
    </row>
    <row r="335" ht="14.25" hidden="1" customHeight="1">
      <c r="A335" s="8" t="s">
        <v>860</v>
      </c>
      <c r="B335" s="8" t="s">
        <v>892</v>
      </c>
      <c r="D335" s="121" t="str">
        <f>HYPERLINK("http://www.battlecreek.va.gov/services/MEDICAL_SOCIAL_WORK.ASP")</f>
        <v>http://www.battlecreek.va.gov/services/MEDICAL_SOCIAL_WORK.ASP</v>
      </c>
      <c r="E335" s="8" t="s">
        <v>392</v>
      </c>
    </row>
    <row r="336" ht="14.25" hidden="1" customHeight="1">
      <c r="A336" s="8" t="s">
        <v>860</v>
      </c>
      <c r="B336" s="8" t="s">
        <v>323</v>
      </c>
      <c r="D336" s="121" t="str">
        <f>HYPERLINK("http://www.battlecreek.va.gov/services/MENTAL_HEALTH.ASP")</f>
        <v>http://www.battlecreek.va.gov/services/MENTAL_HEALTH.ASP</v>
      </c>
      <c r="E336" s="8" t="s">
        <v>392</v>
      </c>
    </row>
    <row r="337" ht="14.25" hidden="1" customHeight="1">
      <c r="A337" s="8" t="s">
        <v>860</v>
      </c>
      <c r="B337" s="8" t="s">
        <v>600</v>
      </c>
      <c r="D337" s="121" t="str">
        <f>HYPERLINK("http://www.battlecreek.va.gov/services/MENTAL_HEALTH_MHICM.ASP")</f>
        <v>http://www.battlecreek.va.gov/services/MENTAL_HEALTH_MHICM.ASP</v>
      </c>
      <c r="E337" s="8" t="s">
        <v>392</v>
      </c>
    </row>
    <row r="338" ht="14.25" hidden="1" customHeight="1">
      <c r="A338" s="8" t="s">
        <v>860</v>
      </c>
      <c r="B338" s="8" t="s">
        <v>494</v>
      </c>
      <c r="D338" s="121" t="str">
        <f>HYPERLINK("http://www.battlecreek.va.gov/services/MY_HEALTHEVET.ASP")</f>
        <v>http://www.battlecreek.va.gov/services/MY_HEALTHEVET.ASP</v>
      </c>
      <c r="E338" s="8" t="s">
        <v>392</v>
      </c>
    </row>
    <row r="339" ht="14.25" hidden="1" customHeight="1">
      <c r="A339" s="8" t="s">
        <v>860</v>
      </c>
      <c r="B339" s="8" t="s">
        <v>893</v>
      </c>
      <c r="D339" s="121" t="str">
        <f>HYPERLINK("http://www.battlecreek.va.gov/services/NEUROPSYCHOLOGY_ASSESSMENT_CLINIC.ASP")</f>
        <v>http://www.battlecreek.va.gov/services/NEUROPSYCHOLOGY_ASSESSMENT_CLINIC.ASP</v>
      </c>
      <c r="E339" s="8" t="s">
        <v>392</v>
      </c>
    </row>
    <row r="340" ht="14.25" hidden="1" customHeight="1">
      <c r="A340" s="8" t="s">
        <v>860</v>
      </c>
      <c r="B340" s="8" t="s">
        <v>894</v>
      </c>
      <c r="D340" s="121" t="str">
        <f>HYPERLINK("http://www.battlecreek.va.gov/services/NORTHERN_RURAL_EXPANSION.ASP")</f>
        <v>http://www.battlecreek.va.gov/services/NORTHERN_RURAL_EXPANSION.ASP</v>
      </c>
      <c r="E340" s="8" t="s">
        <v>392</v>
      </c>
    </row>
    <row r="341" ht="14.25" hidden="1" customHeight="1">
      <c r="A341" s="8" t="s">
        <v>860</v>
      </c>
      <c r="B341" s="8" t="s">
        <v>895</v>
      </c>
      <c r="D341" s="121" t="str">
        <f>HYPERLINK("http://www.battlecreek.va.gov/services/ESCORT_SECTION.ASP")</f>
        <v>http://www.battlecreek.va.gov/services/ESCORT_SECTION.ASP</v>
      </c>
      <c r="E341" s="8" t="s">
        <v>392</v>
      </c>
    </row>
    <row r="342" ht="14.25" hidden="1" customHeight="1">
      <c r="A342" s="8" t="s">
        <v>860</v>
      </c>
      <c r="B342" s="8" t="s">
        <v>335</v>
      </c>
      <c r="D342" s="121" t="str">
        <f>HYPERLINK("http://www.battlecreek.va.gov/services/NUTRITION_AND_FOOD_SERVICE.ASP")</f>
        <v>http://www.battlecreek.va.gov/services/NUTRITION_AND_FOOD_SERVICE.ASP</v>
      </c>
      <c r="E342" s="8" t="s">
        <v>392</v>
      </c>
    </row>
    <row r="343" ht="14.25" hidden="1" customHeight="1">
      <c r="A343" s="8" t="s">
        <v>860</v>
      </c>
      <c r="B343" s="8" t="s">
        <v>896</v>
      </c>
      <c r="D343" s="121" t="str">
        <f>HYPERLINK("http://www.battlecreek.va.gov/services/NUTRITIONAL_COUNSELING.ASP")</f>
        <v>http://www.battlecreek.va.gov/services/NUTRITIONAL_COUNSELING.ASP</v>
      </c>
      <c r="E343" s="8" t="s">
        <v>392</v>
      </c>
    </row>
    <row r="344" ht="14.25" hidden="1" customHeight="1">
      <c r="A344" s="8" t="s">
        <v>860</v>
      </c>
      <c r="B344" s="8" t="s">
        <v>898</v>
      </c>
      <c r="D344" s="121" t="str">
        <f>HYPERLINK("http://www.battlecreek.va.gov/services/TRANSITION_CARE_MANAGEMENT.ASP")</f>
        <v>http://www.battlecreek.va.gov/services/TRANSITION_CARE_MANAGEMENT.ASP</v>
      </c>
      <c r="E344" s="8" t="s">
        <v>595</v>
      </c>
    </row>
    <row r="345" ht="14.25" hidden="1" customHeight="1">
      <c r="A345" s="8" t="s">
        <v>860</v>
      </c>
      <c r="B345" s="8" t="s">
        <v>900</v>
      </c>
      <c r="D345" s="121" t="str">
        <f>HYPERLINK("http://www.battlecreek.va.gov/services/OCCUPATIONAL_THERAPY.ASP")</f>
        <v>http://www.battlecreek.va.gov/services/OCCUPATIONAL_THERAPY.ASP</v>
      </c>
      <c r="E345" s="8" t="s">
        <v>392</v>
      </c>
    </row>
    <row r="346" ht="14.25" hidden="1" customHeight="1">
      <c r="A346" s="8" t="s">
        <v>860</v>
      </c>
      <c r="B346" s="8" t="s">
        <v>901</v>
      </c>
      <c r="D346" s="121" t="str">
        <f>HYPERLINK("http://www.battlecreek.va.gov/services/OPTOMETRY.ASP")</f>
        <v>http://www.battlecreek.va.gov/services/OPTOMETRY.ASP</v>
      </c>
      <c r="E346" s="8" t="s">
        <v>392</v>
      </c>
    </row>
    <row r="347" ht="14.25" hidden="1" customHeight="1">
      <c r="A347" s="8" t="s">
        <v>860</v>
      </c>
      <c r="B347" s="8" t="s">
        <v>902</v>
      </c>
      <c r="D347" s="121" t="str">
        <f>HYPERLINK("http://www.battlecreek.va.gov/services/OUTPATIENT_MENTAL_HEALTH.ASP")</f>
        <v>http://www.battlecreek.va.gov/services/OUTPATIENT_MENTAL_HEALTH.ASP</v>
      </c>
      <c r="E347" s="8" t="s">
        <v>392</v>
      </c>
    </row>
    <row r="348" ht="14.25" hidden="1" customHeight="1">
      <c r="A348" s="8" t="s">
        <v>860</v>
      </c>
      <c r="B348" s="8" t="s">
        <v>903</v>
      </c>
      <c r="D348" s="121" t="str">
        <f>HYPERLINK("http://www.battlecreek.va.gov/services/PTSD_PCT_CLINIC.ASP")</f>
        <v>http://www.battlecreek.va.gov/services/PTSD_PCT_CLINIC.ASP</v>
      </c>
      <c r="E348" s="8" t="s">
        <v>392</v>
      </c>
    </row>
    <row r="349" ht="14.25" hidden="1" customHeight="1">
      <c r="A349" s="8" t="s">
        <v>860</v>
      </c>
      <c r="B349" s="8" t="s">
        <v>904</v>
      </c>
      <c r="D349" s="121" t="str">
        <f>HYPERLINK("http://www.battlecreek.va.gov/services/PTSD_RRTP.ASP")</f>
        <v>http://www.battlecreek.va.gov/services/PTSD_RRTP.ASP</v>
      </c>
      <c r="E349" s="8" t="s">
        <v>392</v>
      </c>
    </row>
    <row r="350" ht="14.25" hidden="1" customHeight="1">
      <c r="A350" s="8" t="s">
        <v>860</v>
      </c>
      <c r="B350" s="8" t="s">
        <v>449</v>
      </c>
      <c r="D350" s="121" t="str">
        <f>HYPERLINK("http://www.battlecreek.va.gov/services/CHRONIC_PAIN_MANAGEMENT.ASP")</f>
        <v>http://www.battlecreek.va.gov/services/CHRONIC_PAIN_MANAGEMENT.ASP</v>
      </c>
      <c r="E350" s="8" t="s">
        <v>595</v>
      </c>
    </row>
    <row r="351" ht="14.25" hidden="1" customHeight="1">
      <c r="A351" s="8" t="s">
        <v>860</v>
      </c>
      <c r="B351" s="8" t="s">
        <v>651</v>
      </c>
      <c r="D351" s="121" t="str">
        <f>HYPERLINK("http://www.battlecreek.va.gov/services/PALLIATIVE_CARE.ASP")</f>
        <v>http://www.battlecreek.va.gov/services/PALLIATIVE_CARE.ASP</v>
      </c>
      <c r="E351" s="8" t="s">
        <v>392</v>
      </c>
    </row>
    <row r="352" ht="14.25" hidden="1" customHeight="1">
      <c r="A352" s="8" t="s">
        <v>860</v>
      </c>
      <c r="B352" s="8" t="s">
        <v>906</v>
      </c>
      <c r="D352" s="121" t="str">
        <f>HYPERLINK("http://www.battlecreek.va.gov/services/LABORATORY_AND_PATHOLOGY.ASP")</f>
        <v>http://www.battlecreek.va.gov/services/LABORATORY_AND_PATHOLOGY.ASP</v>
      </c>
      <c r="E352" s="8" t="s">
        <v>595</v>
      </c>
    </row>
    <row r="353" ht="14.25" hidden="1" customHeight="1">
      <c r="A353" s="8" t="s">
        <v>860</v>
      </c>
      <c r="B353" s="8" t="s">
        <v>907</v>
      </c>
      <c r="D353" s="121" t="str">
        <f>HYPERLINK("http://www.battlecreek.va.gov/services/PATIENT_ADVOCATES.ASP")</f>
        <v>http://www.battlecreek.va.gov/services/PATIENT_ADVOCATES.ASP</v>
      </c>
      <c r="E353" s="8" t="s">
        <v>392</v>
      </c>
    </row>
    <row r="354" ht="14.25" hidden="1" customHeight="1">
      <c r="A354" s="8" t="s">
        <v>860</v>
      </c>
      <c r="B354" s="8" t="s">
        <v>908</v>
      </c>
      <c r="D354" s="121" t="str">
        <f>HYPERLINK("http://www.battlecreek.va.gov/services/PATIENT_ALIGNED_CARE_TEAM.ASP")</f>
        <v>http://www.battlecreek.va.gov/services/PATIENT_ALIGNED_CARE_TEAM.ASP</v>
      </c>
      <c r="E354" s="8" t="s">
        <v>392</v>
      </c>
    </row>
    <row r="355" ht="14.25" hidden="1" customHeight="1">
      <c r="A355" s="8" t="s">
        <v>860</v>
      </c>
      <c r="B355" s="8" t="s">
        <v>343</v>
      </c>
      <c r="D355" s="121" t="str">
        <f>HYPERLINK("http://www.battlecreek.va.gov/services/PHARMACY.ASP")</f>
        <v>http://www.battlecreek.va.gov/services/PHARMACY.ASP</v>
      </c>
      <c r="E355" s="8" t="s">
        <v>392</v>
      </c>
    </row>
    <row r="356" ht="14.25" hidden="1" customHeight="1">
      <c r="A356" s="8" t="s">
        <v>860</v>
      </c>
      <c r="B356" s="8" t="s">
        <v>608</v>
      </c>
      <c r="D356" s="121" t="str">
        <f>HYPERLINK("http://www.battlecreek.va.gov/services/PHYSICAL_THERAPY.ASP")</f>
        <v>http://www.battlecreek.va.gov/services/PHYSICAL_THERAPY.ASP</v>
      </c>
      <c r="E356" s="8" t="s">
        <v>392</v>
      </c>
    </row>
    <row r="357" ht="14.25" hidden="1" customHeight="1">
      <c r="A357" s="8" t="s">
        <v>860</v>
      </c>
      <c r="B357" s="8" t="s">
        <v>911</v>
      </c>
      <c r="D357" s="121" t="str">
        <f>HYPERLINK("http://www.battlecreek.va.gov/services/TRANSITION_CARE_MANAGEMENT.ASP")</f>
        <v>http://www.battlecreek.va.gov/services/TRANSITION_CARE_MANAGEMENT.ASP</v>
      </c>
      <c r="E357" s="8" t="s">
        <v>595</v>
      </c>
    </row>
    <row r="358" ht="14.25" hidden="1" customHeight="1">
      <c r="A358" s="8" t="s">
        <v>860</v>
      </c>
      <c r="B358" s="8" t="s">
        <v>914</v>
      </c>
      <c r="D358" s="121" t="str">
        <f>HYPERLINK("http://www.battlecreek.va.gov/services/PAVE_CLINIC.ASP")</f>
        <v>http://www.battlecreek.va.gov/services/PAVE_CLINIC.ASP</v>
      </c>
      <c r="E358" s="8" t="s">
        <v>392</v>
      </c>
    </row>
    <row r="359" ht="14.25" hidden="1" customHeight="1">
      <c r="A359" s="8" t="s">
        <v>860</v>
      </c>
      <c r="B359" s="8" t="s">
        <v>916</v>
      </c>
      <c r="D359" s="121" t="str">
        <f>HYPERLINK("http://www.battlecreek.va.gov/services/PROSTHETICS_AND_SENSORY_AIDS_SERVICE.ASP")</f>
        <v>http://www.battlecreek.va.gov/services/PROSTHETICS_AND_SENSORY_AIDS_SERVICE.ASP</v>
      </c>
      <c r="E359" s="8" t="s">
        <v>392</v>
      </c>
    </row>
    <row r="360" ht="14.25" hidden="1" customHeight="1">
      <c r="A360" s="8" t="s">
        <v>860</v>
      </c>
      <c r="B360" s="8" t="s">
        <v>917</v>
      </c>
      <c r="D360" s="121" t="str">
        <f>HYPERLINK("http://www.battlecreek.va.gov/services/PSYCHIATRY_SERVICE.ASP")</f>
        <v>http://www.battlecreek.va.gov/services/PSYCHIATRY_SERVICE.ASP</v>
      </c>
      <c r="E360" s="8" t="s">
        <v>392</v>
      </c>
    </row>
    <row r="361" ht="14.25" hidden="1" customHeight="1">
      <c r="A361" s="8" t="s">
        <v>860</v>
      </c>
      <c r="B361" s="8" t="s">
        <v>918</v>
      </c>
      <c r="D361" s="121" t="str">
        <f>HYPERLINK("http://www.battlecreek.va.gov/services/PSYCHOLOGY.ASP")</f>
        <v>http://www.battlecreek.va.gov/services/PSYCHOLOGY.ASP</v>
      </c>
      <c r="E361" s="8" t="s">
        <v>392</v>
      </c>
    </row>
    <row r="362" ht="14.25" hidden="1" customHeight="1">
      <c r="A362" s="8" t="s">
        <v>860</v>
      </c>
      <c r="B362" s="8" t="s">
        <v>919</v>
      </c>
      <c r="D362" s="121" t="str">
        <f>HYPERLINK("http://www.battlecreek.va.gov/services/PSYCHOSOCIAL_RRTP.ASP")</f>
        <v>http://www.battlecreek.va.gov/services/PSYCHOSOCIAL_RRTP.ASP</v>
      </c>
      <c r="E362" s="8" t="s">
        <v>392</v>
      </c>
    </row>
    <row r="363" ht="14.25" hidden="1" customHeight="1">
      <c r="A363" s="8" t="s">
        <v>860</v>
      </c>
      <c r="B363" s="8" t="s">
        <v>717</v>
      </c>
      <c r="D363" s="121" t="str">
        <f>HYPERLINK("http://www.battlecreek.va.gov/services/RADIOLOGY.ASP")</f>
        <v>http://www.battlecreek.va.gov/services/RADIOLOGY.ASP</v>
      </c>
      <c r="E363" s="8" t="s">
        <v>392</v>
      </c>
    </row>
    <row r="364" ht="14.25" hidden="1" customHeight="1">
      <c r="A364" s="8" t="s">
        <v>860</v>
      </c>
      <c r="B364" s="8" t="s">
        <v>355</v>
      </c>
      <c r="D364" s="121" t="str">
        <f>HYPERLINK("http://www.battlecreek.va.gov/services/TRANSITION_CARE_MANAGEMENT.ASP")</f>
        <v>http://www.battlecreek.va.gov/services/TRANSITION_CARE_MANAGEMENT.ASP</v>
      </c>
      <c r="E364" s="8" t="s">
        <v>595</v>
      </c>
    </row>
    <row r="365" ht="14.25" hidden="1" customHeight="1">
      <c r="A365" s="8" t="s">
        <v>860</v>
      </c>
      <c r="B365" s="8" t="s">
        <v>920</v>
      </c>
      <c r="D365" s="121" t="str">
        <f>HYPERLINK("http://www.battlecreek.va.gov/services/SEATING_CLINIC.ASP")</f>
        <v>http://www.battlecreek.va.gov/services/SEATING_CLINIC.ASP</v>
      </c>
      <c r="E365" s="8" t="s">
        <v>392</v>
      </c>
    </row>
    <row r="366" ht="14.25" hidden="1" customHeight="1">
      <c r="A366" s="8" t="s">
        <v>860</v>
      </c>
      <c r="B366" s="8" t="s">
        <v>921</v>
      </c>
      <c r="D366" s="121" t="str">
        <f>HYPERLINK("http://www.battlecreek.va.gov/services/SELF_HELP_TRAINING_COURSES.ASP")</f>
        <v>http://www.battlecreek.va.gov/services/SELF_HELP_TRAINING_COURSES.ASP</v>
      </c>
      <c r="E366" s="8" t="s">
        <v>392</v>
      </c>
    </row>
    <row r="367" ht="14.25" hidden="1" customHeight="1">
      <c r="A367" s="8" t="s">
        <v>860</v>
      </c>
      <c r="B367" s="8" t="s">
        <v>923</v>
      </c>
      <c r="D367" s="121" t="str">
        <f>HYPERLINK("http://www.battlecreek.va.gov/services/VETERANS_TRANSPORTATION_SERVICE.ASP")</f>
        <v>http://www.battlecreek.va.gov/services/VETERANS_TRANSPORTATION_SERVICE.ASP</v>
      </c>
      <c r="E367" s="8" t="s">
        <v>595</v>
      </c>
    </row>
    <row r="368" ht="14.25" hidden="1" customHeight="1">
      <c r="A368" s="8" t="s">
        <v>860</v>
      </c>
      <c r="B368" s="8" t="s">
        <v>924</v>
      </c>
      <c r="D368" s="121" t="str">
        <f>HYPERLINK("http://www.battlecreek.va.gov/services/SMOKING_CESSATION.ASP")</f>
        <v>http://www.battlecreek.va.gov/services/SMOKING_CESSATION.ASP</v>
      </c>
      <c r="E368" s="8" t="s">
        <v>595</v>
      </c>
    </row>
    <row r="369" ht="14.25" hidden="1" customHeight="1">
      <c r="A369" s="8" t="s">
        <v>860</v>
      </c>
      <c r="B369" s="8" t="s">
        <v>925</v>
      </c>
      <c r="D369" s="121" t="str">
        <f>HYPERLINK("http://www.battlecreek.va.gov/services/SOCIAL_WORK_SERVICE.ASP")</f>
        <v>http://www.battlecreek.va.gov/services/SOCIAL_WORK_SERVICE.ASP</v>
      </c>
      <c r="E369" s="8" t="s">
        <v>392</v>
      </c>
    </row>
    <row r="370" ht="14.25" hidden="1" customHeight="1">
      <c r="A370" s="8" t="s">
        <v>860</v>
      </c>
      <c r="B370" s="8" t="s">
        <v>804</v>
      </c>
      <c r="D370" s="121" t="str">
        <f>HYPERLINK("http://www.battlecreek.va.gov/services/SPEECH_PATHOLOGY.ASP")</f>
        <v>http://www.battlecreek.va.gov/services/SPEECH_PATHOLOGY.ASP</v>
      </c>
      <c r="E370" s="8" t="s">
        <v>392</v>
      </c>
    </row>
    <row r="371" ht="14.25" hidden="1" customHeight="1">
      <c r="A371" s="8" t="s">
        <v>860</v>
      </c>
      <c r="B371" s="8" t="s">
        <v>929</v>
      </c>
      <c r="D371" s="121" t="str">
        <f>HYPERLINK("http://www.battlecreek.va.gov/services/SPINAL_CORD_INJURY_AND_DISORDER.ASP")</f>
        <v>http://www.battlecreek.va.gov/services/SPINAL_CORD_INJURY_AND_DISORDER.ASP</v>
      </c>
      <c r="E371" s="8" t="s">
        <v>392</v>
      </c>
    </row>
    <row r="372" ht="14.25" hidden="1" customHeight="1">
      <c r="A372" s="8" t="s">
        <v>860</v>
      </c>
      <c r="B372" s="8" t="s">
        <v>930</v>
      </c>
      <c r="D372" s="121" t="str">
        <f>HYPERLINK("http://www.battlecreek.va.gov/services/CHAPLAIN_SERVICE.ASP")</f>
        <v>http://www.battlecreek.va.gov/services/CHAPLAIN_SERVICE.ASP</v>
      </c>
      <c r="E372" s="8" t="s">
        <v>595</v>
      </c>
    </row>
    <row r="373" ht="14.25" hidden="1" customHeight="1">
      <c r="A373" s="8" t="s">
        <v>860</v>
      </c>
      <c r="B373" s="8" t="s">
        <v>391</v>
      </c>
      <c r="D373" s="121" t="str">
        <f>HYPERLINK("http://www.battlecreek.va.gov/services/SUBSTANCE_ABUSE_RRTP.ASP")</f>
        <v>http://www.battlecreek.va.gov/services/SUBSTANCE_ABUSE_RRTP.ASP</v>
      </c>
      <c r="E373" s="8" t="s">
        <v>392</v>
      </c>
    </row>
    <row r="374" ht="14.25" hidden="1" customHeight="1">
      <c r="A374" s="8" t="s">
        <v>860</v>
      </c>
      <c r="B374" s="8" t="s">
        <v>931</v>
      </c>
      <c r="D374" s="121" t="str">
        <f>HYPERLINK("http://www.battlecreek.va.gov/services/SUD-CLINIC.ASP")</f>
        <v>http://www.battlecreek.va.gov/services/SUD-CLINIC.ASP</v>
      </c>
      <c r="E374" s="8" t="s">
        <v>392</v>
      </c>
    </row>
    <row r="375" ht="14.25" hidden="1" customHeight="1">
      <c r="A375" s="8" t="s">
        <v>860</v>
      </c>
      <c r="B375" s="8" t="s">
        <v>932</v>
      </c>
      <c r="D375" s="121" t="str">
        <f>HYPERLINK("http://www.battlecreek.va.gov/services/TELEPHONE_LIAISON_CARE.ASP")</f>
        <v>http://www.battlecreek.va.gov/services/TELEPHONE_LIAISON_CARE.ASP</v>
      </c>
      <c r="E375" s="8" t="s">
        <v>392</v>
      </c>
    </row>
    <row r="376" ht="14.25" hidden="1" customHeight="1">
      <c r="A376" s="8" t="s">
        <v>860</v>
      </c>
      <c r="B376" s="8" t="s">
        <v>933</v>
      </c>
      <c r="D376" s="121" t="str">
        <f>HYPERLINK("http://www.battlecreek.va.gov/services/THERAPEUTIC_RECREATION.ASP")</f>
        <v>http://www.battlecreek.va.gov/services/THERAPEUTIC_RECREATION.ASP</v>
      </c>
      <c r="E376" s="8" t="s">
        <v>392</v>
      </c>
    </row>
    <row r="377" ht="14.25" hidden="1" customHeight="1">
      <c r="A377" s="8" t="s">
        <v>860</v>
      </c>
      <c r="B377" s="8" t="s">
        <v>934</v>
      </c>
      <c r="D377" s="121" t="str">
        <f>HYPERLINK("http://www.battlecreek.va.gov/services/SMOKING_CESSATION.ASP")</f>
        <v>http://www.battlecreek.va.gov/services/SMOKING_CESSATION.ASP</v>
      </c>
      <c r="E377" s="8" t="s">
        <v>392</v>
      </c>
    </row>
    <row r="378" ht="14.25" hidden="1" customHeight="1">
      <c r="A378" s="8" t="s">
        <v>860</v>
      </c>
      <c r="B378" s="8" t="s">
        <v>935</v>
      </c>
      <c r="D378" s="121" t="str">
        <f>HYPERLINK("http://www.battlecreek.va.gov/services/TRANSITION_CARE_MANAGEMENT.ASP")</f>
        <v>http://www.battlecreek.va.gov/services/TRANSITION_CARE_MANAGEMENT.ASP</v>
      </c>
      <c r="E378" s="8" t="s">
        <v>392</v>
      </c>
    </row>
    <row r="379" ht="14.25" hidden="1" customHeight="1">
      <c r="A379" s="8" t="s">
        <v>860</v>
      </c>
      <c r="B379" s="8" t="s">
        <v>729</v>
      </c>
      <c r="D379" s="121" t="str">
        <f>HYPERLINK("http://www.battlecreek.va.gov/services/URGENT_CARE.ASP")</f>
        <v>http://www.battlecreek.va.gov/services/URGENT_CARE.ASP</v>
      </c>
      <c r="E379" s="8" t="s">
        <v>392</v>
      </c>
    </row>
    <row r="380" ht="14.25" hidden="1" customHeight="1">
      <c r="A380" s="8" t="s">
        <v>860</v>
      </c>
      <c r="B380" s="8" t="s">
        <v>936</v>
      </c>
      <c r="D380" s="121" t="str">
        <f>HYPERLINK("http://www.battlecreek.va.gov/services/VETERANSANDFAMILYADVISORYCOUNCIL.ASP")</f>
        <v>http://www.battlecreek.va.gov/services/VETERANSANDFAMILYADVISORYCOUNCIL.ASP</v>
      </c>
      <c r="E380" s="8" t="s">
        <v>392</v>
      </c>
    </row>
    <row r="381" ht="14.25" hidden="1" customHeight="1">
      <c r="A381" s="8" t="s">
        <v>860</v>
      </c>
      <c r="B381" s="8" t="s">
        <v>742</v>
      </c>
      <c r="D381" s="121" t="str">
        <f>HYPERLINK("http://www.battlecreek.va.gov/services/VETERANS_TRANSPORTATION_SERVICE.ASP")</f>
        <v>http://www.battlecreek.va.gov/services/VETERANS_TRANSPORTATION_SERVICE.ASP</v>
      </c>
      <c r="E381" s="8" t="s">
        <v>392</v>
      </c>
    </row>
    <row r="382" ht="14.25" hidden="1" customHeight="1">
      <c r="A382" s="8" t="s">
        <v>860</v>
      </c>
      <c r="B382" s="8" t="s">
        <v>939</v>
      </c>
      <c r="D382" s="121" t="str">
        <f>HYPERLINK("http://www.battlecreek.va.gov/services/VISOR_BLIND_REHAB.ASP")</f>
        <v>http://www.battlecreek.va.gov/services/VISOR_BLIND_REHAB.ASP</v>
      </c>
      <c r="E382" s="8" t="s">
        <v>392</v>
      </c>
    </row>
    <row r="383" ht="14.25" hidden="1" customHeight="1">
      <c r="A383" s="8" t="s">
        <v>860</v>
      </c>
      <c r="B383" s="8" t="s">
        <v>375</v>
      </c>
      <c r="D383" s="121" t="str">
        <f>HYPERLINK("http://www.battlecreek.va.gov/services/VOCATIONAL_REHABILITATION.ASP")</f>
        <v>http://www.battlecreek.va.gov/services/VOCATIONAL_REHABILITATION.ASP</v>
      </c>
      <c r="E383" s="8" t="s">
        <v>392</v>
      </c>
    </row>
    <row r="384" ht="14.25" hidden="1" customHeight="1">
      <c r="A384" s="8" t="s">
        <v>860</v>
      </c>
      <c r="B384" s="8" t="s">
        <v>941</v>
      </c>
      <c r="D384" s="121" t="str">
        <f>HYPERLINK("http://www.battlecreek.va.gov/services/WARRIOR_2_SOULMATE_PROGRAM.ASP")</f>
        <v>http://www.battlecreek.va.gov/services/WARRIOR_2_SOULMATE_PROGRAM.ASP</v>
      </c>
      <c r="E384" s="8" t="s">
        <v>392</v>
      </c>
    </row>
    <row r="385" ht="14.25" hidden="1" customHeight="1">
      <c r="A385" s="8" t="s">
        <v>860</v>
      </c>
      <c r="B385" s="8" t="s">
        <v>942</v>
      </c>
      <c r="D385" s="121" t="str">
        <f>HYPERLINK("http://www.battlecreek.va.gov/services/MOVE_WEIGHT_MANAGEMENT_PROGRAM.ASP")</f>
        <v>http://www.battlecreek.va.gov/services/MOVE_WEIGHT_MANAGEMENT_PROGRAM.ASP</v>
      </c>
      <c r="E385" s="8" t="s">
        <v>595</v>
      </c>
    </row>
    <row r="386" ht="14.25" hidden="1" customHeight="1">
      <c r="A386" s="8" t="s">
        <v>860</v>
      </c>
      <c r="B386" s="8" t="s">
        <v>943</v>
      </c>
      <c r="D386" s="121" t="str">
        <f>HYPERLINK("http://www.battlecreek.va.gov/services/WELLNESS_CENTER.ASP")</f>
        <v>http://www.battlecreek.va.gov/services/WELLNESS_CENTER.ASP</v>
      </c>
      <c r="E386" s="8" t="s">
        <v>392</v>
      </c>
    </row>
    <row r="387" ht="14.25" hidden="1" customHeight="1">
      <c r="A387" s="8" t="s">
        <v>860</v>
      </c>
      <c r="B387" s="8" t="s">
        <v>472</v>
      </c>
      <c r="D387" s="121" t="str">
        <f>HYPERLINK("http://www.battlecreek.va.gov/services/WOMENS_HEALTH.ASP")</f>
        <v>http://www.battlecreek.va.gov/services/WOMENS_HEALTH.ASP</v>
      </c>
      <c r="E387" s="8" t="s">
        <v>392</v>
      </c>
    </row>
    <row r="388" ht="14.25" hidden="1" customHeight="1">
      <c r="A388" s="8" t="s">
        <v>944</v>
      </c>
      <c r="B388" s="8" t="s">
        <v>945</v>
      </c>
      <c r="D388" s="121" t="str">
        <f>HYPERLINK("http://www.baypines.va.gov/services/CHAMP_VA.ASP")</f>
        <v>http://www.baypines.va.gov/services/CHAMP_VA.ASP</v>
      </c>
      <c r="E388" s="8" t="s">
        <v>392</v>
      </c>
    </row>
    <row r="389" ht="14.25" hidden="1" customHeight="1">
      <c r="A389" s="8" t="s">
        <v>944</v>
      </c>
      <c r="B389" s="8" t="s">
        <v>414</v>
      </c>
      <c r="D389" s="121" t="str">
        <f>HYPERLINK("http://www.baypines.va.gov/services/CARDIOLOGY_SERVICES.ASP")</f>
        <v>http://www.baypines.va.gov/services/CARDIOLOGY_SERVICES.ASP</v>
      </c>
      <c r="E389" s="8" t="s">
        <v>392</v>
      </c>
    </row>
    <row r="390" ht="14.25" hidden="1" customHeight="1">
      <c r="A390" s="8" t="s">
        <v>944</v>
      </c>
      <c r="B390" s="8" t="s">
        <v>946</v>
      </c>
      <c r="D390" s="121" t="str">
        <f>HYPERLINK("http://www.baypines.va.gov/services/CCHT_SERVICES.ASP")</f>
        <v>http://www.baypines.va.gov/services/CCHT_SERVICES.ASP</v>
      </c>
      <c r="E390" s="8" t="s">
        <v>392</v>
      </c>
    </row>
    <row r="391" ht="14.25" hidden="1" customHeight="1">
      <c r="A391" s="8" t="s">
        <v>944</v>
      </c>
      <c r="B391" s="8" t="s">
        <v>478</v>
      </c>
      <c r="D391" s="121" t="str">
        <f>HYPERLINK("http://www.baypines.va.gov/services/CHAPLAIN_SERVICE.ASP")</f>
        <v>http://www.baypines.va.gov/services/CHAPLAIN_SERVICE.ASP</v>
      </c>
      <c r="E391" s="8" t="s">
        <v>392</v>
      </c>
    </row>
    <row r="392" ht="14.25" hidden="1" customHeight="1">
      <c r="A392" s="8" t="s">
        <v>944</v>
      </c>
      <c r="B392" s="8" t="s">
        <v>418</v>
      </c>
      <c r="D392" s="121" t="str">
        <f>HYPERLINK("http://www.baypines.va.gov/services/PHYSICAL_MEDICINE_AND_REHABILITATION_SERVICES.ASP")</f>
        <v>http://www.baypines.va.gov/services/PHYSICAL_MEDICINE_AND_REHABILITATION_SERVICES.ASP</v>
      </c>
      <c r="E392" s="8" t="s">
        <v>595</v>
      </c>
    </row>
    <row r="393" ht="14.25" hidden="1" customHeight="1">
      <c r="A393" s="8" t="s">
        <v>944</v>
      </c>
      <c r="B393" s="8" t="s">
        <v>513</v>
      </c>
      <c r="D393" s="121" t="str">
        <f>HYPERLINK("http://www.baypines.va.gov/services/DENTAL_SERVICE.ASP")</f>
        <v>http://www.baypines.va.gov/services/DENTAL_SERVICE.ASP</v>
      </c>
      <c r="E393" s="8" t="s">
        <v>392</v>
      </c>
    </row>
    <row r="394" ht="14.25" hidden="1" customHeight="1">
      <c r="A394" s="8" t="s">
        <v>944</v>
      </c>
      <c r="B394" s="8" t="s">
        <v>948</v>
      </c>
      <c r="D394" s="121" t="str">
        <f>HYPERLINK("http://www.baypines.va.gov/services/DIABETES_MANAGEMENT.ASP")</f>
        <v>http://www.baypines.va.gov/services/DIABETES_MANAGEMENT.ASP</v>
      </c>
      <c r="E394" s="8" t="s">
        <v>392</v>
      </c>
    </row>
    <row r="395" ht="14.25" hidden="1" customHeight="1">
      <c r="A395" s="8" t="s">
        <v>944</v>
      </c>
      <c r="B395" s="8" t="s">
        <v>949</v>
      </c>
      <c r="D395" s="121" t="str">
        <f>HYPERLINK("http://www.baypines.va.gov/services/EYECARE.ASP")</f>
        <v>http://www.baypines.va.gov/services/EYECARE.ASP</v>
      </c>
      <c r="E395" s="8" t="s">
        <v>392</v>
      </c>
    </row>
    <row r="396" ht="14.25" hidden="1" customHeight="1">
      <c r="A396" s="8" t="s">
        <v>944</v>
      </c>
      <c r="B396" s="8" t="s">
        <v>950</v>
      </c>
      <c r="D396" s="121" t="str">
        <f>HYPERLINK("http://www.baypines.va.gov/services/GERIATRICS_EXTENDED_CARE.ASP")</f>
        <v>http://www.baypines.va.gov/services/GERIATRICS_EXTENDED_CARE.ASP</v>
      </c>
      <c r="E396" s="8" t="s">
        <v>392</v>
      </c>
    </row>
    <row r="397" ht="14.25" hidden="1" customHeight="1">
      <c r="A397" s="8" t="s">
        <v>944</v>
      </c>
      <c r="B397" s="8" t="s">
        <v>312</v>
      </c>
      <c r="D397" s="121" t="str">
        <f>HYPERLINK("http://www.baypines.va.gov/services/HOMELESS_VETERANS.ASP")</f>
        <v>http://www.baypines.va.gov/services/HOMELESS_VETERANS.ASP</v>
      </c>
      <c r="E397" s="8" t="s">
        <v>392</v>
      </c>
    </row>
    <row r="398" ht="14.25" hidden="1" customHeight="1">
      <c r="A398" s="8" t="s">
        <v>944</v>
      </c>
      <c r="B398" s="8" t="s">
        <v>886</v>
      </c>
      <c r="D398" s="121" t="str">
        <f>HYPERLINK("http://www.baypines.va.gov/services/PHYSICAL_MEDICINE_AND_REHABILITATION_SERVICES.ASP")</f>
        <v>http://www.baypines.va.gov/services/PHYSICAL_MEDICINE_AND_REHABILITATION_SERVICES.ASP</v>
      </c>
      <c r="E398" s="8" t="s">
        <v>595</v>
      </c>
    </row>
    <row r="399" ht="14.25" hidden="1" customHeight="1">
      <c r="A399" s="8" t="s">
        <v>944</v>
      </c>
      <c r="B399" s="8" t="s">
        <v>951</v>
      </c>
      <c r="D399" s="121" t="str">
        <f>HYPERLINK("http://www.baypines.va.gov/services/MLP.ASP")</f>
        <v>http://www.baypines.va.gov/services/MLP.ASP</v>
      </c>
      <c r="E399" s="8" t="s">
        <v>595</v>
      </c>
    </row>
    <row r="400" ht="14.25" hidden="1" customHeight="1">
      <c r="A400" s="8" t="s">
        <v>944</v>
      </c>
      <c r="B400" s="8" t="s">
        <v>952</v>
      </c>
      <c r="D400" s="121" t="str">
        <f>HYPERLINK("http://www.baypines.va.gov/services/LGBT_VETERANS.ASP")</f>
        <v>http://www.baypines.va.gov/services/LGBT_VETERANS.ASP</v>
      </c>
      <c r="E400" s="8" t="s">
        <v>392</v>
      </c>
    </row>
    <row r="401" ht="14.25" hidden="1" customHeight="1">
      <c r="A401" s="8" t="s">
        <v>944</v>
      </c>
      <c r="B401" s="8" t="s">
        <v>952</v>
      </c>
      <c r="D401" s="121" t="str">
        <f>HYPERLINK("http://www.baypines.va.gov/services/LGBT/COPY_OF_LGBT_VETERANS.ASP")</f>
        <v>http://www.baypines.va.gov/services/LGBT/COPY_OF_LGBT_VETERANS.ASP</v>
      </c>
      <c r="E401" s="8" t="s">
        <v>392</v>
      </c>
    </row>
    <row r="402" ht="14.25" hidden="1" customHeight="1">
      <c r="A402" s="8" t="s">
        <v>944</v>
      </c>
      <c r="B402" s="8" t="s">
        <v>954</v>
      </c>
      <c r="D402" s="121" t="str">
        <f>HYPERLINK("http://www.baypines.va.gov/services/LODGETEL.ASP")</f>
        <v>http://www.baypines.va.gov/services/LODGETEL.ASP</v>
      </c>
      <c r="E402" s="8" t="s">
        <v>392</v>
      </c>
    </row>
    <row r="403" ht="14.25" hidden="1" customHeight="1">
      <c r="A403" s="8" t="s">
        <v>944</v>
      </c>
      <c r="B403" s="8" t="s">
        <v>955</v>
      </c>
      <c r="D403" s="121" t="str">
        <f>HYPERLINK("http://www.baypines.va.gov/services/MLP.ASP")</f>
        <v>http://www.baypines.va.gov/services/MLP.ASP</v>
      </c>
      <c r="E403" s="8" t="s">
        <v>595</v>
      </c>
    </row>
    <row r="404" ht="14.25" hidden="1" customHeight="1">
      <c r="A404" s="8" t="s">
        <v>944</v>
      </c>
      <c r="B404" s="8" t="s">
        <v>701</v>
      </c>
      <c r="D404" s="121" t="str">
        <f>HYPERLINK("http://www.baypines.va.gov/services/MEDICAL_FOSTER_HOME_CARE.ASP")</f>
        <v>http://www.baypines.va.gov/services/MEDICAL_FOSTER_HOME_CARE.ASP</v>
      </c>
      <c r="E404" s="8" t="s">
        <v>392</v>
      </c>
    </row>
    <row r="405" ht="14.25" hidden="1" customHeight="1">
      <c r="A405" s="8" t="s">
        <v>944</v>
      </c>
      <c r="B405" s="8" t="s">
        <v>956</v>
      </c>
      <c r="D405" s="121" t="str">
        <f t="shared" ref="D405:D406" si="2">HYPERLINK("http://www.baypines.va.gov/services/MLP.ASP")</f>
        <v>http://www.baypines.va.gov/services/MLP.ASP</v>
      </c>
      <c r="E405" s="8" t="s">
        <v>392</v>
      </c>
    </row>
    <row r="406" ht="14.25" hidden="1" customHeight="1">
      <c r="A406" s="8" t="s">
        <v>944</v>
      </c>
      <c r="B406" s="8" t="s">
        <v>957</v>
      </c>
      <c r="D406" s="121" t="str">
        <f t="shared" si="2"/>
        <v>http://www.baypines.va.gov/services/MLP.ASP</v>
      </c>
      <c r="E406" s="8" t="s">
        <v>595</v>
      </c>
    </row>
    <row r="407" ht="14.25" hidden="1" customHeight="1">
      <c r="A407" s="8" t="s">
        <v>944</v>
      </c>
      <c r="B407" s="8" t="s">
        <v>323</v>
      </c>
      <c r="D407" s="121" t="str">
        <f>HYPERLINK("http://www.baypines.va.gov/services/MENTAL_HEALTH_SERVICES.ASP")</f>
        <v>http://www.baypines.va.gov/services/MENTAL_HEALTH_SERVICES.ASP</v>
      </c>
      <c r="E407" s="8" t="s">
        <v>392</v>
      </c>
    </row>
    <row r="408" ht="14.25" hidden="1" customHeight="1">
      <c r="A408" s="8" t="s">
        <v>944</v>
      </c>
      <c r="B408" s="8" t="s">
        <v>326</v>
      </c>
      <c r="D408" s="121" t="str">
        <f>HYPERLINK("http://www.baypines.va.gov/services/MINORITY_VETERANS_PROGRAM.ASP")</f>
        <v>http://www.baypines.va.gov/services/MINORITY_VETERANS_PROGRAM.ASP</v>
      </c>
      <c r="E408" s="8" t="s">
        <v>392</v>
      </c>
    </row>
    <row r="409" ht="14.25" hidden="1" customHeight="1">
      <c r="A409" s="8" t="s">
        <v>944</v>
      </c>
      <c r="B409" s="8" t="s">
        <v>540</v>
      </c>
      <c r="D409" s="121" t="str">
        <f>HYPERLINK("http://www.baypines.va.gov/services/NEW_PATIENT.ASP")</f>
        <v>http://www.baypines.va.gov/services/NEW_PATIENT.ASP</v>
      </c>
      <c r="E409" s="8" t="s">
        <v>392</v>
      </c>
    </row>
    <row r="410" ht="14.25" hidden="1" customHeight="1">
      <c r="A410" s="8" t="s">
        <v>944</v>
      </c>
      <c r="B410" s="8" t="s">
        <v>958</v>
      </c>
      <c r="D410" s="121" t="str">
        <f>HYPERLINK("http://www.baypines.va.gov/services/NUCLEAR_MEDICINE.ASP")</f>
        <v>http://www.baypines.va.gov/services/NUCLEAR_MEDICINE.ASP</v>
      </c>
      <c r="E410" s="8" t="s">
        <v>392</v>
      </c>
    </row>
    <row r="411" ht="14.25" hidden="1" customHeight="1">
      <c r="A411" s="8" t="s">
        <v>944</v>
      </c>
      <c r="B411" s="8" t="s">
        <v>332</v>
      </c>
      <c r="D411" s="121" t="str">
        <f t="shared" ref="D411:D412" si="3">HYPERLINK("http://www.baypines.va.gov/services/NUTRITION_COUNSELING.ASP")</f>
        <v>http://www.baypines.va.gov/services/NUTRITION_COUNSELING.ASP</v>
      </c>
      <c r="E411" s="8" t="s">
        <v>392</v>
      </c>
    </row>
    <row r="412" ht="14.25" hidden="1" customHeight="1">
      <c r="A412" s="8" t="s">
        <v>944</v>
      </c>
      <c r="B412" s="8" t="s">
        <v>332</v>
      </c>
      <c r="D412" s="121" t="str">
        <f t="shared" si="3"/>
        <v>http://www.baypines.va.gov/services/NUTRITION_COUNSELING.ASP</v>
      </c>
      <c r="E412" s="8" t="s">
        <v>392</v>
      </c>
    </row>
    <row r="413" ht="14.25" hidden="1" customHeight="1">
      <c r="A413" s="8" t="s">
        <v>944</v>
      </c>
      <c r="B413" s="8" t="s">
        <v>900</v>
      </c>
      <c r="D413" s="121" t="str">
        <f>HYPERLINK("http://www.baypines.va.gov/services/PHYSICAL_MEDICINE_AND_REHABILITATION_SERVICES.ASP")</f>
        <v>http://www.baypines.va.gov/services/PHYSICAL_MEDICINE_AND_REHABILITATION_SERVICES.ASP</v>
      </c>
      <c r="E413" s="8" t="s">
        <v>595</v>
      </c>
    </row>
    <row r="414" ht="14.25" hidden="1" customHeight="1">
      <c r="A414" s="8" t="s">
        <v>944</v>
      </c>
      <c r="B414" s="8" t="s">
        <v>959</v>
      </c>
      <c r="D414" s="121" t="str">
        <f>HYPERLINK("http://www.baypines.va.gov/services/PUBLIC_AFFAIRS.ASP")</f>
        <v>http://www.baypines.va.gov/services/PUBLIC_AFFAIRS.ASP</v>
      </c>
      <c r="E414" s="8" t="s">
        <v>392</v>
      </c>
    </row>
    <row r="415" ht="14.25" hidden="1" customHeight="1">
      <c r="A415" s="8" t="s">
        <v>944</v>
      </c>
      <c r="B415" s="8" t="s">
        <v>337</v>
      </c>
      <c r="D415" s="121" t="str">
        <f t="shared" ref="D415:D416" si="4">HYPERLINK("http://www.baypines.va.gov/services/EYECARE.ASP")</f>
        <v>http://www.baypines.va.gov/services/EYECARE.ASP</v>
      </c>
      <c r="E415" s="8" t="s">
        <v>595</v>
      </c>
    </row>
    <row r="416" ht="14.25" hidden="1" customHeight="1">
      <c r="A416" s="8" t="s">
        <v>944</v>
      </c>
      <c r="B416" s="8" t="s">
        <v>901</v>
      </c>
      <c r="D416" s="121" t="str">
        <f t="shared" si="4"/>
        <v>http://www.baypines.va.gov/services/EYECARE.ASP</v>
      </c>
      <c r="E416" s="8" t="s">
        <v>595</v>
      </c>
    </row>
    <row r="417" ht="14.25" hidden="1" customHeight="1">
      <c r="A417" s="8" t="s">
        <v>944</v>
      </c>
      <c r="B417" s="8" t="s">
        <v>449</v>
      </c>
      <c r="D417" s="121" t="str">
        <f>HYPERLINK("http://www.baypines.va.gov/services/PHYSICAL_MEDICINE_AND_REHABILITATION_SERVICES.ASP")</f>
        <v>http://www.baypines.va.gov/services/PHYSICAL_MEDICINE_AND_REHABILITATION_SERVICES.ASP</v>
      </c>
      <c r="E417" s="8" t="s">
        <v>595</v>
      </c>
    </row>
    <row r="418" ht="14.25" hidden="1" customHeight="1">
      <c r="A418" s="8" t="s">
        <v>944</v>
      </c>
      <c r="B418" s="8" t="s">
        <v>960</v>
      </c>
      <c r="D418" s="121" t="str">
        <f>HYPERLINK("http://www.baypines.va.gov/services/PATHOLOGY_AND_LABORATORY_MEDICINE_SERVICE.ASP")</f>
        <v>http://www.baypines.va.gov/services/PATHOLOGY_AND_LABORATORY_MEDICINE_SERVICE.ASP</v>
      </c>
      <c r="E418" s="8" t="s">
        <v>392</v>
      </c>
    </row>
    <row r="419" ht="14.25" hidden="1" customHeight="1">
      <c r="A419" s="8" t="s">
        <v>944</v>
      </c>
      <c r="B419" s="8" t="s">
        <v>343</v>
      </c>
      <c r="D419" s="121" t="str">
        <f>HYPERLINK("http://www.baypines.va.gov/services/PHARMACY.ASP")</f>
        <v>http://www.baypines.va.gov/services/PHARMACY.ASP</v>
      </c>
      <c r="E419" s="8" t="s">
        <v>392</v>
      </c>
    </row>
    <row r="420" ht="14.25" hidden="1" customHeight="1">
      <c r="A420" s="8" t="s">
        <v>944</v>
      </c>
      <c r="B420" s="8" t="s">
        <v>961</v>
      </c>
      <c r="D420" s="121" t="str">
        <f t="shared" ref="D420:D421" si="5">HYPERLINK("http://www.baypines.va.gov/services/PHYSICAL_MEDICINE_AND_REHABILITATION_SERVICES.ASP")</f>
        <v>http://www.baypines.va.gov/services/PHYSICAL_MEDICINE_AND_REHABILITATION_SERVICES.ASP</v>
      </c>
      <c r="E420" s="8" t="s">
        <v>392</v>
      </c>
    </row>
    <row r="421" ht="14.25" hidden="1" customHeight="1">
      <c r="A421" s="8" t="s">
        <v>944</v>
      </c>
      <c r="B421" s="8" t="s">
        <v>608</v>
      </c>
      <c r="D421" s="121" t="str">
        <f t="shared" si="5"/>
        <v>http://www.baypines.va.gov/services/PHYSICAL_MEDICINE_AND_REHABILITATION_SERVICES.ASP</v>
      </c>
      <c r="E421" s="8" t="s">
        <v>595</v>
      </c>
    </row>
    <row r="422" ht="14.25" hidden="1" customHeight="1">
      <c r="A422" s="8" t="s">
        <v>944</v>
      </c>
      <c r="B422" s="8" t="s">
        <v>962</v>
      </c>
      <c r="D422" s="121" t="str">
        <f>HYPERLINK("http://www.baypines.va.gov/services/PRIMARY_CARE_MEDICINE_SERVICE.ASP")</f>
        <v>http://www.baypines.va.gov/services/PRIMARY_CARE_MEDICINE_SERVICE.ASP</v>
      </c>
      <c r="E422" s="8" t="s">
        <v>392</v>
      </c>
    </row>
    <row r="423" ht="14.25" hidden="1" customHeight="1">
      <c r="A423" s="8" t="s">
        <v>944</v>
      </c>
      <c r="B423" s="8" t="s">
        <v>963</v>
      </c>
      <c r="D423" s="121" t="str">
        <f>HYPERLINK("http://www.baypines.va.gov/services/PRIVACY_OFFICE.ASP")</f>
        <v>http://www.baypines.va.gov/services/PRIVACY_OFFICE.ASP</v>
      </c>
      <c r="E423" s="8" t="s">
        <v>392</v>
      </c>
    </row>
    <row r="424" ht="14.25" hidden="1" customHeight="1">
      <c r="A424" s="8" t="s">
        <v>944</v>
      </c>
      <c r="B424" s="8" t="s">
        <v>964</v>
      </c>
      <c r="D424" s="121" t="str">
        <f>HYPERLINK("http://www.baypines.va.gov/services/PRRC.ASP")</f>
        <v>http://www.baypines.va.gov/services/PRRC.ASP</v>
      </c>
      <c r="E424" s="8" t="s">
        <v>392</v>
      </c>
    </row>
    <row r="425" ht="14.25" hidden="1" customHeight="1">
      <c r="A425" s="8" t="s">
        <v>944</v>
      </c>
      <c r="B425" s="8" t="s">
        <v>457</v>
      </c>
      <c r="D425" s="121" t="str">
        <f>HYPERLINK("http://www.baypines.va.gov/services/RADIATION_ONCOLOGY.ASP")</f>
        <v>http://www.baypines.va.gov/services/RADIATION_ONCOLOGY.ASP</v>
      </c>
      <c r="E425" s="8" t="s">
        <v>392</v>
      </c>
    </row>
    <row r="426" ht="14.25" hidden="1" customHeight="1">
      <c r="A426" s="8" t="s">
        <v>944</v>
      </c>
      <c r="B426" s="8" t="s">
        <v>505</v>
      </c>
      <c r="D426" s="121" t="str">
        <f>HYPERLINK("http://www.baypines.va.gov/services/RTS.ASP")</f>
        <v>http://www.baypines.va.gov/services/RTS.ASP</v>
      </c>
      <c r="E426" s="8" t="s">
        <v>392</v>
      </c>
    </row>
    <row r="427" ht="14.25" hidden="1" customHeight="1">
      <c r="A427" s="8" t="s">
        <v>944</v>
      </c>
      <c r="B427" s="8" t="s">
        <v>965</v>
      </c>
      <c r="D427" s="121" t="str">
        <f>HYPERLINK("http://www.baypines.va.gov/services/RD.ASP")</f>
        <v>http://www.baypines.va.gov/services/RD.ASP</v>
      </c>
      <c r="E427" s="8" t="s">
        <v>392</v>
      </c>
    </row>
    <row r="428" ht="14.25" hidden="1" customHeight="1">
      <c r="A428" s="8" t="s">
        <v>944</v>
      </c>
      <c r="B428" s="8" t="s">
        <v>355</v>
      </c>
      <c r="D428" s="121" t="str">
        <f>HYPERLINK("http://www.baypines.va.gov/services/RETURNING_SERVICE_MEMBERS.ASP")</f>
        <v>http://www.baypines.va.gov/services/RETURNING_SERVICE_MEMBERS.ASP</v>
      </c>
      <c r="E428" s="8" t="s">
        <v>392</v>
      </c>
    </row>
    <row r="429" ht="14.25" hidden="1" customHeight="1">
      <c r="A429" s="8" t="s">
        <v>944</v>
      </c>
      <c r="B429" s="8" t="s">
        <v>866</v>
      </c>
      <c r="D429" s="121" t="str">
        <f>HYPERLINK("http://www.baypines.va.gov/services/SOCIAL_WORK_SERVICES.ASP")</f>
        <v>http://www.baypines.va.gov/services/SOCIAL_WORK_SERVICES.ASP</v>
      </c>
      <c r="E429" s="8" t="s">
        <v>392</v>
      </c>
    </row>
    <row r="430" ht="14.25" hidden="1" customHeight="1">
      <c r="A430" s="8" t="s">
        <v>944</v>
      </c>
      <c r="B430" s="8" t="s">
        <v>364</v>
      </c>
      <c r="D430" s="121" t="str">
        <f>HYPERLINK("http://www.baypines.va.gov/services/SPINAL_CORD_INJURY.ASP")</f>
        <v>http://www.baypines.va.gov/services/SPINAL_CORD_INJURY.ASP</v>
      </c>
      <c r="E430" s="8" t="s">
        <v>392</v>
      </c>
    </row>
    <row r="431" ht="14.25" hidden="1" customHeight="1">
      <c r="A431" s="8" t="s">
        <v>944</v>
      </c>
      <c r="B431" s="8" t="s">
        <v>966</v>
      </c>
      <c r="D431" s="121" t="str">
        <f>HYPERLINK("http://www.baypines.va.gov/services/SURGERY_SERVICES.ASP")</f>
        <v>http://www.baypines.va.gov/services/SURGERY_SERVICES.ASP</v>
      </c>
      <c r="E431" s="8" t="s">
        <v>392</v>
      </c>
    </row>
    <row r="432" ht="14.25" hidden="1" customHeight="1">
      <c r="A432" s="8" t="s">
        <v>944</v>
      </c>
      <c r="B432" s="8" t="s">
        <v>724</v>
      </c>
      <c r="D432" s="121" t="str">
        <f>HYPERLINK("http://www.baypines.va.gov/services/TELEPHONE_CARE.ASP")</f>
        <v>http://www.baypines.va.gov/services/TELEPHONE_CARE.ASP</v>
      </c>
      <c r="E432" s="8" t="s">
        <v>392</v>
      </c>
    </row>
    <row r="433" ht="14.25" hidden="1" customHeight="1">
      <c r="A433" s="8" t="s">
        <v>944</v>
      </c>
      <c r="B433" s="8" t="s">
        <v>967</v>
      </c>
      <c r="D433" s="121" t="str">
        <f>HYPERLINK("http://www.baypines.va.gov/services/LODGETEL.ASP")</f>
        <v>http://www.baypines.va.gov/services/LODGETEL.ASP</v>
      </c>
      <c r="E433" s="8" t="s">
        <v>595</v>
      </c>
    </row>
    <row r="434" ht="14.25" hidden="1" customHeight="1">
      <c r="A434" s="8" t="s">
        <v>944</v>
      </c>
      <c r="B434" s="8" t="s">
        <v>968</v>
      </c>
      <c r="D434" s="121" t="str">
        <f>HYPERLINK("http://www.baypines.va.gov/services/TOBACCO_CESSATION.ASP")</f>
        <v>http://www.baypines.va.gov/services/TOBACCO_CESSATION.ASP</v>
      </c>
      <c r="E434" s="8" t="s">
        <v>392</v>
      </c>
    </row>
    <row r="435" ht="14.25" hidden="1" customHeight="1">
      <c r="A435" s="8" t="s">
        <v>944</v>
      </c>
      <c r="B435" s="8" t="s">
        <v>969</v>
      </c>
      <c r="D435" s="121" t="str">
        <f>HYPERLINK("http://www.baypines.va.gov/services/VISUALLY_IMPAIRED_SERVICES.ASP")</f>
        <v>http://www.baypines.va.gov/services/VISUALLY_IMPAIRED_SERVICES.ASP</v>
      </c>
      <c r="E435" s="8" t="s">
        <v>392</v>
      </c>
    </row>
    <row r="436" ht="14.25" hidden="1" customHeight="1">
      <c r="A436" s="8" t="s">
        <v>944</v>
      </c>
      <c r="B436" s="8" t="s">
        <v>970</v>
      </c>
      <c r="D436" s="121" t="str">
        <f>HYPERLINK("http://www.baypines.va.gov/services/ABOUT_WHOLE_HEALTH.ASP")</f>
        <v>http://www.baypines.va.gov/services/ABOUT_WHOLE_HEALTH.ASP</v>
      </c>
      <c r="E436" s="8" t="s">
        <v>392</v>
      </c>
    </row>
    <row r="437" ht="14.25" hidden="1" customHeight="1">
      <c r="A437" s="8" t="s">
        <v>944</v>
      </c>
      <c r="B437" s="8" t="s">
        <v>379</v>
      </c>
      <c r="D437" s="121" t="str">
        <f>HYPERLINK("http://www.baypines.va.gov/services/WOMEN_VETERANS.ASP")</f>
        <v>http://www.baypines.va.gov/services/WOMEN_VETERANS.ASP</v>
      </c>
      <c r="E437" s="8" t="s">
        <v>392</v>
      </c>
    </row>
    <row r="438" ht="14.25" hidden="1" customHeight="1">
      <c r="A438" s="8" t="s">
        <v>971</v>
      </c>
      <c r="B438" s="8" t="s">
        <v>309</v>
      </c>
      <c r="D438" s="121" t="str">
        <f>HYPERLINK("http://www.beckley.va.gov/services/ECRC.ASP")</f>
        <v>http://www.beckley.va.gov/services/ECRC.ASP</v>
      </c>
      <c r="E438" s="8" t="s">
        <v>392</v>
      </c>
    </row>
    <row r="439" ht="14.25" hidden="1" customHeight="1">
      <c r="A439" s="8" t="s">
        <v>971</v>
      </c>
      <c r="B439" s="8" t="s">
        <v>323</v>
      </c>
      <c r="D439" s="121" t="str">
        <f>HYPERLINK("http://www.beckley.va.gov/services/MENTALHEALTH.ASP")</f>
        <v>http://www.beckley.va.gov/services/MENTALHEALTH.ASP</v>
      </c>
      <c r="E439" s="8" t="s">
        <v>392</v>
      </c>
    </row>
    <row r="440" ht="14.25" hidden="1" customHeight="1">
      <c r="A440" s="8" t="s">
        <v>971</v>
      </c>
      <c r="B440" s="8" t="s">
        <v>343</v>
      </c>
      <c r="D440" s="121" t="str">
        <f>HYPERLINK("http://www.beckley.va.gov/services/PHARMACY.ASP")</f>
        <v>http://www.beckley.va.gov/services/PHARMACY.ASP</v>
      </c>
      <c r="E440" s="8" t="s">
        <v>392</v>
      </c>
    </row>
    <row r="441" ht="14.25" hidden="1" customHeight="1">
      <c r="A441" s="8" t="s">
        <v>971</v>
      </c>
      <c r="B441" s="8" t="s">
        <v>348</v>
      </c>
      <c r="D441" s="121" t="str">
        <f>HYPERLINK("http://www.beckley.va.gov/services/PRIMARY.ASP")</f>
        <v>http://www.beckley.va.gov/services/PRIMARY.ASP</v>
      </c>
      <c r="E441" s="8" t="s">
        <v>392</v>
      </c>
    </row>
    <row r="442" ht="14.25" hidden="1" customHeight="1">
      <c r="A442" s="8" t="s">
        <v>971</v>
      </c>
      <c r="B442" s="8" t="s">
        <v>972</v>
      </c>
      <c r="D442" s="121" t="str">
        <f>HYPERLINK("http://www.beckley.va.gov/services/RURAL_HEALTH.ASP")</f>
        <v>http://www.beckley.va.gov/services/RURAL_HEALTH.ASP</v>
      </c>
      <c r="E442" s="8" t="s">
        <v>392</v>
      </c>
    </row>
    <row r="443" ht="14.25" hidden="1" customHeight="1">
      <c r="A443" s="8" t="s">
        <v>971</v>
      </c>
      <c r="B443" s="8" t="s">
        <v>360</v>
      </c>
      <c r="D443" s="121" t="str">
        <f>HYPERLINK("http://www.beckley.va.gov/services/SOCIALWORK.ASP")</f>
        <v>http://www.beckley.va.gov/services/SOCIALWORK.ASP</v>
      </c>
      <c r="E443" s="8" t="s">
        <v>392</v>
      </c>
    </row>
    <row r="444" ht="14.25" hidden="1" customHeight="1">
      <c r="A444" s="8" t="s">
        <v>971</v>
      </c>
      <c r="B444" s="8" t="s">
        <v>363</v>
      </c>
      <c r="D444" s="121" t="str">
        <f>HYPERLINK("http://www.beckley.va.gov/services/SPECIALTY.ASP")</f>
        <v>http://www.beckley.va.gov/services/SPECIALTY.ASP</v>
      </c>
      <c r="E444" s="8" t="s">
        <v>392</v>
      </c>
    </row>
    <row r="445" ht="14.25" hidden="1" customHeight="1">
      <c r="A445" s="8" t="s">
        <v>971</v>
      </c>
      <c r="B445" s="8" t="s">
        <v>364</v>
      </c>
      <c r="D445" s="121" t="str">
        <f>HYPERLINK("http://www.beckley.va.gov/services/SCI.ASP")</f>
        <v>http://www.beckley.va.gov/services/SCI.ASP</v>
      </c>
      <c r="E445" s="8" t="s">
        <v>392</v>
      </c>
    </row>
    <row r="446" ht="14.25" hidden="1" customHeight="1">
      <c r="A446" s="8" t="s">
        <v>971</v>
      </c>
      <c r="B446" s="8" t="s">
        <v>973</v>
      </c>
      <c r="D446" s="121" t="str">
        <f>HYPERLINK("http://www.beckley.va.gov/services/WHOLE_HEALTH.ASP")</f>
        <v>http://www.beckley.va.gov/services/WHOLE_HEALTH.ASP</v>
      </c>
      <c r="E446" s="8" t="s">
        <v>392</v>
      </c>
    </row>
    <row r="447" ht="14.25" hidden="1" customHeight="1">
      <c r="A447" s="8" t="s">
        <v>971</v>
      </c>
      <c r="B447" s="8" t="s">
        <v>520</v>
      </c>
      <c r="D447" s="121" t="str">
        <f>HYPERLINK("http://www.beckley.va.gov/services/WOMEN_VETERANS_HEALTH_PROGRAM.ASP")</f>
        <v>http://www.beckley.va.gov/services/WOMEN_VETERANS_HEALTH_PROGRAM.ASP</v>
      </c>
      <c r="E447" s="8" t="s">
        <v>392</v>
      </c>
    </row>
    <row r="448" ht="14.25" hidden="1" customHeight="1">
      <c r="A448" s="8" t="s">
        <v>974</v>
      </c>
      <c r="B448" s="8" t="s">
        <v>975</v>
      </c>
      <c r="D448" s="121" t="str">
        <f>HYPERLINK("http://www.bedford.va.gov/services/BEDFORD_GREEN.ASP")</f>
        <v>http://www.bedford.va.gov/services/BEDFORD_GREEN.ASP</v>
      </c>
      <c r="E448" s="8" t="s">
        <v>392</v>
      </c>
    </row>
    <row r="449" ht="14.25" hidden="1" customHeight="1">
      <c r="A449" s="8" t="s">
        <v>974</v>
      </c>
      <c r="B449" s="8" t="s">
        <v>976</v>
      </c>
      <c r="D449" s="121" t="str">
        <f>HYPERLINK("http://www.bedford.va.gov/services/BEDFORD_VA_RESEARCH_CORP_INC_BRCI.ASP")</f>
        <v>http://www.bedford.va.gov/services/BEDFORD_VA_RESEARCH_CORP_INC_BRCI.ASP</v>
      </c>
      <c r="E449" s="8" t="s">
        <v>392</v>
      </c>
    </row>
    <row r="450" ht="14.25" hidden="1" customHeight="1">
      <c r="A450" s="8" t="s">
        <v>974</v>
      </c>
      <c r="B450" s="8" t="s">
        <v>977</v>
      </c>
      <c r="D450" s="121" t="str">
        <f>HYPERLINK("http://www.bedford.va.gov/services/CONNECTIONS.ASP")</f>
        <v>http://www.bedford.va.gov/services/CONNECTIONS.ASP</v>
      </c>
      <c r="E450" s="8" t="s">
        <v>595</v>
      </c>
    </row>
    <row r="451" ht="14.25" hidden="1" customHeight="1">
      <c r="A451" s="8" t="s">
        <v>974</v>
      </c>
      <c r="B451" s="8" t="s">
        <v>300</v>
      </c>
      <c r="D451" s="121" t="str">
        <f>HYPERLINK("http://www.bedford.va.gov/services/CAREGIVER_PROGRAM.ASP")</f>
        <v>http://www.bedford.va.gov/services/CAREGIVER_PROGRAM.ASP</v>
      </c>
      <c r="E451" s="8" t="s">
        <v>392</v>
      </c>
    </row>
    <row r="452" ht="14.25" hidden="1" customHeight="1">
      <c r="A452" s="8" t="s">
        <v>974</v>
      </c>
      <c r="B452" s="8" t="s">
        <v>978</v>
      </c>
      <c r="D452" s="121" t="str">
        <f>HYPERLINK("http://www.bedford.va.gov/services/CHAPEL.ASP")</f>
        <v>http://www.bedford.va.gov/services/CHAPEL.ASP</v>
      </c>
      <c r="E452" s="8" t="s">
        <v>392</v>
      </c>
    </row>
    <row r="453" ht="14.25" hidden="1" customHeight="1">
      <c r="A453" s="8" t="s">
        <v>974</v>
      </c>
      <c r="B453" s="8" t="s">
        <v>979</v>
      </c>
      <c r="D453" s="121" t="str">
        <f>HYPERLINK("http://www.bedford.va.gov/services/CONNECTIONS.ASP")</f>
        <v>http://www.bedford.va.gov/services/CONNECTIONS.ASP</v>
      </c>
      <c r="E453" s="8" t="s">
        <v>392</v>
      </c>
    </row>
    <row r="454" ht="14.25" hidden="1" customHeight="1">
      <c r="A454" s="8" t="s">
        <v>974</v>
      </c>
      <c r="B454" s="8" t="s">
        <v>980</v>
      </c>
      <c r="D454" s="121" t="str">
        <f>HYPERLINK("http://www.bedford.va.gov/services/COMMUNITY_RESIDENTIAL_CARE_PROGRAM.ASP")</f>
        <v>http://www.bedford.va.gov/services/COMMUNITY_RESIDENTIAL_CARE_PROGRAM.ASP</v>
      </c>
      <c r="E454" s="8" t="s">
        <v>392</v>
      </c>
    </row>
    <row r="455" ht="14.25" hidden="1" customHeight="1">
      <c r="A455" s="8" t="s">
        <v>974</v>
      </c>
      <c r="B455" s="8" t="s">
        <v>981</v>
      </c>
      <c r="D455" s="121" t="str">
        <f>HYPERLINK("http://www.bedford.va.gov/services/COMMUNITY_STABILIZATION_PROGRAM.ASP")</f>
        <v>http://www.bedford.va.gov/services/COMMUNITY_STABILIZATION_PROGRAM.ASP</v>
      </c>
      <c r="E455" s="8" t="s">
        <v>392</v>
      </c>
    </row>
    <row r="456" ht="14.25" hidden="1" customHeight="1">
      <c r="A456" s="8" t="s">
        <v>974</v>
      </c>
      <c r="B456" s="8" t="s">
        <v>982</v>
      </c>
      <c r="D456" s="121" t="str">
        <f>HYPERLINK("http://www.bedford.va.gov/services/COMP_AND_PEN.ASP")</f>
        <v>http://www.bedford.va.gov/services/COMP_AND_PEN.ASP</v>
      </c>
      <c r="E456" s="8" t="s">
        <v>392</v>
      </c>
    </row>
    <row r="457" ht="14.25" hidden="1" customHeight="1">
      <c r="A457" s="8" t="s">
        <v>974</v>
      </c>
      <c r="B457" s="8" t="s">
        <v>983</v>
      </c>
      <c r="D457" s="121" t="str">
        <f>HYPERLINK("http://www.bedford.va.gov/services/COUPLES_AND_FAMILY_THERAPY.ASP")</f>
        <v>http://www.bedford.va.gov/services/COUPLES_AND_FAMILY_THERAPY.ASP</v>
      </c>
      <c r="E457" s="8" t="s">
        <v>392</v>
      </c>
    </row>
    <row r="458" ht="14.25" hidden="1" customHeight="1">
      <c r="A458" s="8" t="s">
        <v>974</v>
      </c>
      <c r="B458" s="8" t="s">
        <v>984</v>
      </c>
      <c r="D458" s="121" t="str">
        <f>HYPERLINK("http://www.bedford.va.gov/services/CRESCENT_BUILDING_TRANSITIONAL_RESIDENCE_PROGRAM.ASP")</f>
        <v>http://www.bedford.va.gov/services/CRESCENT_BUILDING_TRANSITIONAL_RESIDENCE_PROGRAM.ASP</v>
      </c>
      <c r="E458" s="8" t="s">
        <v>392</v>
      </c>
    </row>
    <row r="459" ht="14.25" hidden="1" customHeight="1">
      <c r="A459" s="8" t="s">
        <v>974</v>
      </c>
      <c r="B459" s="8" t="s">
        <v>985</v>
      </c>
      <c r="D459" s="121" t="str">
        <f>HYPERLINK("http://www.bedford.va.gov/services/DOMICILIARY_CARE_FOR_HOMELESS_VETERANS.ASP")</f>
        <v>http://www.bedford.va.gov/services/DOMICILIARY_CARE_FOR_HOMELESS_VETERANS.ASP</v>
      </c>
      <c r="E459" s="8" t="s">
        <v>392</v>
      </c>
    </row>
    <row r="460" ht="14.25" hidden="1" customHeight="1">
      <c r="A460" s="8" t="s">
        <v>974</v>
      </c>
      <c r="B460" s="8" t="s">
        <v>986</v>
      </c>
      <c r="D460" s="121" t="str">
        <f>HYPERLINK("http://www.bedford.va.gov/services/COUPLES_AND_FAMILY_THERAPY.ASP")</f>
        <v>http://www.bedford.va.gov/services/COUPLES_AND_FAMILY_THERAPY.ASP</v>
      </c>
      <c r="E460" s="8" t="s">
        <v>595</v>
      </c>
    </row>
    <row r="461" ht="14.25" hidden="1" customHeight="1">
      <c r="A461" s="8" t="s">
        <v>974</v>
      </c>
      <c r="B461" s="8" t="s">
        <v>987</v>
      </c>
      <c r="D461" s="121" t="str">
        <f>HYPERLINK("http://www.bedford.va.gov/services/BEDFORD_VA_FITNESS_CENTER.ASP")</f>
        <v>http://www.bedford.va.gov/services/BEDFORD_VA_FITNESS_CENTER.ASP</v>
      </c>
      <c r="E461" s="8" t="s">
        <v>392</v>
      </c>
    </row>
    <row r="462" ht="14.25" hidden="1" customHeight="1">
      <c r="A462" s="8" t="s">
        <v>974</v>
      </c>
      <c r="B462" s="8" t="s">
        <v>989</v>
      </c>
      <c r="D462" s="121" t="str">
        <f>HYPERLINK("http://www.bedford.va.gov/services/GERIATRIC_EVALUATION_MANAGEMENT_GEM.ASP")</f>
        <v>http://www.bedford.va.gov/services/GERIATRIC_EVALUATION_MANAGEMENT_GEM.ASP</v>
      </c>
      <c r="E462" s="8" t="s">
        <v>392</v>
      </c>
    </row>
    <row r="463" ht="14.25" hidden="1" customHeight="1">
      <c r="A463" s="8" t="s">
        <v>974</v>
      </c>
      <c r="B463" s="8" t="s">
        <v>990</v>
      </c>
      <c r="D463" s="121" t="str">
        <f>HYPERLINK("http://www.bedford.va.gov/services/HEALTH_PROMOTION_DISEASE_PREVENTION_RESOURCES_FOR_VETERANS.ASP")</f>
        <v>http://www.bedford.va.gov/services/HEALTH_PROMOTION_DISEASE_PREVENTION_RESOURCES_FOR_VETERANS.ASP</v>
      </c>
      <c r="E463" s="8" t="s">
        <v>392</v>
      </c>
    </row>
    <row r="464" ht="14.25" hidden="1" customHeight="1">
      <c r="A464" s="8" t="s">
        <v>974</v>
      </c>
      <c r="B464" s="8" t="s">
        <v>312</v>
      </c>
      <c r="D464" s="121" t="str">
        <f>HYPERLINK("http://www.bedford.va.gov/services/HOMELESS_VETERANS.ASP")</f>
        <v>http://www.bedford.va.gov/services/HOMELESS_VETERANS.ASP</v>
      </c>
      <c r="E464" s="8" t="s">
        <v>392</v>
      </c>
    </row>
    <row r="465" ht="14.25" hidden="1" customHeight="1">
      <c r="A465" s="8" t="s">
        <v>974</v>
      </c>
      <c r="B465" s="8" t="s">
        <v>992</v>
      </c>
      <c r="D465" s="121" t="str">
        <f>HYPERLINK("http://www.bedford.va.gov/services/PALLIATIVE_AND_HOSPICE_CARE.ASP")</f>
        <v>http://www.bedford.va.gov/services/PALLIATIVE_AND_HOSPICE_CARE.ASP</v>
      </c>
      <c r="E465" s="8" t="s">
        <v>392</v>
      </c>
    </row>
    <row r="466" ht="14.25" hidden="1" customHeight="1">
      <c r="A466" s="8" t="s">
        <v>974</v>
      </c>
      <c r="B466" s="8" t="s">
        <v>995</v>
      </c>
      <c r="D466" s="121" t="str">
        <f>HYPERLINK("http://www.bedford.va.gov/services/LESBIAN_GAY_BISEXUAL_TRANSGENDER_QUEER_QUESTIONING.ASP")</f>
        <v>http://www.bedford.va.gov/services/LESBIAN_GAY_BISEXUAL_TRANSGENDER_QUEER_QUESTIONING.ASP</v>
      </c>
      <c r="E466" s="8" t="s">
        <v>392</v>
      </c>
    </row>
    <row r="467" ht="14.25" hidden="1" customHeight="1">
      <c r="A467" s="8" t="s">
        <v>974</v>
      </c>
      <c r="B467" s="8" t="s">
        <v>997</v>
      </c>
      <c r="D467" s="121" t="str">
        <f>HYPERLINK("http://www.bedford.va.gov/services/MOVE.ASP")</f>
        <v>http://www.bedford.va.gov/services/MOVE.ASP</v>
      </c>
      <c r="E467" s="8" t="s">
        <v>392</v>
      </c>
    </row>
    <row r="468" ht="14.25" hidden="1" customHeight="1">
      <c r="A468" s="8" t="s">
        <v>974</v>
      </c>
      <c r="B468" s="8" t="s">
        <v>1002</v>
      </c>
      <c r="D468" s="121" t="str">
        <f>HYPERLINK("http://www.bedford.va.gov/services/SOCIAL_WORK.ASP")</f>
        <v>http://www.bedford.va.gov/services/SOCIAL_WORK.ASP</v>
      </c>
      <c r="E468" s="8" t="s">
        <v>595</v>
      </c>
    </row>
    <row r="469" ht="14.25" hidden="1" customHeight="1">
      <c r="A469" s="8" t="s">
        <v>974</v>
      </c>
      <c r="B469" s="8" t="s">
        <v>323</v>
      </c>
      <c r="D469" s="121" t="str">
        <f>HYPERLINK("http://www.bedford.va.gov/services/MENTAL_HEALTH.ASP")</f>
        <v>http://www.bedford.va.gov/services/MENTAL_HEALTH.ASP</v>
      </c>
      <c r="E469" s="8" t="s">
        <v>392</v>
      </c>
    </row>
    <row r="470" ht="14.25" hidden="1" customHeight="1">
      <c r="A470" s="8" t="s">
        <v>974</v>
      </c>
      <c r="B470" s="8" t="s">
        <v>1006</v>
      </c>
      <c r="D470" s="121" t="str">
        <f>HYPERLINK("http://www.bedford.va.gov/services/MENTAL_HEALTH_INPATIENT_TREATMENT.ASP")</f>
        <v>http://www.bedford.va.gov/services/MENTAL_HEALTH_INPATIENT_TREATMENT.ASP</v>
      </c>
      <c r="E470" s="8" t="s">
        <v>392</v>
      </c>
    </row>
    <row r="471" ht="14.25" hidden="1" customHeight="1">
      <c r="A471" s="8" t="s">
        <v>974</v>
      </c>
      <c r="B471" s="8" t="s">
        <v>600</v>
      </c>
      <c r="D471" s="121" t="str">
        <f>HYPERLINK("http://www.bedford.va.gov/services/MENTAL_HEALTH_INTENSIVE_CASE_MANAGEMENT.ASP")</f>
        <v>http://www.bedford.va.gov/services/MENTAL_HEALTH_INTENSIVE_CASE_MANAGEMENT.ASP</v>
      </c>
      <c r="E471" s="8" t="s">
        <v>392</v>
      </c>
    </row>
    <row r="472" ht="14.25" hidden="1" customHeight="1">
      <c r="A472" s="8" t="s">
        <v>974</v>
      </c>
      <c r="B472" s="8" t="s">
        <v>1009</v>
      </c>
      <c r="D472" s="121" t="str">
        <f>HYPERLINK("http://www.bedford.va.gov/services/MENTAL_HEALTH_EMERGENCIES.ASP")</f>
        <v>http://www.bedford.va.gov/services/MENTAL_HEALTH_EMERGENCIES.ASP</v>
      </c>
      <c r="E472" s="8" t="s">
        <v>392</v>
      </c>
    </row>
    <row r="473" ht="14.25" hidden="1" customHeight="1">
      <c r="A473" s="8" t="s">
        <v>974</v>
      </c>
      <c r="B473" s="8" t="s">
        <v>1012</v>
      </c>
      <c r="D473" s="121" t="str">
        <f>HYPERLINK("http://www.bedford.va.gov/services/MILITARY_SEXUAL_TRAUMA_TREATMENT.ASP")</f>
        <v>http://www.bedford.va.gov/services/MILITARY_SEXUAL_TRAUMA_TREATMENT.ASP</v>
      </c>
      <c r="E473" s="8" t="s">
        <v>392</v>
      </c>
    </row>
    <row r="474" ht="14.25" hidden="1" customHeight="1">
      <c r="A474" s="8" t="s">
        <v>974</v>
      </c>
      <c r="B474" s="8" t="s">
        <v>1013</v>
      </c>
      <c r="D474" s="121" t="str">
        <f>HYPERLINK("http://www.bedford.va.gov/services/PALLIATIVE_AND_HOSPICE_CARE.ASP")</f>
        <v>http://www.bedford.va.gov/services/PALLIATIVE_AND_HOSPICE_CARE.ASP</v>
      </c>
      <c r="E474" s="8" t="s">
        <v>595</v>
      </c>
    </row>
    <row r="475" ht="14.25" hidden="1" customHeight="1">
      <c r="A475" s="8" t="s">
        <v>974</v>
      </c>
      <c r="B475" s="8" t="s">
        <v>1014</v>
      </c>
      <c r="D475" s="121" t="str">
        <f>HYPERLINK("http://www.bedford.va.gov/services/CONNECTIONS.ASP")</f>
        <v>http://www.bedford.va.gov/services/CONNECTIONS.ASP</v>
      </c>
      <c r="E475" s="8" t="s">
        <v>595</v>
      </c>
    </row>
    <row r="476" ht="14.25" hidden="1" customHeight="1">
      <c r="A476" s="8" t="s">
        <v>974</v>
      </c>
      <c r="B476" s="8" t="s">
        <v>343</v>
      </c>
      <c r="D476" s="121" t="str">
        <f>HYPERLINK("http://www.bedford.va.gov/services/PHARMACY.ASP")</f>
        <v>http://www.bedford.va.gov/services/PHARMACY.ASP</v>
      </c>
      <c r="E476" s="8" t="s">
        <v>392</v>
      </c>
    </row>
    <row r="477" ht="14.25" hidden="1" customHeight="1">
      <c r="A477" s="8" t="s">
        <v>974</v>
      </c>
      <c r="B477" s="8" t="s">
        <v>348</v>
      </c>
      <c r="D477" s="121" t="str">
        <f>HYPERLINK("http://www.bedford.va.gov/services/PRIMARY_CARE.ASP")</f>
        <v>http://www.bedford.va.gov/services/PRIMARY_CARE.ASP</v>
      </c>
      <c r="E477" s="8" t="s">
        <v>392</v>
      </c>
    </row>
    <row r="478" ht="14.25" hidden="1" customHeight="1">
      <c r="A478" s="8" t="s">
        <v>974</v>
      </c>
      <c r="B478" s="8" t="s">
        <v>1017</v>
      </c>
      <c r="D478" s="121" t="str">
        <f>HYPERLINK("http://www.bedford.va.gov/services/OUT_PATIENT_RECREATIONAL_THERAPY.ASP")</f>
        <v>http://www.bedford.va.gov/services/OUT_PATIENT_RECREATIONAL_THERAPY.ASP</v>
      </c>
      <c r="E478" s="8" t="s">
        <v>392</v>
      </c>
    </row>
    <row r="479" ht="14.25" hidden="1" customHeight="1">
      <c r="A479" s="8" t="s">
        <v>974</v>
      </c>
      <c r="B479" s="8" t="s">
        <v>1021</v>
      </c>
      <c r="D479" s="121" t="str">
        <f>HYPERLINK("http://www.bedford.va.gov/services/THE_SAFING_CENTER.ASP")</f>
        <v>http://www.bedford.va.gov/services/THE_SAFING_CENTER.ASP</v>
      </c>
      <c r="E479" s="8" t="s">
        <v>392</v>
      </c>
    </row>
    <row r="480" ht="14.25" hidden="1" customHeight="1">
      <c r="A480" s="8" t="s">
        <v>974</v>
      </c>
      <c r="B480" s="8" t="s">
        <v>1024</v>
      </c>
      <c r="D480" s="121" t="str">
        <f>HYPERLINK("http://www.bedford.va.gov/services/SENSORY_AND_PHYSICAL_REHAB_SERVICE.ASP")</f>
        <v>http://www.bedford.va.gov/services/SENSORY_AND_PHYSICAL_REHAB_SERVICE.ASP</v>
      </c>
      <c r="E480" s="8" t="s">
        <v>392</v>
      </c>
    </row>
    <row r="481" ht="14.25" hidden="1" customHeight="1">
      <c r="A481" s="8" t="s">
        <v>974</v>
      </c>
      <c r="B481" s="8" t="s">
        <v>1026</v>
      </c>
      <c r="D481" s="121" t="str">
        <f>HYPERLINK("http://www.bedford.va.gov/services/SMOKING_CESSATION_SUPPORT_FOR_VETERANS.ASP")</f>
        <v>http://www.bedford.va.gov/services/SMOKING_CESSATION_SUPPORT_FOR_VETERANS.ASP</v>
      </c>
      <c r="E481" s="8" t="s">
        <v>392</v>
      </c>
    </row>
    <row r="482" ht="14.25" hidden="1" customHeight="1">
      <c r="A482" s="8" t="s">
        <v>974</v>
      </c>
      <c r="B482" s="8" t="s">
        <v>360</v>
      </c>
      <c r="D482" s="121" t="str">
        <f>HYPERLINK("http://www.bedford.va.gov/services/SOCIAL_WORK.ASP")</f>
        <v>http://www.bedford.va.gov/services/SOCIAL_WORK.ASP</v>
      </c>
      <c r="E482" s="8" t="s">
        <v>392</v>
      </c>
    </row>
    <row r="483" ht="14.25" hidden="1" customHeight="1">
      <c r="A483" s="8" t="s">
        <v>974</v>
      </c>
      <c r="B483" s="8" t="s">
        <v>1029</v>
      </c>
      <c r="D483" s="121" t="str">
        <f>HYPERLINK("http://www.bedford.va.gov/services/MENTAL_HEALTH_EMERGENCIES.ASP")</f>
        <v>http://www.bedford.va.gov/services/MENTAL_HEALTH_EMERGENCIES.ASP</v>
      </c>
      <c r="E483" s="8" t="s">
        <v>595</v>
      </c>
    </row>
    <row r="484" ht="14.25" hidden="1" customHeight="1">
      <c r="A484" s="8" t="s">
        <v>974</v>
      </c>
      <c r="B484" s="8" t="s">
        <v>370</v>
      </c>
      <c r="D484" s="121" t="str">
        <f>HYPERLINK("http://www.bedford.va.gov/services/TELEHEALTH.ASP")</f>
        <v>http://www.bedford.va.gov/services/TELEHEALTH.ASP</v>
      </c>
      <c r="E484" s="8" t="s">
        <v>392</v>
      </c>
    </row>
    <row r="485" ht="14.25" hidden="1" customHeight="1">
      <c r="A485" s="8" t="s">
        <v>974</v>
      </c>
      <c r="B485" s="8" t="s">
        <v>1032</v>
      </c>
      <c r="D485" s="121" t="str">
        <f>HYPERLINK("http://www.bedford.va.gov/services/VCCC_COMMUNITY_BASED_OUTPATIENT_CLINIC.ASP")</f>
        <v>http://www.bedford.va.gov/services/VCCC_COMMUNITY_BASED_OUTPATIENT_CLINIC.ASP</v>
      </c>
      <c r="E485" s="8" t="s">
        <v>392</v>
      </c>
    </row>
    <row r="486" ht="14.25" hidden="1" customHeight="1">
      <c r="A486" s="8" t="s">
        <v>974</v>
      </c>
      <c r="B486" s="8" t="s">
        <v>1034</v>
      </c>
      <c r="D486" s="121" t="str">
        <f>HYPERLINK("http://www.bedford.va.gov/services/VOCATIONAL_EVALUATION_CENTER_VEC.ASP")</f>
        <v>http://www.bedford.va.gov/services/VOCATIONAL_EVALUATION_CENTER_VEC.ASP</v>
      </c>
      <c r="E486" s="8" t="s">
        <v>595</v>
      </c>
    </row>
    <row r="487" ht="14.25" hidden="1" customHeight="1">
      <c r="A487" s="8" t="s">
        <v>974</v>
      </c>
      <c r="B487" s="8" t="s">
        <v>1037</v>
      </c>
      <c r="D487" s="121" t="str">
        <f>HYPERLINK("http://www.bedford.va.gov/services/VITAL.ASP")</f>
        <v>http://www.bedford.va.gov/services/VITAL.ASP</v>
      </c>
      <c r="E487" s="8" t="s">
        <v>392</v>
      </c>
    </row>
    <row r="488" ht="14.25" hidden="1" customHeight="1">
      <c r="A488" s="8" t="s">
        <v>974</v>
      </c>
      <c r="B488" s="8" t="s">
        <v>1040</v>
      </c>
      <c r="D488" s="121" t="str">
        <f>HYPERLINK("http://www.bedford.va.gov/services/VETERANS_CENTER_FOR_ADDICTION_TREATMENT.ASP")</f>
        <v>http://www.bedford.va.gov/services/VETERANS_CENTER_FOR_ADDICTION_TREATMENT.ASP</v>
      </c>
      <c r="E488" s="8" t="s">
        <v>392</v>
      </c>
    </row>
    <row r="489" ht="14.25" hidden="1" customHeight="1">
      <c r="A489" s="8" t="s">
        <v>974</v>
      </c>
      <c r="B489" s="8" t="s">
        <v>1043</v>
      </c>
      <c r="D489" s="121" t="str">
        <f>HYPERLINK("http://www.bedford.va.gov/services/VISUAL_IMPAIRMENT_SERVICE_TEAM_VIST.ASP")</f>
        <v>http://www.bedford.va.gov/services/VISUAL_IMPAIRMENT_SERVICE_TEAM_VIST.ASP</v>
      </c>
      <c r="E489" s="8" t="s">
        <v>392</v>
      </c>
    </row>
    <row r="490" ht="14.25" hidden="1" customHeight="1">
      <c r="A490" s="8" t="s">
        <v>974</v>
      </c>
      <c r="B490" s="8" t="s">
        <v>1045</v>
      </c>
      <c r="D490" s="121" t="str">
        <f>HYPERLINK("http://www.bedford.va.gov/services/VOCATIONAL_EVALUATION_CENTER_VEC.ASP")</f>
        <v>http://www.bedford.va.gov/services/VOCATIONAL_EVALUATION_CENTER_VEC.ASP</v>
      </c>
      <c r="E490" s="8" t="s">
        <v>392</v>
      </c>
    </row>
    <row r="491" ht="14.25" hidden="1" customHeight="1">
      <c r="A491" s="8" t="s">
        <v>974</v>
      </c>
      <c r="B491" s="8" t="s">
        <v>1047</v>
      </c>
      <c r="D491" s="121" t="str">
        <f>HYPERLINK("http://www.bedford.va.gov/services/WOMEN_VETERANS_SERVICES.ASP")</f>
        <v>http://www.bedford.va.gov/services/WOMEN_VETERANS_SERVICES.ASP</v>
      </c>
      <c r="E491" s="8" t="s">
        <v>392</v>
      </c>
    </row>
    <row r="492" ht="14.25" hidden="1" customHeight="1">
      <c r="A492" s="8" t="s">
        <v>974</v>
      </c>
      <c r="B492" s="8" t="s">
        <v>1048</v>
      </c>
      <c r="D492" s="121" t="str">
        <f>HYPERLINK("http://www.bedford.va.gov/services/WORK_STUDY.ASP")</f>
        <v>http://www.bedford.va.gov/services/WORK_STUDY.ASP</v>
      </c>
      <c r="E492" s="8" t="s">
        <v>392</v>
      </c>
    </row>
    <row r="493" ht="14.25" hidden="1" customHeight="1">
      <c r="A493" s="8" t="s">
        <v>1050</v>
      </c>
      <c r="B493" s="8" t="s">
        <v>575</v>
      </c>
      <c r="D493" s="121" t="str">
        <f>HYPERLINK("http://www.bigspring.va.gov/services/ADVANCEDIRECTIVES.ASP")</f>
        <v>http://www.bigspring.va.gov/services/ADVANCEDIRECTIVES.ASP</v>
      </c>
      <c r="E493" s="8" t="s">
        <v>392</v>
      </c>
    </row>
    <row r="494" ht="14.25" hidden="1" customHeight="1">
      <c r="A494" s="8" t="s">
        <v>1050</v>
      </c>
      <c r="B494" s="8" t="s">
        <v>244</v>
      </c>
      <c r="D494" s="121" t="str">
        <f>HYPERLINK("http://www.bigspring.va.gov/services/AUDIOLOGY.ASP")</f>
        <v>http://www.bigspring.va.gov/services/AUDIOLOGY.ASP</v>
      </c>
      <c r="E494" s="8" t="s">
        <v>392</v>
      </c>
    </row>
    <row r="495" ht="14.25" hidden="1" customHeight="1">
      <c r="A495" s="8" t="s">
        <v>1050</v>
      </c>
      <c r="B495" s="8" t="s">
        <v>488</v>
      </c>
      <c r="D495" s="121" t="str">
        <f>HYPERLINK("http://www.bigspring.va.gov/services/CAREGIVER_SUPPORT_PROGRAM.ASP")</f>
        <v>http://www.bigspring.va.gov/services/CAREGIVER_SUPPORT_PROGRAM.ASP</v>
      </c>
      <c r="E495" s="8" t="s">
        <v>392</v>
      </c>
    </row>
    <row r="496" ht="14.25" hidden="1" customHeight="1">
      <c r="A496" s="8" t="s">
        <v>1050</v>
      </c>
      <c r="B496" s="8" t="s">
        <v>478</v>
      </c>
      <c r="D496" s="121" t="str">
        <f>HYPERLINK("http://www.bigspring.va.gov/services/CHAPLAINSERVICE.ASP")</f>
        <v>http://www.bigspring.va.gov/services/CHAPLAINSERVICE.ASP</v>
      </c>
      <c r="E496" s="8" t="s">
        <v>392</v>
      </c>
    </row>
    <row r="497" ht="14.25" hidden="1" customHeight="1">
      <c r="A497" s="8" t="s">
        <v>1050</v>
      </c>
      <c r="B497" s="8" t="s">
        <v>1053</v>
      </c>
      <c r="D497" s="121" t="str">
        <f>HYPERLINK("http://www.bigspring.va.gov/services/COMMUNITYLIVINGCENTER.ASP")</f>
        <v>http://www.bigspring.va.gov/services/COMMUNITYLIVINGCENTER.ASP</v>
      </c>
      <c r="E497" s="8" t="s">
        <v>392</v>
      </c>
    </row>
    <row r="498" ht="14.25" hidden="1" customHeight="1">
      <c r="A498" s="8" t="s">
        <v>1050</v>
      </c>
      <c r="B498" s="8" t="s">
        <v>479</v>
      </c>
      <c r="D498" s="121" t="str">
        <f>HYPERLINK("http://www.bigspring.va.gov/services/COMMUNITY_MENTAL_HEALTH_POC.ASP")</f>
        <v>http://www.bigspring.va.gov/services/COMMUNITY_MENTAL_HEALTH_POC.ASP</v>
      </c>
      <c r="E498" s="8" t="s">
        <v>392</v>
      </c>
    </row>
    <row r="499" ht="14.25" hidden="1" customHeight="1">
      <c r="A499" s="8" t="s">
        <v>1050</v>
      </c>
      <c r="B499" s="8" t="s">
        <v>645</v>
      </c>
      <c r="D499" s="121" t="str">
        <f>HYPERLINK("http://www.bigspring.va.gov/services/COMPENSATEDWORKTHERAPY.ASP")</f>
        <v>http://www.bigspring.va.gov/services/COMPENSATEDWORKTHERAPY.ASP</v>
      </c>
      <c r="E499" s="8" t="s">
        <v>392</v>
      </c>
    </row>
    <row r="500" ht="14.25" hidden="1" customHeight="1">
      <c r="A500" s="8" t="s">
        <v>1050</v>
      </c>
      <c r="B500" s="8" t="s">
        <v>583</v>
      </c>
      <c r="D500" s="121" t="str">
        <f>HYPERLINK("http://www.bigspring.va.gov/services/CONTRACTNURSINGHOME.ASP")</f>
        <v>http://www.bigspring.va.gov/services/CONTRACTNURSINGHOME.ASP</v>
      </c>
      <c r="E500" s="8" t="s">
        <v>392</v>
      </c>
    </row>
    <row r="501" ht="14.25" hidden="1" customHeight="1">
      <c r="A501" s="8" t="s">
        <v>1050</v>
      </c>
      <c r="B501" s="8" t="s">
        <v>513</v>
      </c>
      <c r="D501" s="121" t="str">
        <f>HYPERLINK("http://www.bigspring.va.gov/services/DENTALSERVICE.ASP")</f>
        <v>http://www.bigspring.va.gov/services/DENTALSERVICE.ASP</v>
      </c>
      <c r="E501" s="8" t="s">
        <v>392</v>
      </c>
    </row>
    <row r="502" ht="14.25" hidden="1" customHeight="1">
      <c r="A502" s="8" t="s">
        <v>1050</v>
      </c>
      <c r="B502" s="8" t="s">
        <v>842</v>
      </c>
      <c r="D502" s="121" t="str">
        <f>HYPERLINK("http://www.bigspring.va.gov/services/DIAGNOSTICIMAGING.ASP")</f>
        <v>http://www.bigspring.va.gov/services/DIAGNOSTICIMAGING.ASP</v>
      </c>
      <c r="E502" s="8" t="s">
        <v>392</v>
      </c>
    </row>
    <row r="503" ht="14.25" hidden="1" customHeight="1">
      <c r="A503" s="8" t="s">
        <v>1050</v>
      </c>
      <c r="B503" s="8" t="s">
        <v>1055</v>
      </c>
      <c r="D503" s="121" t="str">
        <f>HYPERLINK("http://www.bigspring.va.gov/services/HUDVASH.ASP")</f>
        <v>http://www.bigspring.va.gov/services/HUDVASH.ASP</v>
      </c>
      <c r="E503" s="8" t="s">
        <v>392</v>
      </c>
    </row>
    <row r="504" ht="14.25" hidden="1" customHeight="1">
      <c r="A504" s="8" t="s">
        <v>1050</v>
      </c>
      <c r="B504" s="8" t="s">
        <v>1056</v>
      </c>
      <c r="D504" s="121" t="str">
        <f>HYPERLINK("http://www.bigspring.va.gov/services/HPDP.ASP")</f>
        <v>http://www.bigspring.va.gov/services/HPDP.ASP</v>
      </c>
      <c r="E504" s="8" t="s">
        <v>392</v>
      </c>
    </row>
    <row r="505" ht="14.25" hidden="1" customHeight="1">
      <c r="A505" s="8" t="s">
        <v>1050</v>
      </c>
      <c r="B505" s="8" t="s">
        <v>1058</v>
      </c>
      <c r="D505" s="121" t="str">
        <f>HYPERLINK("http://www.bigspring.va.gov/services/HOMEBASEDPRIMARYCARE.ASP")</f>
        <v>http://www.bigspring.va.gov/services/HOMEBASEDPRIMARYCARE.ASP</v>
      </c>
      <c r="E505" s="8" t="s">
        <v>392</v>
      </c>
    </row>
    <row r="506" ht="14.25" hidden="1" customHeight="1">
      <c r="A506" s="8" t="s">
        <v>1050</v>
      </c>
      <c r="B506" s="8" t="s">
        <v>1059</v>
      </c>
      <c r="D506" s="121" t="str">
        <f>HYPERLINK("http://www.bigspring.va.gov/services/HOMELESSVETERANS.ASP")</f>
        <v>http://www.bigspring.va.gov/services/HOMELESSVETERANS.ASP</v>
      </c>
      <c r="E506" s="8" t="s">
        <v>392</v>
      </c>
    </row>
    <row r="507" ht="14.25" hidden="1" customHeight="1">
      <c r="A507" s="8" t="s">
        <v>1050</v>
      </c>
      <c r="B507" s="8" t="s">
        <v>437</v>
      </c>
      <c r="D507" s="121" t="str">
        <f>HYPERLINK("http://www.bigspring.va.gov/services/HOSPICEPALLIATIVE.ASP")</f>
        <v>http://www.bigspring.va.gov/services/HOSPICEPALLIATIVE.ASP</v>
      </c>
      <c r="E507" s="8" t="s">
        <v>392</v>
      </c>
    </row>
    <row r="508" ht="14.25" hidden="1" customHeight="1">
      <c r="A508" s="8" t="s">
        <v>1050</v>
      </c>
      <c r="B508" s="8" t="s">
        <v>584</v>
      </c>
      <c r="D508" s="121" t="str">
        <f>HYPERLINK("http://www.bigspring.va.gov/services/LABORATORY.ASP")</f>
        <v>http://www.bigspring.va.gov/services/LABORATORY.ASP</v>
      </c>
      <c r="E508" s="8" t="s">
        <v>392</v>
      </c>
    </row>
    <row r="509" ht="14.25" hidden="1" customHeight="1">
      <c r="A509" s="8" t="s">
        <v>1050</v>
      </c>
      <c r="B509" s="8" t="s">
        <v>323</v>
      </c>
      <c r="D509" s="121" t="str">
        <f>HYPERLINK("http://www.bigspring.va.gov/services/MENTALHEALTHSERVICES.ASP")</f>
        <v>http://www.bigspring.va.gov/services/MENTALHEALTHSERVICES.ASP</v>
      </c>
      <c r="E509" s="8" t="s">
        <v>392</v>
      </c>
    </row>
    <row r="510" ht="14.25" hidden="1" customHeight="1">
      <c r="A510" s="8" t="s">
        <v>1050</v>
      </c>
      <c r="B510" s="8" t="s">
        <v>332</v>
      </c>
      <c r="D510" s="121" t="str">
        <f>HYPERLINK("http://www.bigspring.va.gov/services/NUTRITIONANDFOOD.ASP")</f>
        <v>http://www.bigspring.va.gov/services/NUTRITIONANDFOOD.ASP</v>
      </c>
      <c r="E510" s="8" t="s">
        <v>392</v>
      </c>
    </row>
    <row r="511" ht="14.25" hidden="1" customHeight="1">
      <c r="A511" s="8" t="s">
        <v>1050</v>
      </c>
      <c r="B511" s="8" t="s">
        <v>337</v>
      </c>
      <c r="D511" s="121" t="str">
        <f>HYPERLINK("http://www.bigspring.va.gov/services/OPHTHALMOLOGY.ASP")</f>
        <v>http://www.bigspring.va.gov/services/OPHTHALMOLOGY.ASP</v>
      </c>
      <c r="E511" s="8" t="s">
        <v>392</v>
      </c>
    </row>
    <row r="512" ht="14.25" hidden="1" customHeight="1">
      <c r="A512" s="8" t="s">
        <v>1050</v>
      </c>
      <c r="B512" s="8" t="s">
        <v>1062</v>
      </c>
      <c r="D512" s="121" t="str">
        <f>HYPERLINK("http://www.bigspring.va.gov/services/PATIENTBUSINESSOFFICE.ASP")</f>
        <v>http://www.bigspring.va.gov/services/PATIENTBUSINESSOFFICE.ASP</v>
      </c>
      <c r="E512" s="8" t="s">
        <v>392</v>
      </c>
    </row>
    <row r="513" ht="14.25" hidden="1" customHeight="1">
      <c r="A513" s="8" t="s">
        <v>1050</v>
      </c>
      <c r="B513" s="8" t="s">
        <v>343</v>
      </c>
      <c r="D513" s="121" t="str">
        <f>HYPERLINK("http://www.bigspring.va.gov/services/PHARMACY.ASP")</f>
        <v>http://www.bigspring.va.gov/services/PHARMACY.ASP</v>
      </c>
      <c r="E513" s="8" t="s">
        <v>392</v>
      </c>
    </row>
    <row r="514" ht="14.25" hidden="1" customHeight="1">
      <c r="A514" s="8" t="s">
        <v>1050</v>
      </c>
      <c r="B514" s="8" t="s">
        <v>1063</v>
      </c>
      <c r="D514" s="121" t="str">
        <f>HYPERLINK("http://www.bigspring.va.gov/services/PHYSICALMEDICINEANDREHABILITATION.ASP")</f>
        <v>http://www.bigspring.va.gov/services/PHYSICALMEDICINEANDREHABILITATION.ASP</v>
      </c>
      <c r="E514" s="8" t="s">
        <v>392</v>
      </c>
    </row>
    <row r="515" ht="14.25" hidden="1" customHeight="1">
      <c r="A515" s="8" t="s">
        <v>1050</v>
      </c>
      <c r="B515" s="8" t="s">
        <v>1064</v>
      </c>
      <c r="D515" s="121" t="str">
        <f>HYPERLINK("http://www.bigspring.va.gov/services/POLYTRAUMA.ASP")</f>
        <v>http://www.bigspring.va.gov/services/POLYTRAUMA.ASP</v>
      </c>
      <c r="E515" s="8" t="s">
        <v>392</v>
      </c>
    </row>
    <row r="516" ht="14.25" hidden="1" customHeight="1">
      <c r="A516" s="8" t="s">
        <v>1050</v>
      </c>
      <c r="B516" s="8" t="s">
        <v>1066</v>
      </c>
      <c r="D516" s="121" t="str">
        <f>HYPERLINK("http://www.bigspring.va.gov/services/PTSD.ASP")</f>
        <v>http://www.bigspring.va.gov/services/PTSD.ASP</v>
      </c>
      <c r="E516" s="8" t="s">
        <v>392</v>
      </c>
    </row>
    <row r="517" ht="14.25" hidden="1" customHeight="1">
      <c r="A517" s="8" t="s">
        <v>1050</v>
      </c>
      <c r="B517" s="8" t="s">
        <v>348</v>
      </c>
      <c r="D517" s="121" t="str">
        <f>HYPERLINK("http://www.bigspring.va.gov/services/PRIMARYCARE.ASP")</f>
        <v>http://www.bigspring.va.gov/services/PRIMARYCARE.ASP</v>
      </c>
      <c r="E517" s="8" t="s">
        <v>392</v>
      </c>
    </row>
    <row r="518" ht="14.25" hidden="1" customHeight="1">
      <c r="A518" s="8" t="s">
        <v>1050</v>
      </c>
      <c r="B518" s="8" t="s">
        <v>1067</v>
      </c>
      <c r="D518" s="121" t="str">
        <f>HYPERLINK("http://www.bigspring.va.gov/services/QUALITYMANAGEMENT.ASP")</f>
        <v>http://www.bigspring.va.gov/services/QUALITYMANAGEMENT.ASP</v>
      </c>
      <c r="E518" s="8" t="s">
        <v>392</v>
      </c>
    </row>
    <row r="519" ht="14.25" hidden="1" customHeight="1">
      <c r="A519" s="8" t="s">
        <v>1050</v>
      </c>
      <c r="B519" s="8" t="s">
        <v>1068</v>
      </c>
      <c r="D519" s="121" t="str">
        <f>HYPERLINK("http://www.bigspring.va.gov/services/RRTP.ASP")</f>
        <v>http://www.bigspring.va.gov/services/RRTP.ASP</v>
      </c>
      <c r="E519" s="8" t="s">
        <v>392</v>
      </c>
    </row>
    <row r="520" ht="14.25" hidden="1" customHeight="1">
      <c r="A520" s="8" t="s">
        <v>1050</v>
      </c>
      <c r="B520" s="8" t="s">
        <v>1069</v>
      </c>
      <c r="D520" s="121" t="str">
        <f>HYPERLINK("http://www.bigspring.va.gov/services/RESPITECAREPROGRAM.ASP")</f>
        <v>http://www.bigspring.va.gov/services/RESPITECAREPROGRAM.ASP</v>
      </c>
      <c r="E520" s="8" t="s">
        <v>392</v>
      </c>
    </row>
    <row r="521" ht="14.25" hidden="1" customHeight="1">
      <c r="A521" s="8" t="s">
        <v>1050</v>
      </c>
      <c r="B521" s="8" t="s">
        <v>925</v>
      </c>
      <c r="D521" s="121" t="str">
        <f>HYPERLINK("http://www.bigspring.va.gov/services/SOCIALWORKSERVICE.ASP")</f>
        <v>http://www.bigspring.va.gov/services/SOCIALWORKSERVICE.ASP</v>
      </c>
      <c r="E521" s="8" t="s">
        <v>392</v>
      </c>
    </row>
    <row r="522" ht="14.25" hidden="1" customHeight="1">
      <c r="A522" s="8" t="s">
        <v>1050</v>
      </c>
      <c r="B522" s="8" t="s">
        <v>1071</v>
      </c>
      <c r="D522" s="121" t="str">
        <f>HYPERLINK("http://www.bigspring.va.gov/services/SCI.ASP")</f>
        <v>http://www.bigspring.va.gov/services/SCI.ASP</v>
      </c>
      <c r="E522" s="8" t="s">
        <v>392</v>
      </c>
    </row>
    <row r="523" ht="14.25" hidden="1" customHeight="1">
      <c r="A523" s="8" t="s">
        <v>1050</v>
      </c>
      <c r="B523" s="8" t="s">
        <v>1072</v>
      </c>
      <c r="D523" s="121" t="str">
        <f>HYPERLINK("http://www.bigspring.va.gov/services/SATP.ASP")</f>
        <v>http://www.bigspring.va.gov/services/SATP.ASP</v>
      </c>
      <c r="E523" s="8" t="s">
        <v>392</v>
      </c>
    </row>
    <row r="524" ht="14.25" hidden="1" customHeight="1">
      <c r="A524" s="8" t="s">
        <v>1050</v>
      </c>
      <c r="B524" s="8" t="s">
        <v>617</v>
      </c>
      <c r="D524" s="121" t="str">
        <f>HYPERLINK("http://www.bigspring.va.gov/services/SUICIDEPREVENTION.ASP")</f>
        <v>http://www.bigspring.va.gov/services/SUICIDEPREVENTION.ASP</v>
      </c>
      <c r="E524" s="8" t="s">
        <v>392</v>
      </c>
    </row>
    <row r="525" ht="14.25" hidden="1" customHeight="1">
      <c r="A525" s="8" t="s">
        <v>1050</v>
      </c>
      <c r="B525" s="8" t="s">
        <v>620</v>
      </c>
      <c r="D525" s="121" t="str">
        <f>HYPERLINK("http://www.bigspring.va.gov/services/TELENURSETRIAGE.ASP")</f>
        <v>http://www.bigspring.va.gov/services/TELENURSETRIAGE.ASP</v>
      </c>
      <c r="E525" s="8" t="s">
        <v>392</v>
      </c>
    </row>
    <row r="526" ht="14.25" hidden="1" customHeight="1">
      <c r="A526" s="8" t="s">
        <v>1050</v>
      </c>
      <c r="B526" s="8" t="s">
        <v>370</v>
      </c>
      <c r="D526" s="121" t="str">
        <f>HYPERLINK("http://www.bigspring.va.gov/services/TELEHEALTH.ASP")</f>
        <v>http://www.bigspring.va.gov/services/TELEHEALTH.ASP</v>
      </c>
      <c r="E526" s="8" t="s">
        <v>392</v>
      </c>
    </row>
    <row r="527" ht="14.25" hidden="1" customHeight="1">
      <c r="A527" s="8" t="s">
        <v>1050</v>
      </c>
      <c r="B527" s="8" t="s">
        <v>520</v>
      </c>
      <c r="D527" s="121" t="str">
        <f>HYPERLINK("http://www.bigspring.va.gov/services/WOMENVETERANSHEALTH.ASP")</f>
        <v>http://www.bigspring.va.gov/services/WOMENVETERANSHEALTH.ASP</v>
      </c>
      <c r="E527" s="8" t="s">
        <v>392</v>
      </c>
    </row>
    <row r="528" ht="14.25" hidden="1" customHeight="1">
      <c r="A528" s="8" t="s">
        <v>1073</v>
      </c>
      <c r="B528" s="8" t="s">
        <v>1074</v>
      </c>
      <c r="D528" s="121" t="str">
        <f>HYPERLINK("http://www.biloxi.va.gov/services/BRC.ASP")</f>
        <v>http://www.biloxi.va.gov/services/BRC.ASP</v>
      </c>
      <c r="E528" s="8" t="s">
        <v>392</v>
      </c>
    </row>
    <row r="529" ht="14.25" hidden="1" customHeight="1">
      <c r="A529" s="8" t="s">
        <v>1073</v>
      </c>
      <c r="B529" s="8" t="s">
        <v>484</v>
      </c>
      <c r="D529" s="121" t="str">
        <f>HYPERLINK("http://www.biloxi.va.gov/services/CAREGIVER.ASP")</f>
        <v>http://www.biloxi.va.gov/services/CAREGIVER.ASP</v>
      </c>
      <c r="E529" s="8" t="s">
        <v>392</v>
      </c>
    </row>
    <row r="530" ht="14.25" hidden="1" customHeight="1">
      <c r="A530" s="8" t="s">
        <v>1073</v>
      </c>
      <c r="B530" s="8" t="s">
        <v>304</v>
      </c>
      <c r="D530" s="121" t="str">
        <f>HYPERLINK("http://www.biloxi.va.gov/services/DENTAL.ASP")</f>
        <v>http://www.biloxi.va.gov/services/DENTAL.ASP</v>
      </c>
      <c r="E530" s="8" t="s">
        <v>392</v>
      </c>
    </row>
    <row r="531" ht="14.25" hidden="1" customHeight="1">
      <c r="A531" s="8" t="s">
        <v>1073</v>
      </c>
      <c r="B531" s="8" t="s">
        <v>308</v>
      </c>
      <c r="D531" s="121" t="str">
        <f>HYPERLINK("http://www.biloxi.va.gov/services/EMERGENCY.ASP")</f>
        <v>http://www.biloxi.va.gov/services/EMERGENCY.ASP</v>
      </c>
      <c r="E531" s="8" t="s">
        <v>392</v>
      </c>
    </row>
    <row r="532" ht="14.25" hidden="1" customHeight="1">
      <c r="A532" s="8" t="s">
        <v>1073</v>
      </c>
      <c r="B532" s="8" t="s">
        <v>1075</v>
      </c>
      <c r="D532" s="121" t="str">
        <f>HYPERLINK("http://www.biloxi.va.gov/services/EXTENDEDCARE.ASP")</f>
        <v>http://www.biloxi.va.gov/services/EXTENDEDCARE.ASP</v>
      </c>
      <c r="E532" s="8" t="s">
        <v>392</v>
      </c>
    </row>
    <row r="533" ht="14.25" hidden="1" customHeight="1">
      <c r="A533" s="8" t="s">
        <v>1073</v>
      </c>
      <c r="B533" s="8" t="s">
        <v>1076</v>
      </c>
      <c r="D533" s="121" t="str">
        <f>HYPERLINK("http://www.biloxi.va.gov/services/FPOW.ASP")</f>
        <v>http://www.biloxi.va.gov/services/FPOW.ASP</v>
      </c>
      <c r="E533" s="8" t="s">
        <v>392</v>
      </c>
    </row>
    <row r="534" ht="14.25" hidden="1" customHeight="1">
      <c r="A534" s="8" t="s">
        <v>1073</v>
      </c>
      <c r="B534" s="8" t="s">
        <v>1077</v>
      </c>
      <c r="D534" s="121" t="str">
        <f>HYPERLINK("http://www.biloxi.va.gov/services/INPATIENT.ASP")</f>
        <v>http://www.biloxi.va.gov/services/INPATIENT.ASP</v>
      </c>
      <c r="E534" s="8" t="s">
        <v>392</v>
      </c>
    </row>
    <row r="535" ht="14.25" hidden="1" customHeight="1">
      <c r="A535" s="8" t="s">
        <v>1073</v>
      </c>
      <c r="B535" s="8" t="s">
        <v>598</v>
      </c>
      <c r="D535" s="121" t="str">
        <f>HYPERLINK("http://www.biloxi.va.gov/services/MOVE.ASP")</f>
        <v>http://www.biloxi.va.gov/services/MOVE.ASP</v>
      </c>
      <c r="E535" s="8" t="s">
        <v>392</v>
      </c>
    </row>
    <row r="536" ht="14.25" hidden="1" customHeight="1">
      <c r="A536" s="8" t="s">
        <v>1073</v>
      </c>
      <c r="B536" s="8" t="s">
        <v>1016</v>
      </c>
      <c r="D536" s="121" t="str">
        <f>HYPERLINK("http://www.biloxi.va.gov/services/MFC.ASP")</f>
        <v>http://www.biloxi.va.gov/services/MFC.ASP</v>
      </c>
      <c r="E536" s="8" t="s">
        <v>392</v>
      </c>
    </row>
    <row r="537" ht="14.25" hidden="1" customHeight="1">
      <c r="A537" s="8" t="s">
        <v>1073</v>
      </c>
      <c r="B537" s="8" t="s">
        <v>323</v>
      </c>
      <c r="D537" s="121" t="str">
        <f>HYPERLINK("http://www.biloxi.va.gov/services/MENTALHEALTH.ASP")</f>
        <v>http://www.biloxi.va.gov/services/MENTALHEALTH.ASP</v>
      </c>
      <c r="E537" s="8" t="s">
        <v>392</v>
      </c>
    </row>
    <row r="538" ht="14.25" hidden="1" customHeight="1">
      <c r="A538" s="8" t="s">
        <v>1073</v>
      </c>
      <c r="B538" s="8" t="s">
        <v>1078</v>
      </c>
      <c r="D538" s="121" t="str">
        <f>HYPERLINK("http://www.biloxi.va.gov/services/MHV.ASP")</f>
        <v>http://www.biloxi.va.gov/services/MHV.ASP</v>
      </c>
      <c r="E538" s="8" t="s">
        <v>392</v>
      </c>
    </row>
    <row r="539" ht="14.25" hidden="1" customHeight="1">
      <c r="A539" s="8" t="s">
        <v>1073</v>
      </c>
      <c r="B539" s="8" t="s">
        <v>907</v>
      </c>
      <c r="D539" s="121" t="str">
        <f>HYPERLINK("http://www.biloxi.va.gov/services/PATIENT-ADVOCATES.ASP")</f>
        <v>http://www.biloxi.va.gov/services/PATIENT-ADVOCATES.ASP</v>
      </c>
      <c r="E539" s="8" t="s">
        <v>392</v>
      </c>
    </row>
    <row r="540" ht="14.25" hidden="1" customHeight="1">
      <c r="A540" s="8" t="s">
        <v>1073</v>
      </c>
      <c r="B540" s="8" t="s">
        <v>343</v>
      </c>
      <c r="D540" s="121" t="str">
        <f>HYPERLINK("http://www.biloxi.va.gov/services/PHARMACY.ASP")</f>
        <v>http://www.biloxi.va.gov/services/PHARMACY.ASP</v>
      </c>
      <c r="E540" s="8" t="s">
        <v>392</v>
      </c>
    </row>
    <row r="541" ht="14.25" hidden="1" customHeight="1">
      <c r="A541" s="8" t="s">
        <v>1073</v>
      </c>
      <c r="B541" s="8" t="s">
        <v>348</v>
      </c>
      <c r="D541" s="121" t="str">
        <f>HYPERLINK("http://www.biloxi.va.gov/services/PRIMARYCARE.ASP")</f>
        <v>http://www.biloxi.va.gov/services/PRIMARYCARE.ASP</v>
      </c>
      <c r="E541" s="8" t="s">
        <v>392</v>
      </c>
    </row>
    <row r="542" ht="14.25" hidden="1" customHeight="1">
      <c r="A542" s="8" t="s">
        <v>1073</v>
      </c>
      <c r="B542" s="8" t="s">
        <v>1079</v>
      </c>
      <c r="D542" s="121" t="str">
        <f>HYPERLINK("http://www.biloxi.va.gov/services/PRRTP.ASP")</f>
        <v>http://www.biloxi.va.gov/services/PRRTP.ASP</v>
      </c>
      <c r="E542" s="8" t="s">
        <v>392</v>
      </c>
    </row>
    <row r="543" ht="14.25" hidden="1" customHeight="1">
      <c r="A543" s="8" t="s">
        <v>1073</v>
      </c>
      <c r="B543" s="8" t="s">
        <v>360</v>
      </c>
      <c r="D543" s="121" t="str">
        <f>HYPERLINK("http://www.biloxi.va.gov/services/SOCALWORK.ASP")</f>
        <v>http://www.biloxi.va.gov/services/SOCALWORK.ASP</v>
      </c>
      <c r="E543" s="8" t="s">
        <v>392</v>
      </c>
    </row>
    <row r="544" ht="14.25" hidden="1" customHeight="1">
      <c r="A544" s="8" t="s">
        <v>1073</v>
      </c>
      <c r="B544" s="8" t="s">
        <v>364</v>
      </c>
      <c r="D544" s="121" t="str">
        <f>HYPERLINK("http://www.biloxi.va.gov/services/SCJ.ASP")</f>
        <v>http://www.biloxi.va.gov/services/SCJ.ASP</v>
      </c>
      <c r="E544" s="8" t="s">
        <v>392</v>
      </c>
    </row>
    <row r="545" ht="14.25" hidden="1" customHeight="1">
      <c r="A545" s="8" t="s">
        <v>1073</v>
      </c>
      <c r="B545" s="8" t="s">
        <v>370</v>
      </c>
      <c r="D545" s="121" t="str">
        <f>HYPERLINK("http://www.biloxi.va.gov/services/TELEHEALTH.ASP")</f>
        <v>http://www.biloxi.va.gov/services/TELEHEALTH.ASP</v>
      </c>
      <c r="E545" s="8" t="s">
        <v>392</v>
      </c>
    </row>
    <row r="546" ht="14.25" hidden="1" customHeight="1">
      <c r="A546" s="8" t="s">
        <v>1081</v>
      </c>
      <c r="B546" s="8" t="s">
        <v>414</v>
      </c>
      <c r="D546" s="121" t="str">
        <f>HYPERLINK("http://www.birmingham.va.gov/services/CARDIOLOGY.ASP")</f>
        <v>http://www.birmingham.va.gov/services/CARDIOLOGY.ASP</v>
      </c>
      <c r="E546" s="8" t="s">
        <v>392</v>
      </c>
    </row>
    <row r="547" ht="14.25" hidden="1" customHeight="1">
      <c r="A547" s="8" t="s">
        <v>1081</v>
      </c>
      <c r="B547" s="8" t="s">
        <v>1082</v>
      </c>
      <c r="D547" s="121" t="str">
        <f>HYPERLINK("http://www.birmingham.va.gov/services/CARDIOVASCULAR_CARE_OPEN_HEART.ASP")</f>
        <v>http://www.birmingham.va.gov/services/CARDIOVASCULAR_CARE_OPEN_HEART.ASP</v>
      </c>
      <c r="E547" s="8" t="s">
        <v>392</v>
      </c>
    </row>
    <row r="548" ht="14.25" hidden="1" customHeight="1">
      <c r="A548" s="8" t="s">
        <v>1081</v>
      </c>
      <c r="B548" s="8" t="s">
        <v>532</v>
      </c>
      <c r="D548" s="121" t="str">
        <f>HYPERLINK("http://www.birmingham.va.gov/services/EMERGENCY_ROOM.ASP")</f>
        <v>http://www.birmingham.va.gov/services/EMERGENCY_ROOM.ASP</v>
      </c>
      <c r="E548" s="8" t="s">
        <v>392</v>
      </c>
    </row>
    <row r="549" ht="14.25" hidden="1" customHeight="1">
      <c r="A549" s="8" t="s">
        <v>1081</v>
      </c>
      <c r="B549" s="8" t="s">
        <v>1083</v>
      </c>
      <c r="D549" s="121" t="str">
        <f>HYPERLINK("http://www.birmingham.va.gov/services/GERIATRIC_CENTER.ASP")</f>
        <v>http://www.birmingham.va.gov/services/GERIATRIC_CENTER.ASP</v>
      </c>
      <c r="E549" s="8" t="s">
        <v>392</v>
      </c>
    </row>
    <row r="550" ht="14.25" hidden="1" customHeight="1">
      <c r="A550" s="8" t="s">
        <v>1081</v>
      </c>
      <c r="B550" s="8" t="s">
        <v>1084</v>
      </c>
      <c r="D550" s="121" t="str">
        <f>HYPERLINK("http://www.birmingham.va.gov/services/GRECC.ASP")</f>
        <v>http://www.birmingham.va.gov/services/GRECC.ASP</v>
      </c>
      <c r="E550" s="8" t="s">
        <v>392</v>
      </c>
    </row>
    <row r="551" ht="14.25" hidden="1" customHeight="1">
      <c r="A551" s="8" t="s">
        <v>1081</v>
      </c>
      <c r="B551" s="8" t="s">
        <v>1085</v>
      </c>
      <c r="D551" s="121" t="str">
        <f>HYPERLINK("http://www.birmingham.va.gov/services/MEDICAL_SUBSPECIALTY.ASP")</f>
        <v>http://www.birmingham.va.gov/services/MEDICAL_SUBSPECIALTY.ASP</v>
      </c>
      <c r="E551" s="8" t="s">
        <v>392</v>
      </c>
    </row>
    <row r="552" ht="14.25" hidden="1" customHeight="1">
      <c r="A552" s="8" t="s">
        <v>1081</v>
      </c>
      <c r="B552" s="8" t="s">
        <v>323</v>
      </c>
      <c r="D552" s="121" t="str">
        <f>HYPERLINK("http://www.birmingham.va.gov/services/MENTALHEALTH.ASP")</f>
        <v>http://www.birmingham.va.gov/services/MENTALHEALTH.ASP</v>
      </c>
      <c r="E552" s="8" t="s">
        <v>392</v>
      </c>
    </row>
    <row r="553" ht="14.25" hidden="1" customHeight="1">
      <c r="A553" s="8" t="s">
        <v>1081</v>
      </c>
      <c r="B553" s="8" t="s">
        <v>651</v>
      </c>
      <c r="D553" s="121" t="str">
        <f>HYPERLINK("http://www.birmingham.va.gov/services/PALLIATIVE_CARE.ASP")</f>
        <v>http://www.birmingham.va.gov/services/PALLIATIVE_CARE.ASP</v>
      </c>
      <c r="E553" s="8" t="s">
        <v>392</v>
      </c>
    </row>
    <row r="554" ht="14.25" hidden="1" customHeight="1">
      <c r="A554" s="8" t="s">
        <v>1081</v>
      </c>
      <c r="B554" s="8" t="s">
        <v>343</v>
      </c>
      <c r="D554" s="121" t="str">
        <f>HYPERLINK("http://www.birmingham.va.gov/services/PHARMACY.ASP")</f>
        <v>http://www.birmingham.va.gov/services/PHARMACY.ASP</v>
      </c>
      <c r="E554" s="8" t="s">
        <v>392</v>
      </c>
    </row>
    <row r="555" ht="14.25" hidden="1" customHeight="1">
      <c r="A555" s="8" t="s">
        <v>1081</v>
      </c>
      <c r="B555" s="8" t="s">
        <v>1087</v>
      </c>
      <c r="D555" s="121" t="str">
        <f>HYPERLINK("http://www.birmingham.va.gov/services/PTSD.ASP")</f>
        <v>http://www.birmingham.va.gov/services/PTSD.ASP</v>
      </c>
      <c r="E555" s="8" t="s">
        <v>392</v>
      </c>
    </row>
    <row r="556" ht="14.25" hidden="1" customHeight="1">
      <c r="A556" s="8" t="s">
        <v>1081</v>
      </c>
      <c r="B556" s="8" t="s">
        <v>348</v>
      </c>
      <c r="D556" s="121" t="str">
        <f>HYPERLINK("http://www.birmingham.va.gov/services/PRIMARY.ASP")</f>
        <v>http://www.birmingham.va.gov/services/PRIMARY.ASP</v>
      </c>
      <c r="E556" s="8" t="s">
        <v>392</v>
      </c>
    </row>
    <row r="557" ht="14.25" hidden="1" customHeight="1">
      <c r="A557" s="8" t="s">
        <v>1081</v>
      </c>
      <c r="B557" s="8" t="s">
        <v>360</v>
      </c>
      <c r="D557" s="121" t="str">
        <f>HYPERLINK("http://www.birmingham.va.gov/services/SOCIALWORK.ASP")</f>
        <v>http://www.birmingham.va.gov/services/SOCIALWORK.ASP</v>
      </c>
      <c r="E557" s="8" t="s">
        <v>392</v>
      </c>
    </row>
    <row r="558" ht="14.25" hidden="1" customHeight="1">
      <c r="A558" s="8" t="s">
        <v>1081</v>
      </c>
      <c r="B558" s="8" t="s">
        <v>1072</v>
      </c>
      <c r="D558" s="121" t="str">
        <f>HYPERLINK("http://www.birmingham.va.gov/services/SUBSTANCE_ABUSE.ASP")</f>
        <v>http://www.birmingham.va.gov/services/SUBSTANCE_ABUSE.ASP</v>
      </c>
      <c r="E558" s="8" t="s">
        <v>392</v>
      </c>
    </row>
    <row r="559" ht="14.25" hidden="1" customHeight="1">
      <c r="A559" s="8" t="s">
        <v>1081</v>
      </c>
      <c r="B559" s="8" t="s">
        <v>1088</v>
      </c>
      <c r="D559" s="121" t="str">
        <f>HYPERLINK("http://www.birmingham.va.gov/services/SURGICAL_SPECIALTIES.ASP")</f>
        <v>http://www.birmingham.va.gov/services/SURGICAL_SPECIALTIES.ASP</v>
      </c>
      <c r="E559" s="8" t="s">
        <v>392</v>
      </c>
    </row>
    <row r="560" ht="14.25" hidden="1" customHeight="1">
      <c r="A560" s="8" t="s">
        <v>1081</v>
      </c>
      <c r="B560" s="8" t="s">
        <v>1089</v>
      </c>
      <c r="D560" s="121" t="str">
        <f>HYPERLINK("http://www.birmingham.va.gov/services/TELEPHONE_CARE.ASP")</f>
        <v>http://www.birmingham.va.gov/services/TELEPHONE_CARE.ASP</v>
      </c>
      <c r="E560" s="8" t="s">
        <v>392</v>
      </c>
    </row>
    <row r="561" ht="14.25" hidden="1" customHeight="1">
      <c r="A561" s="8" t="s">
        <v>1081</v>
      </c>
      <c r="B561" s="8" t="s">
        <v>1090</v>
      </c>
      <c r="D561" s="121" t="str">
        <f>HYPERLINK("http://www.birmingham.va.gov/services/VISUAL_IMPAIRMENT.ASP")</f>
        <v>http://www.birmingham.va.gov/services/VISUAL_IMPAIRMENT.ASP</v>
      </c>
      <c r="E561" s="8" t="s">
        <v>392</v>
      </c>
    </row>
    <row r="562" ht="14.25" hidden="1" customHeight="1">
      <c r="A562" s="8" t="s">
        <v>1091</v>
      </c>
      <c r="B562" s="8" t="s">
        <v>1092</v>
      </c>
      <c r="D562" s="121" t="str">
        <f>HYPERLINK("http://www.blackhills.va.gov/services/ADDICTIVE_DISORDERS_SERVICE.ASP")</f>
        <v>http://www.blackhills.va.gov/services/ADDICTIVE_DISORDERS_SERVICE.ASP</v>
      </c>
      <c r="E562" s="8" t="s">
        <v>392</v>
      </c>
    </row>
    <row r="563" ht="14.25" hidden="1" customHeight="1">
      <c r="A563" s="8" t="s">
        <v>1091</v>
      </c>
      <c r="B563" s="8" t="s">
        <v>1093</v>
      </c>
      <c r="D563" s="121" t="str">
        <f>HYPERLINK("http://www.blackhills.va.gov/services/CONNECTED_HEALTH.ASP")</f>
        <v>http://www.blackhills.va.gov/services/CONNECTED_HEALTH.ASP</v>
      </c>
      <c r="E563" s="8" t="s">
        <v>392</v>
      </c>
    </row>
    <row r="564" ht="14.25" hidden="1" customHeight="1">
      <c r="A564" s="8" t="s">
        <v>1091</v>
      </c>
      <c r="B564" s="8" t="s">
        <v>1094</v>
      </c>
      <c r="D564" s="121" t="str">
        <f>HYPERLINK("http://www.blackhills.va.gov/services/DIALYSIS.ASP")</f>
        <v>http://www.blackhills.va.gov/services/DIALYSIS.ASP</v>
      </c>
      <c r="E564" s="8" t="s">
        <v>392</v>
      </c>
    </row>
    <row r="565" ht="14.25" hidden="1" customHeight="1">
      <c r="A565" s="8" t="s">
        <v>1091</v>
      </c>
      <c r="B565" s="8" t="s">
        <v>658</v>
      </c>
      <c r="D565" s="121" t="str">
        <f>HYPERLINK("http://www.blackhills.va.gov/services/MOVE.ASP")</f>
        <v>http://www.blackhills.va.gov/services/MOVE.ASP</v>
      </c>
      <c r="E565" s="8" t="s">
        <v>392</v>
      </c>
    </row>
    <row r="566" ht="14.25" hidden="1" customHeight="1">
      <c r="A566" s="8" t="s">
        <v>1091</v>
      </c>
      <c r="B566" s="8" t="s">
        <v>1095</v>
      </c>
      <c r="D566" s="121" t="str">
        <f>HYPERLINK("http://www.blackhills.va.gov/services/MEDICAL_FOSTER_HOMES.ASP")</f>
        <v>http://www.blackhills.va.gov/services/MEDICAL_FOSTER_HOMES.ASP</v>
      </c>
      <c r="E566" s="8" t="s">
        <v>392</v>
      </c>
    </row>
    <row r="567" ht="14.25" hidden="1" customHeight="1">
      <c r="A567" s="8" t="s">
        <v>1091</v>
      </c>
      <c r="B567" s="8" t="s">
        <v>323</v>
      </c>
      <c r="D567" s="121" t="str">
        <f>HYPERLINK("http://www.blackhills.va.gov/services/MENTAL_HEALTH.ASP")</f>
        <v>http://www.blackhills.va.gov/services/MENTAL_HEALTH.ASP</v>
      </c>
      <c r="E567" s="8" t="s">
        <v>392</v>
      </c>
    </row>
    <row r="568" ht="14.25" hidden="1" customHeight="1">
      <c r="A568" s="8" t="s">
        <v>1091</v>
      </c>
      <c r="B568" s="8" t="s">
        <v>326</v>
      </c>
      <c r="D568" s="121" t="str">
        <f>HYPERLINK("http://www.blackhills.va.gov/services/MINORITY_VETERANS_PROGRAM.ASP")</f>
        <v>http://www.blackhills.va.gov/services/MINORITY_VETERANS_PROGRAM.ASP</v>
      </c>
      <c r="E568" s="8" t="s">
        <v>392</v>
      </c>
    </row>
    <row r="569" ht="14.25" hidden="1" customHeight="1">
      <c r="A569" s="8" t="s">
        <v>1091</v>
      </c>
      <c r="B569" s="8" t="s">
        <v>1096</v>
      </c>
      <c r="D569" s="121" t="str">
        <f>HYPERLINK("http://www.blackhills.va.gov/services/OEF_OIF_OND_PROGRAM.ASP")</f>
        <v>http://www.blackhills.va.gov/services/OEF_OIF_OND_PROGRAM.ASP</v>
      </c>
      <c r="E569" s="8" t="s">
        <v>392</v>
      </c>
    </row>
    <row r="570" ht="14.25" hidden="1" customHeight="1">
      <c r="A570" s="8" t="s">
        <v>1091</v>
      </c>
      <c r="B570" s="8" t="s">
        <v>342</v>
      </c>
      <c r="D570" s="121" t="str">
        <f>HYPERLINK("http://www.blackhills.va.gov/services/PALLIATIVE_AND_HOSPICE_CARE.ASP")</f>
        <v>http://www.blackhills.va.gov/services/PALLIATIVE_AND_HOSPICE_CARE.ASP</v>
      </c>
      <c r="E570" s="8" t="s">
        <v>392</v>
      </c>
    </row>
    <row r="571" ht="14.25" hidden="1" customHeight="1">
      <c r="A571" s="8" t="s">
        <v>1091</v>
      </c>
      <c r="B571" s="8" t="s">
        <v>1097</v>
      </c>
      <c r="D571" s="121" t="str">
        <f>HYPERLINK("http://www.blackhills.va.gov/services/PRIVACY.ASP")</f>
        <v>http://www.blackhills.va.gov/services/PRIVACY.ASP</v>
      </c>
      <c r="E571" s="8" t="s">
        <v>392</v>
      </c>
    </row>
    <row r="572" ht="14.25" hidden="1" customHeight="1">
      <c r="A572" s="8" t="s">
        <v>1091</v>
      </c>
      <c r="B572" s="8" t="s">
        <v>343</v>
      </c>
      <c r="D572" s="121" t="str">
        <f>HYPERLINK("http://www.blackhills.va.gov/services/PHARMACY.ASP")</f>
        <v>http://www.blackhills.va.gov/services/PHARMACY.ASP</v>
      </c>
      <c r="E572" s="8" t="s">
        <v>392</v>
      </c>
    </row>
    <row r="573" ht="14.25" hidden="1" customHeight="1">
      <c r="A573" s="8" t="s">
        <v>1091</v>
      </c>
      <c r="B573" s="8" t="s">
        <v>1099</v>
      </c>
      <c r="D573" s="121" t="str">
        <f>HYPERLINK("http://www.blackhills.va.gov/services/POLYTRAUMA_SYSTEM_OF_CARE.ASP")</f>
        <v>http://www.blackhills.va.gov/services/POLYTRAUMA_SYSTEM_OF_CARE.ASP</v>
      </c>
      <c r="E573" s="8" t="s">
        <v>392</v>
      </c>
    </row>
    <row r="574" ht="14.25" hidden="1" customHeight="1">
      <c r="A574" s="8" t="s">
        <v>1091</v>
      </c>
      <c r="B574" s="8" t="s">
        <v>1101</v>
      </c>
      <c r="D574" s="121" t="str">
        <f>HYPERLINK("http://www.blackhills.va.gov/services/SUPT_OUTPATIENT_PROGRAM.ASP")</f>
        <v>http://www.blackhills.va.gov/services/SUPT_OUTPATIENT_PROGRAM.ASP</v>
      </c>
      <c r="E574" s="8" t="s">
        <v>392</v>
      </c>
    </row>
    <row r="575" ht="14.25" hidden="1" customHeight="1">
      <c r="A575" s="8" t="s">
        <v>1091</v>
      </c>
      <c r="B575" s="8" t="s">
        <v>1102</v>
      </c>
      <c r="D575" s="121" t="str">
        <f>HYPERLINK("http://www.blackhills.va.gov/services/SOCIAL_WORK_PROGRAM.ASP")</f>
        <v>http://www.blackhills.va.gov/services/SOCIAL_WORK_PROGRAM.ASP</v>
      </c>
      <c r="E575" s="8" t="s">
        <v>392</v>
      </c>
    </row>
    <row r="576" ht="14.25" hidden="1" customHeight="1">
      <c r="A576" s="8" t="s">
        <v>1091</v>
      </c>
      <c r="B576" s="8" t="s">
        <v>463</v>
      </c>
      <c r="D576" s="121" t="str">
        <f>HYPERLINK("http://www.blackhills.va.gov/services/SCI.ASP")</f>
        <v>http://www.blackhills.va.gov/services/SCI.ASP</v>
      </c>
      <c r="E576" s="8" t="s">
        <v>392</v>
      </c>
    </row>
    <row r="577" ht="14.25" hidden="1" customHeight="1">
      <c r="A577" s="8" t="s">
        <v>1091</v>
      </c>
      <c r="B577" s="8" t="s">
        <v>1103</v>
      </c>
      <c r="D577" s="121" t="str">
        <f>HYPERLINK("http://www.blackhills.va.gov/services/STUDENT_INTERNSHIPS.ASP")</f>
        <v>http://www.blackhills.va.gov/services/STUDENT_INTERNSHIPS.ASP</v>
      </c>
      <c r="E577" s="8" t="s">
        <v>392</v>
      </c>
    </row>
    <row r="578" ht="14.25" hidden="1" customHeight="1">
      <c r="A578" s="8" t="s">
        <v>1091</v>
      </c>
      <c r="B578" s="8" t="s">
        <v>735</v>
      </c>
      <c r="D578" s="121" t="str">
        <f>HYPERLINK("http://www.blackhills.va.gov/services/COPY_OF_TOBACCO_CESSATION.ASP")</f>
        <v>http://www.blackhills.va.gov/services/COPY_OF_TOBACCO_CESSATION.ASP</v>
      </c>
      <c r="E578" s="8" t="s">
        <v>392</v>
      </c>
    </row>
    <row r="579" ht="14.25" hidden="1" customHeight="1">
      <c r="A579" s="8" t="s">
        <v>1091</v>
      </c>
      <c r="B579" s="8" t="s">
        <v>1104</v>
      </c>
      <c r="D579" s="121" t="str">
        <f>HYPERLINK("http://www.blackhills.va.gov/services/VETERANS_TRANSPORTATION_SERVICE_VTS.ASP")</f>
        <v>http://www.blackhills.va.gov/services/VETERANS_TRANSPORTATION_SERVICE_VTS.ASP</v>
      </c>
      <c r="E579" s="8" t="s">
        <v>392</v>
      </c>
    </row>
    <row r="580" ht="14.25" hidden="1" customHeight="1">
      <c r="A580" s="8" t="s">
        <v>1091</v>
      </c>
      <c r="B580" s="8" t="s">
        <v>1105</v>
      </c>
      <c r="D580" s="121" t="str">
        <f>HYPERLINK("http://www.blackhills.va.gov/services/VA_BLACK_HILLS_HEALTH_CARE_SYSTEM.ASP")</f>
        <v>http://www.blackhills.va.gov/services/VA_BLACK_HILLS_HEALTH_CARE_SYSTEM.ASP</v>
      </c>
      <c r="E580" s="8" t="s">
        <v>392</v>
      </c>
    </row>
    <row r="581" ht="14.25" hidden="1" customHeight="1">
      <c r="A581" s="8" t="s">
        <v>1106</v>
      </c>
      <c r="B581" s="8" t="s">
        <v>868</v>
      </c>
      <c r="D581" s="121" t="str">
        <f>HYPERLINK("http://www.boise.va.gov/services/PAIN_MANAGEMENT.ASP")</f>
        <v>http://www.boise.va.gov/services/PAIN_MANAGEMENT.ASP</v>
      </c>
      <c r="E581" s="8" t="s">
        <v>392</v>
      </c>
    </row>
    <row r="582" ht="14.25" hidden="1" customHeight="1">
      <c r="A582" s="8" t="s">
        <v>1106</v>
      </c>
      <c r="B582" s="8" t="s">
        <v>1107</v>
      </c>
      <c r="D582" s="121" t="str">
        <f>HYPERLINK("http://www.boise.va.gov/services/EXTENDED_CARE_REHABILITATION.ASP")</f>
        <v>http://www.boise.va.gov/services/EXTENDED_CARE_REHABILITATION.ASP</v>
      </c>
      <c r="E582" s="8" t="s">
        <v>392</v>
      </c>
    </row>
    <row r="583" ht="14.25" hidden="1" customHeight="1">
      <c r="A583" s="8" t="s">
        <v>1106</v>
      </c>
      <c r="B583" s="8" t="s">
        <v>317</v>
      </c>
      <c r="D583" s="121" t="str">
        <f>HYPERLINK("http://www.boise.va.gov/services/LGBT_VETERANS.ASP")</f>
        <v>http://www.boise.va.gov/services/LGBT_VETERANS.ASP</v>
      </c>
      <c r="E583" s="8" t="s">
        <v>392</v>
      </c>
    </row>
    <row r="584" ht="14.25" hidden="1" customHeight="1">
      <c r="A584" s="8" t="s">
        <v>1106</v>
      </c>
      <c r="B584" s="8" t="s">
        <v>1016</v>
      </c>
      <c r="D584" s="121" t="str">
        <f>HYPERLINK("http://www.boise.va.gov/services/MEDICALFOSTERHOMEPROGRAM.ASP")</f>
        <v>http://www.boise.va.gov/services/MEDICALFOSTERHOMEPROGRAM.ASP</v>
      </c>
      <c r="E584" s="8" t="s">
        <v>392</v>
      </c>
    </row>
    <row r="585" ht="14.25" hidden="1" customHeight="1">
      <c r="A585" s="8" t="s">
        <v>1106</v>
      </c>
      <c r="B585" s="8" t="s">
        <v>323</v>
      </c>
      <c r="D585" s="121" t="str">
        <f>HYPERLINK("http://www.boise.va.gov/services/MENTAL_HEALTH.ASP")</f>
        <v>http://www.boise.va.gov/services/MENTAL_HEALTH.ASP</v>
      </c>
      <c r="E585" s="8" t="s">
        <v>392</v>
      </c>
    </row>
    <row r="586" ht="14.25" hidden="1" customHeight="1">
      <c r="A586" s="8" t="s">
        <v>1106</v>
      </c>
      <c r="B586" s="8" t="s">
        <v>1108</v>
      </c>
      <c r="D586" s="121" t="str">
        <f>HYPERLINK("http://www.boise.va.gov/services/NON_VA_CARE.ASP")</f>
        <v>http://www.boise.va.gov/services/NON_VA_CARE.ASP</v>
      </c>
      <c r="E586" s="8" t="s">
        <v>392</v>
      </c>
    </row>
    <row r="587" ht="14.25" hidden="1" customHeight="1">
      <c r="A587" s="8" t="s">
        <v>1106</v>
      </c>
      <c r="B587" s="8" t="s">
        <v>1109</v>
      </c>
      <c r="D587" s="121" t="str">
        <f>HYPERLINK("http://www.boise.va.gov/services/OPTICAL_SERVICES.ASP")</f>
        <v>http://www.boise.va.gov/services/OPTICAL_SERVICES.ASP</v>
      </c>
      <c r="E587" s="8" t="s">
        <v>392</v>
      </c>
    </row>
    <row r="588" ht="14.25" hidden="1" customHeight="1">
      <c r="A588" s="8" t="s">
        <v>1106</v>
      </c>
      <c r="B588" s="8" t="s">
        <v>1110</v>
      </c>
      <c r="D588" s="121" t="str">
        <f>HYPERLINK("http://www.boise.va.gov/services/PATIENT_ADVISORY_COUNCIL.ASP")</f>
        <v>http://www.boise.va.gov/services/PATIENT_ADVISORY_COUNCIL.ASP</v>
      </c>
      <c r="E588" s="8" t="s">
        <v>392</v>
      </c>
    </row>
    <row r="589" ht="14.25" hidden="1" customHeight="1">
      <c r="A589" s="8" t="s">
        <v>1106</v>
      </c>
      <c r="B589" s="8" t="s">
        <v>343</v>
      </c>
      <c r="D589" s="121" t="str">
        <f>HYPERLINK("http://www.boise.va.gov/services/PHARMACY.ASP")</f>
        <v>http://www.boise.va.gov/services/PHARMACY.ASP</v>
      </c>
      <c r="E589" s="8" t="s">
        <v>392</v>
      </c>
    </row>
    <row r="590" ht="14.25" hidden="1" customHeight="1">
      <c r="A590" s="8" t="s">
        <v>1106</v>
      </c>
      <c r="B590" s="8" t="s">
        <v>348</v>
      </c>
      <c r="D590" s="121" t="str">
        <f>HYPERLINK("http://www.boise.va.gov/services/PRIMARY_CARE.ASP")</f>
        <v>http://www.boise.va.gov/services/PRIMARY_CARE.ASP</v>
      </c>
      <c r="E590" s="8" t="s">
        <v>392</v>
      </c>
    </row>
    <row r="591" ht="14.25" hidden="1" customHeight="1">
      <c r="A591" s="8" t="s">
        <v>1106</v>
      </c>
      <c r="B591" s="8" t="s">
        <v>508</v>
      </c>
      <c r="D591" s="121" t="str">
        <f>HYPERLINK("http://www.boise.va.gov/services/BOISERESEARCH.ASP")</f>
        <v>http://www.boise.va.gov/services/BOISERESEARCH.ASP</v>
      </c>
      <c r="E591" s="8" t="s">
        <v>392</v>
      </c>
    </row>
    <row r="592" ht="14.25" hidden="1" customHeight="1">
      <c r="A592" s="8" t="s">
        <v>1106</v>
      </c>
      <c r="B592" s="8" t="s">
        <v>360</v>
      </c>
      <c r="D592" s="121" t="str">
        <f>HYPERLINK("http://www.boise.va.gov/services/SOCIAL_WORK.ASP")</f>
        <v>http://www.boise.va.gov/services/SOCIAL_WORK.ASP</v>
      </c>
      <c r="E592" s="8" t="s">
        <v>392</v>
      </c>
    </row>
    <row r="593" ht="14.25" hidden="1" customHeight="1">
      <c r="A593" s="8" t="s">
        <v>1106</v>
      </c>
      <c r="B593" s="8" t="s">
        <v>363</v>
      </c>
      <c r="D593" s="121" t="str">
        <f>HYPERLINK("http://www.boise.va.gov/services/SPECIALTY_CARE.ASP")</f>
        <v>http://www.boise.va.gov/services/SPECIALTY_CARE.ASP</v>
      </c>
      <c r="E593" s="8" t="s">
        <v>392</v>
      </c>
    </row>
    <row r="594" ht="14.25" hidden="1" customHeight="1">
      <c r="A594" s="8" t="s">
        <v>1106</v>
      </c>
      <c r="B594" s="8" t="s">
        <v>722</v>
      </c>
      <c r="D594" s="121" t="str">
        <f>HYPERLINK("http://www.boise.va.gov/services/SURGERY.ASP")</f>
        <v>http://www.boise.va.gov/services/SURGERY.ASP</v>
      </c>
      <c r="E594" s="8" t="s">
        <v>392</v>
      </c>
    </row>
    <row r="595" ht="14.25" hidden="1" customHeight="1">
      <c r="A595" s="8" t="s">
        <v>1113</v>
      </c>
      <c r="B595" s="8" t="s">
        <v>1114</v>
      </c>
      <c r="D595" s="121" t="str">
        <f>HYPERLINK("http://www.boston.va.gov/services/ACUTE_INPATIENT_REHAB.ASP")</f>
        <v>http://www.boston.va.gov/services/ACUTE_INPATIENT_REHAB.ASP</v>
      </c>
      <c r="E595" s="8" t="s">
        <v>392</v>
      </c>
    </row>
    <row r="596" ht="14.25" hidden="1" customHeight="1">
      <c r="A596" s="8" t="s">
        <v>1113</v>
      </c>
      <c r="B596" s="8" t="s">
        <v>1116</v>
      </c>
      <c r="D596" s="121" t="str">
        <f>HYPERLINK("http://www.boston.va.gov/services/SPORTS.ASP")</f>
        <v>http://www.boston.va.gov/services/SPORTS.ASP</v>
      </c>
      <c r="E596" s="8" t="s">
        <v>392</v>
      </c>
    </row>
    <row r="597" ht="14.25" hidden="1" customHeight="1">
      <c r="A597" s="8" t="s">
        <v>1113</v>
      </c>
      <c r="B597" s="8" t="s">
        <v>407</v>
      </c>
      <c r="D597" s="121" t="str">
        <f>HYPERLINK("http://www.boston.va.gov/services/ADULT_DAY_HEALTH_CARE.ASP")</f>
        <v>http://www.boston.va.gov/services/ADULT_DAY_HEALTH_CARE.ASP</v>
      </c>
      <c r="E597" s="8" t="s">
        <v>392</v>
      </c>
    </row>
    <row r="598" ht="14.25" hidden="1" customHeight="1">
      <c r="A598" s="8" t="s">
        <v>1113</v>
      </c>
      <c r="B598" s="8" t="s">
        <v>576</v>
      </c>
      <c r="D598" s="121" t="str">
        <f>HYPERLINK("http://www.boston.va.gov/services/ADVANCED_LOW_VISION_CLINIC_AT_JAMAICA_PLAIN.ASP")</f>
        <v>http://www.boston.va.gov/services/ADVANCED_LOW_VISION_CLINIC_AT_JAMAICA_PLAIN.ASP</v>
      </c>
      <c r="E598" s="8" t="s">
        <v>392</v>
      </c>
    </row>
    <row r="599" ht="14.25" hidden="1" customHeight="1">
      <c r="A599" s="8" t="s">
        <v>1113</v>
      </c>
      <c r="B599" s="8" t="s">
        <v>1117</v>
      </c>
      <c r="D599" s="121" t="str">
        <f>HYPERLINK("http://www.boston.va.gov/services/AMBULATORY_DIAGNOSTIC_AND_TREATMENT_CENTER_ADTC.ASP")</f>
        <v>http://www.boston.va.gov/services/AMBULATORY_DIAGNOSTIC_AND_TREATMENT_CENTER_ADTC.ASP</v>
      </c>
      <c r="E599" s="8" t="s">
        <v>392</v>
      </c>
    </row>
    <row r="600" ht="14.25" hidden="1" customHeight="1">
      <c r="A600" s="8" t="s">
        <v>1113</v>
      </c>
      <c r="B600" s="8" t="s">
        <v>1119</v>
      </c>
      <c r="D600" s="121" t="str">
        <f>HYPERLINK("http://www.boston.va.gov/services/AMPUTEE_REHABILITATION.ASP")</f>
        <v>http://www.boston.va.gov/services/AMPUTEE_REHABILITATION.ASP</v>
      </c>
      <c r="E600" s="8" t="s">
        <v>392</v>
      </c>
    </row>
    <row r="601" ht="14.25" hidden="1" customHeight="1">
      <c r="A601" s="8" t="s">
        <v>1113</v>
      </c>
      <c r="B601" s="8" t="s">
        <v>1120</v>
      </c>
      <c r="D601" s="121" t="str">
        <f>HYPERLINK("http://www.boston.va.gov/services/SURGICAL/ASBESTOS_AND_MESOTHELIOMA.ASP")</f>
        <v>http://www.boston.va.gov/services/SURGICAL/ASBESTOS_AND_MESOTHELIOMA.ASP</v>
      </c>
      <c r="E601" s="8" t="s">
        <v>392</v>
      </c>
    </row>
    <row r="602" ht="14.25" hidden="1" customHeight="1">
      <c r="A602" s="8" t="s">
        <v>1113</v>
      </c>
      <c r="B602" s="8" t="s">
        <v>1121</v>
      </c>
      <c r="D602" s="121" t="str">
        <f>HYPERLINK("http://www.boston.va.gov/services/ASTHMA_AND_BRONCHIAL_THERMOPLASTY.ASP")</f>
        <v>http://www.boston.va.gov/services/ASTHMA_AND_BRONCHIAL_THERMOPLASTY.ASP</v>
      </c>
      <c r="E602" s="8" t="s">
        <v>392</v>
      </c>
    </row>
    <row r="603" ht="14.25" hidden="1" customHeight="1">
      <c r="A603" s="8" t="s">
        <v>1113</v>
      </c>
      <c r="B603" s="8" t="s">
        <v>1124</v>
      </c>
      <c r="D603" s="121" t="str">
        <f>HYPERLINK("http://www.boston.va.gov/services/BARIATRIC.ASP")</f>
        <v>http://www.boston.va.gov/services/BARIATRIC.ASP</v>
      </c>
      <c r="E603" s="8" t="s">
        <v>392</v>
      </c>
    </row>
    <row r="604" ht="14.25" hidden="1" customHeight="1">
      <c r="A604" s="8" t="s">
        <v>1113</v>
      </c>
      <c r="B604" s="8" t="s">
        <v>1125</v>
      </c>
      <c r="D604" s="121" t="str">
        <f>HYPERLINK("http://www.boston.va.gov/services/CARDIAC_SURGERY.ASP")</f>
        <v>http://www.boston.va.gov/services/CARDIAC_SURGERY.ASP</v>
      </c>
      <c r="E604" s="8" t="s">
        <v>392</v>
      </c>
    </row>
    <row r="605" ht="14.25" hidden="1" customHeight="1">
      <c r="A605" s="8" t="s">
        <v>1113</v>
      </c>
      <c r="B605" s="8" t="s">
        <v>1127</v>
      </c>
      <c r="D605" s="121" t="str">
        <f>HYPERLINK("http://www.boston.va.gov/services/CARDIAC_AND_PULMONARY_REHABILITATION.ASP")</f>
        <v>http://www.boston.va.gov/services/CARDIAC_AND_PULMONARY_REHABILITATION.ASP</v>
      </c>
      <c r="E605" s="8" t="s">
        <v>392</v>
      </c>
    </row>
    <row r="606" ht="14.25" hidden="1" customHeight="1">
      <c r="A606" s="8" t="s">
        <v>1113</v>
      </c>
      <c r="B606" s="8" t="s">
        <v>1128</v>
      </c>
      <c r="D606" s="121" t="str">
        <f>HYPERLINK("http://www.boston.va.gov/services/CARDIOLOGY.ASP")</f>
        <v>http://www.boston.va.gov/services/CARDIOLOGY.ASP</v>
      </c>
      <c r="E606" s="8" t="s">
        <v>392</v>
      </c>
    </row>
    <row r="607" ht="14.25" hidden="1" customHeight="1">
      <c r="A607" s="8" t="s">
        <v>1113</v>
      </c>
      <c r="B607" s="8" t="s">
        <v>1129</v>
      </c>
      <c r="D607" s="121" t="str">
        <f>HYPERLINK("http://www.boston.va.gov/services/CENTER_FOR_RETURNING_VETERANS.ASP")</f>
        <v>http://www.boston.va.gov/services/CENTER_FOR_RETURNING_VETERANS.ASP</v>
      </c>
      <c r="E607" s="8" t="s">
        <v>392</v>
      </c>
    </row>
    <row r="608" ht="14.25" hidden="1" customHeight="1">
      <c r="A608" s="8" t="s">
        <v>1113</v>
      </c>
      <c r="B608" s="8" t="s">
        <v>468</v>
      </c>
      <c r="D608" s="121" t="str">
        <f>HYPERLINK("http://www.boston.va.gov/services/CHAPLAIN_SERVICES.ASP")</f>
        <v>http://www.boston.va.gov/services/CHAPLAIN_SERVICES.ASP</v>
      </c>
      <c r="E608" s="8" t="s">
        <v>392</v>
      </c>
    </row>
    <row r="609" ht="14.25" hidden="1" customHeight="1">
      <c r="A609" s="8" t="s">
        <v>1113</v>
      </c>
      <c r="B609" s="8" t="s">
        <v>482</v>
      </c>
      <c r="D609" s="121" t="str">
        <f>HYPERLINK("http://www.boston.va.gov/services/COMMUNITY_LIVING_CENTER.ASP")</f>
        <v>http://www.boston.va.gov/services/COMMUNITY_LIVING_CENTER.ASP</v>
      </c>
      <c r="E609" s="8" t="s">
        <v>392</v>
      </c>
    </row>
    <row r="610" ht="14.25" hidden="1" customHeight="1">
      <c r="A610" s="8" t="s">
        <v>1113</v>
      </c>
      <c r="B610" s="8" t="s">
        <v>1130</v>
      </c>
      <c r="D610" s="121" t="str">
        <f>HYPERLINK("http://www.boston.va.gov/services/COUNSELING.ASP")</f>
        <v>http://www.boston.va.gov/services/COUNSELING.ASP</v>
      </c>
      <c r="E610" s="8" t="s">
        <v>392</v>
      </c>
    </row>
    <row r="611" ht="14.25" hidden="1" customHeight="1">
      <c r="A611" s="8" t="s">
        <v>1113</v>
      </c>
      <c r="B611" s="8" t="s">
        <v>304</v>
      </c>
      <c r="D611" s="121" t="str">
        <f>HYPERLINK("http://www.boston.va.gov/services/DENTAL.ASP")</f>
        <v>http://www.boston.va.gov/services/DENTAL.ASP</v>
      </c>
      <c r="E611" s="8" t="s">
        <v>392</v>
      </c>
    </row>
    <row r="612" ht="14.25" hidden="1" customHeight="1">
      <c r="A612" s="8" t="s">
        <v>1113</v>
      </c>
      <c r="B612" s="8" t="s">
        <v>1132</v>
      </c>
      <c r="D612" s="121" t="str">
        <f>HYPERLINK("http://www.boston.va.gov/services/DEPRESSION_ANXIETY.ASP")</f>
        <v>http://www.boston.va.gov/services/DEPRESSION_ANXIETY.ASP</v>
      </c>
      <c r="E612" s="8" t="s">
        <v>392</v>
      </c>
    </row>
    <row r="613" ht="14.25" hidden="1" customHeight="1">
      <c r="A613" s="8" t="s">
        <v>1113</v>
      </c>
      <c r="B613" s="8" t="s">
        <v>517</v>
      </c>
      <c r="D613" s="121" t="str">
        <f>HYPERLINK("http://www.boston.va.gov/services/DERMATOLOGY.ASP")</f>
        <v>http://www.boston.va.gov/services/DERMATOLOGY.ASP</v>
      </c>
      <c r="E613" s="8" t="s">
        <v>392</v>
      </c>
    </row>
    <row r="614" ht="14.25" hidden="1" customHeight="1">
      <c r="A614" s="8" t="s">
        <v>1113</v>
      </c>
      <c r="B614" s="8" t="s">
        <v>538</v>
      </c>
      <c r="D614" s="121" t="str">
        <f>HYPERLINK("http://www.boston.va.gov/services/ENDOCRINOLOGY.ASP")</f>
        <v>http://www.boston.va.gov/services/ENDOCRINOLOGY.ASP</v>
      </c>
      <c r="E614" s="8" t="s">
        <v>392</v>
      </c>
    </row>
    <row r="615" ht="14.25" hidden="1" customHeight="1">
      <c r="A615" s="8" t="s">
        <v>1113</v>
      </c>
      <c r="B615" s="8" t="s">
        <v>1135</v>
      </c>
      <c r="D615" s="121" t="str">
        <f>HYPERLINK("http://www.boston.va.gov/services/FORMER_PRISONERS_OF_WAR_PROGRAM.ASP")</f>
        <v>http://www.boston.va.gov/services/FORMER_PRISONERS_OF_WAR_PROGRAM.ASP</v>
      </c>
      <c r="E615" s="8" t="s">
        <v>392</v>
      </c>
    </row>
    <row r="616" ht="14.25" hidden="1" customHeight="1">
      <c r="A616" s="8" t="s">
        <v>1113</v>
      </c>
      <c r="B616" s="8" t="s">
        <v>1138</v>
      </c>
      <c r="D616" s="121" t="str">
        <f>HYPERLINK("http://www.boston.va.gov/services/GASTROENTEROLOGY.ASP")</f>
        <v>http://www.boston.va.gov/services/GASTROENTEROLOGY.ASP</v>
      </c>
      <c r="E616" s="8" t="s">
        <v>392</v>
      </c>
    </row>
    <row r="617" ht="14.25" hidden="1" customHeight="1">
      <c r="A617" s="8" t="s">
        <v>1113</v>
      </c>
      <c r="B617" s="8" t="s">
        <v>1139</v>
      </c>
      <c r="D617" s="121" t="str">
        <f>HYPERLINK("http://www.boston.va.gov/services/INTERNAL_MED.ASP")</f>
        <v>http://www.boston.va.gov/services/INTERNAL_MED.ASP</v>
      </c>
      <c r="E617" s="8" t="s">
        <v>392</v>
      </c>
    </row>
    <row r="618" ht="14.25" hidden="1" customHeight="1">
      <c r="A618" s="8" t="s">
        <v>1113</v>
      </c>
      <c r="B618" s="8" t="s">
        <v>1141</v>
      </c>
      <c r="D618" s="121" t="str">
        <f>HYPERLINK("http://www.boston.va.gov/services/GERIATRIC.ASP")</f>
        <v>http://www.boston.va.gov/services/GERIATRIC.ASP</v>
      </c>
      <c r="E618" s="8" t="s">
        <v>392</v>
      </c>
    </row>
    <row r="619" ht="14.25" hidden="1" customHeight="1">
      <c r="A619" s="8" t="s">
        <v>1113</v>
      </c>
      <c r="B619" s="8" t="s">
        <v>1143</v>
      </c>
      <c r="D619" s="121" t="str">
        <f>HYPERLINK("http://www.boston.va.gov/services/GERIATRICS_CLINIC.ASP")</f>
        <v>http://www.boston.va.gov/services/GERIATRICS_CLINIC.ASP</v>
      </c>
      <c r="E619" s="8" t="s">
        <v>392</v>
      </c>
    </row>
    <row r="620" ht="14.25" hidden="1" customHeight="1">
      <c r="A620" s="8" t="s">
        <v>1113</v>
      </c>
      <c r="B620" s="8" t="s">
        <v>1145</v>
      </c>
      <c r="D620" s="121" t="str">
        <f>HYPERLINK("http://www.boston.va.gov/services/GYNECOLOGY.ASP")</f>
        <v>http://www.boston.va.gov/services/GYNECOLOGY.ASP</v>
      </c>
      <c r="E620" s="8" t="s">
        <v>392</v>
      </c>
    </row>
    <row r="621" ht="14.25" hidden="1" customHeight="1">
      <c r="A621" s="8" t="s">
        <v>1113</v>
      </c>
      <c r="B621" s="8" t="s">
        <v>696</v>
      </c>
      <c r="D621" s="121" t="str">
        <f>HYPERLINK("http://www.boston.va.gov/services/HEM_ONC.ASP")</f>
        <v>http://www.boston.va.gov/services/HEM_ONC.ASP</v>
      </c>
      <c r="E621" s="8" t="s">
        <v>392</v>
      </c>
    </row>
    <row r="622" ht="14.25" hidden="1" customHeight="1">
      <c r="A622" s="8" t="s">
        <v>1113</v>
      </c>
      <c r="B622" s="8" t="s">
        <v>431</v>
      </c>
      <c r="D622" s="121" t="str">
        <f>HYPERLINK("http://www.boston.va.gov/services/HOME_BASED_PRIMARY_CARE.ASP")</f>
        <v>http://www.boston.va.gov/services/HOME_BASED_PRIMARY_CARE.ASP</v>
      </c>
      <c r="E622" s="8" t="s">
        <v>392</v>
      </c>
    </row>
    <row r="623" ht="14.25" hidden="1" customHeight="1">
      <c r="A623" s="8" t="s">
        <v>1113</v>
      </c>
      <c r="B623" s="8" t="s">
        <v>395</v>
      </c>
      <c r="D623" s="121" t="str">
        <f>HYPERLINK("http://www.boston.va.gov/services/HOME_TELEHEALTH.ASP")</f>
        <v>http://www.boston.va.gov/services/HOME_TELEHEALTH.ASP</v>
      </c>
      <c r="E623" s="8" t="s">
        <v>392</v>
      </c>
    </row>
    <row r="624" ht="14.25" hidden="1" customHeight="1">
      <c r="A624" s="8" t="s">
        <v>1113</v>
      </c>
      <c r="B624" s="8" t="s">
        <v>1148</v>
      </c>
      <c r="D624" s="121" t="str">
        <f>HYPERLINK("http://www.boston.va.gov/services/HOMEMAKER_HOME_HEALTH_AIDE.ASP")</f>
        <v>http://www.boston.va.gov/services/HOMEMAKER_HOME_HEALTH_AIDE.ASP</v>
      </c>
      <c r="E624" s="8" t="s">
        <v>392</v>
      </c>
    </row>
    <row r="625" ht="14.25" hidden="1" customHeight="1">
      <c r="A625" s="8" t="s">
        <v>1113</v>
      </c>
      <c r="B625" s="8" t="s">
        <v>1149</v>
      </c>
      <c r="D625" s="121" t="str">
        <f>HYPERLINK("http://www.boston.va.gov/services/INTERNSHIPS_AND_FELLOWSHIPS.ASP")</f>
        <v>http://www.boston.va.gov/services/INTERNSHIPS_AND_FELLOWSHIPS.ASP</v>
      </c>
      <c r="E625" s="8" t="s">
        <v>392</v>
      </c>
    </row>
    <row r="626" ht="14.25" hidden="1" customHeight="1">
      <c r="A626" s="8" t="s">
        <v>1113</v>
      </c>
      <c r="B626" s="8" t="s">
        <v>886</v>
      </c>
      <c r="D626" s="121" t="str">
        <f>HYPERLINK("http://www.boston.va.gov/services/KINESIOTHERAPY.ASP")</f>
        <v>http://www.boston.va.gov/services/KINESIOTHERAPY.ASP</v>
      </c>
      <c r="E626" s="8" t="s">
        <v>392</v>
      </c>
    </row>
    <row r="627" ht="14.25" hidden="1" customHeight="1">
      <c r="A627" s="8" t="s">
        <v>1113</v>
      </c>
      <c r="B627" s="8" t="s">
        <v>952</v>
      </c>
      <c r="D627" s="121" t="str">
        <f>HYPERLINK("http://www.boston.va.gov/services/LESBIAN_GAY_BISEXUAL_AND_TRANSGENDER_VETERANS.ASP")</f>
        <v>http://www.boston.va.gov/services/LESBIAN_GAY_BISEXUAL_AND_TRANSGENDER_VETERANS.ASP</v>
      </c>
      <c r="E627" s="8" t="s">
        <v>392</v>
      </c>
    </row>
    <row r="628" ht="14.25" hidden="1" customHeight="1">
      <c r="A628" s="8" t="s">
        <v>1113</v>
      </c>
      <c r="B628" s="8" t="s">
        <v>1153</v>
      </c>
      <c r="D628" s="121" t="str">
        <f>HYPERLINK("http://www.boston.va.gov/services/LOW_VISION_AND_BLIND_REHABILITATION.ASP")</f>
        <v>http://www.boston.va.gov/services/LOW_VISION_AND_BLIND_REHABILITATION.ASP</v>
      </c>
      <c r="E628" s="8" t="s">
        <v>392</v>
      </c>
    </row>
    <row r="629" ht="14.25" hidden="1" customHeight="1">
      <c r="A629" s="8" t="s">
        <v>1113</v>
      </c>
      <c r="B629" s="8" t="s">
        <v>323</v>
      </c>
      <c r="D629" s="121" t="str">
        <f>HYPERLINK("http://www.boston.va.gov/services/MENTAL_HEALTH.ASP")</f>
        <v>http://www.boston.va.gov/services/MENTAL_HEALTH.ASP</v>
      </c>
      <c r="E629" s="8" t="s">
        <v>392</v>
      </c>
    </row>
    <row r="630" ht="14.25" hidden="1" customHeight="1">
      <c r="A630" s="8" t="s">
        <v>1113</v>
      </c>
      <c r="B630" s="8" t="s">
        <v>1155</v>
      </c>
      <c r="D630" s="121" t="str">
        <f>HYPERLINK("http://www.boston.va.gov/services/MENTAL_HEALTH_WOMEN.ASP")</f>
        <v>http://www.boston.va.gov/services/MENTAL_HEALTH_WOMEN.ASP</v>
      </c>
      <c r="E630" s="8" t="s">
        <v>392</v>
      </c>
    </row>
    <row r="631" ht="14.25" hidden="1" customHeight="1">
      <c r="A631" s="8" t="s">
        <v>1113</v>
      </c>
      <c r="B631" s="8" t="s">
        <v>1156</v>
      </c>
      <c r="D631" s="121" t="str">
        <f>HYPERLINK("http://www.boston.va.gov/services/MENTAL_HEALTH_SMI.ASP")</f>
        <v>http://www.boston.va.gov/services/MENTAL_HEALTH_SMI.ASP</v>
      </c>
      <c r="E631" s="8" t="s">
        <v>392</v>
      </c>
    </row>
    <row r="632" ht="14.25" hidden="1" customHeight="1">
      <c r="A632" s="8" t="s">
        <v>1113</v>
      </c>
      <c r="B632" s="8" t="s">
        <v>324</v>
      </c>
      <c r="D632" s="121" t="str">
        <f>HYPERLINK("http://www.boston.va.gov/services/MILITARY_SEXUAL_TRAUMA.ASP")</f>
        <v>http://www.boston.va.gov/services/MILITARY_SEXUAL_TRAUMA.ASP</v>
      </c>
      <c r="E632" s="8" t="s">
        <v>392</v>
      </c>
    </row>
    <row r="633" ht="14.25" hidden="1" customHeight="1">
      <c r="A633" s="8" t="s">
        <v>1113</v>
      </c>
      <c r="B633" s="8" t="s">
        <v>900</v>
      </c>
      <c r="D633" s="121" t="str">
        <f>HYPERLINK("http://www.boston.va.gov/services/OT.ASP")</f>
        <v>http://www.boston.va.gov/services/OT.ASP</v>
      </c>
      <c r="E633" s="8" t="s">
        <v>392</v>
      </c>
    </row>
    <row r="634" ht="14.25" hidden="1" customHeight="1">
      <c r="A634" s="8" t="s">
        <v>1113</v>
      </c>
      <c r="B634" s="8" t="s">
        <v>901</v>
      </c>
      <c r="D634" s="121" t="str">
        <f>HYPERLINK("http://www.boston.va.gov/services/OPTOMETRY.ASP")</f>
        <v>http://www.boston.va.gov/services/OPTOMETRY.ASP</v>
      </c>
      <c r="E634" s="8" t="s">
        <v>392</v>
      </c>
    </row>
    <row r="635" ht="14.25" hidden="1" customHeight="1">
      <c r="A635" s="8" t="s">
        <v>1113</v>
      </c>
      <c r="B635" s="8" t="s">
        <v>1161</v>
      </c>
      <c r="D635" s="121" t="str">
        <f>HYPERLINK("http://www.boston.va.gov/services/PTSD.ASP")</f>
        <v>http://www.boston.va.gov/services/PTSD.ASP</v>
      </c>
      <c r="E635" s="8" t="s">
        <v>392</v>
      </c>
    </row>
    <row r="636" ht="14.25" hidden="1" customHeight="1">
      <c r="A636" s="8" t="s">
        <v>1113</v>
      </c>
      <c r="B636" s="8" t="s">
        <v>1013</v>
      </c>
      <c r="D636" s="121" t="str">
        <f>HYPERLINK("http://www.boston.va.gov/services/PALLIATIVE.ASP")</f>
        <v>http://www.boston.va.gov/services/PALLIATIVE.ASP</v>
      </c>
      <c r="E636" s="8" t="s">
        <v>392</v>
      </c>
    </row>
    <row r="637" ht="14.25" hidden="1" customHeight="1">
      <c r="A637" s="8" t="s">
        <v>1113</v>
      </c>
      <c r="B637" s="8" t="s">
        <v>314</v>
      </c>
      <c r="D637" s="121" t="str">
        <f>HYPERLINK("http://www.boston.va.gov/services/LABORATORY.ASP")</f>
        <v>http://www.boston.va.gov/services/LABORATORY.ASP</v>
      </c>
      <c r="E637" s="8" t="s">
        <v>392</v>
      </c>
    </row>
    <row r="638" ht="14.25" hidden="1" customHeight="1">
      <c r="A638" s="8" t="s">
        <v>1113</v>
      </c>
      <c r="B638" s="8" t="s">
        <v>343</v>
      </c>
      <c r="D638" s="121" t="str">
        <f>HYPERLINK("http://www.boston.va.gov/services/PHARMACY.ASP")</f>
        <v>http://www.boston.va.gov/services/PHARMACY.ASP</v>
      </c>
      <c r="E638" s="8" t="s">
        <v>392</v>
      </c>
    </row>
    <row r="639" ht="14.25" hidden="1" customHeight="1">
      <c r="A639" s="8" t="s">
        <v>1113</v>
      </c>
      <c r="B639" s="8" t="s">
        <v>608</v>
      </c>
      <c r="D639" s="121" t="str">
        <f>HYPERLINK("http://www.boston.va.gov/services/PHYSICAL_THERAPY.ASP")</f>
        <v>http://www.boston.va.gov/services/PHYSICAL_THERAPY.ASP</v>
      </c>
      <c r="E639" s="8" t="s">
        <v>392</v>
      </c>
    </row>
    <row r="640" ht="14.25" hidden="1" customHeight="1">
      <c r="A640" s="8" t="s">
        <v>1113</v>
      </c>
      <c r="B640" s="8" t="s">
        <v>348</v>
      </c>
      <c r="D640" s="121" t="str">
        <f>HYPERLINK("http://www.boston.va.gov/services/PRIMARY.ASP")</f>
        <v>http://www.boston.va.gov/services/PRIMARY.ASP</v>
      </c>
      <c r="E640" s="8" t="s">
        <v>392</v>
      </c>
    </row>
    <row r="641" ht="14.25" hidden="1" customHeight="1">
      <c r="A641" s="8" t="s">
        <v>1113</v>
      </c>
      <c r="B641" s="8" t="s">
        <v>1163</v>
      </c>
      <c r="D641" s="121" t="str">
        <f>HYPERLINK("http://www.boston.va.gov/services/BEHAVIORAL.ASP")</f>
        <v>http://www.boston.va.gov/services/BEHAVIORAL.ASP</v>
      </c>
      <c r="E641" s="8" t="s">
        <v>392</v>
      </c>
    </row>
    <row r="642" ht="14.25" hidden="1" customHeight="1">
      <c r="A642" s="8" t="s">
        <v>1113</v>
      </c>
      <c r="B642" s="8" t="s">
        <v>1164</v>
      </c>
      <c r="D642" s="121" t="str">
        <f>HYPERLINK("http://www.boston.va.gov/services/PROSTHETICS_AND_SENSORY_AID_DEPARTMENT.ASP")</f>
        <v>http://www.boston.va.gov/services/PROSTHETICS_AND_SENSORY_AID_DEPARTMENT.ASP</v>
      </c>
      <c r="E642" s="8" t="s">
        <v>392</v>
      </c>
    </row>
    <row r="643" ht="14.25" hidden="1" customHeight="1">
      <c r="A643" s="8" t="s">
        <v>1113</v>
      </c>
      <c r="B643" s="8" t="s">
        <v>1166</v>
      </c>
      <c r="D643" s="121" t="str">
        <f>HYPERLINK("http://www.boston.va.gov/services/MENTAL_HEALTH_INPATIENT.ASP")</f>
        <v>http://www.boston.va.gov/services/MENTAL_HEALTH_INPATIENT.ASP</v>
      </c>
      <c r="E643" s="8" t="s">
        <v>392</v>
      </c>
    </row>
    <row r="644" ht="14.25" hidden="1" customHeight="1">
      <c r="A644" s="8" t="s">
        <v>1113</v>
      </c>
      <c r="B644" s="8" t="s">
        <v>1167</v>
      </c>
      <c r="D644" s="121" t="str">
        <f>HYPERLINK("http://www.boston.va.gov/services/PULMONARY_ALLERGY_SLEEP_AND_CRITICAL_CARE_MEDICINE.ASP")</f>
        <v>http://www.boston.va.gov/services/PULMONARY_ALLERGY_SLEEP_AND_CRITICAL_CARE_MEDICINE.ASP</v>
      </c>
      <c r="E644" s="8" t="s">
        <v>392</v>
      </c>
    </row>
    <row r="645" ht="14.25" hidden="1" customHeight="1">
      <c r="A645" s="8" t="s">
        <v>1113</v>
      </c>
      <c r="B645" s="8" t="s">
        <v>1169</v>
      </c>
      <c r="D645" s="121" t="str">
        <f>HYPERLINK("http://www.boston.va.gov/services/RADIATION_THERAPY.ASP")</f>
        <v>http://www.boston.va.gov/services/RADIATION_THERAPY.ASP</v>
      </c>
      <c r="E645" s="8" t="s">
        <v>392</v>
      </c>
    </row>
    <row r="646" ht="14.25" hidden="1" customHeight="1">
      <c r="A646" s="8" t="s">
        <v>1113</v>
      </c>
      <c r="B646" s="8" t="s">
        <v>717</v>
      </c>
      <c r="D646" s="121" t="str">
        <f>HYPERLINK("http://www.boston.va.gov/services/RADIOLOGY.ASP")</f>
        <v>http://www.boston.va.gov/services/RADIOLOGY.ASP</v>
      </c>
      <c r="E646" s="8" t="s">
        <v>392</v>
      </c>
    </row>
    <row r="647" ht="14.25" hidden="1" customHeight="1">
      <c r="A647" s="8" t="s">
        <v>1113</v>
      </c>
      <c r="B647" s="8" t="s">
        <v>1170</v>
      </c>
      <c r="D647" s="121" t="str">
        <f>HYPERLINK("http://www.boston.va.gov/services/RENAL.ASP")</f>
        <v>http://www.boston.va.gov/services/RENAL.ASP</v>
      </c>
      <c r="E647" s="8" t="s">
        <v>392</v>
      </c>
    </row>
    <row r="648" ht="14.25" hidden="1" customHeight="1">
      <c r="A648" s="8" t="s">
        <v>1113</v>
      </c>
      <c r="B648" s="8" t="s">
        <v>508</v>
      </c>
      <c r="D648" s="121" t="str">
        <f>HYPERLINK("http://www.boston.va.gov/services/RESEARCH.ASP")</f>
        <v>http://www.boston.va.gov/services/RESEARCH.ASP</v>
      </c>
      <c r="E648" s="8" t="s">
        <v>392</v>
      </c>
    </row>
    <row r="649" ht="14.25" hidden="1" customHeight="1">
      <c r="A649" s="8" t="s">
        <v>1113</v>
      </c>
      <c r="B649" s="8" t="s">
        <v>1027</v>
      </c>
      <c r="D649" s="121" t="str">
        <f>HYPERLINK("http://www.boston.va.gov/services/RESPITE.ASP")</f>
        <v>http://www.boston.va.gov/services/RESPITE.ASP</v>
      </c>
      <c r="E649" s="8" t="s">
        <v>392</v>
      </c>
    </row>
    <row r="650" ht="14.25" hidden="1" customHeight="1">
      <c r="A650" s="8" t="s">
        <v>1113</v>
      </c>
      <c r="B650" s="8" t="s">
        <v>1171</v>
      </c>
      <c r="D650" s="121" t="str">
        <f>HYPERLINK("http://www.boston.va.gov/services/RHEUMATOLOGY.ASP")</f>
        <v>http://www.boston.va.gov/services/RHEUMATOLOGY.ASP</v>
      </c>
      <c r="E650" s="8" t="s">
        <v>392</v>
      </c>
    </row>
    <row r="651" ht="14.25" hidden="1" customHeight="1">
      <c r="A651" s="8" t="s">
        <v>1113</v>
      </c>
      <c r="B651" s="8" t="s">
        <v>1174</v>
      </c>
      <c r="D651" s="121" t="str">
        <f>HYPERLINK("http://www.boston.va.gov/services/THERAPY_REHAB.ASP")</f>
        <v>http://www.boston.va.gov/services/THERAPY_REHAB.ASP</v>
      </c>
      <c r="E651" s="8" t="s">
        <v>392</v>
      </c>
    </row>
    <row r="652" ht="14.25" hidden="1" customHeight="1">
      <c r="A652" s="8" t="s">
        <v>1113</v>
      </c>
      <c r="B652" s="8" t="s">
        <v>1175</v>
      </c>
      <c r="D652" s="121" t="str">
        <f>HYPERLINK("http://www.boston.va.gov/services/SMOKE_FREE_SERVICES_FOR_VETERANS.ASP")</f>
        <v>http://www.boston.va.gov/services/SMOKE_FREE_SERVICES_FOR_VETERANS.ASP</v>
      </c>
      <c r="E652" s="8" t="s">
        <v>392</v>
      </c>
    </row>
    <row r="653" ht="14.25" hidden="1" customHeight="1">
      <c r="A653" s="8" t="s">
        <v>1113</v>
      </c>
      <c r="B653" s="8" t="s">
        <v>360</v>
      </c>
      <c r="D653" s="121" t="str">
        <f>HYPERLINK("http://www.boston.va.gov/services/SOCIAL_WORK.ASP")</f>
        <v>http://www.boston.va.gov/services/SOCIAL_WORK.ASP</v>
      </c>
      <c r="E653" s="8" t="s">
        <v>392</v>
      </c>
    </row>
    <row r="654" ht="14.25" hidden="1" customHeight="1">
      <c r="A654" s="8" t="s">
        <v>1113</v>
      </c>
      <c r="B654" s="8" t="s">
        <v>1177</v>
      </c>
      <c r="D654" s="121" t="str">
        <f>HYPERLINK("http://www.boston.va.gov/services/SPEECH_AN_AUDIOLOGY.ASP")</f>
        <v>http://www.boston.va.gov/services/SPEECH_AN_AUDIOLOGY.ASP</v>
      </c>
      <c r="E654" s="8" t="s">
        <v>392</v>
      </c>
    </row>
    <row r="655" ht="14.25" hidden="1" customHeight="1">
      <c r="A655" s="8" t="s">
        <v>1113</v>
      </c>
      <c r="B655" s="8" t="s">
        <v>1179</v>
      </c>
      <c r="D655" s="121" t="str">
        <f>HYPERLINK("http://www.boston.va.gov/services/SPINAL_CORD_INJURY.ASP")</f>
        <v>http://www.boston.va.gov/services/SPINAL_CORD_INJURY.ASP</v>
      </c>
      <c r="E655" s="8" t="s">
        <v>392</v>
      </c>
    </row>
    <row r="656" ht="14.25" hidden="1" customHeight="1">
      <c r="A656" s="8" t="s">
        <v>1113</v>
      </c>
      <c r="B656" s="8" t="s">
        <v>1180</v>
      </c>
      <c r="D656" s="121" t="str">
        <f>HYPERLINK("http://www.boston.va.gov/services/SUBSTANCE_ABUSE.ASP")</f>
        <v>http://www.boston.va.gov/services/SUBSTANCE_ABUSE.ASP</v>
      </c>
      <c r="E656" s="8" t="s">
        <v>392</v>
      </c>
    </row>
    <row r="657" ht="14.25" hidden="1" customHeight="1">
      <c r="A657" s="8" t="s">
        <v>1113</v>
      </c>
      <c r="B657" s="8" t="s">
        <v>469</v>
      </c>
      <c r="D657" s="121" t="str">
        <f>HYPERLINK("http://www.boston.va.gov/services/UROLOGY.ASP")</f>
        <v>http://www.boston.va.gov/services/UROLOGY.ASP</v>
      </c>
      <c r="E657" s="8" t="s">
        <v>392</v>
      </c>
    </row>
    <row r="658" ht="14.25" hidden="1" customHeight="1">
      <c r="A658" s="8" t="s">
        <v>1113</v>
      </c>
      <c r="B658" s="8" t="s">
        <v>1182</v>
      </c>
      <c r="D658" s="121" t="str">
        <f>HYPERLINK("http://www.boston.va.gov/services/VETERAN_DIRECTED_CARE.ASP")</f>
        <v>http://www.boston.va.gov/services/VETERAN_DIRECTED_CARE.ASP</v>
      </c>
      <c r="E658" s="8" t="s">
        <v>392</v>
      </c>
    </row>
    <row r="659" ht="14.25" hidden="1" customHeight="1">
      <c r="A659" s="8" t="s">
        <v>1113</v>
      </c>
      <c r="B659" s="8" t="s">
        <v>1183</v>
      </c>
      <c r="D659" s="121" t="str">
        <f>HYPERLINK("http://www.boston.va.gov/services/VETERANS_CARE_PROJECT.ASP")</f>
        <v>http://www.boston.va.gov/services/VETERANS_CARE_PROJECT.ASP</v>
      </c>
      <c r="E659" s="8" t="s">
        <v>392</v>
      </c>
    </row>
    <row r="660" ht="14.25" hidden="1" customHeight="1">
      <c r="A660" s="8" t="s">
        <v>1113</v>
      </c>
      <c r="B660" s="8" t="s">
        <v>1185</v>
      </c>
      <c r="D660" s="121" t="str">
        <f>HYPERLINK("http://www.boston.va.gov/services/VFCC.ASP")</f>
        <v>http://www.boston.va.gov/services/VFCC.ASP</v>
      </c>
      <c r="E660" s="8" t="s">
        <v>392</v>
      </c>
    </row>
    <row r="661" ht="14.25" hidden="1" customHeight="1">
      <c r="A661" s="8" t="s">
        <v>1113</v>
      </c>
      <c r="B661" s="8" t="s">
        <v>1186</v>
      </c>
      <c r="D661" s="121" t="str">
        <f>HYPERLINK("http://www.boston.va.gov/services/WHEELCHAIR.ASP")</f>
        <v>http://www.boston.va.gov/services/WHEELCHAIR.ASP</v>
      </c>
      <c r="E661" s="8" t="s">
        <v>392</v>
      </c>
    </row>
    <row r="662" ht="14.25" hidden="1" customHeight="1">
      <c r="A662" s="8" t="s">
        <v>1113</v>
      </c>
      <c r="B662" s="8" t="s">
        <v>1188</v>
      </c>
      <c r="D662" s="121" t="str">
        <f>HYPERLINK("http://www.boston.va.gov/services/WOMEN_S_COMPREHENSIVE_PRIMARY_CARE_AND_GYNECOLOGY.ASP")</f>
        <v>http://www.boston.va.gov/services/WOMEN_S_COMPREHENSIVE_PRIMARY_CARE_AND_GYNECOLOGY.ASP</v>
      </c>
      <c r="E662" s="8" t="s">
        <v>392</v>
      </c>
    </row>
    <row r="663" ht="14.25" hidden="1" customHeight="1">
      <c r="A663" s="8" t="s">
        <v>1189</v>
      </c>
      <c r="B663" s="8" t="s">
        <v>244</v>
      </c>
      <c r="D663" s="121" t="str">
        <f>HYPERLINK("http://www.bronx.va.gov/services/ENT.ASP")</f>
        <v>http://www.bronx.va.gov/services/ENT.ASP</v>
      </c>
      <c r="E663" s="8" t="s">
        <v>595</v>
      </c>
    </row>
    <row r="664" ht="14.25" hidden="1" customHeight="1">
      <c r="A664" s="8" t="s">
        <v>1189</v>
      </c>
      <c r="B664" s="8" t="s">
        <v>1124</v>
      </c>
      <c r="D664" s="121" t="str">
        <f>HYPERLINK("http://www.bronx.va.gov/services/BARIATRIC_SURGERY_PROGRAM.ASP")</f>
        <v>http://www.bronx.va.gov/services/BARIATRIC_SURGERY_PROGRAM.ASP</v>
      </c>
      <c r="E664" s="8" t="s">
        <v>392</v>
      </c>
    </row>
    <row r="665" ht="14.25" hidden="1" customHeight="1">
      <c r="A665" s="8" t="s">
        <v>1189</v>
      </c>
      <c r="B665" s="8" t="s">
        <v>300</v>
      </c>
      <c r="D665" s="121" t="str">
        <f>HYPERLINK("http://www.bronx.va.gov/services/CAREGIVER_PROGRAM.ASP")</f>
        <v>http://www.bronx.va.gov/services/CAREGIVER_PROGRAM.ASP</v>
      </c>
      <c r="E665" s="8" t="s">
        <v>392</v>
      </c>
    </row>
    <row r="666" ht="14.25" hidden="1" customHeight="1">
      <c r="A666" s="8" t="s">
        <v>1189</v>
      </c>
      <c r="B666" s="8" t="s">
        <v>1191</v>
      </c>
      <c r="D666" s="121" t="str">
        <f>HYPERLINK("http://www.bronx.va.gov/services/BARIATRIC_SURGERY_PROGRAM.ASP")</f>
        <v>http://www.bronx.va.gov/services/BARIATRIC_SURGERY_PROGRAM.ASP</v>
      </c>
      <c r="E666" s="8" t="s">
        <v>595</v>
      </c>
    </row>
    <row r="667" ht="14.25" hidden="1" customHeight="1">
      <c r="A667" s="8" t="s">
        <v>1189</v>
      </c>
      <c r="B667" s="8" t="s">
        <v>1192</v>
      </c>
      <c r="D667" s="121" t="str">
        <f>HYPERLINK("http://www.bronx.va.gov/services/ENT.ASP")</f>
        <v>http://www.bronx.va.gov/services/ENT.ASP</v>
      </c>
      <c r="E667" s="8" t="s">
        <v>392</v>
      </c>
    </row>
    <row r="668" ht="14.25" hidden="1" customHeight="1">
      <c r="A668" s="8" t="s">
        <v>1189</v>
      </c>
      <c r="B668" s="8" t="s">
        <v>1193</v>
      </c>
      <c r="D668" s="121" t="str">
        <f>HYPERLINK("http://www.bronx.va.gov/services/EDUCATION.ASP")</f>
        <v>http://www.bronx.va.gov/services/EDUCATION.ASP</v>
      </c>
      <c r="E668" s="8" t="s">
        <v>392</v>
      </c>
    </row>
    <row r="669" ht="14.25" hidden="1" customHeight="1">
      <c r="A669" s="8" t="s">
        <v>1189</v>
      </c>
      <c r="B669" s="8" t="s">
        <v>1194</v>
      </c>
      <c r="D669" s="121" t="str">
        <f>HYPERLINK("http://www.bronx.va.gov/services/PALLIATIVE.ASP")</f>
        <v>http://www.bronx.va.gov/services/PALLIATIVE.ASP</v>
      </c>
      <c r="E669" s="8" t="s">
        <v>595</v>
      </c>
    </row>
    <row r="670" ht="14.25" hidden="1" customHeight="1">
      <c r="A670" s="8" t="s">
        <v>1189</v>
      </c>
      <c r="B670" s="8" t="s">
        <v>1195</v>
      </c>
      <c r="D670" s="121" t="str">
        <f>HYPERLINK("http://www.bronx.va.gov/services/EXTENDED_CARE.ASP")</f>
        <v>http://www.bronx.va.gov/services/EXTENDED_CARE.ASP</v>
      </c>
      <c r="E670" s="8" t="s">
        <v>392</v>
      </c>
    </row>
    <row r="671" ht="14.25" hidden="1" customHeight="1">
      <c r="A671" s="8" t="s">
        <v>1189</v>
      </c>
      <c r="B671" s="8" t="s">
        <v>1196</v>
      </c>
      <c r="D671" s="121" t="str">
        <f>HYPERLINK("http://www.bronx.va.gov/services/HPDP.ASP")</f>
        <v>http://www.bronx.va.gov/services/HPDP.ASP</v>
      </c>
      <c r="E671" s="8" t="s">
        <v>392</v>
      </c>
    </row>
    <row r="672" ht="14.25" hidden="1" customHeight="1">
      <c r="A672" s="8" t="s">
        <v>1189</v>
      </c>
      <c r="B672" s="8" t="s">
        <v>1197</v>
      </c>
      <c r="D672" s="121" t="str">
        <f>HYPERLINK("http://www.bronx.va.gov/services/HELPLINE.ASP")</f>
        <v>http://www.bronx.va.gov/services/HELPLINE.ASP</v>
      </c>
      <c r="E672" s="8" t="s">
        <v>595</v>
      </c>
    </row>
    <row r="673" ht="14.25" hidden="1" customHeight="1">
      <c r="A673" s="8" t="s">
        <v>1189</v>
      </c>
      <c r="B673" s="8" t="s">
        <v>312</v>
      </c>
      <c r="D673" s="121" t="str">
        <f>HYPERLINK("http://www.bronx.va.gov/services/HOMELESS_VETERANS.ASP")</f>
        <v>http://www.bronx.va.gov/services/HOMELESS_VETERANS.ASP</v>
      </c>
      <c r="E673" s="8" t="s">
        <v>392</v>
      </c>
    </row>
    <row r="674" ht="14.25" hidden="1" customHeight="1">
      <c r="A674" s="8" t="s">
        <v>1189</v>
      </c>
      <c r="B674" s="8" t="s">
        <v>437</v>
      </c>
      <c r="D674" s="121" t="str">
        <f>HYPERLINK("http://www.bronx.va.gov/services/HOSPICE_AND_PALLIATIVE_CARE.ASP")</f>
        <v>http://www.bronx.va.gov/services/HOSPICE_AND_PALLIATIVE_CARE.ASP</v>
      </c>
      <c r="E674" s="8" t="s">
        <v>392</v>
      </c>
    </row>
    <row r="675" ht="14.25" hidden="1" customHeight="1">
      <c r="A675" s="8" t="s">
        <v>1189</v>
      </c>
      <c r="B675" s="8" t="s">
        <v>1199</v>
      </c>
      <c r="D675" s="121" t="str">
        <f>HYPERLINK("http://www.bronx.va.gov/services/EDUCATION.ASP")</f>
        <v>http://www.bronx.va.gov/services/EDUCATION.ASP</v>
      </c>
      <c r="E675" s="8" t="s">
        <v>595</v>
      </c>
    </row>
    <row r="676" ht="14.25" hidden="1" customHeight="1">
      <c r="A676" s="8" t="s">
        <v>1189</v>
      </c>
      <c r="B676" s="8" t="s">
        <v>1201</v>
      </c>
      <c r="D676" s="121" t="str">
        <f>HYPERLINK("http://www.bronx.va.gov/services/RENALTRANSPLANTPROGRAM.ASP")</f>
        <v>http://www.bronx.va.gov/services/RENALTRANSPLANTPROGRAM.ASP</v>
      </c>
      <c r="E676" s="8" t="s">
        <v>595</v>
      </c>
    </row>
    <row r="677" ht="14.25" hidden="1" customHeight="1">
      <c r="A677" s="8" t="s">
        <v>1189</v>
      </c>
      <c r="B677" s="8" t="s">
        <v>438</v>
      </c>
      <c r="D677" s="121" t="str">
        <f>HYPERLINK("http://www.bronx.va.gov/services/LGBT.ASP")</f>
        <v>http://www.bronx.va.gov/services/LGBT.ASP</v>
      </c>
      <c r="E677" s="8" t="s">
        <v>392</v>
      </c>
    </row>
    <row r="678" ht="14.25" hidden="1" customHeight="1">
      <c r="A678" s="8" t="s">
        <v>1189</v>
      </c>
      <c r="B678" s="8" t="s">
        <v>323</v>
      </c>
      <c r="D678" s="121" t="str">
        <f>HYPERLINK("http://www.bronx.va.gov/services/MENTAL_HEALTH.ASP")</f>
        <v>http://www.bronx.va.gov/services/MENTAL_HEALTH.ASP</v>
      </c>
      <c r="E678" s="8" t="s">
        <v>392</v>
      </c>
    </row>
    <row r="679" ht="14.25" hidden="1" customHeight="1">
      <c r="A679" s="8" t="s">
        <v>1189</v>
      </c>
      <c r="B679" s="8" t="s">
        <v>494</v>
      </c>
      <c r="D679" s="121" t="str">
        <f>HYPERLINK("http://www.bronx.va.gov/services/TELEHEALTH.ASP")</f>
        <v>http://www.bronx.va.gov/services/TELEHEALTH.ASP</v>
      </c>
      <c r="E679" s="8" t="s">
        <v>595</v>
      </c>
    </row>
    <row r="680" ht="14.25" hidden="1" customHeight="1">
      <c r="A680" s="8" t="s">
        <v>1189</v>
      </c>
      <c r="B680" s="8" t="s">
        <v>1203</v>
      </c>
      <c r="D680" s="121" t="str">
        <f>HYPERLINK("http://www.bronx.va.gov/services/HELPLINE.ASP")</f>
        <v>http://www.bronx.va.gov/services/HELPLINE.ASP</v>
      </c>
      <c r="E680" s="8" t="s">
        <v>595</v>
      </c>
    </row>
    <row r="681" ht="14.25" hidden="1" customHeight="1">
      <c r="A681" s="8" t="s">
        <v>1189</v>
      </c>
      <c r="B681" s="8" t="s">
        <v>1204</v>
      </c>
      <c r="D681" s="121" t="str">
        <f>HYPERLINK("http://www.bronx.va.gov/services/BARIATRIC_SURGERY_PROGRAM.ASP")</f>
        <v>http://www.bronx.va.gov/services/BARIATRIC_SURGERY_PROGRAM.ASP</v>
      </c>
      <c r="E681" s="8" t="s">
        <v>595</v>
      </c>
    </row>
    <row r="682" ht="14.25" hidden="1" customHeight="1">
      <c r="A682" s="8" t="s">
        <v>1189</v>
      </c>
      <c r="B682" s="8" t="s">
        <v>1205</v>
      </c>
      <c r="D682" s="121" t="str">
        <f>HYPERLINK("http://www.bronx.va.gov/services/EDUCATION.ASP")</f>
        <v>http://www.bronx.va.gov/services/EDUCATION.ASP</v>
      </c>
      <c r="E682" s="8" t="s">
        <v>595</v>
      </c>
    </row>
    <row r="683" ht="14.25" hidden="1" customHeight="1">
      <c r="A683" s="8" t="s">
        <v>1189</v>
      </c>
      <c r="B683" s="8" t="s">
        <v>651</v>
      </c>
      <c r="D683" s="121" t="str">
        <f>HYPERLINK("http://www.bronx.va.gov/services/PALLIATIVE.ASP")</f>
        <v>http://www.bronx.va.gov/services/PALLIATIVE.ASP</v>
      </c>
      <c r="E683" s="8" t="s">
        <v>392</v>
      </c>
    </row>
    <row r="684" ht="14.25" hidden="1" customHeight="1">
      <c r="A684" s="8" t="s">
        <v>1189</v>
      </c>
      <c r="B684" s="8" t="s">
        <v>343</v>
      </c>
      <c r="D684" s="121" t="str">
        <f>HYPERLINK("http://www.bronx.va.gov/services/PHARMACY.ASP")</f>
        <v>http://www.bronx.va.gov/services/PHARMACY.ASP</v>
      </c>
      <c r="E684" s="8" t="s">
        <v>392</v>
      </c>
    </row>
    <row r="685" ht="14.25" hidden="1" customHeight="1">
      <c r="A685" s="8" t="s">
        <v>1189</v>
      </c>
      <c r="B685" s="8" t="s">
        <v>1206</v>
      </c>
      <c r="D685" s="121" t="str">
        <f>HYPERLINK("http://www.bronx.va.gov/services/POLYTRAUMA_NETWORK_SITE.ASP")</f>
        <v>http://www.bronx.va.gov/services/POLYTRAUMA_NETWORK_SITE.ASP</v>
      </c>
      <c r="E685" s="8" t="s">
        <v>392</v>
      </c>
    </row>
    <row r="686" ht="14.25" hidden="1" customHeight="1">
      <c r="A686" s="8" t="s">
        <v>1189</v>
      </c>
      <c r="B686" s="8" t="s">
        <v>1207</v>
      </c>
      <c r="D686" s="121" t="str">
        <f>HYPERLINK("http://www.bronx.va.gov/services/REHABILITATION_MEDICINE.ASP")</f>
        <v>http://www.bronx.va.gov/services/REHABILITATION_MEDICINE.ASP</v>
      </c>
      <c r="E686" s="8" t="s">
        <v>392</v>
      </c>
    </row>
    <row r="687" ht="14.25" hidden="1" customHeight="1">
      <c r="A687" s="8" t="s">
        <v>1189</v>
      </c>
      <c r="B687" s="8" t="s">
        <v>1208</v>
      </c>
      <c r="D687" s="121" t="str">
        <f>HYPERLINK("http://www.bronx.va.gov/services/RENALTRANSPLANTPROGRAM.ASP")</f>
        <v>http://www.bronx.va.gov/services/RENALTRANSPLANTPROGRAM.ASP</v>
      </c>
      <c r="E687" s="8" t="s">
        <v>392</v>
      </c>
    </row>
    <row r="688" ht="14.25" hidden="1" customHeight="1">
      <c r="A688" s="8" t="s">
        <v>1189</v>
      </c>
      <c r="B688" s="8" t="s">
        <v>355</v>
      </c>
      <c r="D688" s="121" t="str">
        <f>HYPERLINK("http://www.bronx.va.gov/services/RETURNING_SERVICE_MEMBERS.ASP")</f>
        <v>http://www.bronx.va.gov/services/RETURNING_SERVICE_MEMBERS.ASP</v>
      </c>
      <c r="E688" s="8" t="s">
        <v>392</v>
      </c>
    </row>
    <row r="689" ht="14.25" hidden="1" customHeight="1">
      <c r="A689" s="8" t="s">
        <v>1189</v>
      </c>
      <c r="B689" s="8" t="s">
        <v>1209</v>
      </c>
      <c r="D689" s="121" t="str">
        <f>HYPERLINK("http://www.bronx.va.gov/services/SHUTTLE.ASP")</f>
        <v>http://www.bronx.va.gov/services/SHUTTLE.ASP</v>
      </c>
      <c r="E689" s="8" t="s">
        <v>392</v>
      </c>
    </row>
    <row r="690" ht="14.25" hidden="1" customHeight="1">
      <c r="A690" s="8" t="s">
        <v>1189</v>
      </c>
      <c r="B690" s="8" t="s">
        <v>1210</v>
      </c>
      <c r="D690" s="121" t="str">
        <f>HYPERLINK("http://www.bronx.va.gov/services/SMOKINGCESSATION.ASP")</f>
        <v>http://www.bronx.va.gov/services/SMOKINGCESSATION.ASP</v>
      </c>
      <c r="E690" s="8" t="s">
        <v>392</v>
      </c>
    </row>
    <row r="691" ht="14.25" hidden="1" customHeight="1">
      <c r="A691" s="8" t="s">
        <v>1189</v>
      </c>
      <c r="B691" s="8" t="s">
        <v>1211</v>
      </c>
      <c r="D691" s="121" t="str">
        <f>HYPERLINK("http://www.bronx.va.gov/services/ENT.ASP")</f>
        <v>http://www.bronx.va.gov/services/ENT.ASP</v>
      </c>
      <c r="E691" s="8" t="s">
        <v>595</v>
      </c>
    </row>
    <row r="692" ht="14.25" hidden="1" customHeight="1">
      <c r="A692" s="8" t="s">
        <v>1189</v>
      </c>
      <c r="B692" s="8" t="s">
        <v>1212</v>
      </c>
      <c r="D692" s="121" t="str">
        <f>HYPERLINK("http://www.bronx.va.gov/services/SCI.ASP")</f>
        <v>http://www.bronx.va.gov/services/SCI.ASP</v>
      </c>
      <c r="E692" s="8" t="s">
        <v>392</v>
      </c>
    </row>
    <row r="693" ht="14.25" hidden="1" customHeight="1">
      <c r="A693" s="8" t="s">
        <v>1189</v>
      </c>
      <c r="B693" s="8" t="s">
        <v>370</v>
      </c>
      <c r="D693" s="121" t="str">
        <f>HYPERLINK("http://www.bronx.va.gov/services/TELEHEALTH.ASP")</f>
        <v>http://www.bronx.va.gov/services/TELEHEALTH.ASP</v>
      </c>
      <c r="E693" s="8" t="s">
        <v>595</v>
      </c>
    </row>
    <row r="694" ht="14.25" hidden="1" customHeight="1">
      <c r="A694" s="8" t="s">
        <v>1189</v>
      </c>
      <c r="B694" s="8" t="s">
        <v>1213</v>
      </c>
      <c r="D694" s="121" t="str">
        <f>HYPERLINK("http://www.bronx.va.gov/services/EDUCATION.ASP")</f>
        <v>http://www.bronx.va.gov/services/EDUCATION.ASP</v>
      </c>
      <c r="E694" s="8" t="s">
        <v>595</v>
      </c>
    </row>
    <row r="695" ht="14.25" hidden="1" customHeight="1">
      <c r="A695" s="8" t="s">
        <v>1189</v>
      </c>
      <c r="B695" s="8" t="s">
        <v>1214</v>
      </c>
      <c r="D695" s="121" t="str">
        <f>HYPERLINK("http://www.bronx.va.gov/services/HELPLINE.ASP")</f>
        <v>http://www.bronx.va.gov/services/HELPLINE.ASP</v>
      </c>
      <c r="E695" s="8" t="s">
        <v>392</v>
      </c>
    </row>
    <row r="696" ht="14.25" hidden="1" customHeight="1">
      <c r="A696" s="8" t="s">
        <v>1189</v>
      </c>
      <c r="B696" s="8" t="s">
        <v>470</v>
      </c>
      <c r="D696" s="121" t="str">
        <f>HYPERLINK("http://www.bronx.va.gov/services/VA_NURSE_HELPLINE.ASP")</f>
        <v>http://www.bronx.va.gov/services/VA_NURSE_HELPLINE.ASP</v>
      </c>
      <c r="E696" s="8" t="s">
        <v>392</v>
      </c>
    </row>
    <row r="697" ht="14.25" hidden="1" customHeight="1">
      <c r="A697" s="8" t="s">
        <v>1189</v>
      </c>
      <c r="B697" s="8" t="s">
        <v>1215</v>
      </c>
      <c r="D697" s="121" t="str">
        <f>HYPERLINK("http://www.bronx.va.gov/services/GRECC.ASP")</f>
        <v>http://www.bronx.va.gov/services/GRECC.ASP</v>
      </c>
      <c r="E697" s="8" t="s">
        <v>392</v>
      </c>
    </row>
    <row r="698" ht="14.25" hidden="1" customHeight="1">
      <c r="A698" s="8" t="s">
        <v>1189</v>
      </c>
      <c r="B698" s="8" t="s">
        <v>1216</v>
      </c>
      <c r="D698" s="121" t="str">
        <f>HYPERLINK("http://www.bronx.va.gov/services/TELEHEALTH.ASP")</f>
        <v>http://www.bronx.va.gov/services/TELEHEALTH.ASP</v>
      </c>
      <c r="E698" s="8" t="s">
        <v>392</v>
      </c>
    </row>
    <row r="699" ht="14.25" hidden="1" customHeight="1">
      <c r="A699" s="8" t="s">
        <v>1189</v>
      </c>
      <c r="B699" s="8" t="s">
        <v>1217</v>
      </c>
      <c r="D699" s="121" t="str">
        <f>HYPERLINK("http://www.bronx.va.gov/services/VIST.ASP")</f>
        <v>http://www.bronx.va.gov/services/VIST.ASP</v>
      </c>
      <c r="E699" s="8" t="s">
        <v>392</v>
      </c>
    </row>
    <row r="700" ht="14.25" hidden="1" customHeight="1">
      <c r="A700" s="8" t="s">
        <v>1189</v>
      </c>
      <c r="B700" s="8" t="s">
        <v>1218</v>
      </c>
      <c r="D700" s="121" t="str">
        <f>HYPERLINK("http://www.bronx.va.gov/services/BARIATRIC_SURGERY_PROGRAM.ASP")</f>
        <v>http://www.bronx.va.gov/services/BARIATRIC_SURGERY_PROGRAM.ASP</v>
      </c>
      <c r="E700" s="8" t="s">
        <v>595</v>
      </c>
    </row>
    <row r="701" ht="14.25" hidden="1" customHeight="1">
      <c r="A701" s="8" t="s">
        <v>1189</v>
      </c>
      <c r="B701" s="8" t="s">
        <v>379</v>
      </c>
      <c r="D701" s="121" t="str">
        <f>HYPERLINK("http://www.bronx.va.gov/services/WOMEN_VETERANS.ASP")</f>
        <v>http://www.bronx.va.gov/services/WOMEN_VETERANS.ASP</v>
      </c>
      <c r="E701" s="8" t="s">
        <v>392</v>
      </c>
    </row>
    <row r="702" ht="14.25" hidden="1" customHeight="1">
      <c r="A702" s="8" t="s">
        <v>1219</v>
      </c>
      <c r="B702" s="8" t="s">
        <v>415</v>
      </c>
      <c r="D702" s="121" t="str">
        <f>HYPERLINK("http://www.buffalo.va.gov/services/ACUPUNCTURE.ASP")</f>
        <v>http://www.buffalo.va.gov/services/ACUPUNCTURE.ASP</v>
      </c>
      <c r="E702" s="8" t="s">
        <v>392</v>
      </c>
    </row>
    <row r="703" ht="14.25" hidden="1" customHeight="1">
      <c r="A703" s="8" t="s">
        <v>1219</v>
      </c>
      <c r="B703" s="8" t="s">
        <v>408</v>
      </c>
      <c r="D703" s="121" t="str">
        <f>HYPERLINK("http://www.buffalo.va.gov/services/AGENT_ORANGE_REGISTRY_EXAMS.ASP")</f>
        <v>http://www.buffalo.va.gov/services/AGENT_ORANGE_REGISTRY_EXAMS.ASP</v>
      </c>
      <c r="E703" s="8" t="s">
        <v>392</v>
      </c>
    </row>
    <row r="704" ht="14.25" hidden="1" customHeight="1">
      <c r="A704" s="8" t="s">
        <v>1219</v>
      </c>
      <c r="B704" s="8" t="s">
        <v>409</v>
      </c>
      <c r="D704" s="121" t="str">
        <f>HYPERLINK("http://www.buffalo.va.gov/services/ALZHEIMER_S_DISEASE_AND_DEMENTIA_CARE.ASP")</f>
        <v>http://www.buffalo.va.gov/services/ALZHEIMER_S_DISEASE_AND_DEMENTIA_CARE.ASP</v>
      </c>
      <c r="E704" s="8" t="s">
        <v>392</v>
      </c>
    </row>
    <row r="705" ht="14.25" hidden="1" customHeight="1">
      <c r="A705" s="8" t="s">
        <v>1219</v>
      </c>
      <c r="B705" s="8" t="s">
        <v>411</v>
      </c>
      <c r="D705" s="121" t="str">
        <f>HYPERLINK("http://www.buffalo.va.gov/services/AUDIOLOGY_SPEECH_PATHOLOGY.ASP")</f>
        <v>http://www.buffalo.va.gov/services/AUDIOLOGY_SPEECH_PATHOLOGY.ASP</v>
      </c>
      <c r="E705" s="8" t="s">
        <v>392</v>
      </c>
    </row>
    <row r="706" ht="14.25" hidden="1" customHeight="1">
      <c r="A706" s="8" t="s">
        <v>1219</v>
      </c>
      <c r="B706" s="8" t="s">
        <v>1220</v>
      </c>
      <c r="D706" s="121" t="str">
        <f>HYPERLINK("http://www.buffalo.va.gov/services/CANCER_CARE_ONCOLOGY.ASP")</f>
        <v>http://www.buffalo.va.gov/services/CANCER_CARE_ONCOLOGY.ASP</v>
      </c>
      <c r="E706" s="8" t="s">
        <v>392</v>
      </c>
    </row>
    <row r="707" ht="14.25" hidden="1" customHeight="1">
      <c r="A707" s="8" t="s">
        <v>1219</v>
      </c>
      <c r="B707" s="8" t="s">
        <v>414</v>
      </c>
      <c r="D707" s="121" t="str">
        <f>HYPERLINK("http://www.buffalo.va.gov/services/CARDIOLOGY.ASP")</f>
        <v>http://www.buffalo.va.gov/services/CARDIOLOGY.ASP</v>
      </c>
      <c r="E707" s="8" t="s">
        <v>392</v>
      </c>
    </row>
    <row r="708" ht="14.25" hidden="1" customHeight="1">
      <c r="A708" s="8" t="s">
        <v>1219</v>
      </c>
      <c r="B708" s="8" t="s">
        <v>417</v>
      </c>
      <c r="D708" s="121" t="str">
        <f>HYPERLINK("http://www.buffalo.va.gov/services/CHAPLAIN.ASP")</f>
        <v>http://www.buffalo.va.gov/services/CHAPLAIN.ASP</v>
      </c>
      <c r="E708" s="8" t="s">
        <v>392</v>
      </c>
    </row>
    <row r="709" ht="14.25" hidden="1" customHeight="1">
      <c r="A709" s="8" t="s">
        <v>1219</v>
      </c>
      <c r="B709" s="8" t="s">
        <v>482</v>
      </c>
      <c r="D709" s="121" t="str">
        <f>HYPERLINK("http://www.buffalo.va.gov/services/COMMUNITY_LIVING_CENTER_AND_NURSING_HOME_CARE.ASP")</f>
        <v>http://www.buffalo.va.gov/services/COMMUNITY_LIVING_CENTER_AND_NURSING_HOME_CARE.ASP</v>
      </c>
      <c r="E709" s="8" t="s">
        <v>392</v>
      </c>
    </row>
    <row r="710" ht="14.25" hidden="1" customHeight="1">
      <c r="A710" s="8" t="s">
        <v>1219</v>
      </c>
      <c r="B710" s="8" t="s">
        <v>422</v>
      </c>
      <c r="D710" s="121" t="str">
        <f>HYPERLINK("http://www.buffalo.va.gov/services/COMPENSATION_AND_PENSION_EXAMS.ASP")</f>
        <v>http://www.buffalo.va.gov/services/COMPENSATION_AND_PENSION_EXAMS.ASP</v>
      </c>
      <c r="E710" s="8" t="s">
        <v>392</v>
      </c>
    </row>
    <row r="711" ht="14.25" hidden="1" customHeight="1">
      <c r="A711" s="8" t="s">
        <v>1219</v>
      </c>
      <c r="B711" s="8" t="s">
        <v>1221</v>
      </c>
      <c r="D711" s="121" t="str">
        <f>HYPERLINK("http://www.buffalo.va.gov/services/DENTISTRY.ASP")</f>
        <v>http://www.buffalo.va.gov/services/DENTISTRY.ASP</v>
      </c>
      <c r="E711" s="8" t="s">
        <v>392</v>
      </c>
    </row>
    <row r="712" ht="14.25" hidden="1" customHeight="1">
      <c r="A712" s="8" t="s">
        <v>1219</v>
      </c>
      <c r="B712" s="8" t="s">
        <v>423</v>
      </c>
      <c r="D712" s="121" t="str">
        <f>HYPERLINK("http://www.buffalo.va.gov/services/DIABETES.ASP")</f>
        <v>http://www.buffalo.va.gov/services/DIABETES.ASP</v>
      </c>
      <c r="E712" s="8" t="s">
        <v>392</v>
      </c>
    </row>
    <row r="713" ht="14.25" hidden="1" customHeight="1">
      <c r="A713" s="8" t="s">
        <v>1219</v>
      </c>
      <c r="B713" s="8" t="s">
        <v>424</v>
      </c>
      <c r="D713" s="121" t="str">
        <f>HYPERLINK("http://www.buffalo.va.gov/services/DIALYSIS.ASP")</f>
        <v>http://www.buffalo.va.gov/services/DIALYSIS.ASP</v>
      </c>
      <c r="E713" s="8" t="s">
        <v>392</v>
      </c>
    </row>
    <row r="714" ht="14.25" hidden="1" customHeight="1">
      <c r="A714" s="8" t="s">
        <v>1219</v>
      </c>
      <c r="B714" s="8" t="s">
        <v>426</v>
      </c>
      <c r="D714" s="121" t="str">
        <f>HYPERLINK("http://www.buffalo.va.gov/services/EYE_AND_VISION_CARE.ASP")</f>
        <v>http://www.buffalo.va.gov/services/EYE_AND_VISION_CARE.ASP</v>
      </c>
      <c r="E714" s="8" t="s">
        <v>392</v>
      </c>
    </row>
    <row r="715" ht="14.25" hidden="1" customHeight="1">
      <c r="A715" s="8" t="s">
        <v>1219</v>
      </c>
      <c r="B715" s="8" t="s">
        <v>428</v>
      </c>
      <c r="D715" s="121" t="str">
        <f>HYPERLINK("http://www.buffalo.va.gov/services/FEE_BASIS_FEE_SERVICE.ASP")</f>
        <v>http://www.buffalo.va.gov/services/FEE_BASIS_FEE_SERVICE.ASP</v>
      </c>
      <c r="E715" s="8" t="s">
        <v>392</v>
      </c>
    </row>
    <row r="716" ht="14.25" hidden="1" customHeight="1">
      <c r="A716" s="8" t="s">
        <v>1219</v>
      </c>
      <c r="B716" s="8" t="s">
        <v>486</v>
      </c>
      <c r="D716" s="121" t="str">
        <f>HYPERLINK("http://www.buffalo.va.gov/services/FORMER_PRISONER_OF_WAR_ADVOCATE.ASP")</f>
        <v>http://www.buffalo.va.gov/services/FORMER_PRISONER_OF_WAR_ADVOCATE.ASP</v>
      </c>
      <c r="E716" s="8" t="s">
        <v>392</v>
      </c>
    </row>
    <row r="717" ht="14.25" hidden="1" customHeight="1">
      <c r="A717" s="8" t="s">
        <v>1219</v>
      </c>
      <c r="B717" s="8" t="s">
        <v>1222</v>
      </c>
      <c r="D717" s="121" t="str">
        <f>HYPERLINK("http://www.buffalo.va.gov/services/GERIATRIC_EVALUATION_AND_MANAGEMENT.ASP")</f>
        <v>http://www.buffalo.va.gov/services/GERIATRIC_EVALUATION_AND_MANAGEMENT.ASP</v>
      </c>
      <c r="E717" s="8" t="s">
        <v>392</v>
      </c>
    </row>
    <row r="718" ht="14.25" hidden="1" customHeight="1">
      <c r="A718" s="8" t="s">
        <v>1219</v>
      </c>
      <c r="B718" s="8" t="s">
        <v>430</v>
      </c>
      <c r="D718" s="121" t="str">
        <f>HYPERLINK("http://www.buffalo.va.gov/services/HIV_AND_AIDS_TREATMENT.ASP")</f>
        <v>http://www.buffalo.va.gov/services/HIV_AND_AIDS_TREATMENT.ASP</v>
      </c>
      <c r="E718" s="8" t="s">
        <v>392</v>
      </c>
    </row>
    <row r="719" ht="14.25" hidden="1" customHeight="1">
      <c r="A719" s="8" t="s">
        <v>1219</v>
      </c>
      <c r="B719" s="8" t="s">
        <v>431</v>
      </c>
      <c r="D719" s="121" t="str">
        <f>HYPERLINK("http://www.buffalo.va.gov/services/HOME_BASED_PRIMARY_CARE.ASP")</f>
        <v>http://www.buffalo.va.gov/services/HOME_BASED_PRIMARY_CARE.ASP</v>
      </c>
      <c r="E719" s="8" t="s">
        <v>392</v>
      </c>
    </row>
    <row r="720" ht="14.25" hidden="1" customHeight="1">
      <c r="A720" s="8" t="s">
        <v>1219</v>
      </c>
      <c r="B720" s="8" t="s">
        <v>395</v>
      </c>
      <c r="D720" s="121" t="str">
        <f>HYPERLINK("http://www.buffalo.va.gov/services/HOME_TELEHEALTH.ASP")</f>
        <v>http://www.buffalo.va.gov/services/HOME_TELEHEALTH.ASP</v>
      </c>
      <c r="E720" s="8" t="s">
        <v>392</v>
      </c>
    </row>
    <row r="721" ht="14.25" hidden="1" customHeight="1">
      <c r="A721" s="8" t="s">
        <v>1219</v>
      </c>
      <c r="B721" s="8" t="s">
        <v>436</v>
      </c>
      <c r="D721" s="121" t="str">
        <f>HYPERLINK("http://www.buffalo.va.gov/services/HOMEMAKER_AND_HOME_HEALTH_AIDE_PROGRAM.ASP")</f>
        <v>http://www.buffalo.va.gov/services/HOMEMAKER_AND_HOME_HEALTH_AIDE_PROGRAM.ASP</v>
      </c>
      <c r="E721" s="8" t="s">
        <v>392</v>
      </c>
    </row>
    <row r="722" ht="14.25" hidden="1" customHeight="1">
      <c r="A722" s="8" t="s">
        <v>1219</v>
      </c>
      <c r="B722" s="8" t="s">
        <v>437</v>
      </c>
      <c r="D722" s="121" t="str">
        <f>HYPERLINK("http://www.buffalo.va.gov/services/HOSPICE_AND_PALLIATIVE_CARE.ASP")</f>
        <v>http://www.buffalo.va.gov/services/HOSPICE_AND_PALLIATIVE_CARE.ASP</v>
      </c>
      <c r="E722" s="8" t="s">
        <v>392</v>
      </c>
    </row>
    <row r="723" ht="14.25" hidden="1" customHeight="1">
      <c r="A723" s="8" t="s">
        <v>1219</v>
      </c>
      <c r="B723" s="8" t="s">
        <v>438</v>
      </c>
      <c r="D723" s="121" t="str">
        <f>HYPERLINK("http://www.buffalo.va.gov/services/LGBT_PATIENT_CENTERED_CARE.ASP")</f>
        <v>http://www.buffalo.va.gov/services/LGBT_PATIENT_CENTERED_CARE.ASP</v>
      </c>
      <c r="E723" s="8" t="s">
        <v>392</v>
      </c>
    </row>
    <row r="724" ht="14.25" hidden="1" customHeight="1">
      <c r="A724" s="8" t="s">
        <v>1219</v>
      </c>
      <c r="B724" s="8" t="s">
        <v>440</v>
      </c>
      <c r="D724" s="121" t="str">
        <f>HYPERLINK("http://www.buffalo.va.gov/services/LAB_AND_PATHOLOGY_SERVICES.ASP")</f>
        <v>http://www.buffalo.va.gov/services/LAB_AND_PATHOLOGY_SERVICES.ASP</v>
      </c>
      <c r="E724" s="8" t="s">
        <v>392</v>
      </c>
    </row>
    <row r="725" ht="14.25" hidden="1" customHeight="1">
      <c r="A725" s="8" t="s">
        <v>1219</v>
      </c>
      <c r="B725" s="8" t="s">
        <v>441</v>
      </c>
      <c r="D725" s="121" t="str">
        <f>HYPERLINK("http://www.buffalo.va.gov/services/MOVE_WEIGHT_MANAGEMENT_PROGRAM.ASP")</f>
        <v>http://www.buffalo.va.gov/services/MOVE_WEIGHT_MANAGEMENT_PROGRAM.ASP</v>
      </c>
      <c r="E725" s="8" t="s">
        <v>392</v>
      </c>
    </row>
    <row r="726" ht="14.25" hidden="1" customHeight="1">
      <c r="A726" s="8" t="s">
        <v>1219</v>
      </c>
      <c r="B726" s="8" t="s">
        <v>442</v>
      </c>
      <c r="D726" s="121" t="str">
        <f>HYPERLINK("http://www.buffalo.va.gov/services/MAMMOGRAPHY.ASP")</f>
        <v>http://www.buffalo.va.gov/services/MAMMOGRAPHY.ASP</v>
      </c>
      <c r="E726" s="8" t="s">
        <v>392</v>
      </c>
    </row>
    <row r="727" ht="14.25" hidden="1" customHeight="1">
      <c r="A727" s="8" t="s">
        <v>1219</v>
      </c>
      <c r="B727" s="8" t="s">
        <v>323</v>
      </c>
      <c r="D727" s="121" t="str">
        <f>HYPERLINK("http://www.buffalo.va.gov/services/MENTAL_HEALTH.ASP")</f>
        <v>http://www.buffalo.va.gov/services/MENTAL_HEALTH.ASP</v>
      </c>
      <c r="E727" s="8" t="s">
        <v>392</v>
      </c>
    </row>
    <row r="728" ht="14.25" hidden="1" customHeight="1">
      <c r="A728" s="8" t="s">
        <v>1219</v>
      </c>
      <c r="B728" s="8" t="s">
        <v>445</v>
      </c>
      <c r="D728" s="121" t="str">
        <f>HYPERLINK("http://www.buffalo.va.gov/services/MILITARY_SEXUAL_TRAUMA_COUNSELING.ASP")</f>
        <v>http://www.buffalo.va.gov/services/MILITARY_SEXUAL_TRAUMA_COUNSELING.ASP</v>
      </c>
      <c r="E728" s="8" t="s">
        <v>392</v>
      </c>
    </row>
    <row r="729" ht="14.25" hidden="1" customHeight="1">
      <c r="A729" s="8" t="s">
        <v>1219</v>
      </c>
      <c r="B729" s="8" t="s">
        <v>332</v>
      </c>
      <c r="D729" s="121" t="str">
        <f>HYPERLINK("http://www.buffalo.va.gov/services/NUTRITION_AND_FOOD_SERVICES.ASP")</f>
        <v>http://www.buffalo.va.gov/services/NUTRITION_AND_FOOD_SERVICES.ASP</v>
      </c>
      <c r="E729" s="8" t="s">
        <v>392</v>
      </c>
    </row>
    <row r="730" ht="14.25" hidden="1" customHeight="1">
      <c r="A730" s="8" t="s">
        <v>1219</v>
      </c>
      <c r="B730" s="8" t="s">
        <v>1223</v>
      </c>
      <c r="D730" s="121" t="str">
        <f>HYPERLINK("http://www.buffalo.va.gov/services/OEF_OIF_OND_VETERANS_POINT_OF_CONTACT.ASP")</f>
        <v>http://www.buffalo.va.gov/services/OEF_OIF_OND_VETERANS_POINT_OF_CONTACT.ASP</v>
      </c>
      <c r="E730" s="8" t="s">
        <v>392</v>
      </c>
    </row>
    <row r="731" ht="14.25" hidden="1" customHeight="1">
      <c r="A731" s="8" t="s">
        <v>1219</v>
      </c>
      <c r="B731" s="8" t="s">
        <v>852</v>
      </c>
      <c r="D731" s="121" t="str">
        <f>HYPERLINK("http://www.buffalo.va.gov/services/OBSTETRICS_AND_GYNECOLOGY.ASP")</f>
        <v>http://www.buffalo.va.gov/services/OBSTETRICS_AND_GYNECOLOGY.ASP</v>
      </c>
      <c r="E731" s="8" t="s">
        <v>392</v>
      </c>
    </row>
    <row r="732" ht="14.25" hidden="1" customHeight="1">
      <c r="A732" s="8" t="s">
        <v>1219</v>
      </c>
      <c r="B732" s="8" t="s">
        <v>853</v>
      </c>
      <c r="D732" s="121" t="str">
        <f>HYPERLINK("http://www.buffalo.va.gov/services/OCCUPATIONAL_THERAPY_AND_PHYSICAL_MEDICINE.ASP")</f>
        <v>http://www.buffalo.va.gov/services/OCCUPATIONAL_THERAPY_AND_PHYSICAL_MEDICINE.ASP</v>
      </c>
      <c r="E732" s="8" t="s">
        <v>392</v>
      </c>
    </row>
    <row r="733" ht="14.25" hidden="1" customHeight="1">
      <c r="A733" s="8" t="s">
        <v>1219</v>
      </c>
      <c r="B733" s="8" t="s">
        <v>338</v>
      </c>
      <c r="D733" s="121" t="str">
        <f>HYPERLINK("http://www.buffalo.va.gov/services/ORTHOPEDICS.ASP")</f>
        <v>http://www.buffalo.va.gov/services/ORTHOPEDICS.ASP</v>
      </c>
      <c r="E733" s="8" t="s">
        <v>392</v>
      </c>
    </row>
    <row r="734" ht="14.25" hidden="1" customHeight="1">
      <c r="A734" s="8" t="s">
        <v>1219</v>
      </c>
      <c r="B734" s="8" t="s">
        <v>343</v>
      </c>
      <c r="D734" s="121" t="str">
        <f>HYPERLINK("http://www.buffalo.va.gov/services/PHARMACY.ASP")</f>
        <v>http://www.buffalo.va.gov/services/PHARMACY.ASP</v>
      </c>
      <c r="E734" s="8" t="s">
        <v>392</v>
      </c>
    </row>
    <row r="735" ht="14.25" hidden="1" customHeight="1">
      <c r="A735" s="8" t="s">
        <v>1219</v>
      </c>
      <c r="B735" s="8" t="s">
        <v>450</v>
      </c>
      <c r="D735" s="121" t="str">
        <f>HYPERLINK("http://www.buffalo.va.gov/services/PODIATRY.ASP")</f>
        <v>http://www.buffalo.va.gov/services/PODIATRY.ASP</v>
      </c>
      <c r="E735" s="8" t="s">
        <v>392</v>
      </c>
    </row>
    <row r="736" ht="14.25" hidden="1" customHeight="1">
      <c r="A736" s="8" t="s">
        <v>1219</v>
      </c>
      <c r="B736" s="8" t="s">
        <v>451</v>
      </c>
      <c r="D736" s="121" t="str">
        <f>HYPERLINK("http://www.buffalo.va.gov/services/POLYTRAUMA_PROGRAM.ASP")</f>
        <v>http://www.buffalo.va.gov/services/POLYTRAUMA_PROGRAM.ASP</v>
      </c>
      <c r="E736" s="8" t="s">
        <v>392</v>
      </c>
    </row>
    <row r="737" ht="14.25" hidden="1" customHeight="1">
      <c r="A737" s="8" t="s">
        <v>1219</v>
      </c>
      <c r="B737" s="8" t="s">
        <v>1224</v>
      </c>
      <c r="D737" s="121" t="str">
        <f>HYPERLINK("http://www.buffalo.va.gov/services/POSTTRAUMATIC_STRESS_DISORDER_PTSD.ASP")</f>
        <v>http://www.buffalo.va.gov/services/POSTTRAUMATIC_STRESS_DISORDER_PTSD.ASP</v>
      </c>
      <c r="E737" s="8" t="s">
        <v>392</v>
      </c>
    </row>
    <row r="738" ht="14.25" hidden="1" customHeight="1">
      <c r="A738" s="8" t="s">
        <v>1219</v>
      </c>
      <c r="B738" s="8" t="s">
        <v>348</v>
      </c>
      <c r="D738" s="121" t="str">
        <f>HYPERLINK("http://www.buffalo.va.gov/services/PRIMARY_CARE.ASP")</f>
        <v>http://www.buffalo.va.gov/services/PRIMARY_CARE.ASP</v>
      </c>
      <c r="E738" s="8" t="s">
        <v>392</v>
      </c>
    </row>
    <row r="739" ht="14.25" hidden="1" customHeight="1">
      <c r="A739" s="8" t="s">
        <v>1219</v>
      </c>
      <c r="B739" s="8" t="s">
        <v>916</v>
      </c>
      <c r="D739" s="121" t="str">
        <f>HYPERLINK("http://www.buffalo.va.gov/services/PROSTHETICS_AND_SENSORY_AIDS_SERVICE.ASP")</f>
        <v>http://www.buffalo.va.gov/services/PROSTHETICS_AND_SENSORY_AIDS_SERVICE.ASP</v>
      </c>
      <c r="E739" s="8" t="s">
        <v>392</v>
      </c>
    </row>
    <row r="740" ht="14.25" hidden="1" customHeight="1">
      <c r="A740" s="8" t="s">
        <v>1219</v>
      </c>
      <c r="B740" s="8" t="s">
        <v>461</v>
      </c>
      <c r="D740" s="121" t="str">
        <f>HYPERLINK("http://www.buffalo.va.gov/services/RADIOLOGY_AND_DIAGNOSTIC_IMAGING.ASP")</f>
        <v>http://www.buffalo.va.gov/services/RADIOLOGY_AND_DIAGNOSTIC_IMAGING.ASP</v>
      </c>
      <c r="E740" s="8" t="s">
        <v>392</v>
      </c>
    </row>
    <row r="741" ht="14.25" hidden="1" customHeight="1">
      <c r="A741" s="8" t="s">
        <v>1219</v>
      </c>
      <c r="B741" s="8" t="s">
        <v>463</v>
      </c>
      <c r="D741" s="121" t="str">
        <f>HYPERLINK("http://www.buffalo.va.gov/services/SPINAL_CORD_INJURY_AND_DISORDERS.ASP")</f>
        <v>http://www.buffalo.va.gov/services/SPINAL_CORD_INJURY_AND_DISORDERS.ASP</v>
      </c>
      <c r="E741" s="8" t="s">
        <v>392</v>
      </c>
    </row>
    <row r="742" ht="14.25" hidden="1" customHeight="1">
      <c r="A742" s="8" t="s">
        <v>1219</v>
      </c>
      <c r="B742" s="8" t="s">
        <v>466</v>
      </c>
      <c r="D742" s="121" t="str">
        <f>HYPERLINK("http://www.buffalo.va.gov/services/SUBSTANCE_ABUSE_SERVICES.ASP")</f>
        <v>http://www.buffalo.va.gov/services/SUBSTANCE_ABUSE_SERVICES.ASP</v>
      </c>
      <c r="E742" s="8" t="s">
        <v>392</v>
      </c>
    </row>
    <row r="743" ht="14.25" hidden="1" customHeight="1">
      <c r="A743" s="8" t="s">
        <v>1219</v>
      </c>
      <c r="B743" s="8" t="s">
        <v>370</v>
      </c>
      <c r="D743" s="121" t="str">
        <f>HYPERLINK("http://www.buffalo.va.gov/services/TELEHEALTH.ASP")</f>
        <v>http://www.buffalo.va.gov/services/TELEHEALTH.ASP</v>
      </c>
      <c r="E743" s="8" t="s">
        <v>392</v>
      </c>
    </row>
    <row r="744" ht="14.25" hidden="1" customHeight="1">
      <c r="A744" s="8" t="s">
        <v>1219</v>
      </c>
      <c r="B744" s="8" t="s">
        <v>1225</v>
      </c>
      <c r="D744" s="121" t="str">
        <f>HYPERLINK("http://www.buffalo.va.gov/services/TRANSPLANT_SERVICE.ASP")</f>
        <v>http://www.buffalo.va.gov/services/TRANSPLANT_SERVICE.ASP</v>
      </c>
      <c r="E744" s="8" t="s">
        <v>392</v>
      </c>
    </row>
    <row r="745" ht="14.25" hidden="1" customHeight="1">
      <c r="A745" s="8" t="s">
        <v>1219</v>
      </c>
      <c r="B745" s="8" t="s">
        <v>469</v>
      </c>
      <c r="D745" s="121" t="str">
        <f>HYPERLINK("http://www.buffalo.va.gov/services/UROLOGY.ASP")</f>
        <v>http://www.buffalo.va.gov/services/UROLOGY.ASP</v>
      </c>
      <c r="E745" s="8" t="s">
        <v>392</v>
      </c>
    </row>
    <row r="746" ht="14.25" hidden="1" customHeight="1">
      <c r="A746" s="8" t="s">
        <v>1219</v>
      </c>
      <c r="B746" s="8" t="s">
        <v>470</v>
      </c>
      <c r="D746" s="121" t="str">
        <f>HYPERLINK("http://www.buffalo.va.gov/services/VA_NURSE_HELPLINE.ASP")</f>
        <v>http://www.buffalo.va.gov/services/VA_NURSE_HELPLINE.ASP</v>
      </c>
      <c r="E746" s="8" t="s">
        <v>392</v>
      </c>
    </row>
    <row r="747" ht="14.25" hidden="1" customHeight="1">
      <c r="A747" s="8" t="s">
        <v>1219</v>
      </c>
      <c r="B747" s="8" t="s">
        <v>471</v>
      </c>
      <c r="D747" s="121" t="str">
        <f>HYPERLINK("http://www.buffalo.va.gov/services/VISION_REHABILITATION_SERVICES.ASP")</f>
        <v>http://www.buffalo.va.gov/services/VISION_REHABILITATION_SERVICES.ASP</v>
      </c>
      <c r="E747" s="8" t="s">
        <v>392</v>
      </c>
    </row>
    <row r="748" ht="14.25" customHeight="1">
      <c r="A748" s="116" t="s">
        <v>1226</v>
      </c>
      <c r="B748" s="8" t="s">
        <v>415</v>
      </c>
      <c r="D748" s="121" t="str">
        <f>HYPERLINK("http://www.butler.va.gov/services/ACUPUNCTURE.ASP")</f>
        <v>http://www.butler.va.gov/services/ACUPUNCTURE.ASP</v>
      </c>
      <c r="E748" s="8" t="s">
        <v>392</v>
      </c>
    </row>
    <row r="749" ht="14.25" customHeight="1">
      <c r="A749" s="116" t="s">
        <v>1226</v>
      </c>
      <c r="B749" s="8" t="s">
        <v>1227</v>
      </c>
      <c r="D749" s="121" t="str">
        <f>HYPERLINK("http://www.butler.va.gov/services/ADULT_DAY_HEALTH.ASP")</f>
        <v>http://www.butler.va.gov/services/ADULT_DAY_HEALTH.ASP</v>
      </c>
      <c r="E749" s="8" t="s">
        <v>392</v>
      </c>
    </row>
    <row r="750" ht="14.25" customHeight="1">
      <c r="A750" s="116" t="s">
        <v>1226</v>
      </c>
      <c r="B750" s="8" t="s">
        <v>446</v>
      </c>
      <c r="D750" s="121" t="str">
        <f>HYPERLINK("http://www.butler.va.gov/services/BEHAVIORAL_HEALTH.ASP")</f>
        <v>http://www.butler.va.gov/services/BEHAVIORAL_HEALTH.ASP</v>
      </c>
      <c r="E750" s="8" t="s">
        <v>595</v>
      </c>
    </row>
    <row r="751" ht="14.25" customHeight="1">
      <c r="A751" s="116" t="s">
        <v>1226</v>
      </c>
      <c r="B751" s="8" t="s">
        <v>300</v>
      </c>
      <c r="D751" s="121" t="str">
        <f>HYPERLINK("http://www.butler.va.gov/services/CAREGIVER_PROGRAM.ASP")</f>
        <v>http://www.butler.va.gov/services/CAREGIVER_PROGRAM.ASP</v>
      </c>
      <c r="E751" s="8" t="s">
        <v>392</v>
      </c>
    </row>
    <row r="752" ht="14.25" customHeight="1">
      <c r="A752" s="116" t="s">
        <v>1226</v>
      </c>
      <c r="B752" s="8" t="s">
        <v>468</v>
      </c>
      <c r="D752" s="121" t="str">
        <f>HYPERLINK("http://www.butler.va.gov/services/PASTORAL_CARE.ASP")</f>
        <v>http://www.butler.va.gov/services/PASTORAL_CARE.ASP</v>
      </c>
      <c r="E752" s="8" t="s">
        <v>595</v>
      </c>
    </row>
    <row r="753" ht="14.25" customHeight="1">
      <c r="A753" s="116" t="s">
        <v>1226</v>
      </c>
      <c r="B753" s="8" t="s">
        <v>482</v>
      </c>
      <c r="D753" s="121" t="str">
        <f>HYPERLINK("http://www.butler.va.gov/services/COMMUNITY_LIVING_CENTER.ASP")</f>
        <v>http://www.butler.va.gov/services/COMMUNITY_LIVING_CENTER.ASP</v>
      </c>
      <c r="E753" s="8" t="s">
        <v>392</v>
      </c>
    </row>
    <row r="754" ht="14.25" customHeight="1">
      <c r="A754" s="116" t="s">
        <v>1226</v>
      </c>
      <c r="B754" s="8" t="s">
        <v>495</v>
      </c>
      <c r="D754" s="121" t="str">
        <f>HYPERLINK("http://www.butler.va.gov/services/COMPLIANCE_AND_BUSINESS_INTEGRITY.ASP")</f>
        <v>http://www.butler.va.gov/services/COMPLIANCE_AND_BUSINESS_INTEGRITY.ASP</v>
      </c>
      <c r="E754" s="8" t="s">
        <v>392</v>
      </c>
    </row>
    <row r="755" ht="14.25" customHeight="1">
      <c r="A755" s="116" t="s">
        <v>1226</v>
      </c>
      <c r="B755" s="8" t="s">
        <v>304</v>
      </c>
      <c r="D755" s="121" t="str">
        <f>HYPERLINK("http://www.butler.va.gov/services/DENTAL.ASP")</f>
        <v>http://www.butler.va.gov/services/DENTAL.ASP</v>
      </c>
      <c r="E755" s="8" t="s">
        <v>392</v>
      </c>
    </row>
    <row r="756" ht="14.25" customHeight="1">
      <c r="A756" s="116" t="s">
        <v>1226</v>
      </c>
      <c r="B756" s="8" t="s">
        <v>1228</v>
      </c>
      <c r="D756" s="121" t="str">
        <f>HYPERLINK("http://www.butler.va.gov/services/DOMICILIARY_RESIDENTIAL_REHABILITATION_TREATMENT.ASP")</f>
        <v>http://www.butler.va.gov/services/DOMICILIARY_RESIDENTIAL_REHABILITATION_TREATMENT.ASP</v>
      </c>
      <c r="E756" s="8" t="s">
        <v>392</v>
      </c>
    </row>
    <row r="757" ht="14.25" customHeight="1">
      <c r="A757" s="116" t="s">
        <v>1226</v>
      </c>
      <c r="B757" s="8" t="s">
        <v>519</v>
      </c>
      <c r="D757" s="121" t="str">
        <f>HYPERLINK("http://www.butler.va.gov/services/FORMER_PRISONER_OF_WAR_FPOW_PROGRAM.ASP")</f>
        <v>http://www.butler.va.gov/services/FORMER_PRISONER_OF_WAR_FPOW_PROGRAM.ASP</v>
      </c>
      <c r="E757" s="8" t="s">
        <v>392</v>
      </c>
    </row>
    <row r="758" ht="14.25" customHeight="1">
      <c r="A758" s="116" t="s">
        <v>1226</v>
      </c>
      <c r="B758" s="8" t="s">
        <v>1229</v>
      </c>
      <c r="D758" s="121" t="str">
        <f>HYPERLINK("http://www.butler.va.gov/services/HEALTH_AND_WELLNESS.ASP")</f>
        <v>http://www.butler.va.gov/services/HEALTH_AND_WELLNESS.ASP</v>
      </c>
      <c r="E758" s="8" t="s">
        <v>392</v>
      </c>
    </row>
    <row r="759" ht="14.25" customHeight="1">
      <c r="A759" s="116" t="s">
        <v>1226</v>
      </c>
      <c r="B759" s="8" t="s">
        <v>312</v>
      </c>
      <c r="D759" s="121" t="str">
        <f>HYPERLINK("http://www.butler.va.gov/services/HOMELESS_VETERANS.ASP")</f>
        <v>http://www.butler.va.gov/services/HOMELESS_VETERANS.ASP</v>
      </c>
      <c r="E759" s="8" t="s">
        <v>392</v>
      </c>
    </row>
    <row r="760" ht="14.25" customHeight="1">
      <c r="A760" s="116" t="s">
        <v>1226</v>
      </c>
      <c r="B760" s="8" t="s">
        <v>1230</v>
      </c>
      <c r="D760" s="121" t="str">
        <f>HYPERLINK("http://www.butler.va.gov/services/HOSPICE_CARE.ASP")</f>
        <v>http://www.butler.va.gov/services/HOSPICE_CARE.ASP</v>
      </c>
      <c r="E760" s="8" t="s">
        <v>392</v>
      </c>
    </row>
    <row r="761" ht="14.25" customHeight="1">
      <c r="A761" s="116" t="s">
        <v>1226</v>
      </c>
      <c r="B761" s="8" t="s">
        <v>315</v>
      </c>
      <c r="D761" s="121" t="str">
        <f>HYPERLINK("http://www.butler.va.gov/services/LAB_SERVICES.ASP")</f>
        <v>http://www.butler.va.gov/services/LAB_SERVICES.ASP</v>
      </c>
      <c r="E761" s="8" t="s">
        <v>392</v>
      </c>
    </row>
    <row r="762" ht="14.25" customHeight="1">
      <c r="A762" s="116" t="s">
        <v>1226</v>
      </c>
      <c r="B762" s="8" t="s">
        <v>323</v>
      </c>
      <c r="D762" s="121" t="str">
        <f>HYPERLINK("http://www.butler.va.gov/services/BEHAVIORAL_HEALTH.ASP")</f>
        <v>http://www.butler.va.gov/services/BEHAVIORAL_HEALTH.ASP</v>
      </c>
      <c r="E762" s="8" t="s">
        <v>392</v>
      </c>
    </row>
    <row r="763" ht="14.25" customHeight="1">
      <c r="A763" s="116" t="s">
        <v>1226</v>
      </c>
      <c r="B763" s="8" t="s">
        <v>1231</v>
      </c>
      <c r="D763" s="121" t="str">
        <f>HYPERLINK("http://www.butler.va.gov/services/MILITARY_SEXUAL_TRAUMA_MST_TREATMENT.ASP")</f>
        <v>http://www.butler.va.gov/services/MILITARY_SEXUAL_TRAUMA_MST_TREATMENT.ASP</v>
      </c>
      <c r="E763" s="8" t="s">
        <v>392</v>
      </c>
    </row>
    <row r="764" ht="14.25" customHeight="1">
      <c r="A764" s="116" t="s">
        <v>1226</v>
      </c>
      <c r="B764" s="8" t="s">
        <v>326</v>
      </c>
      <c r="D764" s="121" t="str">
        <f>HYPERLINK("http://www.butler.va.gov/services/MINORITY_VETERANS_PROGRAM.ASP")</f>
        <v>http://www.butler.va.gov/services/MINORITY_VETERANS_PROGRAM.ASP</v>
      </c>
      <c r="E764" s="8" t="s">
        <v>392</v>
      </c>
    </row>
    <row r="765" ht="14.25" customHeight="1">
      <c r="A765" s="116" t="s">
        <v>1226</v>
      </c>
      <c r="B765" s="8" t="s">
        <v>671</v>
      </c>
      <c r="D765" s="121" t="str">
        <f>HYPERLINK("http://www.butler.va.gov/services/NATIONAL_CRISIS_LINE.ASP")</f>
        <v>http://www.butler.va.gov/services/NATIONAL_CRISIS_LINE.ASP</v>
      </c>
      <c r="E765" s="8" t="s">
        <v>392</v>
      </c>
    </row>
    <row r="766" ht="14.25" customHeight="1">
      <c r="A766" s="116" t="s">
        <v>1226</v>
      </c>
      <c r="B766" s="8" t="s">
        <v>651</v>
      </c>
      <c r="D766" s="121" t="str">
        <f>HYPERLINK("http://www.butler.va.gov/services/PALLIATIVE_CARE.ASP")</f>
        <v>http://www.butler.va.gov/services/PALLIATIVE_CARE.ASP</v>
      </c>
      <c r="E766" s="8" t="s">
        <v>392</v>
      </c>
    </row>
    <row r="767" ht="14.25" customHeight="1">
      <c r="A767" s="116" t="s">
        <v>1226</v>
      </c>
      <c r="B767" s="8" t="s">
        <v>542</v>
      </c>
      <c r="D767" s="121" t="str">
        <f>HYPERLINK("http://www.butler.va.gov/services/PASTORAL_CARE.ASP")</f>
        <v>http://www.butler.va.gov/services/PASTORAL_CARE.ASP</v>
      </c>
      <c r="E767" s="8" t="s">
        <v>392</v>
      </c>
    </row>
    <row r="768" ht="14.25" customHeight="1">
      <c r="A768" s="116" t="s">
        <v>1226</v>
      </c>
      <c r="B768" s="8" t="s">
        <v>343</v>
      </c>
      <c r="D768" s="121" t="str">
        <f>HYPERLINK("http://www.butler.va.gov/services/PHARMACY.ASP")</f>
        <v>http://www.butler.va.gov/services/PHARMACY.ASP</v>
      </c>
      <c r="E768" s="8" t="s">
        <v>392</v>
      </c>
    </row>
    <row r="769" ht="14.25" customHeight="1">
      <c r="A769" s="116" t="s">
        <v>1226</v>
      </c>
      <c r="B769" s="8" t="s">
        <v>345</v>
      </c>
      <c r="D769" s="121" t="str">
        <f>HYPERLINK("http://www.butler.va.gov/services/PHYSICAL_MEDICINE_AND_REHABILITATION_PM_R.ASP")</f>
        <v>http://www.butler.va.gov/services/PHYSICAL_MEDICINE_AND_REHABILITATION_PM_R.ASP</v>
      </c>
      <c r="E769" s="8" t="s">
        <v>392</v>
      </c>
    </row>
    <row r="770" ht="14.25" customHeight="1">
      <c r="A770" s="116" t="s">
        <v>1226</v>
      </c>
      <c r="B770" s="8" t="s">
        <v>348</v>
      </c>
      <c r="D770" s="121" t="str">
        <f>HYPERLINK("http://www.butler.va.gov/services/PRIMARY_CARE.ASP")</f>
        <v>http://www.butler.va.gov/services/PRIMARY_CARE.ASP</v>
      </c>
      <c r="E770" s="8" t="s">
        <v>392</v>
      </c>
    </row>
    <row r="771" ht="14.25" customHeight="1">
      <c r="A771" s="116" t="s">
        <v>1226</v>
      </c>
      <c r="B771" s="8" t="s">
        <v>353</v>
      </c>
      <c r="D771" s="121" t="str">
        <f>HYPERLINK("http://www.butler.va.gov/services/PROSTHETICS.ASP")</f>
        <v>http://www.butler.va.gov/services/PROSTHETICS.ASP</v>
      </c>
      <c r="E771" s="8" t="s">
        <v>392</v>
      </c>
    </row>
    <row r="772" ht="14.25" customHeight="1">
      <c r="A772" s="116" t="s">
        <v>1226</v>
      </c>
      <c r="B772" s="8" t="s">
        <v>355</v>
      </c>
      <c r="D772" s="121" t="str">
        <f>HYPERLINK("http://www.butler.va.gov/services/RETURNING_SERVICE_MEMBERS.ASP")</f>
        <v>http://www.butler.va.gov/services/RETURNING_SERVICE_MEMBERS.ASP</v>
      </c>
      <c r="E772" s="8" t="s">
        <v>392</v>
      </c>
    </row>
    <row r="773" ht="14.25" customHeight="1">
      <c r="A773" s="116" t="s">
        <v>1226</v>
      </c>
      <c r="B773" s="8" t="s">
        <v>363</v>
      </c>
      <c r="D773" s="121" t="str">
        <f>HYPERLINK("http://www.butler.va.gov/services/SPECIALTY_CARE.ASP")</f>
        <v>http://www.butler.va.gov/services/SPECIALTY_CARE.ASP</v>
      </c>
      <c r="E773" s="8" t="s">
        <v>392</v>
      </c>
    </row>
    <row r="774" ht="14.25" customHeight="1">
      <c r="A774" s="116" t="s">
        <v>1226</v>
      </c>
      <c r="B774" s="8" t="s">
        <v>1232</v>
      </c>
      <c r="D774" s="121" t="str">
        <f>HYPERLINK("http://www.butler.va.gov/services/SUICIDE-PREVENTION.ASP")</f>
        <v>http://www.butler.va.gov/services/SUICIDE-PREVENTION.ASP</v>
      </c>
      <c r="E774" s="8" t="s">
        <v>392</v>
      </c>
    </row>
    <row r="775" ht="14.25" customHeight="1">
      <c r="A775" s="116" t="s">
        <v>1226</v>
      </c>
      <c r="B775" s="8" t="s">
        <v>370</v>
      </c>
      <c r="D775" s="121" t="str">
        <f>HYPERLINK("http://www.butler.va.gov/services/TELEHEALTH.ASP")</f>
        <v>http://www.butler.va.gov/services/TELEHEALTH.ASP</v>
      </c>
      <c r="E775" s="8" t="s">
        <v>392</v>
      </c>
    </row>
    <row r="776" ht="14.25" customHeight="1">
      <c r="A776" s="116" t="s">
        <v>1226</v>
      </c>
      <c r="B776" s="8" t="s">
        <v>318</v>
      </c>
      <c r="D776" s="121" t="str">
        <f>HYPERLINK("http://www.butler.va.gov/services/VISUAL_IMPAIRMENT_SERVICES.ASP")</f>
        <v>http://www.butler.va.gov/services/VISUAL_IMPAIRMENT_SERVICES.ASP</v>
      </c>
      <c r="E776" s="8" t="s">
        <v>392</v>
      </c>
    </row>
    <row r="777" ht="14.25" customHeight="1">
      <c r="A777" s="116" t="s">
        <v>1226</v>
      </c>
      <c r="B777" s="8" t="s">
        <v>375</v>
      </c>
      <c r="D777" s="121" t="str">
        <f>HYPERLINK("http://www.butler.va.gov/services/VOCATIONAL_REHABILITATION.ASP")</f>
        <v>http://www.butler.va.gov/services/VOCATIONAL_REHABILITATION.ASP</v>
      </c>
      <c r="E777" s="8" t="s">
        <v>392</v>
      </c>
    </row>
    <row r="778" ht="14.25" customHeight="1">
      <c r="A778" s="116" t="s">
        <v>1226</v>
      </c>
      <c r="B778" s="8" t="s">
        <v>379</v>
      </c>
      <c r="D778" s="121" t="str">
        <f>HYPERLINK("http://www.butler.va.gov/services/WOMEN_VETERANS.ASP")</f>
        <v>http://www.butler.va.gov/services/WOMEN_VETERANS.ASP</v>
      </c>
      <c r="E778" s="8" t="s">
        <v>392</v>
      </c>
    </row>
    <row r="779" ht="14.25" hidden="1" customHeight="1">
      <c r="A779" s="8" t="s">
        <v>1233</v>
      </c>
      <c r="B779" s="8" t="s">
        <v>415</v>
      </c>
      <c r="D779" s="121" t="str">
        <f>HYPERLINK("http://www.canandaigua.va.gov/services/ACUPUNCTURE.ASP")</f>
        <v>http://www.canandaigua.va.gov/services/ACUPUNCTURE.ASP</v>
      </c>
      <c r="E779" s="8" t="s">
        <v>392</v>
      </c>
    </row>
    <row r="780" ht="14.25" hidden="1" customHeight="1">
      <c r="A780" s="8" t="s">
        <v>1233</v>
      </c>
      <c r="B780" s="8" t="s">
        <v>407</v>
      </c>
      <c r="D780" s="121" t="str">
        <f>HYPERLINK("http://www.canandaigua.va.gov/services/ADULT_DAY_HEALTH_CARE.ASP")</f>
        <v>http://www.canandaigua.va.gov/services/ADULT_DAY_HEALTH_CARE.ASP</v>
      </c>
      <c r="E780" s="8" t="s">
        <v>392</v>
      </c>
    </row>
    <row r="781" ht="14.25" hidden="1" customHeight="1">
      <c r="A781" s="8" t="s">
        <v>1233</v>
      </c>
      <c r="B781" s="8" t="s">
        <v>408</v>
      </c>
      <c r="D781" s="121" t="str">
        <f>HYPERLINK("http://www.canandaigua.va.gov/services/AGENT_ORANGE_REGISTRY_EXAMS.ASP")</f>
        <v>http://www.canandaigua.va.gov/services/AGENT_ORANGE_REGISTRY_EXAMS.ASP</v>
      </c>
      <c r="E781" s="8" t="s">
        <v>392</v>
      </c>
    </row>
    <row r="782" ht="14.25" hidden="1" customHeight="1">
      <c r="A782" s="8" t="s">
        <v>1233</v>
      </c>
      <c r="B782" s="8" t="s">
        <v>1234</v>
      </c>
      <c r="D782" s="121" t="str">
        <f>HYPERLINK("http://www.canandaigua.va.gov/services/ALZHEIMER_S_DISEASE.ASP")</f>
        <v>http://www.canandaigua.va.gov/services/ALZHEIMER_S_DISEASE.ASP</v>
      </c>
      <c r="E782" s="8" t="s">
        <v>392</v>
      </c>
    </row>
    <row r="783" ht="14.25" hidden="1" customHeight="1">
      <c r="A783" s="8" t="s">
        <v>1233</v>
      </c>
      <c r="B783" s="8" t="s">
        <v>411</v>
      </c>
      <c r="D783" s="121" t="str">
        <f>HYPERLINK("http://www.canandaigua.va.gov/services/AUDIOLOGY_SPEECH_PATHOLOGY.ASP")</f>
        <v>http://www.canandaigua.va.gov/services/AUDIOLOGY_SPEECH_PATHOLOGY.ASP</v>
      </c>
      <c r="E783" s="8" t="s">
        <v>392</v>
      </c>
    </row>
    <row r="784" ht="14.25" hidden="1" customHeight="1">
      <c r="A784" s="8" t="s">
        <v>1233</v>
      </c>
      <c r="B784" s="8" t="s">
        <v>417</v>
      </c>
      <c r="D784" s="121" t="str">
        <f>HYPERLINK("http://www.canandaigua.va.gov/services/CHAPLAIN.ASP")</f>
        <v>http://www.canandaigua.va.gov/services/CHAPLAIN.ASP</v>
      </c>
      <c r="E784" s="8" t="s">
        <v>392</v>
      </c>
    </row>
    <row r="785" ht="14.25" hidden="1" customHeight="1">
      <c r="A785" s="8" t="s">
        <v>1233</v>
      </c>
      <c r="B785" s="8" t="s">
        <v>418</v>
      </c>
      <c r="D785" s="121" t="str">
        <f>HYPERLINK("http://www.canandaigua.va.gov/services/CHIROPRACTIC_CARE.ASP")</f>
        <v>http://www.canandaigua.va.gov/services/CHIROPRACTIC_CARE.ASP</v>
      </c>
      <c r="E785" s="8" t="s">
        <v>392</v>
      </c>
    </row>
    <row r="786" ht="14.25" hidden="1" customHeight="1">
      <c r="A786" s="8" t="s">
        <v>1233</v>
      </c>
      <c r="B786" s="8" t="s">
        <v>1235</v>
      </c>
      <c r="D786" s="121" t="str">
        <f>HYPERLINK("http://www.canandaigua.va.gov/services/COMMUNITY_LIVING_CENTER_AND_NURSING_HOME.ASP")</f>
        <v>http://www.canandaigua.va.gov/services/COMMUNITY_LIVING_CENTER_AND_NURSING_HOME.ASP</v>
      </c>
      <c r="E786" s="8" t="s">
        <v>392</v>
      </c>
    </row>
    <row r="787" ht="14.25" hidden="1" customHeight="1">
      <c r="A787" s="8" t="s">
        <v>1233</v>
      </c>
      <c r="B787" s="8" t="s">
        <v>422</v>
      </c>
      <c r="D787" s="121" t="str">
        <f>HYPERLINK("http://www.canandaigua.va.gov/services/COMPENSATION_AND_PENSION_EXAMS.ASP")</f>
        <v>http://www.canandaigua.va.gov/services/COMPENSATION_AND_PENSION_EXAMS.ASP</v>
      </c>
      <c r="E787" s="8" t="s">
        <v>392</v>
      </c>
    </row>
    <row r="788" ht="14.25" hidden="1" customHeight="1">
      <c r="A788" s="8" t="s">
        <v>1233</v>
      </c>
      <c r="B788" s="8" t="s">
        <v>1221</v>
      </c>
      <c r="D788" s="121" t="str">
        <f>HYPERLINK("http://www.canandaigua.va.gov/services/DENTISTRY.ASP")</f>
        <v>http://www.canandaigua.va.gov/services/DENTISTRY.ASP</v>
      </c>
      <c r="E788" s="8" t="s">
        <v>392</v>
      </c>
    </row>
    <row r="789" ht="14.25" hidden="1" customHeight="1">
      <c r="A789" s="8" t="s">
        <v>1233</v>
      </c>
      <c r="B789" s="8" t="s">
        <v>423</v>
      </c>
      <c r="D789" s="121" t="str">
        <f>HYPERLINK("http://www.canandaigua.va.gov/services/DIABETES.ASP")</f>
        <v>http://www.canandaigua.va.gov/services/DIABETES.ASP</v>
      </c>
      <c r="E789" s="8" t="s">
        <v>392</v>
      </c>
    </row>
    <row r="790" ht="14.25" hidden="1" customHeight="1">
      <c r="A790" s="8" t="s">
        <v>1233</v>
      </c>
      <c r="B790" s="8" t="s">
        <v>426</v>
      </c>
      <c r="D790" s="121" t="str">
        <f>HYPERLINK("http://www.canandaigua.va.gov/services/EYE_AND_VISION_CARE.ASP")</f>
        <v>http://www.canandaigua.va.gov/services/EYE_AND_VISION_CARE.ASP</v>
      </c>
      <c r="E790" s="8" t="s">
        <v>392</v>
      </c>
    </row>
    <row r="791" ht="14.25" hidden="1" customHeight="1">
      <c r="A791" s="8" t="s">
        <v>1233</v>
      </c>
      <c r="B791" s="8" t="s">
        <v>428</v>
      </c>
      <c r="D791" s="121" t="str">
        <f>HYPERLINK("http://www.canandaigua.va.gov/services/FEE_BASIS_FEE_SERVICE.ASP")</f>
        <v>http://www.canandaigua.va.gov/services/FEE_BASIS_FEE_SERVICE.ASP</v>
      </c>
      <c r="E791" s="8" t="s">
        <v>392</v>
      </c>
    </row>
    <row r="792" ht="14.25" hidden="1" customHeight="1">
      <c r="A792" s="8" t="s">
        <v>1233</v>
      </c>
      <c r="B792" s="8" t="s">
        <v>486</v>
      </c>
      <c r="D792" s="121" t="str">
        <f>HYPERLINK("http://www.canandaigua.va.gov/services/FORMER_PRISONER_OF_WAR_ADVOCATE.ASP")</f>
        <v>http://www.canandaigua.va.gov/services/FORMER_PRISONER_OF_WAR_ADVOCATE.ASP</v>
      </c>
      <c r="E792" s="8" t="s">
        <v>392</v>
      </c>
    </row>
    <row r="793" ht="14.25" hidden="1" customHeight="1">
      <c r="A793" s="8" t="s">
        <v>1233</v>
      </c>
      <c r="B793" s="8" t="s">
        <v>1236</v>
      </c>
      <c r="D793" s="121" t="str">
        <f>HYPERLINK("http://www.canandaigua.va.gov/services/HEALTH_FITNESS_CENTER_HFC.ASP")</f>
        <v>http://www.canandaigua.va.gov/services/HEALTH_FITNESS_CENTER_HFC.ASP</v>
      </c>
      <c r="E793" s="8" t="s">
        <v>392</v>
      </c>
    </row>
    <row r="794" ht="14.25" hidden="1" customHeight="1">
      <c r="A794" s="8" t="s">
        <v>1233</v>
      </c>
      <c r="B794" s="8" t="s">
        <v>431</v>
      </c>
      <c r="D794" s="121" t="str">
        <f>HYPERLINK("http://www.canandaigua.va.gov/services/HOME_BASED_PRIMARY_CARE.ASP")</f>
        <v>http://www.canandaigua.va.gov/services/HOME_BASED_PRIMARY_CARE.ASP</v>
      </c>
      <c r="E794" s="8" t="s">
        <v>392</v>
      </c>
    </row>
    <row r="795" ht="14.25" hidden="1" customHeight="1">
      <c r="A795" s="8" t="s">
        <v>1233</v>
      </c>
      <c r="B795" s="8" t="s">
        <v>395</v>
      </c>
      <c r="D795" s="121" t="str">
        <f>HYPERLINK("http://www.canandaigua.va.gov/services/HOME_TELEHEALTH.ASP")</f>
        <v>http://www.canandaigua.va.gov/services/HOME_TELEHEALTH.ASP</v>
      </c>
      <c r="E795" s="8" t="s">
        <v>392</v>
      </c>
    </row>
    <row r="796" ht="14.25" hidden="1" customHeight="1">
      <c r="A796" s="8" t="s">
        <v>1233</v>
      </c>
      <c r="B796" s="8" t="s">
        <v>436</v>
      </c>
      <c r="D796" s="121" t="str">
        <f>HYPERLINK("http://www.canandaigua.va.gov/services/HOMEMAKER_AND_HOME_HEALTH_AIDE_PROGRAM.ASP")</f>
        <v>http://www.canandaigua.va.gov/services/HOMEMAKER_AND_HOME_HEALTH_AIDE_PROGRAM.ASP</v>
      </c>
      <c r="E796" s="8" t="s">
        <v>392</v>
      </c>
    </row>
    <row r="797" ht="14.25" hidden="1" customHeight="1">
      <c r="A797" s="8" t="s">
        <v>1233</v>
      </c>
      <c r="B797" s="8" t="s">
        <v>437</v>
      </c>
      <c r="D797" s="121" t="str">
        <f>HYPERLINK("http://www.canandaigua.va.gov/services/HOSPICE_AND_PALLIATIVE_CARE.ASP")</f>
        <v>http://www.canandaigua.va.gov/services/HOSPICE_AND_PALLIATIVE_CARE.ASP</v>
      </c>
      <c r="E797" s="8" t="s">
        <v>392</v>
      </c>
    </row>
    <row r="798" ht="14.25" hidden="1" customHeight="1">
      <c r="A798" s="8" t="s">
        <v>1233</v>
      </c>
      <c r="B798" s="8" t="s">
        <v>438</v>
      </c>
      <c r="D798" s="121" t="str">
        <f>HYPERLINK("http://www.canandaigua.va.gov/services/LGBT_PATIENT_CENTERED_CARE.ASP")</f>
        <v>http://www.canandaigua.va.gov/services/LGBT_PATIENT_CENTERED_CARE.ASP</v>
      </c>
      <c r="E798" s="8" t="s">
        <v>392</v>
      </c>
    </row>
    <row r="799" ht="14.25" hidden="1" customHeight="1">
      <c r="A799" s="8" t="s">
        <v>1233</v>
      </c>
      <c r="B799" s="8" t="s">
        <v>440</v>
      </c>
      <c r="D799" s="121" t="str">
        <f>HYPERLINK("http://www.canandaigua.va.gov/services/LAB_AND_PATHOLOGY_SERVICES.ASP")</f>
        <v>http://www.canandaigua.va.gov/services/LAB_AND_PATHOLOGY_SERVICES.ASP</v>
      </c>
      <c r="E799" s="8" t="s">
        <v>392</v>
      </c>
    </row>
    <row r="800" ht="14.25" hidden="1" customHeight="1">
      <c r="A800" s="8" t="s">
        <v>1233</v>
      </c>
      <c r="B800" s="8" t="s">
        <v>441</v>
      </c>
      <c r="D800" s="121" t="str">
        <f>HYPERLINK("http://www.canandaigua.va.gov/services/MOVE_WEIGHT_MANAGEMENT_PROGRAM.ASP")</f>
        <v>http://www.canandaigua.va.gov/services/MOVE_WEIGHT_MANAGEMENT_PROGRAM.ASP</v>
      </c>
      <c r="E800" s="8" t="s">
        <v>392</v>
      </c>
    </row>
    <row r="801" ht="14.25" hidden="1" customHeight="1">
      <c r="A801" s="8" t="s">
        <v>1233</v>
      </c>
      <c r="B801" s="8" t="s">
        <v>442</v>
      </c>
      <c r="D801" s="121" t="str">
        <f>HYPERLINK("http://www.canandaigua.va.gov/services/MAMMOGRAPHY.ASP")</f>
        <v>http://www.canandaigua.va.gov/services/MAMMOGRAPHY.ASP</v>
      </c>
      <c r="E801" s="8" t="s">
        <v>392</v>
      </c>
    </row>
    <row r="802" ht="14.25" hidden="1" customHeight="1">
      <c r="A802" s="8" t="s">
        <v>1233</v>
      </c>
      <c r="B802" s="8" t="s">
        <v>323</v>
      </c>
      <c r="D802" s="121" t="str">
        <f>HYPERLINK("http://www.canandaigua.va.gov/services/MENTAL_HEALTH.ASP")</f>
        <v>http://www.canandaigua.va.gov/services/MENTAL_HEALTH.ASP</v>
      </c>
      <c r="E802" s="8" t="s">
        <v>392</v>
      </c>
    </row>
    <row r="803" ht="14.25" hidden="1" customHeight="1">
      <c r="A803" s="8" t="s">
        <v>1233</v>
      </c>
      <c r="B803" s="8" t="s">
        <v>324</v>
      </c>
      <c r="D803" s="121" t="str">
        <f>HYPERLINK("http://www.canandaigua.va.gov/services/MILITARY_SEXUAL_TRAUMA_COUNSELING.ASP")</f>
        <v>http://www.canandaigua.va.gov/services/MILITARY_SEXUAL_TRAUMA_COUNSELING.ASP</v>
      </c>
      <c r="E803" s="8" t="s">
        <v>392</v>
      </c>
    </row>
    <row r="804" ht="14.25" hidden="1" customHeight="1">
      <c r="A804" s="8" t="s">
        <v>1233</v>
      </c>
      <c r="B804" s="8" t="s">
        <v>332</v>
      </c>
      <c r="D804" s="121" t="str">
        <f>HYPERLINK("http://www.canandaigua.va.gov/services/NUTRITION_AND_FOOD_SERVICES.ASP")</f>
        <v>http://www.canandaigua.va.gov/services/NUTRITION_AND_FOOD_SERVICES.ASP</v>
      </c>
      <c r="E804" s="8" t="s">
        <v>392</v>
      </c>
    </row>
    <row r="805" ht="14.25" hidden="1" customHeight="1">
      <c r="A805" s="8" t="s">
        <v>1233</v>
      </c>
      <c r="B805" s="8" t="s">
        <v>850</v>
      </c>
      <c r="D805" s="121" t="str">
        <f>HYPERLINK("http://www.canandaigua.va.gov/services/OEF_OIF_OND_VETERANS_POINT_OF_CONTACT.ASP")</f>
        <v>http://www.canandaigua.va.gov/services/OEF_OIF_OND_VETERANS_POINT_OF_CONTACT.ASP</v>
      </c>
      <c r="E805" s="8" t="s">
        <v>392</v>
      </c>
    </row>
    <row r="806" ht="14.25" hidden="1" customHeight="1">
      <c r="A806" s="8" t="s">
        <v>1233</v>
      </c>
      <c r="B806" s="8" t="s">
        <v>853</v>
      </c>
      <c r="D806" s="121" t="str">
        <f>HYPERLINK("http://www.canandaigua.va.gov/services/OCCUPATIONAL_THERAPY_AND_PHYSICAL_MEDICINE.ASP")</f>
        <v>http://www.canandaigua.va.gov/services/OCCUPATIONAL_THERAPY_AND_PHYSICAL_MEDICINE.ASP</v>
      </c>
      <c r="E806" s="8" t="s">
        <v>392</v>
      </c>
    </row>
    <row r="807" ht="14.25" hidden="1" customHeight="1">
      <c r="A807" s="8" t="s">
        <v>1233</v>
      </c>
      <c r="B807" s="8" t="s">
        <v>343</v>
      </c>
      <c r="D807" s="121" t="str">
        <f>HYPERLINK("http://www.canandaigua.va.gov/services/PHARMACY.ASP")</f>
        <v>http://www.canandaigua.va.gov/services/PHARMACY.ASP</v>
      </c>
      <c r="E807" s="8" t="s">
        <v>392</v>
      </c>
    </row>
    <row r="808" ht="14.25" hidden="1" customHeight="1">
      <c r="A808" s="8" t="s">
        <v>1233</v>
      </c>
      <c r="B808" s="8" t="s">
        <v>450</v>
      </c>
      <c r="D808" s="121" t="str">
        <f>HYPERLINK("http://www.canandaigua.va.gov/services/PODIATRY.ASP")</f>
        <v>http://www.canandaigua.va.gov/services/PODIATRY.ASP</v>
      </c>
      <c r="E808" s="8" t="s">
        <v>392</v>
      </c>
    </row>
    <row r="809" ht="14.25" hidden="1" customHeight="1">
      <c r="A809" s="8" t="s">
        <v>1233</v>
      </c>
      <c r="B809" s="8" t="s">
        <v>451</v>
      </c>
      <c r="D809" s="121" t="str">
        <f>HYPERLINK("http://www.canandaigua.va.gov/services/POLYTRAUMA_PROGRAM.ASP")</f>
        <v>http://www.canandaigua.va.gov/services/POLYTRAUMA_PROGRAM.ASP</v>
      </c>
      <c r="E809" s="8" t="s">
        <v>392</v>
      </c>
    </row>
    <row r="810" ht="14.25" hidden="1" customHeight="1">
      <c r="A810" s="8" t="s">
        <v>1233</v>
      </c>
      <c r="B810" s="8" t="s">
        <v>1237</v>
      </c>
      <c r="D810" s="121" t="str">
        <f>HYPERLINK("http://www.canandaigua.va.gov/services/POSTTRAUMATIC_STRESS_DISORDER_PTSD_TREATMENT.ASP")</f>
        <v>http://www.canandaigua.va.gov/services/POSTTRAUMATIC_STRESS_DISORDER_PTSD_TREATMENT.ASP</v>
      </c>
      <c r="E810" s="8" t="s">
        <v>392</v>
      </c>
    </row>
    <row r="811" ht="14.25" hidden="1" customHeight="1">
      <c r="A811" s="8" t="s">
        <v>1233</v>
      </c>
      <c r="B811" s="8" t="s">
        <v>348</v>
      </c>
      <c r="D811" s="121" t="str">
        <f>HYPERLINK("http://www.canandaigua.va.gov/services/PRIMARY_CARE.ASP")</f>
        <v>http://www.canandaigua.va.gov/services/PRIMARY_CARE.ASP</v>
      </c>
      <c r="E811" s="8" t="s">
        <v>392</v>
      </c>
    </row>
    <row r="812" ht="14.25" hidden="1" customHeight="1">
      <c r="A812" s="8" t="s">
        <v>1233</v>
      </c>
      <c r="B812" s="8" t="s">
        <v>456</v>
      </c>
      <c r="D812" s="121" t="str">
        <f>HYPERLINK("http://www.canandaigua.va.gov/services/PROSTHETICS_AND_SENSORY_AIDS.ASP")</f>
        <v>http://www.canandaigua.va.gov/services/PROSTHETICS_AND_SENSORY_AIDS.ASP</v>
      </c>
      <c r="E812" s="8" t="s">
        <v>392</v>
      </c>
    </row>
    <row r="813" ht="14.25" hidden="1" customHeight="1">
      <c r="A813" s="8" t="s">
        <v>1233</v>
      </c>
      <c r="B813" s="8" t="s">
        <v>461</v>
      </c>
      <c r="D813" s="121" t="str">
        <f>HYPERLINK("http://www.canandaigua.va.gov/services/RADIOLOGY_AND_DIAGNOSTIC_IMAGING.ASP")</f>
        <v>http://www.canandaigua.va.gov/services/RADIOLOGY_AND_DIAGNOSTIC_IMAGING.ASP</v>
      </c>
      <c r="E813" s="8" t="s">
        <v>392</v>
      </c>
    </row>
    <row r="814" ht="14.25" hidden="1" customHeight="1">
      <c r="A814" s="8" t="s">
        <v>1233</v>
      </c>
      <c r="B814" s="8" t="s">
        <v>463</v>
      </c>
      <c r="D814" s="121" t="str">
        <f>HYPERLINK("http://www.canandaigua.va.gov/services/SPINAL_CORD_INJURY_AND_DISORDERS.ASP")</f>
        <v>http://www.canandaigua.va.gov/services/SPINAL_CORD_INJURY_AND_DISORDERS.ASP</v>
      </c>
      <c r="E814" s="8" t="s">
        <v>392</v>
      </c>
    </row>
    <row r="815" ht="14.25" hidden="1" customHeight="1">
      <c r="A815" s="8" t="s">
        <v>1233</v>
      </c>
      <c r="B815" s="8" t="s">
        <v>1180</v>
      </c>
      <c r="D815" s="121" t="str">
        <f>HYPERLINK("http://www.canandaigua.va.gov/services/SUBSTANCE_ABUSE.ASP")</f>
        <v>http://www.canandaigua.va.gov/services/SUBSTANCE_ABUSE.ASP</v>
      </c>
      <c r="E815" s="8" t="s">
        <v>392</v>
      </c>
    </row>
    <row r="816" ht="14.25" hidden="1" customHeight="1">
      <c r="A816" s="8" t="s">
        <v>1233</v>
      </c>
      <c r="B816" s="8" t="s">
        <v>370</v>
      </c>
      <c r="D816" s="121" t="str">
        <f>HYPERLINK("http://www.canandaigua.va.gov/services/TELEHEALTH.ASP")</f>
        <v>http://www.canandaigua.va.gov/services/TELEHEALTH.ASP</v>
      </c>
      <c r="E816" s="8" t="s">
        <v>392</v>
      </c>
    </row>
    <row r="817" ht="14.25" hidden="1" customHeight="1">
      <c r="A817" s="8" t="s">
        <v>1233</v>
      </c>
      <c r="B817" s="8" t="s">
        <v>469</v>
      </c>
      <c r="D817" s="121" t="str">
        <f>HYPERLINK("http://www.canandaigua.va.gov/services/UROLOGY.ASP")</f>
        <v>http://www.canandaigua.va.gov/services/UROLOGY.ASP</v>
      </c>
      <c r="E817" s="8" t="s">
        <v>392</v>
      </c>
    </row>
    <row r="818" ht="14.25" hidden="1" customHeight="1">
      <c r="A818" s="8" t="s">
        <v>1233</v>
      </c>
      <c r="B818" s="8" t="s">
        <v>470</v>
      </c>
      <c r="D818" s="121" t="str">
        <f>HYPERLINK("http://www.canandaigua.va.gov/services/VA_NURSE_HELPLINE.ASP")</f>
        <v>http://www.canandaigua.va.gov/services/VA_NURSE_HELPLINE.ASP</v>
      </c>
      <c r="E818" s="8" t="s">
        <v>392</v>
      </c>
    </row>
    <row r="819" ht="14.25" hidden="1" customHeight="1">
      <c r="A819" s="8" t="s">
        <v>1233</v>
      </c>
      <c r="B819" s="8" t="s">
        <v>1238</v>
      </c>
      <c r="D819" s="121" t="str">
        <f>HYPERLINK("http://www.canandaigua.va.gov/services/VETERANS_INTEGRATION_TO_ACADEMIC_LEADERSHIP.ASP")</f>
        <v>http://www.canandaigua.va.gov/services/VETERANS_INTEGRATION_TO_ACADEMIC_LEADERSHIP.ASP</v>
      </c>
      <c r="E819" s="8" t="s">
        <v>392</v>
      </c>
    </row>
    <row r="820" ht="14.25" hidden="1" customHeight="1">
      <c r="A820" s="8" t="s">
        <v>1233</v>
      </c>
      <c r="B820" s="8" t="s">
        <v>1239</v>
      </c>
      <c r="D820" s="121" t="str">
        <f>HYPERLINK("http://www.canandaigua.va.gov/services/VISION_REHABILITATION.ASP")</f>
        <v>http://www.canandaigua.va.gov/services/VISION_REHABILITATION.ASP</v>
      </c>
      <c r="E820" s="8" t="s">
        <v>392</v>
      </c>
    </row>
    <row r="821" ht="14.25" hidden="1" customHeight="1">
      <c r="A821" s="8" t="s">
        <v>1233</v>
      </c>
      <c r="B821" s="8" t="s">
        <v>973</v>
      </c>
      <c r="D821" s="121" t="str">
        <f>HYPERLINK("http://www.canandaigua.va.gov/services/WHOLE_HEALTH.ASP")</f>
        <v>http://www.canandaigua.va.gov/services/WHOLE_HEALTH.ASP</v>
      </c>
      <c r="E821" s="8" t="s">
        <v>392</v>
      </c>
    </row>
    <row r="822" ht="14.25" hidden="1" customHeight="1">
      <c r="A822" s="8" t="s">
        <v>1240</v>
      </c>
      <c r="B822" s="8" t="s">
        <v>1241</v>
      </c>
      <c r="D822" s="121" t="str">
        <f>HYPERLINK("http://www.caribbean.va.gov/services/ACOS_FOR_EDUCATION.ASP")</f>
        <v>http://www.caribbean.va.gov/services/ACOS_FOR_EDUCATION.ASP</v>
      </c>
      <c r="E822" s="8" t="s">
        <v>392</v>
      </c>
    </row>
    <row r="823" ht="14.25" hidden="1" customHeight="1">
      <c r="A823" s="8" t="s">
        <v>1240</v>
      </c>
      <c r="B823" s="8" t="s">
        <v>624</v>
      </c>
      <c r="D823" s="121" t="str">
        <f>HYPERLINK("http://www.caribbean.va.gov/services/APPOINTMENTS.ASP")</f>
        <v>http://www.caribbean.va.gov/services/APPOINTMENTS.ASP</v>
      </c>
      <c r="E823" s="8" t="s">
        <v>392</v>
      </c>
    </row>
    <row r="824" ht="14.25" hidden="1" customHeight="1">
      <c r="A824" s="8" t="s">
        <v>1240</v>
      </c>
      <c r="B824" s="8" t="s">
        <v>1242</v>
      </c>
      <c r="D824" s="121" t="str">
        <f>HYPERLINK("http://www.caribbean.va.gov/services/BARBERSHOP.ASP")</f>
        <v>http://www.caribbean.va.gov/services/BARBERSHOP.ASP</v>
      </c>
      <c r="E824" s="8" t="s">
        <v>392</v>
      </c>
    </row>
    <row r="825" ht="14.25" hidden="1" customHeight="1">
      <c r="A825" s="8" t="s">
        <v>1240</v>
      </c>
      <c r="B825" s="8" t="s">
        <v>862</v>
      </c>
      <c r="D825" s="121" t="str">
        <f>HYPERLINK("http://www.caribbean.va.gov/services/BLIND.ASP")</f>
        <v>http://www.caribbean.va.gov/services/BLIND.ASP</v>
      </c>
      <c r="E825" s="8" t="s">
        <v>392</v>
      </c>
    </row>
    <row r="826" ht="14.25" hidden="1" customHeight="1">
      <c r="A826" s="8" t="s">
        <v>1240</v>
      </c>
      <c r="B826" s="8" t="s">
        <v>1243</v>
      </c>
      <c r="D826" s="121" t="str">
        <f>HYPERLINK("http://www.caribbean.va.gov/services/COMMUNITY_HEALTH_PROGRAM.ASP")</f>
        <v>http://www.caribbean.va.gov/services/COMMUNITY_HEALTH_PROGRAM.ASP</v>
      </c>
      <c r="E826" s="8" t="s">
        <v>392</v>
      </c>
    </row>
    <row r="827" ht="14.25" hidden="1" customHeight="1">
      <c r="A827" s="8" t="s">
        <v>1240</v>
      </c>
      <c r="B827" s="8" t="s">
        <v>1244</v>
      </c>
      <c r="D827" s="121" t="str">
        <f>HYPERLINK("http://www.caribbean.va.gov/services/COMPLIANCE_AND_BUSINESS_INTEGRITY_PROGRAM_OFFICE.ASP")</f>
        <v>http://www.caribbean.va.gov/services/COMPLIANCE_AND_BUSINESS_INTEGRITY_PROGRAM_OFFICE.ASP</v>
      </c>
      <c r="E827" s="8" t="s">
        <v>392</v>
      </c>
    </row>
    <row r="828" ht="14.25" hidden="1" customHeight="1">
      <c r="A828" s="8" t="s">
        <v>1240</v>
      </c>
      <c r="B828" s="8" t="s">
        <v>309</v>
      </c>
      <c r="D828" s="121" t="str">
        <f>HYPERLINK("http://www.caribbean.va.gov/services/EXTENDED_CARE_AND_REHABILITATION.ASP")</f>
        <v>http://www.caribbean.va.gov/services/EXTENDED_CARE_AND_REHABILITATION.ASP</v>
      </c>
      <c r="E828" s="8" t="s">
        <v>392</v>
      </c>
    </row>
    <row r="829" ht="14.25" hidden="1" customHeight="1">
      <c r="A829" s="8" t="s">
        <v>1240</v>
      </c>
      <c r="B829" s="8" t="s">
        <v>1245</v>
      </c>
      <c r="D829" s="121" t="str">
        <f>HYPERLINK("http://www.caribbean.va.gov/services/FORMER_PRISONERS_OF_WAR.ASP")</f>
        <v>http://www.caribbean.va.gov/services/FORMER_PRISONERS_OF_WAR.ASP</v>
      </c>
      <c r="E829" s="8" t="s">
        <v>392</v>
      </c>
    </row>
    <row r="830" ht="14.25" hidden="1" customHeight="1">
      <c r="A830" s="8" t="s">
        <v>1240</v>
      </c>
      <c r="B830" s="8" t="s">
        <v>1245</v>
      </c>
      <c r="D830" s="121" t="str">
        <f>HYPERLINK("http://www.caribbean.va.gov/services/PRISONERS_OF_WAR.ASP")</f>
        <v>http://www.caribbean.va.gov/services/PRISONERS_OF_WAR.ASP</v>
      </c>
      <c r="E830" s="8" t="s">
        <v>392</v>
      </c>
    </row>
    <row r="831" ht="14.25" hidden="1" customHeight="1">
      <c r="A831" s="8" t="s">
        <v>1240</v>
      </c>
      <c r="B831" s="8" t="s">
        <v>1246</v>
      </c>
      <c r="D831" s="121" t="str">
        <f>HYPERLINK("http://www.caribbean.va.gov/services/GERIATRICS_PRIMARY_CARE_GPC.ASP")</f>
        <v>http://www.caribbean.va.gov/services/GERIATRICS_PRIMARY_CARE_GPC.ASP</v>
      </c>
      <c r="E831" s="8" t="s">
        <v>392</v>
      </c>
    </row>
    <row r="832" ht="14.25" hidden="1" customHeight="1">
      <c r="A832" s="8" t="s">
        <v>1240</v>
      </c>
      <c r="B832" s="8" t="s">
        <v>556</v>
      </c>
      <c r="D832" s="121" t="str">
        <f>HYPERLINK("http://www.caribbean.va.gov/services/GERIATRICS_AND_EXTENDED_CARE.ASP")</f>
        <v>http://www.caribbean.va.gov/services/GERIATRICS_AND_EXTENDED_CARE.ASP</v>
      </c>
      <c r="E832" s="8" t="s">
        <v>392</v>
      </c>
    </row>
    <row r="833" ht="14.25" hidden="1" customHeight="1">
      <c r="A833" s="8" t="s">
        <v>1240</v>
      </c>
      <c r="B833" s="8" t="s">
        <v>1247</v>
      </c>
      <c r="D833" s="121" t="str">
        <f>HYPERLINK("http://www.caribbean.va.gov/services/HEALTH_CARE_FOR_HOMELESS_PROGRAM.ASP")</f>
        <v>http://www.caribbean.va.gov/services/HEALTH_CARE_FOR_HOMELESS_PROGRAM.ASP</v>
      </c>
      <c r="E833" s="8" t="s">
        <v>392</v>
      </c>
    </row>
    <row r="834" ht="14.25" hidden="1" customHeight="1">
      <c r="A834" s="8" t="s">
        <v>1240</v>
      </c>
      <c r="B834" s="8" t="s">
        <v>1248</v>
      </c>
      <c r="D834" s="121" t="str">
        <f>HYPERLINK("http://www.caribbean.va.gov/services/HEALTH_INFORMATICS_SERVICE.ASP")</f>
        <v>http://www.caribbean.va.gov/services/HEALTH_INFORMATICS_SERVICE.ASP</v>
      </c>
      <c r="E834" s="8" t="s">
        <v>392</v>
      </c>
    </row>
    <row r="835" ht="14.25" hidden="1" customHeight="1">
      <c r="A835" s="8" t="s">
        <v>1240</v>
      </c>
      <c r="B835" s="8" t="s">
        <v>431</v>
      </c>
      <c r="D835" s="121" t="str">
        <f>HYPERLINK("http://www.caribbean.va.gov/services/HOME_BASED_PRIMARY_CARE.ASP")</f>
        <v>http://www.caribbean.va.gov/services/HOME_BASED_PRIMARY_CARE.ASP</v>
      </c>
      <c r="E835" s="8" t="s">
        <v>392</v>
      </c>
    </row>
    <row r="836" ht="14.25" hidden="1" customHeight="1">
      <c r="A836" s="8" t="s">
        <v>1240</v>
      </c>
      <c r="B836" s="8" t="s">
        <v>395</v>
      </c>
      <c r="D836" s="121" t="str">
        <f>HYPERLINK("http://www.caribbean.va.gov/services/HOME_TELEHEALTH.ASP")</f>
        <v>http://www.caribbean.va.gov/services/HOME_TELEHEALTH.ASP</v>
      </c>
      <c r="E836" s="8" t="s">
        <v>392</v>
      </c>
    </row>
    <row r="837" ht="14.25" hidden="1" customHeight="1">
      <c r="A837" s="8" t="s">
        <v>1240</v>
      </c>
      <c r="B837" s="8" t="s">
        <v>1249</v>
      </c>
      <c r="D837" s="121" t="str">
        <f>HYPERLINK("http://www.caribbean.va.gov/services/HUMAN_RESOURCES_MANAGEMENT_SERVICE.ASP")</f>
        <v>http://www.caribbean.va.gov/services/HUMAN_RESOURCES_MANAGEMENT_SERVICE.ASP</v>
      </c>
      <c r="E837" s="8" t="s">
        <v>392</v>
      </c>
    </row>
    <row r="838" ht="14.25" hidden="1" customHeight="1">
      <c r="A838" s="8" t="s">
        <v>1240</v>
      </c>
      <c r="B838" s="8" t="s">
        <v>1250</v>
      </c>
      <c r="D838" s="121" t="str">
        <f>HYPERLINK("http://www.caribbean.va.gov/services/MOVE.ASP")</f>
        <v>http://www.caribbean.va.gov/services/MOVE.ASP</v>
      </c>
      <c r="E838" s="8" t="s">
        <v>392</v>
      </c>
    </row>
    <row r="839" ht="14.25" hidden="1" customHeight="1">
      <c r="A839" s="8" t="s">
        <v>1240</v>
      </c>
      <c r="B839" s="8" t="s">
        <v>323</v>
      </c>
      <c r="D839" s="121" t="str">
        <f>HYPERLINK("http://www.caribbean.va.gov/services/MENTAL_HEALTH.ASP")</f>
        <v>http://www.caribbean.va.gov/services/MENTAL_HEALTH.ASP</v>
      </c>
      <c r="E839" s="8" t="s">
        <v>392</v>
      </c>
    </row>
    <row r="840" ht="14.25" hidden="1" customHeight="1">
      <c r="A840" s="8" t="s">
        <v>1240</v>
      </c>
      <c r="B840" s="8" t="s">
        <v>324</v>
      </c>
      <c r="D840" s="121" t="str">
        <f>HYPERLINK("http://www.caribbean.va.gov/services/MILITARY_SEXUAL_TRAUMA.ASP")</f>
        <v>http://www.caribbean.va.gov/services/MILITARY_SEXUAL_TRAUMA.ASP</v>
      </c>
      <c r="E840" s="8" t="s">
        <v>392</v>
      </c>
    </row>
    <row r="841" ht="14.25" hidden="1" customHeight="1">
      <c r="A841" s="8" t="s">
        <v>1240</v>
      </c>
      <c r="B841" s="8" t="s">
        <v>494</v>
      </c>
      <c r="D841" s="121" t="str">
        <f>HYPERLINK("http://www.caribbean.va.gov/services/MY_HEALTH_E_VET.ASP")</f>
        <v>http://www.caribbean.va.gov/services/MY_HEALTH_E_VET.ASP</v>
      </c>
      <c r="E841" s="8" t="s">
        <v>392</v>
      </c>
    </row>
    <row r="842" ht="14.25" hidden="1" customHeight="1">
      <c r="A842" s="8" t="s">
        <v>1240</v>
      </c>
      <c r="B842" s="8" t="s">
        <v>691</v>
      </c>
      <c r="D842" s="121" t="str">
        <f>HYPERLINK("http://www.caribbean.va.gov/services/NEWS_MEDIA.ASP")</f>
        <v>http://www.caribbean.va.gov/services/NEWS_MEDIA.ASP</v>
      </c>
      <c r="E842" s="8" t="s">
        <v>392</v>
      </c>
    </row>
    <row r="843" ht="14.25" hidden="1" customHeight="1">
      <c r="A843" s="8" t="s">
        <v>1240</v>
      </c>
      <c r="B843" s="8" t="s">
        <v>1251</v>
      </c>
      <c r="D843" s="121" t="str">
        <f>HYPERLINK("http://www.caribbean.va.gov/services/NURSING_SERVICE.ASP")</f>
        <v>http://www.caribbean.va.gov/services/NURSING_SERVICE.ASP</v>
      </c>
      <c r="E843" s="8" t="s">
        <v>392</v>
      </c>
    </row>
    <row r="844" ht="14.25" hidden="1" customHeight="1">
      <c r="A844" s="8" t="s">
        <v>1240</v>
      </c>
      <c r="B844" s="8" t="s">
        <v>332</v>
      </c>
      <c r="D844" s="121" t="str">
        <f>HYPERLINK("http://www.caribbean.va.gov/services/NUTRITION_AND_FOOD_SERVICES.ASP")</f>
        <v>http://www.caribbean.va.gov/services/NUTRITION_AND_FOOD_SERVICES.ASP</v>
      </c>
      <c r="E844" s="8" t="s">
        <v>392</v>
      </c>
    </row>
    <row r="845" ht="14.25" hidden="1" customHeight="1">
      <c r="A845" s="8" t="s">
        <v>1240</v>
      </c>
      <c r="B845" s="8" t="s">
        <v>1252</v>
      </c>
      <c r="D845" s="121" t="str">
        <f>HYPERLINK("http://www.caribbean.va.gov/services/OIF_OEF_OND.ASP")</f>
        <v>http://www.caribbean.va.gov/services/OIF_OEF_OND.ASP</v>
      </c>
      <c r="E845" s="8" t="s">
        <v>392</v>
      </c>
    </row>
    <row r="846" ht="14.25" hidden="1" customHeight="1">
      <c r="A846" s="8" t="s">
        <v>1240</v>
      </c>
      <c r="B846" s="8" t="s">
        <v>1253</v>
      </c>
      <c r="D846" s="121" t="str">
        <f>HYPERLINK("http://www.caribbean.va.gov/services/PATIENT_ALIGNED_CARE_TEAM.ASP")</f>
        <v>http://www.caribbean.va.gov/services/PATIENT_ALIGNED_CARE_TEAM.ASP</v>
      </c>
      <c r="E846" s="8" t="s">
        <v>392</v>
      </c>
    </row>
    <row r="847" ht="14.25" hidden="1" customHeight="1">
      <c r="A847" s="8" t="s">
        <v>1240</v>
      </c>
      <c r="B847" s="8" t="s">
        <v>343</v>
      </c>
      <c r="D847" s="121" t="str">
        <f>HYPERLINK("http://www.caribbean.va.gov/services/PHARMACY.ASP")</f>
        <v>http://www.caribbean.va.gov/services/PHARMACY.ASP</v>
      </c>
      <c r="E847" s="8" t="s">
        <v>392</v>
      </c>
    </row>
    <row r="848" ht="14.25" hidden="1" customHeight="1">
      <c r="A848" s="8" t="s">
        <v>1240</v>
      </c>
      <c r="B848" s="8" t="s">
        <v>344</v>
      </c>
      <c r="D848" s="121" t="str">
        <f>HYPERLINK("http://www.caribbean.va.gov/services/PHYSICAL_MEDICINE_AND_REHABILITATION.ASP")</f>
        <v>http://www.caribbean.va.gov/services/PHYSICAL_MEDICINE_AND_REHABILITATION.ASP</v>
      </c>
      <c r="E848" s="8" t="s">
        <v>392</v>
      </c>
    </row>
    <row r="849" ht="14.25" hidden="1" customHeight="1">
      <c r="A849" s="8" t="s">
        <v>1240</v>
      </c>
      <c r="B849" s="8" t="s">
        <v>1254</v>
      </c>
      <c r="D849" s="121" t="str">
        <f>HYPERLINK("http://www.caribbean.va.gov/services/PRIMARY_CARE_SERVICE.ASP")</f>
        <v>http://www.caribbean.va.gov/services/PRIMARY_CARE_SERVICE.ASP</v>
      </c>
      <c r="E849" s="8" t="s">
        <v>392</v>
      </c>
    </row>
    <row r="850" ht="14.25" hidden="1" customHeight="1">
      <c r="A850" s="8" t="s">
        <v>1240</v>
      </c>
      <c r="B850" s="8" t="s">
        <v>508</v>
      </c>
      <c r="D850" s="121" t="str">
        <f>HYPERLINK("http://www.caribbean.va.gov/services/RESEARCH.ASP")</f>
        <v>http://www.caribbean.va.gov/services/RESEARCH.ASP</v>
      </c>
      <c r="E850" s="8" t="s">
        <v>392</v>
      </c>
    </row>
    <row r="851" ht="14.25" hidden="1" customHeight="1">
      <c r="A851" s="8" t="s">
        <v>1240</v>
      </c>
      <c r="B851" s="8" t="s">
        <v>360</v>
      </c>
      <c r="D851" s="121" t="str">
        <f>HYPERLINK("http://www.caribbean.va.gov/services/SOCIAL_WORK.ASP")</f>
        <v>http://www.caribbean.va.gov/services/SOCIAL_WORK.ASP</v>
      </c>
      <c r="E851" s="8" t="s">
        <v>392</v>
      </c>
    </row>
    <row r="852" ht="14.25" hidden="1" customHeight="1">
      <c r="A852" s="8" t="s">
        <v>1240</v>
      </c>
      <c r="B852" s="8" t="s">
        <v>363</v>
      </c>
      <c r="D852" s="121" t="str">
        <f>HYPERLINK("http://www.caribbean.va.gov/services/SPECIALTY_CARE.ASP")</f>
        <v>http://www.caribbean.va.gov/services/SPECIALTY_CARE.ASP</v>
      </c>
      <c r="E852" s="8" t="s">
        <v>392</v>
      </c>
    </row>
    <row r="853" ht="14.25" hidden="1" customHeight="1">
      <c r="A853" s="8" t="s">
        <v>1240</v>
      </c>
      <c r="B853" s="8" t="s">
        <v>364</v>
      </c>
      <c r="D853" s="121" t="str">
        <f>HYPERLINK("http://www.caribbean.va.gov/services/SPINAL_CORD_INJURY.ASP")</f>
        <v>http://www.caribbean.va.gov/services/SPINAL_CORD_INJURY.ASP</v>
      </c>
      <c r="E853" s="8" t="s">
        <v>392</v>
      </c>
    </row>
    <row r="854" ht="14.25" hidden="1" customHeight="1">
      <c r="A854" s="8" t="s">
        <v>1255</v>
      </c>
      <c r="B854" s="8" t="s">
        <v>1256</v>
      </c>
      <c r="D854" s="121" t="str">
        <f>HYPERLINK("http://www.centralalabama.va.gov/services/SPECIALTY.ASP")</f>
        <v>http://www.centralalabama.va.gov/services/SPECIALTY.ASP</v>
      </c>
      <c r="E854" s="8" t="s">
        <v>392</v>
      </c>
    </row>
    <row r="855" ht="14.25" hidden="1" customHeight="1">
      <c r="A855" s="8" t="s">
        <v>1255</v>
      </c>
      <c r="B855" s="8" t="s">
        <v>309</v>
      </c>
      <c r="D855" s="121" t="str">
        <f>HYPERLINK("http://www.centralalabama.va.gov/services/ECRC.ASP")</f>
        <v>http://www.centralalabama.va.gov/services/ECRC.ASP</v>
      </c>
      <c r="E855" s="8" t="s">
        <v>392</v>
      </c>
    </row>
    <row r="856" ht="14.25" hidden="1" customHeight="1">
      <c r="A856" s="8" t="s">
        <v>1255</v>
      </c>
      <c r="B856" s="8" t="s">
        <v>1147</v>
      </c>
      <c r="D856" s="121" t="str">
        <f>HYPERLINK("http://www.centralalabama.va.gov/services/FORMER_PRISONERS_OF_WAR_ADVOCATE.ASP")</f>
        <v>http://www.centralalabama.va.gov/services/FORMER_PRISONERS_OF_WAR_ADVOCATE.ASP</v>
      </c>
      <c r="E856" s="8" t="s">
        <v>392</v>
      </c>
    </row>
    <row r="857" ht="14.25" hidden="1" customHeight="1">
      <c r="A857" s="8" t="s">
        <v>1255</v>
      </c>
      <c r="B857" s="8" t="s">
        <v>1058</v>
      </c>
      <c r="D857" s="121" t="str">
        <f>HYPERLINK("http://www.centralalabama.va.gov/services/HBPC.ASP")</f>
        <v>http://www.centralalabama.va.gov/services/HBPC.ASP</v>
      </c>
      <c r="E857" s="8" t="s">
        <v>392</v>
      </c>
    </row>
    <row r="858" ht="14.25" hidden="1" customHeight="1">
      <c r="A858" s="8" t="s">
        <v>1255</v>
      </c>
      <c r="B858" s="8" t="s">
        <v>323</v>
      </c>
      <c r="D858" s="121" t="str">
        <f>HYPERLINK("http://www.centralalabama.va.gov/services/MENTALHEALTH.ASP")</f>
        <v>http://www.centralalabama.va.gov/services/MENTALHEALTH.ASP</v>
      </c>
      <c r="E858" s="8" t="s">
        <v>392</v>
      </c>
    </row>
    <row r="859" ht="14.25" hidden="1" customHeight="1">
      <c r="A859" s="8" t="s">
        <v>1255</v>
      </c>
      <c r="B859" s="8" t="s">
        <v>1257</v>
      </c>
      <c r="D859" s="121" t="str">
        <f>HYPERLINK("http://www.centralalabama.va.gov/services/PTSD_RESOURCES.ASP")</f>
        <v>http://www.centralalabama.va.gov/services/PTSD_RESOURCES.ASP</v>
      </c>
      <c r="E859" s="8" t="s">
        <v>392</v>
      </c>
    </row>
    <row r="860" ht="14.25" hidden="1" customHeight="1">
      <c r="A860" s="8" t="s">
        <v>1255</v>
      </c>
      <c r="B860" s="8" t="s">
        <v>1258</v>
      </c>
      <c r="D860" s="121" t="str">
        <f>HYPERLINK("http://www.centralalabama.va.gov/services/PASTORAL_CARE_EDUCATION.ASP")</f>
        <v>http://www.centralalabama.va.gov/services/PASTORAL_CARE_EDUCATION.ASP</v>
      </c>
      <c r="E860" s="8" t="s">
        <v>392</v>
      </c>
    </row>
    <row r="861" ht="14.25" hidden="1" customHeight="1">
      <c r="A861" s="8" t="s">
        <v>1255</v>
      </c>
      <c r="B861" s="8" t="s">
        <v>343</v>
      </c>
      <c r="D861" s="121" t="str">
        <f>HYPERLINK("http://www.centralalabama.va.gov/services/PHARMACY.ASP")</f>
        <v>http://www.centralalabama.va.gov/services/PHARMACY.ASP</v>
      </c>
      <c r="E861" s="8" t="s">
        <v>392</v>
      </c>
    </row>
    <row r="862" ht="14.25" hidden="1" customHeight="1">
      <c r="A862" s="8" t="s">
        <v>1255</v>
      </c>
      <c r="B862" s="8" t="s">
        <v>348</v>
      </c>
      <c r="D862" s="121" t="str">
        <f>HYPERLINK("http://www.centralalabama.va.gov/services/PRIMARY.ASP")</f>
        <v>http://www.centralalabama.va.gov/services/PRIMARY.ASP</v>
      </c>
      <c r="E862" s="8" t="s">
        <v>392</v>
      </c>
    </row>
    <row r="863" ht="14.25" hidden="1" customHeight="1">
      <c r="A863" s="8" t="s">
        <v>1255</v>
      </c>
      <c r="B863" s="8" t="s">
        <v>360</v>
      </c>
      <c r="D863" s="121" t="str">
        <f>HYPERLINK("http://www.centralalabama.va.gov/services/SOCIALWORK.ASP")</f>
        <v>http://www.centralalabama.va.gov/services/SOCIALWORK.ASP</v>
      </c>
      <c r="E863" s="8" t="s">
        <v>392</v>
      </c>
    </row>
    <row r="864" ht="14.25" hidden="1" customHeight="1">
      <c r="A864" s="8" t="s">
        <v>1259</v>
      </c>
      <c r="B864" s="8" t="s">
        <v>478</v>
      </c>
      <c r="D864" s="121" t="str">
        <f>HYPERLINK("http://www.centraliowa.va.gov/services/CHAPLAIN_SERVICE.ASP")</f>
        <v>http://www.centraliowa.va.gov/services/CHAPLAIN_SERVICE.ASP</v>
      </c>
      <c r="E864" s="8" t="s">
        <v>392</v>
      </c>
    </row>
    <row r="865" ht="14.25" hidden="1" customHeight="1">
      <c r="A865" s="8" t="s">
        <v>1259</v>
      </c>
      <c r="B865" s="8" t="s">
        <v>1260</v>
      </c>
      <c r="D865" s="121" t="str">
        <f>HYPERLINK("http://www.centraliowa.va.gov/services/COMMUNITY_RESOURCE_AND_REFERRAL_CENTER_CRRC.ASP")</f>
        <v>http://www.centraliowa.va.gov/services/COMMUNITY_RESOURCE_AND_REFERRAL_CENTER_CRRC.ASP</v>
      </c>
      <c r="E865" s="8" t="s">
        <v>392</v>
      </c>
    </row>
    <row r="866" ht="14.25" hidden="1" customHeight="1">
      <c r="A866" s="8" t="s">
        <v>1259</v>
      </c>
      <c r="B866" s="8" t="s">
        <v>513</v>
      </c>
      <c r="D866" s="121" t="str">
        <f>HYPERLINK("http://www.centraliowa.va.gov/services/DENTAL_SERVICE.ASP")</f>
        <v>http://www.centraliowa.va.gov/services/DENTAL_SERVICE.ASP</v>
      </c>
      <c r="E866" s="8" t="s">
        <v>392</v>
      </c>
    </row>
    <row r="867" ht="14.25" hidden="1" customHeight="1">
      <c r="A867" s="8" t="s">
        <v>1259</v>
      </c>
      <c r="B867" s="8" t="s">
        <v>1261</v>
      </c>
      <c r="D867" s="121" t="str">
        <f>HYPERLINK("http://www.centraliowa.va.gov/services/DIABETES_EDUCATION.ASP")</f>
        <v>http://www.centraliowa.va.gov/services/DIABETES_EDUCATION.ASP</v>
      </c>
      <c r="E867" s="8" t="s">
        <v>392</v>
      </c>
    </row>
    <row r="868" ht="14.25" hidden="1" customHeight="1">
      <c r="A868" s="8" t="s">
        <v>1259</v>
      </c>
      <c r="B868" s="8" t="s">
        <v>309</v>
      </c>
      <c r="D868" s="121" t="str">
        <f>HYPERLINK("http://www.centraliowa.va.gov/services/EXTENDED_CARE_AND_REHABILITATION.ASP")</f>
        <v>http://www.centraliowa.va.gov/services/EXTENDED_CARE_AND_REHABILITATION.ASP</v>
      </c>
      <c r="E868" s="8" t="s">
        <v>392</v>
      </c>
    </row>
    <row r="869" ht="14.25" hidden="1" customHeight="1">
      <c r="A869" s="8" t="s">
        <v>1259</v>
      </c>
      <c r="B869" s="8" t="s">
        <v>1262</v>
      </c>
      <c r="D869" s="121" t="str">
        <f>HYPERLINK("http://www.centraliowa.va.gov/services/GENOMIC_MEDICINE.ASP")</f>
        <v>http://www.centraliowa.va.gov/services/GENOMIC_MEDICINE.ASP</v>
      </c>
      <c r="E869" s="8" t="s">
        <v>392</v>
      </c>
    </row>
    <row r="870" ht="14.25" hidden="1" customHeight="1">
      <c r="A870" s="8" t="s">
        <v>1259</v>
      </c>
      <c r="B870" s="8" t="s">
        <v>1263</v>
      </c>
      <c r="D870" s="121" t="str">
        <f>HYPERLINK("http://www.centraliowa.va.gov/services/IMAGING_SERVICE.ASP")</f>
        <v>http://www.centraliowa.va.gov/services/IMAGING_SERVICE.ASP</v>
      </c>
      <c r="E870" s="8" t="s">
        <v>392</v>
      </c>
    </row>
    <row r="871" ht="14.25" hidden="1" customHeight="1">
      <c r="A871" s="8" t="s">
        <v>1259</v>
      </c>
      <c r="B871" s="8" t="s">
        <v>1264</v>
      </c>
      <c r="D871" s="121" t="str">
        <f>HYPERLINK("http://www.centraliowa.va.gov/services/LEARNING_SERVICE.ASP")</f>
        <v>http://www.centraliowa.va.gov/services/LEARNING_SERVICE.ASP</v>
      </c>
      <c r="E871" s="8" t="s">
        <v>392</v>
      </c>
    </row>
    <row r="872" ht="14.25" hidden="1" customHeight="1">
      <c r="A872" s="8" t="s">
        <v>1259</v>
      </c>
      <c r="B872" s="8" t="s">
        <v>1265</v>
      </c>
      <c r="D872" s="121" t="str">
        <f>HYPERLINK("http://www.centraliowa.va.gov/services/LESBIAN_GAY_BISEXUAL_TRANSGENDER_LGBT_PROGRAM.ASP")</f>
        <v>http://www.centraliowa.va.gov/services/LESBIAN_GAY_BISEXUAL_TRANSGENDER_LGBT_PROGRAM.ASP</v>
      </c>
      <c r="E872" s="8" t="s">
        <v>392</v>
      </c>
    </row>
    <row r="873" ht="14.25" hidden="1" customHeight="1">
      <c r="A873" s="8" t="s">
        <v>1259</v>
      </c>
      <c r="B873" s="8" t="s">
        <v>1016</v>
      </c>
      <c r="D873" s="121" t="str">
        <f>HYPERLINK("http://www.centraliowa.va.gov/services/MEDICAL_FOSTER_HOME_PROGRAM.ASP")</f>
        <v>http://www.centraliowa.va.gov/services/MEDICAL_FOSTER_HOME_PROGRAM.ASP</v>
      </c>
      <c r="E873" s="8" t="s">
        <v>392</v>
      </c>
    </row>
    <row r="874" ht="14.25" hidden="1" customHeight="1">
      <c r="A874" s="8" t="s">
        <v>1259</v>
      </c>
      <c r="B874" s="8" t="s">
        <v>323</v>
      </c>
      <c r="D874" s="121" t="str">
        <f>HYPERLINK("http://www.centraliowa.va.gov/services/MENTAL_HEALTH.ASP")</f>
        <v>http://www.centraliowa.va.gov/services/MENTAL_HEALTH.ASP</v>
      </c>
      <c r="E874" s="8" t="s">
        <v>392</v>
      </c>
    </row>
    <row r="875" ht="14.25" hidden="1" customHeight="1">
      <c r="A875" s="8" t="s">
        <v>1259</v>
      </c>
      <c r="B875" s="8" t="s">
        <v>1231</v>
      </c>
      <c r="D875" s="121" t="str">
        <f>HYPERLINK("http://www.centraliowa.va.gov/services/MST/INDEX.ASP")</f>
        <v>http://www.centraliowa.va.gov/services/MST/INDEX.ASP</v>
      </c>
      <c r="E875" s="8" t="s">
        <v>392</v>
      </c>
    </row>
    <row r="876" ht="14.25" hidden="1" customHeight="1">
      <c r="A876" s="8" t="s">
        <v>1259</v>
      </c>
      <c r="B876" s="8" t="s">
        <v>1266</v>
      </c>
      <c r="D876" s="121" t="str">
        <f>HYPERLINK("http://www.centraliowa.va.gov/services/MUSIC_THERAPY.ASP")</f>
        <v>http://www.centraliowa.va.gov/services/MUSIC_THERAPY.ASP</v>
      </c>
      <c r="E876" s="8" t="s">
        <v>392</v>
      </c>
    </row>
    <row r="877" ht="14.25" hidden="1" customHeight="1">
      <c r="A877" s="8" t="s">
        <v>1259</v>
      </c>
      <c r="B877" s="8" t="s">
        <v>332</v>
      </c>
      <c r="D877" s="121" t="str">
        <f>HYPERLINK("http://www.centraliowa.va.gov/services/NUTRITION_AND_FOOD_SERVICES.ASP")</f>
        <v>http://www.centraliowa.va.gov/services/NUTRITION_AND_FOOD_SERVICES.ASP</v>
      </c>
      <c r="E877" s="8" t="s">
        <v>392</v>
      </c>
    </row>
    <row r="878" ht="14.25" hidden="1" customHeight="1">
      <c r="A878" s="8" t="s">
        <v>1259</v>
      </c>
      <c r="B878" s="8" t="s">
        <v>1267</v>
      </c>
      <c r="D878" s="121" t="str">
        <f>HYPERLINK("http://www.centraliowa.va.gov/services/PARKINSONS_DISEASE.ASP")</f>
        <v>http://www.centraliowa.va.gov/services/PARKINSONS_DISEASE.ASP</v>
      </c>
      <c r="E878" s="8" t="s">
        <v>392</v>
      </c>
    </row>
    <row r="879" ht="14.25" hidden="1" customHeight="1">
      <c r="A879" s="8" t="s">
        <v>1259</v>
      </c>
      <c r="B879" s="8" t="s">
        <v>1268</v>
      </c>
      <c r="D879" s="121" t="str">
        <f>HYPERLINK("http://www.centraliowa.va.gov/services/PATHOLOGY_AND_LAB.ASP")</f>
        <v>http://www.centraliowa.va.gov/services/PATHOLOGY_AND_LAB.ASP</v>
      </c>
      <c r="E879" s="8" t="s">
        <v>392</v>
      </c>
    </row>
    <row r="880" ht="14.25" hidden="1" customHeight="1">
      <c r="A880" s="8" t="s">
        <v>1259</v>
      </c>
      <c r="B880" s="8" t="s">
        <v>343</v>
      </c>
      <c r="D880" s="121" t="str">
        <f>HYPERLINK("http://www.centraliowa.va.gov/services/PHARMACY.ASP")</f>
        <v>http://www.centraliowa.va.gov/services/PHARMACY.ASP</v>
      </c>
      <c r="E880" s="8" t="s">
        <v>392</v>
      </c>
    </row>
    <row r="881" ht="14.25" hidden="1" customHeight="1">
      <c r="A881" s="8" t="s">
        <v>1259</v>
      </c>
      <c r="B881" s="8" t="s">
        <v>1269</v>
      </c>
      <c r="D881" s="121" t="str">
        <f>HYPERLINK("http://www.centraliowa.va.gov/services/PHARMACY_RESIDENCY_PROGRAM.ASP")</f>
        <v>http://www.centraliowa.va.gov/services/PHARMACY_RESIDENCY_PROGRAM.ASP</v>
      </c>
      <c r="E881" s="8" t="s">
        <v>392</v>
      </c>
    </row>
    <row r="882" ht="14.25" hidden="1" customHeight="1">
      <c r="A882" s="8" t="s">
        <v>1259</v>
      </c>
      <c r="B882" s="8" t="s">
        <v>348</v>
      </c>
      <c r="D882" s="121" t="str">
        <f>HYPERLINK("http://www.centraliowa.va.gov/services/PRIMARY_CARE.ASP")</f>
        <v>http://www.centraliowa.va.gov/services/PRIMARY_CARE.ASP</v>
      </c>
      <c r="E882" s="8" t="s">
        <v>392</v>
      </c>
    </row>
    <row r="883" ht="14.25" hidden="1" customHeight="1">
      <c r="A883" s="8" t="s">
        <v>1259</v>
      </c>
      <c r="B883" s="8" t="s">
        <v>1270</v>
      </c>
      <c r="D883" s="121" t="str">
        <f>HYPERLINK("http://www.centraliowa.va.gov/services/PSYCHOLOGY_INTERNSHIP_PROGRAM.ASP")</f>
        <v>http://www.centraliowa.va.gov/services/PSYCHOLOGY_INTERNSHIP_PROGRAM.ASP</v>
      </c>
      <c r="E883" s="8" t="s">
        <v>392</v>
      </c>
    </row>
    <row r="884" ht="14.25" hidden="1" customHeight="1">
      <c r="A884" s="8" t="s">
        <v>1259</v>
      </c>
      <c r="B884" s="8" t="s">
        <v>1271</v>
      </c>
      <c r="D884" s="121" t="str">
        <f>HYPERLINK("http://www.centraliowa.va.gov/services/QUALITY_AND_SAFETY.ASP")</f>
        <v>http://www.centraliowa.va.gov/services/QUALITY_AND_SAFETY.ASP</v>
      </c>
      <c r="E884" s="8" t="s">
        <v>392</v>
      </c>
    </row>
    <row r="885" ht="14.25" hidden="1" customHeight="1">
      <c r="A885" s="8" t="s">
        <v>1259</v>
      </c>
      <c r="B885" s="8" t="s">
        <v>505</v>
      </c>
      <c r="D885" s="121" t="str">
        <f>HYPERLINK("http://www.centraliowa.va.gov/services/RECREATION_THERAPY.ASP")</f>
        <v>http://www.centraliowa.va.gov/services/RECREATION_THERAPY.ASP</v>
      </c>
      <c r="E885" s="8" t="s">
        <v>392</v>
      </c>
    </row>
    <row r="886" ht="14.25" hidden="1" customHeight="1">
      <c r="A886" s="8" t="s">
        <v>1259</v>
      </c>
      <c r="B886" s="8" t="s">
        <v>508</v>
      </c>
      <c r="D886" s="121" t="str">
        <f>HYPERLINK("http://www.centraliowa.va.gov/services/RESEARCH.ASP")</f>
        <v>http://www.centraliowa.va.gov/services/RESEARCH.ASP</v>
      </c>
      <c r="E886" s="8" t="s">
        <v>392</v>
      </c>
    </row>
    <row r="887" ht="14.25" hidden="1" customHeight="1">
      <c r="A887" s="8" t="s">
        <v>1259</v>
      </c>
      <c r="B887" s="8" t="s">
        <v>360</v>
      </c>
      <c r="D887" s="121" t="str">
        <f>HYPERLINK("http://www.centraliowa.va.gov/services/SOCIAL_WORK.ASP")</f>
        <v>http://www.centraliowa.va.gov/services/SOCIAL_WORK.ASP</v>
      </c>
      <c r="E887" s="8" t="s">
        <v>392</v>
      </c>
    </row>
    <row r="888" ht="14.25" hidden="1" customHeight="1">
      <c r="A888" s="8" t="s">
        <v>1259</v>
      </c>
      <c r="B888" s="8" t="s">
        <v>363</v>
      </c>
      <c r="D888" s="121" t="str">
        <f>HYPERLINK("http://www.centraliowa.va.gov/services/SPECIALTY_CARE.ASP")</f>
        <v>http://www.centraliowa.va.gov/services/SPECIALTY_CARE.ASP</v>
      </c>
      <c r="E888" s="8" t="s">
        <v>392</v>
      </c>
    </row>
    <row r="889" ht="14.25" hidden="1" customHeight="1">
      <c r="A889" s="8" t="s">
        <v>1259</v>
      </c>
      <c r="B889" s="8" t="s">
        <v>1272</v>
      </c>
      <c r="D889" s="121" t="str">
        <f>HYPERLINK("http://www.centraliowa.va.gov/services/SPINAL_CORD.ASP")</f>
        <v>http://www.centraliowa.va.gov/services/SPINAL_CORD.ASP</v>
      </c>
      <c r="E889" s="8" t="s">
        <v>392</v>
      </c>
    </row>
    <row r="890" ht="14.25" hidden="1" customHeight="1">
      <c r="A890" s="8" t="s">
        <v>1259</v>
      </c>
      <c r="B890" s="8" t="s">
        <v>370</v>
      </c>
      <c r="D890" s="121" t="str">
        <f>HYPERLINK("http://www.centraliowa.va.gov/services/TELEHEALTH.ASP")</f>
        <v>http://www.centraliowa.va.gov/services/TELEHEALTH.ASP</v>
      </c>
      <c r="E890" s="8" t="s">
        <v>392</v>
      </c>
    </row>
    <row r="891" ht="14.25" hidden="1" customHeight="1">
      <c r="A891" s="8" t="s">
        <v>1259</v>
      </c>
      <c r="B891" s="8" t="s">
        <v>625</v>
      </c>
      <c r="D891" s="121" t="str">
        <f>HYPERLINK("http://www.centraliowa.va.gov/services/VET_CENTER.ASP")</f>
        <v>http://www.centraliowa.va.gov/services/VET_CENTER.ASP</v>
      </c>
      <c r="E891" s="8" t="s">
        <v>392</v>
      </c>
    </row>
    <row r="892" ht="14.25" hidden="1" customHeight="1">
      <c r="A892" s="8" t="s">
        <v>1259</v>
      </c>
      <c r="B892" s="8" t="s">
        <v>1273</v>
      </c>
      <c r="D892" s="121" t="str">
        <f>HYPERLINK("http://www.centraliowa.va.gov/services/VETERAN_HEALTH_EDUCATION.ASP")</f>
        <v>http://www.centraliowa.va.gov/services/VETERAN_HEALTH_EDUCATION.ASP</v>
      </c>
      <c r="E892" s="8" t="s">
        <v>392</v>
      </c>
    </row>
    <row r="893" ht="14.25" hidden="1" customHeight="1">
      <c r="A893" s="8" t="s">
        <v>1259</v>
      </c>
      <c r="B893" s="8" t="s">
        <v>973</v>
      </c>
      <c r="D893" s="121" t="str">
        <f>HYPERLINK("http://www.centraliowa.va.gov/services/WHOLE_HEALTH.ASP")</f>
        <v>http://www.centraliowa.va.gov/services/WHOLE_HEALTH.ASP</v>
      </c>
      <c r="E893" s="8" t="s">
        <v>392</v>
      </c>
    </row>
    <row r="894" ht="14.25" hidden="1" customHeight="1">
      <c r="A894" s="8" t="s">
        <v>1274</v>
      </c>
      <c r="B894" s="8" t="s">
        <v>862</v>
      </c>
      <c r="D894" s="121" t="str">
        <f>HYPERLINK("http://www.centraltexas.va.gov/services/BLINDREHABILITATION.ASP")</f>
        <v>http://www.centraltexas.va.gov/services/BLINDREHABILITATION.ASP</v>
      </c>
      <c r="E894" s="8" t="s">
        <v>392</v>
      </c>
    </row>
    <row r="895" ht="14.25" hidden="1" customHeight="1">
      <c r="A895" s="8" t="s">
        <v>1274</v>
      </c>
      <c r="B895" s="8" t="s">
        <v>1275</v>
      </c>
      <c r="D895" s="121" t="str">
        <f>HYPERLINK("http://www.centraltexas.va.gov/services/PMRS/CHIROPRACTIC_CLINIC.ASP")</f>
        <v>http://www.centraltexas.va.gov/services/PMRS/CHIROPRACTIC_CLINIC.ASP</v>
      </c>
      <c r="E895" s="8" t="s">
        <v>392</v>
      </c>
    </row>
    <row r="896" ht="14.25" hidden="1" customHeight="1">
      <c r="A896" s="8" t="s">
        <v>1274</v>
      </c>
      <c r="B896" s="8" t="s">
        <v>304</v>
      </c>
      <c r="D896" s="121" t="str">
        <f>HYPERLINK("http://www.centraltexas.va.gov/services/DENTAL.ASP")</f>
        <v>http://www.centraltexas.va.gov/services/DENTAL.ASP</v>
      </c>
      <c r="E896" s="8" t="s">
        <v>392</v>
      </c>
    </row>
    <row r="897" ht="14.25" hidden="1" customHeight="1">
      <c r="A897" s="8" t="s">
        <v>1274</v>
      </c>
      <c r="B897" s="8" t="s">
        <v>1193</v>
      </c>
      <c r="D897" s="121" t="str">
        <f>HYPERLINK("http://www.centraltexas.va.gov/services/EDUCATION.ASP")</f>
        <v>http://www.centraltexas.va.gov/services/EDUCATION.ASP</v>
      </c>
      <c r="E897" s="8" t="s">
        <v>392</v>
      </c>
    </row>
    <row r="898" ht="14.25" hidden="1" customHeight="1">
      <c r="A898" s="8" t="s">
        <v>1274</v>
      </c>
      <c r="B898" s="8" t="s">
        <v>1276</v>
      </c>
      <c r="D898" s="121" t="str">
        <f>HYPERLINK("http://www.centraltexas.va.gov/services/PMRS/FITNESSREHABILITATION.ASP")</f>
        <v>http://www.centraltexas.va.gov/services/PMRS/FITNESSREHABILITATION.ASP</v>
      </c>
      <c r="E898" s="8" t="s">
        <v>392</v>
      </c>
    </row>
    <row r="899" ht="14.25" hidden="1" customHeight="1">
      <c r="A899" s="8" t="s">
        <v>1274</v>
      </c>
      <c r="B899" s="8" t="s">
        <v>1277</v>
      </c>
      <c r="D899" s="121" t="str">
        <f>HYPERLINK("http://www.centraltexas.va.gov/services/HPDP.ASP")</f>
        <v>http://www.centraltexas.va.gov/services/HPDP.ASP</v>
      </c>
      <c r="E899" s="8" t="s">
        <v>392</v>
      </c>
    </row>
    <row r="900" ht="14.25" hidden="1" customHeight="1">
      <c r="A900" s="8" t="s">
        <v>1274</v>
      </c>
      <c r="B900" s="8" t="s">
        <v>431</v>
      </c>
      <c r="D900" s="121" t="str">
        <f>HYPERLINK("http://www.centraltexas.va.gov/services/HOME_BASED_PRIMARY_CARE.ASP")</f>
        <v>http://www.centraltexas.va.gov/services/HOME_BASED_PRIMARY_CARE.ASP</v>
      </c>
      <c r="E900" s="8" t="s">
        <v>392</v>
      </c>
    </row>
    <row r="901" ht="14.25" hidden="1" customHeight="1">
      <c r="A901" s="8" t="s">
        <v>1274</v>
      </c>
      <c r="B901" s="8" t="s">
        <v>395</v>
      </c>
      <c r="D901" s="121" t="str">
        <f>HYPERLINK("http://www.centraltexas.va.gov/services/HOMETELEHEALTH.ASP")</f>
        <v>http://www.centraltexas.va.gov/services/HOMETELEHEALTH.ASP</v>
      </c>
      <c r="E901" s="8" t="s">
        <v>392</v>
      </c>
    </row>
    <row r="902" ht="14.25" hidden="1" customHeight="1">
      <c r="A902" s="8" t="s">
        <v>1274</v>
      </c>
      <c r="B902" s="8" t="s">
        <v>1265</v>
      </c>
      <c r="D902" s="121" t="str">
        <f>HYPERLINK("http://www.centraltexas.va.gov/services/LESBIAN_GAY_BISEXUAL_TRANSGENDER_LGBT_PROGRAM.ASP")</f>
        <v>http://www.centraltexas.va.gov/services/LESBIAN_GAY_BISEXUAL_TRANSGENDER_LGBT_PROGRAM.ASP</v>
      </c>
      <c r="E902" s="8" t="s">
        <v>392</v>
      </c>
    </row>
    <row r="903" ht="14.25" hidden="1" customHeight="1">
      <c r="A903" s="8" t="s">
        <v>1274</v>
      </c>
      <c r="B903" s="8" t="s">
        <v>598</v>
      </c>
      <c r="D903" s="121" t="str">
        <f>HYPERLINK("http://www.centraltexas.va.gov/services/NUTRITION/MOVE.ASP")</f>
        <v>http://www.centraltexas.va.gov/services/NUTRITION/MOVE.ASP</v>
      </c>
      <c r="E903" s="8" t="s">
        <v>392</v>
      </c>
    </row>
    <row r="904" ht="14.25" hidden="1" customHeight="1">
      <c r="A904" s="8" t="s">
        <v>1274</v>
      </c>
      <c r="B904" s="8" t="s">
        <v>1278</v>
      </c>
      <c r="D904" s="121" t="str">
        <f>HYPERLINK("http://www.centraltexas.va.gov/services/MEDICAL.ASP")</f>
        <v>http://www.centraltexas.va.gov/services/MEDICAL.ASP</v>
      </c>
      <c r="E904" s="8" t="s">
        <v>392</v>
      </c>
    </row>
    <row r="905" ht="14.25" hidden="1" customHeight="1">
      <c r="A905" s="8" t="s">
        <v>1274</v>
      </c>
      <c r="B905" s="8" t="s">
        <v>1279</v>
      </c>
      <c r="D905" s="121" t="str">
        <f>HYPERLINK("http://www.centraltexas.va.gov/services/MEDICAL_FOSTER_HOME.ASP")</f>
        <v>http://www.centraltexas.va.gov/services/MEDICAL_FOSTER_HOME.ASP</v>
      </c>
      <c r="E905" s="8" t="s">
        <v>392</v>
      </c>
    </row>
    <row r="906" ht="14.25" hidden="1" customHeight="1">
      <c r="A906" s="8" t="s">
        <v>1274</v>
      </c>
      <c r="B906" s="8" t="s">
        <v>323</v>
      </c>
      <c r="D906" s="121" t="str">
        <f>HYPERLINK("http://www.centraltexas.va.gov/services/MENTAL_HEALTH.ASP")</f>
        <v>http://www.centraltexas.va.gov/services/MENTAL_HEALTH.ASP</v>
      </c>
      <c r="E906" s="8" t="s">
        <v>392</v>
      </c>
    </row>
    <row r="907" ht="14.25" hidden="1" customHeight="1">
      <c r="A907" s="8" t="s">
        <v>1274</v>
      </c>
      <c r="B907" s="8" t="s">
        <v>494</v>
      </c>
      <c r="D907" s="121" t="str">
        <f>HYPERLINK("http://www.centraltexas.va.gov/services/MY_HEALTHEVET.ASP")</f>
        <v>http://www.centraltexas.va.gov/services/MY_HEALTHEVET.ASP</v>
      </c>
      <c r="E907" s="8" t="s">
        <v>392</v>
      </c>
    </row>
    <row r="908" ht="14.25" hidden="1" customHeight="1">
      <c r="A908" s="8" t="s">
        <v>1274</v>
      </c>
      <c r="B908" s="8" t="s">
        <v>1280</v>
      </c>
      <c r="D908" s="121" t="str">
        <f>HYPERLINK("http://www.centraltexas.va.gov/services/NUTRITION.ASP")</f>
        <v>http://www.centraltexas.va.gov/services/NUTRITION.ASP</v>
      </c>
      <c r="E908" s="8" t="s">
        <v>392</v>
      </c>
    </row>
    <row r="909" ht="14.25" hidden="1" customHeight="1">
      <c r="A909" s="8" t="s">
        <v>1274</v>
      </c>
      <c r="B909" s="8" t="s">
        <v>900</v>
      </c>
      <c r="D909" s="121" t="str">
        <f>HYPERLINK("http://www.centraltexas.va.gov/services/PMRS/OCCUPATIONALTHERAPY.ASP")</f>
        <v>http://www.centraltexas.va.gov/services/PMRS/OCCUPATIONALTHERAPY.ASP</v>
      </c>
      <c r="E909" s="8" t="s">
        <v>392</v>
      </c>
    </row>
    <row r="910" ht="14.25" hidden="1" customHeight="1">
      <c r="A910" s="8" t="s">
        <v>1274</v>
      </c>
      <c r="B910" s="8" t="s">
        <v>1281</v>
      </c>
      <c r="D910" s="121" t="str">
        <f>HYPERLINK("http://www.centraltexas.va.gov/services/PMRS/OUTPATIENT_MEDICAL_REHABILITATION.ASP")</f>
        <v>http://www.centraltexas.va.gov/services/PMRS/OUTPATIENT_MEDICAL_REHABILITATION.ASP</v>
      </c>
      <c r="E910" s="8" t="s">
        <v>392</v>
      </c>
    </row>
    <row r="911" ht="14.25" hidden="1" customHeight="1">
      <c r="A911" s="8" t="s">
        <v>1274</v>
      </c>
      <c r="B911" s="8" t="s">
        <v>316</v>
      </c>
      <c r="D911" s="121" t="str">
        <f>HYPERLINK("http://www.centraltexas.va.gov/services/PATHOLOGYLABORATORYMEDICINE.ASP")</f>
        <v>http://www.centraltexas.va.gov/services/PATHOLOGYLABORATORYMEDICINE.ASP</v>
      </c>
      <c r="E911" s="8" t="s">
        <v>392</v>
      </c>
    </row>
    <row r="912" ht="14.25" hidden="1" customHeight="1">
      <c r="A912" s="8" t="s">
        <v>1274</v>
      </c>
      <c r="B912" s="8" t="s">
        <v>343</v>
      </c>
      <c r="D912" s="121" t="str">
        <f>HYPERLINK("http://www.centraltexas.va.gov/services/PHARMACY.ASP")</f>
        <v>http://www.centraltexas.va.gov/services/PHARMACY.ASP</v>
      </c>
      <c r="E912" s="8" t="s">
        <v>392</v>
      </c>
    </row>
    <row r="913" ht="14.25" hidden="1" customHeight="1">
      <c r="A913" s="8" t="s">
        <v>1274</v>
      </c>
      <c r="B913" s="8" t="s">
        <v>1282</v>
      </c>
      <c r="D913" s="121" t="str">
        <f>HYPERLINK("http://www.centraltexas.va.gov/services/PMRS/PHYSIATRY_EMG.ASP")</f>
        <v>http://www.centraltexas.va.gov/services/PMRS/PHYSIATRY_EMG.ASP</v>
      </c>
      <c r="E913" s="8" t="s">
        <v>392</v>
      </c>
    </row>
    <row r="914" ht="14.25" hidden="1" customHeight="1">
      <c r="A914" s="8" t="s">
        <v>1274</v>
      </c>
      <c r="B914" s="8" t="s">
        <v>1283</v>
      </c>
      <c r="D914" s="121" t="str">
        <f>HYPERLINK("http://www.centraltexas.va.gov/services/PHYSICALMEDICINEREHABILITATION.ASP")</f>
        <v>http://www.centraltexas.va.gov/services/PHYSICALMEDICINEREHABILITATION.ASP</v>
      </c>
      <c r="E914" s="8" t="s">
        <v>392</v>
      </c>
    </row>
    <row r="915" ht="14.25" hidden="1" customHeight="1">
      <c r="A915" s="8" t="s">
        <v>1274</v>
      </c>
      <c r="B915" s="8" t="s">
        <v>608</v>
      </c>
      <c r="D915" s="121" t="str">
        <f>HYPERLINK("http://www.centraltexas.va.gov/services/PMRS/PHYSICALTHERAPY.ASP")</f>
        <v>http://www.centraltexas.va.gov/services/PMRS/PHYSICALTHERAPY.ASP</v>
      </c>
      <c r="E915" s="8" t="s">
        <v>392</v>
      </c>
    </row>
    <row r="916" ht="14.25" hidden="1" customHeight="1">
      <c r="A916" s="8" t="s">
        <v>1274</v>
      </c>
      <c r="B916" s="8" t="s">
        <v>1284</v>
      </c>
      <c r="D916" s="121" t="str">
        <f>HYPERLINK("http://www.centraltexas.va.gov/services/PTSD.ASP")</f>
        <v>http://www.centraltexas.va.gov/services/PTSD.ASP</v>
      </c>
      <c r="E916" s="8" t="s">
        <v>392</v>
      </c>
    </row>
    <row r="917" ht="14.25" hidden="1" customHeight="1">
      <c r="A917" s="8" t="s">
        <v>1274</v>
      </c>
      <c r="B917" s="8" t="s">
        <v>1285</v>
      </c>
      <c r="D917" s="121" t="str">
        <f>HYPERLINK("http://www.centraltexas.va.gov/services/PTSD/PTSD_RESIDENTIAL_PROGRAM.ASP")</f>
        <v>http://www.centraltexas.va.gov/services/PTSD/PTSD_RESIDENTIAL_PROGRAM.ASP</v>
      </c>
      <c r="E917" s="8" t="s">
        <v>392</v>
      </c>
    </row>
    <row r="918" ht="14.25" hidden="1" customHeight="1">
      <c r="A918" s="8" t="s">
        <v>1274</v>
      </c>
      <c r="B918" s="8" t="s">
        <v>1286</v>
      </c>
      <c r="D918" s="121" t="str">
        <f>HYPERLINK("http://www.centraltexas.va.gov/services/PMRS/PRESERVATION_AMPUTATION_FOR_VETERANS_EVERYWHERE.ASP")</f>
        <v>http://www.centraltexas.va.gov/services/PMRS/PRESERVATION_AMPUTATION_FOR_VETERANS_EVERYWHERE.ASP</v>
      </c>
      <c r="E918" s="8" t="s">
        <v>392</v>
      </c>
    </row>
    <row r="919" ht="14.25" hidden="1" customHeight="1">
      <c r="A919" s="8" t="s">
        <v>1274</v>
      </c>
      <c r="B919" s="8" t="s">
        <v>456</v>
      </c>
      <c r="D919" s="121" t="str">
        <f>HYPERLINK("http://www.centraltexas.va.gov/services/PROSTHETICSSENSORYAIDS.ASP")</f>
        <v>http://www.centraltexas.va.gov/services/PROSTHETICSSENSORYAIDS.ASP</v>
      </c>
      <c r="E919" s="8" t="s">
        <v>392</v>
      </c>
    </row>
    <row r="920" ht="14.25" hidden="1" customHeight="1">
      <c r="A920" s="8" t="s">
        <v>1274</v>
      </c>
      <c r="B920" s="8" t="s">
        <v>1287</v>
      </c>
      <c r="D920" s="121" t="str">
        <f>HYPERLINK("http://www.centraltexas.va.gov/services/PSYCHOLOGY.ASP")</f>
        <v>http://www.centraltexas.va.gov/services/PSYCHOLOGY.ASP</v>
      </c>
      <c r="E920" s="8" t="s">
        <v>392</v>
      </c>
    </row>
    <row r="921" ht="14.25" hidden="1" customHeight="1">
      <c r="A921" s="8" t="s">
        <v>1274</v>
      </c>
      <c r="B921" s="8" t="s">
        <v>1067</v>
      </c>
      <c r="D921" s="121" t="str">
        <f>HYPERLINK("http://www.centraltexas.va.gov/services/QUALITYMANAGEMENT.ASP")</f>
        <v>http://www.centraltexas.va.gov/services/QUALITYMANAGEMENT.ASP</v>
      </c>
      <c r="E921" s="8" t="s">
        <v>392</v>
      </c>
    </row>
    <row r="922" ht="14.25" hidden="1" customHeight="1">
      <c r="A922" s="8" t="s">
        <v>1274</v>
      </c>
      <c r="B922" s="8" t="s">
        <v>1288</v>
      </c>
      <c r="D922" s="121" t="str">
        <f>HYPERLINK("http://www.centraltexas.va.gov/services/PMRS/RECREATIONALTHERAPY.ASP")</f>
        <v>http://www.centraltexas.va.gov/services/PMRS/RECREATIONALTHERAPY.ASP</v>
      </c>
      <c r="E922" s="8" t="s">
        <v>392</v>
      </c>
    </row>
    <row r="923" ht="14.25" hidden="1" customHeight="1">
      <c r="A923" s="8" t="s">
        <v>1274</v>
      </c>
      <c r="B923" s="8" t="s">
        <v>1289</v>
      </c>
      <c r="D923" s="121" t="str">
        <f>HYPERLINK("http://www.centraltexas.va.gov/services/NURSE_TRIAGE.ASP")</f>
        <v>http://www.centraltexas.va.gov/services/NURSE_TRIAGE.ASP</v>
      </c>
      <c r="E923" s="8" t="s">
        <v>392</v>
      </c>
    </row>
    <row r="924" ht="14.25" hidden="1" customHeight="1">
      <c r="A924" s="8" t="s">
        <v>1274</v>
      </c>
      <c r="B924" s="8" t="s">
        <v>508</v>
      </c>
      <c r="D924" s="121" t="str">
        <f>HYPERLINK("http://www.centraltexas.va.gov/services/RESEARCHP.ASP")</f>
        <v>http://www.centraltexas.va.gov/services/RESEARCHP.ASP</v>
      </c>
      <c r="E924" s="8" t="s">
        <v>392</v>
      </c>
    </row>
    <row r="925" ht="14.25" hidden="1" customHeight="1">
      <c r="A925" s="8" t="s">
        <v>1274</v>
      </c>
      <c r="B925" s="8" t="s">
        <v>360</v>
      </c>
      <c r="D925" s="121" t="str">
        <f>HYPERLINK("http://www.centraltexas.va.gov/services/SOCIALWORK.ASP")</f>
        <v>http://www.centraltexas.va.gov/services/SOCIALWORK.ASP</v>
      </c>
      <c r="E925" s="8" t="s">
        <v>392</v>
      </c>
    </row>
    <row r="926" ht="14.25" hidden="1" customHeight="1">
      <c r="A926" s="8" t="s">
        <v>1274</v>
      </c>
      <c r="B926" s="8" t="s">
        <v>1290</v>
      </c>
      <c r="D926" s="121" t="str">
        <f>HYPERLINK("http://www.centraltexas.va.gov/services/PMRS/SPEECH_LANGUAGEPATHOLOGY.ASP")</f>
        <v>http://www.centraltexas.va.gov/services/PMRS/SPEECH_LANGUAGEPATHOLOGY.ASP</v>
      </c>
      <c r="E926" s="8" t="s">
        <v>392</v>
      </c>
    </row>
    <row r="927" ht="14.25" hidden="1" customHeight="1">
      <c r="A927" s="8" t="s">
        <v>1274</v>
      </c>
      <c r="B927" s="8" t="s">
        <v>364</v>
      </c>
      <c r="D927" s="121" t="str">
        <f>HYPERLINK("http://www.centraltexas.va.gov/services/SPINAL_CORD_INJURY.ASP")</f>
        <v>http://www.centraltexas.va.gov/services/SPINAL_CORD_INJURY.ASP</v>
      </c>
      <c r="E927" s="8" t="s">
        <v>392</v>
      </c>
    </row>
    <row r="928" ht="14.25" hidden="1" customHeight="1">
      <c r="A928" s="8" t="s">
        <v>1274</v>
      </c>
      <c r="B928" s="8" t="s">
        <v>1291</v>
      </c>
      <c r="D928" s="121" t="str">
        <f>HYPERLINK("http://www.centraltexas.va.gov/services/SUICIDE_PREVENTION_AUSTIN.ASP")</f>
        <v>http://www.centraltexas.va.gov/services/SUICIDE_PREVENTION_AUSTIN.ASP</v>
      </c>
      <c r="E928" s="8" t="s">
        <v>392</v>
      </c>
    </row>
    <row r="929" ht="14.25" hidden="1" customHeight="1">
      <c r="A929" s="8" t="s">
        <v>1274</v>
      </c>
      <c r="B929" s="8" t="s">
        <v>1292</v>
      </c>
      <c r="D929" s="121" t="str">
        <f>HYPERLINK("http://www.centraltexas.va.gov/services/SUICIDE_PREVENTION.ASP")</f>
        <v>http://www.centraltexas.va.gov/services/SUICIDE_PREVENTION.ASP</v>
      </c>
      <c r="E929" s="8" t="s">
        <v>392</v>
      </c>
    </row>
    <row r="930" ht="14.25" hidden="1" customHeight="1">
      <c r="A930" s="8" t="s">
        <v>1274</v>
      </c>
      <c r="B930" s="8" t="s">
        <v>1293</v>
      </c>
      <c r="D930" s="121" t="str">
        <f>HYPERLINK("http://www.centraltexas.va.gov/services/SUICIDE_PREVENTION_WACO.ASP")</f>
        <v>http://www.centraltexas.va.gov/services/SUICIDE_PREVENTION_WACO.ASP</v>
      </c>
      <c r="E930" s="8" t="s">
        <v>392</v>
      </c>
    </row>
    <row r="931" ht="14.25" hidden="1" customHeight="1">
      <c r="A931" s="8" t="s">
        <v>1274</v>
      </c>
      <c r="B931" s="8" t="s">
        <v>1294</v>
      </c>
      <c r="D931" s="121" t="str">
        <f>HYPERLINK("http://www.centraltexas.va.gov/services/PMRS/TRAUMATIC_BRAIN_INJURY.ASP")</f>
        <v>http://www.centraltexas.va.gov/services/PMRS/TRAUMATIC_BRAIN_INJURY.ASP</v>
      </c>
      <c r="E931" s="8" t="s">
        <v>392</v>
      </c>
    </row>
    <row r="932" ht="14.25" hidden="1" customHeight="1">
      <c r="A932" s="8" t="s">
        <v>1274</v>
      </c>
      <c r="B932" s="8" t="s">
        <v>1295</v>
      </c>
      <c r="D932" s="121" t="str">
        <f>HYPERLINK("http://www.centraltexas.va.gov/services/WACOWOMENDOM.ASP")</f>
        <v>http://www.centraltexas.va.gov/services/WACOWOMENDOM.ASP</v>
      </c>
      <c r="E932" s="8" t="s">
        <v>392</v>
      </c>
    </row>
    <row r="933" ht="14.25" hidden="1" customHeight="1">
      <c r="A933" s="8" t="s">
        <v>1274</v>
      </c>
      <c r="B933" s="8" t="s">
        <v>1295</v>
      </c>
      <c r="D933" s="121" t="str">
        <f>HYPERLINK("http://www.centraltexas.va.gov/services/WWD/WACOWOMENDOM.ASP")</f>
        <v>http://www.centraltexas.va.gov/services/WWD/WACOWOMENDOM.ASP</v>
      </c>
      <c r="E933" s="8" t="s">
        <v>392</v>
      </c>
    </row>
    <row r="934" ht="14.25" hidden="1" customHeight="1">
      <c r="A934" s="8" t="s">
        <v>1274</v>
      </c>
      <c r="B934" s="8" t="s">
        <v>942</v>
      </c>
      <c r="D934" s="121" t="str">
        <f>HYPERLINK("http://www.centraltexas.va.gov/services/HPDP.ASP")</f>
        <v>http://www.centraltexas.va.gov/services/HPDP.ASP</v>
      </c>
      <c r="E934" s="8" t="s">
        <v>595</v>
      </c>
    </row>
    <row r="935" ht="14.25" hidden="1" customHeight="1">
      <c r="A935" s="8" t="s">
        <v>1296</v>
      </c>
      <c r="B935" s="8" t="s">
        <v>244</v>
      </c>
      <c r="D935" s="121" t="str">
        <f>HYPERLINK("http://www.centralwesternmass.va.gov/services/AUDIOLOGY.ASP")</f>
        <v>http://www.centralwesternmass.va.gov/services/AUDIOLOGY.ASP</v>
      </c>
      <c r="E935" s="8" t="s">
        <v>392</v>
      </c>
    </row>
    <row r="936" ht="14.25" hidden="1" customHeight="1">
      <c r="A936" s="8" t="s">
        <v>1296</v>
      </c>
      <c r="B936" s="8" t="s">
        <v>300</v>
      </c>
      <c r="D936" s="121" t="str">
        <f>HYPERLINK("http://www.centralwesternmass.va.gov/services/CAREGIVER_PROGRAM.ASP")</f>
        <v>http://www.centralwesternmass.va.gov/services/CAREGIVER_PROGRAM.ASP</v>
      </c>
      <c r="E936" s="8" t="s">
        <v>392</v>
      </c>
    </row>
    <row r="937" ht="14.25" hidden="1" customHeight="1">
      <c r="A937" s="8" t="s">
        <v>1296</v>
      </c>
      <c r="B937" s="8" t="s">
        <v>497</v>
      </c>
      <c r="D937" s="121" t="str">
        <f>HYPERLINK("http://www.centralwesternmass.va.gov/services/CWT.ASP")</f>
        <v>http://www.centralwesternmass.va.gov/services/CWT.ASP</v>
      </c>
      <c r="E937" s="8" t="s">
        <v>392</v>
      </c>
    </row>
    <row r="938" ht="14.25" hidden="1" customHeight="1">
      <c r="A938" s="8" t="s">
        <v>1296</v>
      </c>
      <c r="B938" s="8" t="s">
        <v>1297</v>
      </c>
      <c r="D938" s="121" t="str">
        <f>HYPERLINK("http://www.centralwesternmass.va.gov/services/DIABETES_CARE.ASP")</f>
        <v>http://www.centralwesternmass.va.gov/services/DIABETES_CARE.ASP</v>
      </c>
      <c r="E938" s="8" t="s">
        <v>392</v>
      </c>
    </row>
    <row r="939" ht="14.25" hidden="1" customHeight="1">
      <c r="A939" s="8" t="s">
        <v>1296</v>
      </c>
      <c r="B939" s="8" t="s">
        <v>309</v>
      </c>
      <c r="D939" s="121" t="str">
        <f>HYPERLINK("http://www.centralwesternmass.va.gov/services/EXTENDED_CARE_AND_REHABILITATION.ASP")</f>
        <v>http://www.centralwesternmass.va.gov/services/EXTENDED_CARE_AND_REHABILITATION.ASP</v>
      </c>
      <c r="E939" s="8" t="s">
        <v>392</v>
      </c>
    </row>
    <row r="940" ht="14.25" hidden="1" customHeight="1">
      <c r="A940" s="8" t="s">
        <v>1296</v>
      </c>
      <c r="B940" s="8" t="s">
        <v>674</v>
      </c>
      <c r="D940" s="121" t="str">
        <f>HYPERLINK("http://www.centralwesternmass.va.gov/services/FORMER_PRISONERS_OF_WAR_FPOW_ADVOCATE.ASP")</f>
        <v>http://www.centralwesternmass.va.gov/services/FORMER_PRISONERS_OF_WAR_FPOW_ADVOCATE.ASP</v>
      </c>
      <c r="E940" s="8" t="s">
        <v>392</v>
      </c>
    </row>
    <row r="941" ht="14.25" hidden="1" customHeight="1">
      <c r="A941" s="8" t="s">
        <v>1296</v>
      </c>
      <c r="B941" s="8" t="s">
        <v>1298</v>
      </c>
      <c r="D941" s="121" t="str">
        <f>HYPERLINK("http://www.centralwesternmass.va.gov/services/HEALTH_AND_WELLNESS.ASP")</f>
        <v>http://www.centralwesternmass.va.gov/services/HEALTH_AND_WELLNESS.ASP</v>
      </c>
      <c r="E941" s="8" t="s">
        <v>392</v>
      </c>
    </row>
    <row r="942" ht="14.25" hidden="1" customHeight="1">
      <c r="A942" s="8" t="s">
        <v>1296</v>
      </c>
      <c r="B942" s="8" t="s">
        <v>312</v>
      </c>
      <c r="D942" s="121" t="str">
        <f>HYPERLINK("http://www.centralwesternmass.va.gov/services/HOMELESS_VETERANS.ASP")</f>
        <v>http://www.centralwesternmass.va.gov/services/HOMELESS_VETERANS.ASP</v>
      </c>
      <c r="E942" s="8" t="s">
        <v>392</v>
      </c>
    </row>
    <row r="943" ht="14.25" hidden="1" customHeight="1">
      <c r="A943" s="8" t="s">
        <v>1296</v>
      </c>
      <c r="B943" s="8" t="s">
        <v>1299</v>
      </c>
      <c r="D943" s="121" t="str">
        <f>HYPERLINK("http://www.centralwesternmass.va.gov/services/HORTICULTURAL_THERAPY.ASP")</f>
        <v>http://www.centralwesternmass.va.gov/services/HORTICULTURAL_THERAPY.ASP</v>
      </c>
      <c r="E943" s="8" t="s">
        <v>392</v>
      </c>
    </row>
    <row r="944" ht="14.25" hidden="1" customHeight="1">
      <c r="A944" s="8" t="s">
        <v>1296</v>
      </c>
      <c r="B944" s="8" t="s">
        <v>441</v>
      </c>
      <c r="D944" s="121" t="str">
        <f>HYPERLINK("http://www.centralwesternmass.va.gov/services/MOVE.ASP")</f>
        <v>http://www.centralwesternmass.va.gov/services/MOVE.ASP</v>
      </c>
      <c r="E944" s="8" t="s">
        <v>392</v>
      </c>
    </row>
    <row r="945" ht="14.25" hidden="1" customHeight="1">
      <c r="A945" s="8" t="s">
        <v>1296</v>
      </c>
      <c r="B945" s="8" t="s">
        <v>323</v>
      </c>
      <c r="D945" s="121" t="str">
        <f>HYPERLINK("http://www.centralwesternmass.va.gov/services/MENTAL_HEALTH.ASP")</f>
        <v>http://www.centralwesternmass.va.gov/services/MENTAL_HEALTH.ASP</v>
      </c>
      <c r="E945" s="8" t="s">
        <v>392</v>
      </c>
    </row>
    <row r="946" ht="14.25" hidden="1" customHeight="1">
      <c r="A946" s="8" t="s">
        <v>1296</v>
      </c>
      <c r="B946" s="8" t="s">
        <v>332</v>
      </c>
      <c r="D946" s="121" t="str">
        <f>HYPERLINK("http://www.centralwesternmass.va.gov/services/NUTRITION_AND_FOOD_SERVICES.ASP")</f>
        <v>http://www.centralwesternmass.va.gov/services/NUTRITION_AND_FOOD_SERVICES.ASP</v>
      </c>
      <c r="E946" s="8" t="s">
        <v>392</v>
      </c>
    </row>
    <row r="947" ht="14.25" hidden="1" customHeight="1">
      <c r="A947" s="8" t="s">
        <v>1296</v>
      </c>
      <c r="B947" s="8" t="s">
        <v>343</v>
      </c>
      <c r="D947" s="121" t="str">
        <f>HYPERLINK("http://www.centralwesternmass.va.gov/services/PHARMACY.ASP")</f>
        <v>http://www.centralwesternmass.va.gov/services/PHARMACY.ASP</v>
      </c>
      <c r="E947" s="8" t="s">
        <v>392</v>
      </c>
    </row>
    <row r="948" ht="14.25" hidden="1" customHeight="1">
      <c r="A948" s="8" t="s">
        <v>1296</v>
      </c>
      <c r="B948" s="8" t="s">
        <v>348</v>
      </c>
      <c r="D948" s="121" t="str">
        <f>HYPERLINK("http://www.centralwesternmass.va.gov/services/PRIMARY_CARE.ASP")</f>
        <v>http://www.centralwesternmass.va.gov/services/PRIMARY_CARE.ASP</v>
      </c>
      <c r="E948" s="8" t="s">
        <v>392</v>
      </c>
    </row>
    <row r="949" ht="14.25" hidden="1" customHeight="1">
      <c r="A949" s="8" t="s">
        <v>1296</v>
      </c>
      <c r="B949" s="8" t="s">
        <v>355</v>
      </c>
      <c r="D949" s="121" t="str">
        <f>HYPERLINK("http://www.centralwesternmass.va.gov/services/RETURNING_SERVICE_MEMBERS.ASP")</f>
        <v>http://www.centralwesternmass.va.gov/services/RETURNING_SERVICE_MEMBERS.ASP</v>
      </c>
      <c r="E949" s="8" t="s">
        <v>392</v>
      </c>
    </row>
    <row r="950" ht="14.25" hidden="1" customHeight="1">
      <c r="A950" s="8" t="s">
        <v>1296</v>
      </c>
      <c r="B950" s="8" t="s">
        <v>360</v>
      </c>
      <c r="D950" s="121" t="str">
        <f>HYPERLINK("http://www.centralwesternmass.va.gov/services/SOCIAL_WORK.ASP")</f>
        <v>http://www.centralwesternmass.va.gov/services/SOCIAL_WORK.ASP</v>
      </c>
      <c r="E950" s="8" t="s">
        <v>392</v>
      </c>
    </row>
    <row r="951" ht="14.25" hidden="1" customHeight="1">
      <c r="A951" s="8" t="s">
        <v>1296</v>
      </c>
      <c r="B951" s="8" t="s">
        <v>363</v>
      </c>
      <c r="D951" s="121" t="str">
        <f>HYPERLINK("http://www.centralwesternmass.va.gov/services/SPECIALTY_CARE.ASP")</f>
        <v>http://www.centralwesternmass.va.gov/services/SPECIALTY_CARE.ASP</v>
      </c>
      <c r="E951" s="8" t="s">
        <v>392</v>
      </c>
    </row>
    <row r="952" ht="14.25" hidden="1" customHeight="1">
      <c r="A952" s="8" t="s">
        <v>1296</v>
      </c>
      <c r="B952" s="8" t="s">
        <v>1300</v>
      </c>
      <c r="D952" s="121" t="str">
        <f>HYPERLINK("http://www.centralwesternmass.va.gov/services/VETERANS_CARE_PROJECT.ASP")</f>
        <v>http://www.centralwesternmass.va.gov/services/VETERANS_CARE_PROJECT.ASP</v>
      </c>
      <c r="E952" s="8" t="s">
        <v>392</v>
      </c>
    </row>
    <row r="953" ht="14.25" hidden="1" customHeight="1">
      <c r="A953" s="8" t="s">
        <v>1296</v>
      </c>
      <c r="B953" s="8" t="s">
        <v>1301</v>
      </c>
      <c r="D953" s="121" t="str">
        <f>HYPERLINK("http://www.centralwesternmass.va.gov/services/VISUAL_IMPAIRMENT_SERVICES_TEAM_PROGRAM_VIST.ASP")</f>
        <v>http://www.centralwesternmass.va.gov/services/VISUAL_IMPAIRMENT_SERVICES_TEAM_PROGRAM_VIST.ASP</v>
      </c>
      <c r="E953" s="8" t="s">
        <v>392</v>
      </c>
    </row>
    <row r="954" ht="14.25" hidden="1" customHeight="1">
      <c r="A954" s="8" t="s">
        <v>1296</v>
      </c>
      <c r="B954" s="8" t="s">
        <v>379</v>
      </c>
      <c r="D954" s="121" t="str">
        <f>HYPERLINK("http://www.centralwesternmass.va.gov/services/WOMEN_VETERANS.ASP")</f>
        <v>http://www.centralwesternmass.va.gov/services/WOMEN_VETERANS.ASP</v>
      </c>
      <c r="E954" s="8" t="s">
        <v>392</v>
      </c>
    </row>
    <row r="955" ht="14.25" hidden="1" customHeight="1">
      <c r="A955" s="8" t="s">
        <v>1302</v>
      </c>
      <c r="B955" s="8" t="s">
        <v>410</v>
      </c>
      <c r="D955" s="121" t="str">
        <f>HYPERLINK("http://www.charleston.va.gov/services/DEPARTMENT_OF_ANESTHESIOLOGY.ASP")</f>
        <v>http://www.charleston.va.gov/services/DEPARTMENT_OF_ANESTHESIOLOGY.ASP</v>
      </c>
      <c r="E955" s="8" t="s">
        <v>392</v>
      </c>
    </row>
    <row r="956" ht="14.25" hidden="1" customHeight="1">
      <c r="A956" s="8" t="s">
        <v>1302</v>
      </c>
      <c r="B956" s="8" t="s">
        <v>244</v>
      </c>
      <c r="D956" s="121" t="str">
        <f>HYPERLINK("http://www.charleston.va.gov/services/AUDIOLOGY.ASP")</f>
        <v>http://www.charleston.va.gov/services/AUDIOLOGY.ASP</v>
      </c>
      <c r="E956" s="8" t="s">
        <v>392</v>
      </c>
    </row>
    <row r="957" ht="14.25" hidden="1" customHeight="1">
      <c r="A957" s="8" t="s">
        <v>1302</v>
      </c>
      <c r="B957" s="8" t="s">
        <v>632</v>
      </c>
      <c r="D957" s="121" t="str">
        <f>HYPERLINK("http://www.charleston.va.gov/services/BARIATRIC.ASP")</f>
        <v>http://www.charleston.va.gov/services/BARIATRIC.ASP</v>
      </c>
      <c r="E957" s="8" t="s">
        <v>392</v>
      </c>
    </row>
    <row r="958" ht="14.25" hidden="1" customHeight="1">
      <c r="A958" s="8" t="s">
        <v>1302</v>
      </c>
      <c r="B958" s="8" t="s">
        <v>1303</v>
      </c>
      <c r="D958" s="121" t="str">
        <f>HYPERLINK("http://www.charleston.va.gov/services/FISHER_HOUSE.ASP")</f>
        <v>http://www.charleston.va.gov/services/FISHER_HOUSE.ASP</v>
      </c>
      <c r="E958" s="8" t="s">
        <v>392</v>
      </c>
    </row>
    <row r="959" ht="14.25" hidden="1" customHeight="1">
      <c r="A959" s="8" t="s">
        <v>1302</v>
      </c>
      <c r="B959" s="8" t="s">
        <v>1304</v>
      </c>
      <c r="D959" s="121" t="str">
        <f>HYPERLINK("http://www.charleston.va.gov/services/EQUAL_EMPLOYMENT_OPPORTUNITY.ASP")</f>
        <v>http://www.charleston.va.gov/services/EQUAL_EMPLOYMENT_OPPORTUNITY.ASP</v>
      </c>
      <c r="E959" s="8" t="s">
        <v>392</v>
      </c>
    </row>
    <row r="960" ht="14.25" hidden="1" customHeight="1">
      <c r="A960" s="8" t="s">
        <v>1302</v>
      </c>
      <c r="B960" s="8" t="s">
        <v>556</v>
      </c>
      <c r="D960" s="121" t="str">
        <f>HYPERLINK("http://www.charleston.va.gov/services/GERIATRICS.ASP")</f>
        <v>http://www.charleston.va.gov/services/GERIATRICS.ASP</v>
      </c>
      <c r="E960" s="8" t="s">
        <v>392</v>
      </c>
    </row>
    <row r="961" ht="14.25" hidden="1" customHeight="1">
      <c r="A961" s="8" t="s">
        <v>1302</v>
      </c>
      <c r="B961" s="8" t="s">
        <v>1305</v>
      </c>
      <c r="D961" s="121" t="str">
        <f>HYPERLINK("http://www.charleston.va.gov/services/HEROIC.ASP")</f>
        <v>http://www.charleston.va.gov/services/HEROIC.ASP</v>
      </c>
      <c r="E961" s="8" t="s">
        <v>392</v>
      </c>
    </row>
    <row r="962" ht="14.25" hidden="1" customHeight="1">
      <c r="A962" s="8" t="s">
        <v>1302</v>
      </c>
      <c r="B962" s="8" t="s">
        <v>1306</v>
      </c>
      <c r="D962" s="121" t="str">
        <f>HYPERLINK("http://www.charleston.va.gov/services/HPDP.ASP")</f>
        <v>http://www.charleston.va.gov/services/HPDP.ASP</v>
      </c>
      <c r="E962" s="8" t="s">
        <v>392</v>
      </c>
    </row>
    <row r="963" ht="14.25" hidden="1" customHeight="1">
      <c r="A963" s="8" t="s">
        <v>1302</v>
      </c>
      <c r="B963" s="8" t="s">
        <v>1307</v>
      </c>
      <c r="D963" s="121" t="str">
        <f>HYPERLINK("http://www.charleston.va.gov/services/HEMATOLOGY_AND_ONCOLOGY.ASP")</f>
        <v>http://www.charleston.va.gov/services/HEMATOLOGY_AND_ONCOLOGY.ASP</v>
      </c>
      <c r="E963" s="8" t="s">
        <v>392</v>
      </c>
    </row>
    <row r="964" ht="14.25" hidden="1" customHeight="1">
      <c r="A964" s="8" t="s">
        <v>1302</v>
      </c>
      <c r="B964" s="8" t="s">
        <v>1308</v>
      </c>
      <c r="D964" s="121" t="str">
        <f>HYPERLINK("http://www.charleston.va.gov/services/HOSPICE_SERVICES_FOR_VETERANS.ASP")</f>
        <v>http://www.charleston.va.gov/services/HOSPICE_SERVICES_FOR_VETERANS.ASP</v>
      </c>
      <c r="E964" s="8" t="s">
        <v>392</v>
      </c>
    </row>
    <row r="965" ht="14.25" hidden="1" customHeight="1">
      <c r="A965" s="8" t="s">
        <v>1302</v>
      </c>
      <c r="B965" s="8" t="s">
        <v>1309</v>
      </c>
      <c r="D965" s="121" t="str">
        <f>HYPERLINK("http://www.charleston.va.gov/services/INPATIENT_PALLIATIVE_CARE.ASP")</f>
        <v>http://www.charleston.va.gov/services/INPATIENT_PALLIATIVE_CARE.ASP</v>
      </c>
      <c r="E965" s="8" t="s">
        <v>392</v>
      </c>
    </row>
    <row r="966" ht="14.25" hidden="1" customHeight="1">
      <c r="A966" s="8" t="s">
        <v>1302</v>
      </c>
      <c r="B966" s="8" t="s">
        <v>323</v>
      </c>
      <c r="D966" s="121" t="str">
        <f>HYPERLINK("http://www.charleston.va.gov/services/MENTAL_HEALTH.ASP")</f>
        <v>http://www.charleston.va.gov/services/MENTAL_HEALTH.ASP</v>
      </c>
      <c r="E966" s="8" t="s">
        <v>392</v>
      </c>
    </row>
    <row r="967" ht="14.25" hidden="1" customHeight="1">
      <c r="A967" s="8" t="s">
        <v>1302</v>
      </c>
      <c r="B967" s="8" t="s">
        <v>326</v>
      </c>
      <c r="D967" s="121" t="str">
        <f>HYPERLINK("http://www.charleston.va.gov/services/MINORITY_VETERANS_PROGRAM.ASP")</f>
        <v>http://www.charleston.va.gov/services/MINORITY_VETERANS_PROGRAM.ASP</v>
      </c>
      <c r="E967" s="8" t="s">
        <v>392</v>
      </c>
    </row>
    <row r="968" ht="14.25" hidden="1" customHeight="1">
      <c r="A968" s="8" t="s">
        <v>1302</v>
      </c>
      <c r="B968" s="8" t="s">
        <v>1310</v>
      </c>
      <c r="D968" s="121" t="str">
        <f>HYPERLINK("http://www.charleston.va.gov/services/NUTRITION.ASP")</f>
        <v>http://www.charleston.va.gov/services/NUTRITION.ASP</v>
      </c>
      <c r="E968" s="8" t="s">
        <v>392</v>
      </c>
    </row>
    <row r="969" ht="14.25" hidden="1" customHeight="1">
      <c r="A969" s="8" t="s">
        <v>1302</v>
      </c>
      <c r="B969" s="8" t="s">
        <v>651</v>
      </c>
      <c r="D969" s="121" t="str">
        <f>HYPERLINK("http://www.charleston.va.gov/services/PALLIATIVE_CARE.ASP")</f>
        <v>http://www.charleston.va.gov/services/PALLIATIVE_CARE.ASP</v>
      </c>
      <c r="E969" s="8" t="s">
        <v>392</v>
      </c>
    </row>
    <row r="970" ht="14.25" hidden="1" customHeight="1">
      <c r="A970" s="8" t="s">
        <v>1302</v>
      </c>
      <c r="B970" s="8" t="s">
        <v>1311</v>
      </c>
      <c r="D970" s="121" t="str">
        <f>HYPERLINK("http://www.charleston.va.gov/services/PATIENT_AND_FAMILY_CENTERED_CARE.ASP")</f>
        <v>http://www.charleston.va.gov/services/PATIENT_AND_FAMILY_CENTERED_CARE.ASP</v>
      </c>
      <c r="E970" s="8" t="s">
        <v>392</v>
      </c>
    </row>
    <row r="971" ht="14.25" hidden="1" customHeight="1">
      <c r="A971" s="8" t="s">
        <v>1302</v>
      </c>
      <c r="B971" s="8" t="s">
        <v>343</v>
      </c>
      <c r="D971" s="121" t="str">
        <f>HYPERLINK("http://www.charleston.va.gov/services/PHARMACY.ASP")</f>
        <v>http://www.charleston.va.gov/services/PHARMACY.ASP</v>
      </c>
      <c r="E971" s="8" t="s">
        <v>392</v>
      </c>
    </row>
    <row r="972" ht="14.25" hidden="1" customHeight="1">
      <c r="A972" s="8" t="s">
        <v>1302</v>
      </c>
      <c r="B972" s="8" t="s">
        <v>963</v>
      </c>
      <c r="D972" s="121" t="str">
        <f>HYPERLINK("http://www.charleston.va.gov/services/PRIVACY.ASP")</f>
        <v>http://www.charleston.va.gov/services/PRIVACY.ASP</v>
      </c>
      <c r="E972" s="8" t="s">
        <v>392</v>
      </c>
    </row>
    <row r="973" ht="14.25" hidden="1" customHeight="1">
      <c r="A973" s="8" t="s">
        <v>1302</v>
      </c>
      <c r="B973" s="8" t="s">
        <v>1312</v>
      </c>
      <c r="D973" s="121" t="str">
        <f>HYPERLINK("http://www.charleston.va.gov/services/RESEARCH.ASP")</f>
        <v>http://www.charleston.va.gov/services/RESEARCH.ASP</v>
      </c>
      <c r="E973" s="8" t="s">
        <v>392</v>
      </c>
    </row>
    <row r="974" ht="14.25" hidden="1" customHeight="1">
      <c r="A974" s="8" t="s">
        <v>1302</v>
      </c>
      <c r="B974" s="8" t="s">
        <v>1313</v>
      </c>
      <c r="D974" s="121" t="str">
        <f>HYPERLINK("http://www.charleston.va.gov/services/SLEEP_STUDIES.ASP")</f>
        <v>http://www.charleston.va.gov/services/SLEEP_STUDIES.ASP</v>
      </c>
      <c r="E974" s="8" t="s">
        <v>392</v>
      </c>
    </row>
    <row r="975" ht="14.25" hidden="1" customHeight="1">
      <c r="A975" s="8" t="s">
        <v>1314</v>
      </c>
      <c r="B975" s="8" t="s">
        <v>1315</v>
      </c>
      <c r="D975" s="121" t="str">
        <f>HYPERLINK("http://www.cheyenne.va.gov/services/AGENT_ORANGE_REGISTRY_EXAM.ASP")</f>
        <v>http://www.cheyenne.va.gov/services/AGENT_ORANGE_REGISTRY_EXAM.ASP</v>
      </c>
      <c r="E975" s="8" t="s">
        <v>392</v>
      </c>
    </row>
    <row r="976" ht="14.25" hidden="1" customHeight="1">
      <c r="A976" s="8" t="s">
        <v>1314</v>
      </c>
      <c r="B976" s="8" t="s">
        <v>244</v>
      </c>
      <c r="D976" s="121" t="str">
        <f>HYPERLINK("http://www.cheyenne.va.gov/services/AUDIOLOGY.ASP")</f>
        <v>http://www.cheyenne.va.gov/services/AUDIOLOGY.ASP</v>
      </c>
      <c r="E976" s="8" t="s">
        <v>392</v>
      </c>
    </row>
    <row r="977" ht="14.25" hidden="1" customHeight="1">
      <c r="A977" s="8" t="s">
        <v>1314</v>
      </c>
      <c r="B977" s="8" t="s">
        <v>1316</v>
      </c>
      <c r="D977" s="121" t="str">
        <f>HYPERLINK("http://www.cheyenne.va.gov/services/CARDIOPULMONARY_AND_NEUROLOGY_SERVICE.ASP")</f>
        <v>http://www.cheyenne.va.gov/services/CARDIOPULMONARY_AND_NEUROLOGY_SERVICE.ASP</v>
      </c>
      <c r="E977" s="8" t="s">
        <v>392</v>
      </c>
    </row>
    <row r="978" ht="14.25" hidden="1" customHeight="1">
      <c r="A978" s="8" t="s">
        <v>1314</v>
      </c>
      <c r="B978" s="8" t="s">
        <v>468</v>
      </c>
      <c r="D978" s="121" t="str">
        <f>HYPERLINK("http://www.cheyenne.va.gov/services/CHAPLAIN_AND_RELIGIOUS_SERVICES.ASP")</f>
        <v>http://www.cheyenne.va.gov/services/CHAPLAIN_AND_RELIGIOUS_SERVICES.ASP</v>
      </c>
      <c r="E978" s="8" t="s">
        <v>392</v>
      </c>
    </row>
    <row r="979" ht="14.25" hidden="1" customHeight="1">
      <c r="A979" s="8" t="s">
        <v>1314</v>
      </c>
      <c r="B979" s="8" t="s">
        <v>1317</v>
      </c>
      <c r="D979" s="121" t="str">
        <f>HYPERLINK("http://www.cheyenne.va.gov/services/CHEMOTHERAPY_INFUSION_CLINIC.ASP")</f>
        <v>http://www.cheyenne.va.gov/services/CHEMOTHERAPY_INFUSION_CLINIC.ASP</v>
      </c>
      <c r="E979" s="8" t="s">
        <v>392</v>
      </c>
    </row>
    <row r="980" ht="14.25" hidden="1" customHeight="1">
      <c r="A980" s="8" t="s">
        <v>1314</v>
      </c>
      <c r="B980" s="8" t="s">
        <v>1318</v>
      </c>
      <c r="D980" s="121" t="str">
        <f>HYPERLINK("http://www.cheyenne.va.gov/services/CLINICAL_PSYCHOLOGY.ASP")</f>
        <v>http://www.cheyenne.va.gov/services/CLINICAL_PSYCHOLOGY.ASP</v>
      </c>
      <c r="E980" s="8" t="s">
        <v>392</v>
      </c>
    </row>
    <row r="981" ht="14.25" hidden="1" customHeight="1">
      <c r="A981" s="8" t="s">
        <v>1314</v>
      </c>
      <c r="B981" s="8" t="s">
        <v>482</v>
      </c>
      <c r="D981" s="121" t="str">
        <f>HYPERLINK("http://www.cheyenne.va.gov/services/COMMUNITY_LIVING_CENTER.ASP")</f>
        <v>http://www.cheyenne.va.gov/services/COMMUNITY_LIVING_CENTER.ASP</v>
      </c>
      <c r="E981" s="8" t="s">
        <v>392</v>
      </c>
    </row>
    <row r="982" ht="14.25" hidden="1" customHeight="1">
      <c r="A982" s="8" t="s">
        <v>1314</v>
      </c>
      <c r="B982" s="8" t="s">
        <v>513</v>
      </c>
      <c r="D982" s="121" t="str">
        <f>HYPERLINK("http://www.cheyenne.va.gov/services/DENTAL.ASP")</f>
        <v>http://www.cheyenne.va.gov/services/DENTAL.ASP</v>
      </c>
      <c r="E982" s="8" t="s">
        <v>392</v>
      </c>
    </row>
    <row r="983" ht="14.25" hidden="1" customHeight="1">
      <c r="A983" s="8" t="s">
        <v>1314</v>
      </c>
      <c r="B983" s="8" t="s">
        <v>1319</v>
      </c>
      <c r="D983" s="121" t="str">
        <f>HYPERLINK("http://www.cheyenne.va.gov/services/EAR_NOSE_AND_THROAT_SERVICE.ASP")</f>
        <v>http://www.cheyenne.va.gov/services/EAR_NOSE_AND_THROAT_SERVICE.ASP</v>
      </c>
      <c r="E983" s="8" t="s">
        <v>392</v>
      </c>
    </row>
    <row r="984" ht="14.25" hidden="1" customHeight="1">
      <c r="A984" s="8" t="s">
        <v>1314</v>
      </c>
      <c r="B984" s="8" t="s">
        <v>1320</v>
      </c>
      <c r="D984" s="121" t="str">
        <f>HYPERLINK("http://www.cheyenne.va.gov/services/ENDOSCOPY_SERVICES.ASP")</f>
        <v>http://www.cheyenne.va.gov/services/ENDOSCOPY_SERVICES.ASP</v>
      </c>
      <c r="E984" s="8" t="s">
        <v>392</v>
      </c>
    </row>
    <row r="985" ht="14.25" hidden="1" customHeight="1">
      <c r="A985" s="8" t="s">
        <v>1314</v>
      </c>
      <c r="B985" s="8" t="s">
        <v>949</v>
      </c>
      <c r="D985" s="121" t="str">
        <f>HYPERLINK("http://www.cheyenne.va.gov/services/EYE_CARE.ASP")</f>
        <v>http://www.cheyenne.va.gov/services/EYE_CARE.ASP</v>
      </c>
      <c r="E985" s="8" t="s">
        <v>392</v>
      </c>
    </row>
    <row r="986" ht="14.25" hidden="1" customHeight="1">
      <c r="A986" s="8" t="s">
        <v>1314</v>
      </c>
      <c r="B986" s="8" t="s">
        <v>431</v>
      </c>
      <c r="D986" s="121" t="str">
        <f>HYPERLINK("http://www.cheyenne.va.gov/services/HOME_BASED_PRIMARY_CARE.ASP")</f>
        <v>http://www.cheyenne.va.gov/services/HOME_BASED_PRIMARY_CARE.ASP</v>
      </c>
      <c r="E986" s="8" t="s">
        <v>392</v>
      </c>
    </row>
    <row r="987" ht="14.25" hidden="1" customHeight="1">
      <c r="A987" s="8" t="s">
        <v>1314</v>
      </c>
      <c r="B987" s="8" t="s">
        <v>1321</v>
      </c>
      <c r="D987" s="121" t="str">
        <f>HYPERLINK("http://www.cheyenne.va.gov/services/HOME_TELEHEALTH_PROGRAM.ASP")</f>
        <v>http://www.cheyenne.va.gov/services/HOME_TELEHEALTH_PROGRAM.ASP</v>
      </c>
      <c r="E987" s="8" t="s">
        <v>392</v>
      </c>
    </row>
    <row r="988" ht="14.25" hidden="1" customHeight="1">
      <c r="A988" s="8" t="s">
        <v>1314</v>
      </c>
      <c r="B988" s="8" t="s">
        <v>476</v>
      </c>
      <c r="D988" s="121" t="str">
        <f>HYPERLINK("http://www.cheyenne.va.gov/services/MEDICAL_FOSTER_HOME.ASP")</f>
        <v>http://www.cheyenne.va.gov/services/MEDICAL_FOSTER_HOME.ASP</v>
      </c>
      <c r="E988" s="8" t="s">
        <v>392</v>
      </c>
    </row>
    <row r="989" ht="14.25" hidden="1" customHeight="1">
      <c r="A989" s="8" t="s">
        <v>1314</v>
      </c>
      <c r="B989" s="8" t="s">
        <v>599</v>
      </c>
      <c r="D989" s="121" t="str">
        <f>HYPERLINK("http://www.cheyenne.va.gov/services/MEDICINE_SERVICE.ASP")</f>
        <v>http://www.cheyenne.va.gov/services/MEDICINE_SERVICE.ASP</v>
      </c>
      <c r="E989" s="8" t="s">
        <v>392</v>
      </c>
    </row>
    <row r="990" ht="14.25" hidden="1" customHeight="1">
      <c r="A990" s="8" t="s">
        <v>1314</v>
      </c>
      <c r="B990" s="8" t="s">
        <v>323</v>
      </c>
      <c r="D990" s="121" t="str">
        <f>HYPERLINK("http://www.cheyenne.va.gov/services/MENTAL_HEALTH.ASP")</f>
        <v>http://www.cheyenne.va.gov/services/MENTAL_HEALTH.ASP</v>
      </c>
      <c r="E990" s="8" t="s">
        <v>392</v>
      </c>
    </row>
    <row r="991" ht="14.25" hidden="1" customHeight="1">
      <c r="A991" s="8" t="s">
        <v>1314</v>
      </c>
      <c r="B991" s="8" t="s">
        <v>600</v>
      </c>
      <c r="D991" s="121" t="str">
        <f>HYPERLINK("http://www.cheyenne.va.gov/services/MENTAL_HEALTH_INTENSIVE_CASE_MANAGEMENT.ASP")</f>
        <v>http://www.cheyenne.va.gov/services/MENTAL_HEALTH_INTENSIVE_CASE_MANAGEMENT.ASP</v>
      </c>
      <c r="E991" s="8" t="s">
        <v>392</v>
      </c>
    </row>
    <row r="992" ht="14.25" hidden="1" customHeight="1">
      <c r="A992" s="8" t="s">
        <v>1314</v>
      </c>
      <c r="B992" s="8" t="s">
        <v>324</v>
      </c>
      <c r="D992" s="121" t="str">
        <f>HYPERLINK("http://www.cheyenne.va.gov/services/MILITARY_SEXUAL_TRAUMA.ASP")</f>
        <v>http://www.cheyenne.va.gov/services/MILITARY_SEXUAL_TRAUMA.ASP</v>
      </c>
      <c r="E992" s="8" t="s">
        <v>392</v>
      </c>
    </row>
    <row r="993" ht="14.25" hidden="1" customHeight="1">
      <c r="A993" s="8" t="s">
        <v>1314</v>
      </c>
      <c r="B993" s="8" t="s">
        <v>1322</v>
      </c>
      <c r="D993" s="121" t="str">
        <f>HYPERLINK("http://www.cheyenne.va.gov/services/MOBILE_TELE_HEALH_CLINIC.ASP")</f>
        <v>http://www.cheyenne.va.gov/services/MOBILE_TELE_HEALH_CLINIC.ASP</v>
      </c>
      <c r="E993" s="8" t="s">
        <v>392</v>
      </c>
    </row>
    <row r="994" ht="14.25" hidden="1" customHeight="1">
      <c r="A994" s="8" t="s">
        <v>1314</v>
      </c>
      <c r="B994" s="8" t="s">
        <v>1280</v>
      </c>
      <c r="D994" s="121" t="str">
        <f>HYPERLINK("http://www.cheyenne.va.gov/services/NUTRITION_AND_FOOD.ASP")</f>
        <v>http://www.cheyenne.va.gov/services/NUTRITION_AND_FOOD.ASP</v>
      </c>
      <c r="E994" s="8" t="s">
        <v>392</v>
      </c>
    </row>
    <row r="995" ht="14.25" hidden="1" customHeight="1">
      <c r="A995" s="8" t="s">
        <v>1314</v>
      </c>
      <c r="B995" s="8" t="s">
        <v>1323</v>
      </c>
      <c r="D995" s="121" t="str">
        <f>HYPERLINK("http://www.cheyenne.va.gov/services/PROSTHETIC_AND_SENSORY_AIDS_SERVICE.ASP")</f>
        <v>http://www.cheyenne.va.gov/services/PROSTHETIC_AND_SENSORY_AIDS_SERVICE.ASP</v>
      </c>
      <c r="E995" s="8" t="s">
        <v>595</v>
      </c>
    </row>
    <row r="996" ht="14.25" hidden="1" customHeight="1">
      <c r="A996" s="8" t="s">
        <v>1314</v>
      </c>
      <c r="B996" s="8" t="s">
        <v>1324</v>
      </c>
      <c r="D996" s="121" t="str">
        <f>HYPERLINK("http://www.cheyenne.va.gov/services/PATHOLOGY_AND_LABORATORY_SERVICES.ASP")</f>
        <v>http://www.cheyenne.va.gov/services/PATHOLOGY_AND_LABORATORY_SERVICES.ASP</v>
      </c>
      <c r="E996" s="8" t="s">
        <v>392</v>
      </c>
    </row>
    <row r="997" ht="14.25" hidden="1" customHeight="1">
      <c r="A997" s="8" t="s">
        <v>1314</v>
      </c>
      <c r="B997" s="8" t="s">
        <v>343</v>
      </c>
      <c r="D997" s="121" t="str">
        <f>HYPERLINK("http://www.cheyenne.va.gov/services/PHARMACY.ASP")</f>
        <v>http://www.cheyenne.va.gov/services/PHARMACY.ASP</v>
      </c>
      <c r="E997" s="8" t="s">
        <v>392</v>
      </c>
    </row>
    <row r="998" ht="14.25" hidden="1" customHeight="1">
      <c r="A998" s="8" t="s">
        <v>1314</v>
      </c>
      <c r="B998" s="8" t="s">
        <v>1325</v>
      </c>
      <c r="D998" s="121" t="str">
        <f>HYPERLINK("http://www.cheyenne.va.gov/services/PROSTHETIC_AND_SENSORY_AIDS_SERVICE.ASP")</f>
        <v>http://www.cheyenne.va.gov/services/PROSTHETIC_AND_SENSORY_AIDS_SERVICE.ASP</v>
      </c>
      <c r="E998" s="8" t="s">
        <v>392</v>
      </c>
    </row>
    <row r="999" ht="14.25" hidden="1" customHeight="1">
      <c r="A999" s="8" t="s">
        <v>1314</v>
      </c>
      <c r="B999" s="8" t="s">
        <v>1326</v>
      </c>
      <c r="D999" s="121" t="str">
        <f>HYPERLINK("http://www.cheyenne.va.gov/services/RADIOLOGY_AND_IMAGING_SERVICE.ASP")</f>
        <v>http://www.cheyenne.va.gov/services/RADIOLOGY_AND_IMAGING_SERVICE.ASP</v>
      </c>
      <c r="E999" s="8" t="s">
        <v>392</v>
      </c>
    </row>
    <row r="1000" ht="14.25" hidden="1" customHeight="1">
      <c r="A1000" s="8" t="s">
        <v>1314</v>
      </c>
      <c r="B1000" s="8" t="s">
        <v>1232</v>
      </c>
      <c r="D1000" s="121" t="str">
        <f>HYPERLINK("http://www.cheyenne.va.gov/services/SUICIDE_PREVENTION.ASP")</f>
        <v>http://www.cheyenne.va.gov/services/SUICIDE_PREVENTION.ASP</v>
      </c>
      <c r="E1000" s="8" t="s">
        <v>392</v>
      </c>
    </row>
    <row r="1001" ht="14.25" hidden="1" customHeight="1">
      <c r="A1001" s="8" t="s">
        <v>1314</v>
      </c>
      <c r="B1001" s="8" t="s">
        <v>1327</v>
      </c>
      <c r="D1001" s="121" t="str">
        <f>HYPERLINK("http://www.cheyenne.va.gov/services/TELEMENTAL_HEALTH_TMH.ASP")</f>
        <v>http://www.cheyenne.va.gov/services/TELEMENTAL_HEALTH_TMH.ASP</v>
      </c>
      <c r="E1001" s="8" t="s">
        <v>392</v>
      </c>
    </row>
    <row r="1002" ht="14.25" hidden="1" customHeight="1">
      <c r="A1002" s="8" t="s">
        <v>1314</v>
      </c>
      <c r="B1002" s="8" t="s">
        <v>1238</v>
      </c>
      <c r="D1002" s="121" t="str">
        <f>HYPERLINK("http://www.cheyenne.va.gov/services/VETERANS_INTEGRATION_TO_ACADEMIC_LEADERSHIP.ASP")</f>
        <v>http://www.cheyenne.va.gov/services/VETERANS_INTEGRATION_TO_ACADEMIC_LEADERSHIP.ASP</v>
      </c>
      <c r="E1002" s="8" t="s">
        <v>392</v>
      </c>
    </row>
    <row r="1003" ht="14.25" hidden="1" customHeight="1">
      <c r="A1003" s="8" t="s">
        <v>1314</v>
      </c>
      <c r="B1003" s="8" t="s">
        <v>1181</v>
      </c>
      <c r="D1003" s="121" t="str">
        <f>HYPERLINK("http://www.cheyenne.va.gov/services/VETERANS_JUSTICE_OUTREACH.ASP")</f>
        <v>http://www.cheyenne.va.gov/services/VETERANS_JUSTICE_OUTREACH.ASP</v>
      </c>
      <c r="E1003" s="8" t="s">
        <v>392</v>
      </c>
    </row>
    <row r="1004" ht="14.25" hidden="1" customHeight="1">
      <c r="A1004" s="8" t="s">
        <v>1328</v>
      </c>
      <c r="B1004" s="8" t="s">
        <v>1329</v>
      </c>
      <c r="D1004" s="121" t="str">
        <f>HYPERLINK("http://www.chicago.va.gov/services/COMPLEMENTARY_AND_ALTERNATIVE_MEDICINE_TREATMENTS_CAM_JADE_CLINIC.ASP")</f>
        <v>http://www.chicago.va.gov/services/COMPLEMENTARY_AND_ALTERNATIVE_MEDICINE_TREATMENTS_CAM_JADE_CLINIC.ASP</v>
      </c>
      <c r="E1004" s="8" t="s">
        <v>392</v>
      </c>
    </row>
    <row r="1005" ht="14.25" hidden="1" customHeight="1">
      <c r="A1005" s="8" t="s">
        <v>1328</v>
      </c>
      <c r="B1005" s="8" t="s">
        <v>1330</v>
      </c>
      <c r="D1005" s="121" t="str">
        <f t="shared" ref="D1005:D1006" si="6">HYPERLINK("http://www.chicago.va.gov/services/ETHICS.ASP")</f>
        <v>http://www.chicago.va.gov/services/ETHICS.ASP</v>
      </c>
      <c r="E1005" s="8" t="s">
        <v>392</v>
      </c>
    </row>
    <row r="1006" ht="14.25" hidden="1" customHeight="1">
      <c r="A1006" s="8" t="s">
        <v>1328</v>
      </c>
      <c r="B1006" s="8" t="s">
        <v>1331</v>
      </c>
      <c r="D1006" s="121" t="str">
        <f t="shared" si="6"/>
        <v>http://www.chicago.va.gov/services/ETHICS.ASP</v>
      </c>
      <c r="E1006" s="8" t="s">
        <v>595</v>
      </c>
    </row>
    <row r="1007" ht="14.25" hidden="1" customHeight="1">
      <c r="A1007" s="8" t="s">
        <v>1328</v>
      </c>
      <c r="B1007" s="8" t="s">
        <v>1332</v>
      </c>
      <c r="D1007" s="121" t="str">
        <f>HYPERLINK("http://www.chicago.va.gov/services/FORMER_PRISONER_OF_WAR_FPOW_ADVOCATE_PROGRAM.ASP")</f>
        <v>http://www.chicago.va.gov/services/FORMER_PRISONER_OF_WAR_FPOW_ADVOCATE_PROGRAM.ASP</v>
      </c>
      <c r="E1007" s="8" t="s">
        <v>392</v>
      </c>
    </row>
    <row r="1008" ht="14.25" hidden="1" customHeight="1">
      <c r="A1008" s="8" t="s">
        <v>1328</v>
      </c>
      <c r="B1008" s="8" t="s">
        <v>1333</v>
      </c>
      <c r="D1008" s="121" t="str">
        <f>HYPERLINK("http://www.chicago.va.gov/services/ETHICS.ASP")</f>
        <v>http://www.chicago.va.gov/services/ETHICS.ASP</v>
      </c>
      <c r="E1008" s="8" t="s">
        <v>595</v>
      </c>
    </row>
    <row r="1009" ht="14.25" hidden="1" customHeight="1">
      <c r="A1009" s="8" t="s">
        <v>1328</v>
      </c>
      <c r="B1009" s="8" t="s">
        <v>323</v>
      </c>
      <c r="D1009" s="121" t="str">
        <f>HYPERLINK("http://www.chicago.va.gov/services/MENTAL_HEALTH.ASP")</f>
        <v>http://www.chicago.va.gov/services/MENTAL_HEALTH.ASP</v>
      </c>
      <c r="E1009" s="8" t="s">
        <v>392</v>
      </c>
    </row>
    <row r="1010" ht="14.25" hidden="1" customHeight="1">
      <c r="A1010" s="8" t="s">
        <v>1328</v>
      </c>
      <c r="B1010" s="8" t="s">
        <v>356</v>
      </c>
      <c r="D1010" s="121" t="str">
        <f>HYPERLINK("http://www.chicago.va.gov/services/TRANSITION_AND_CARE_MANAGEMENT.ASP")</f>
        <v>http://www.chicago.va.gov/services/TRANSITION_AND_CARE_MANAGEMENT.ASP</v>
      </c>
      <c r="E1010" s="8" t="s">
        <v>595</v>
      </c>
    </row>
    <row r="1011" ht="14.25" hidden="1" customHeight="1">
      <c r="A1011" s="8" t="s">
        <v>1328</v>
      </c>
      <c r="B1011" s="8" t="s">
        <v>900</v>
      </c>
      <c r="D1011" s="121" t="str">
        <f>HYPERLINK("http://www.chicago.va.gov/services/OCCUPATIONAL_THERAPY.ASP")</f>
        <v>http://www.chicago.va.gov/services/OCCUPATIONAL_THERAPY.ASP</v>
      </c>
      <c r="E1011" s="8" t="s">
        <v>392</v>
      </c>
    </row>
    <row r="1012" ht="14.25" hidden="1" customHeight="1">
      <c r="A1012" s="8" t="s">
        <v>1328</v>
      </c>
      <c r="B1012" s="8" t="s">
        <v>343</v>
      </c>
      <c r="D1012" s="121" t="str">
        <f>HYPERLINK("http://www.chicago.va.gov/services/PHARMACY.ASP")</f>
        <v>http://www.chicago.va.gov/services/PHARMACY.ASP</v>
      </c>
      <c r="E1012" s="8" t="s">
        <v>392</v>
      </c>
    </row>
    <row r="1013" ht="14.25" hidden="1" customHeight="1">
      <c r="A1013" s="8" t="s">
        <v>1328</v>
      </c>
      <c r="B1013" s="8" t="s">
        <v>1334</v>
      </c>
      <c r="D1013" s="121" t="str">
        <f>HYPERLINK("http://www.chicago.va.gov/services/PHYSICAL_MEDICINE.ASP")</f>
        <v>http://www.chicago.va.gov/services/PHYSICAL_MEDICINE.ASP</v>
      </c>
      <c r="E1013" s="8" t="s">
        <v>392</v>
      </c>
    </row>
    <row r="1014" ht="14.25" hidden="1" customHeight="1">
      <c r="A1014" s="8" t="s">
        <v>1328</v>
      </c>
      <c r="B1014" s="8" t="s">
        <v>1335</v>
      </c>
      <c r="D1014" s="121" t="str">
        <f>HYPERLINK("http://www.chicago.va.gov/services/PHYSICAL_THERAPY_AND_KINESIOTHERAPY.ASP")</f>
        <v>http://www.chicago.va.gov/services/PHYSICAL_THERAPY_AND_KINESIOTHERAPY.ASP</v>
      </c>
      <c r="E1014" s="8" t="s">
        <v>392</v>
      </c>
    </row>
    <row r="1015" ht="14.25" hidden="1" customHeight="1">
      <c r="A1015" s="8" t="s">
        <v>1328</v>
      </c>
      <c r="B1015" s="8" t="s">
        <v>1336</v>
      </c>
      <c r="D1015" s="121" t="str">
        <f>HYPERLINK("http://www.chicago.va.gov/services/TRANSITION_AND_CARE_MANAGEMENT.ASP")</f>
        <v>http://www.chicago.va.gov/services/TRANSITION_AND_CARE_MANAGEMENT.ASP</v>
      </c>
      <c r="E1015" s="8" t="s">
        <v>595</v>
      </c>
    </row>
    <row r="1016" ht="14.25" hidden="1" customHeight="1">
      <c r="A1016" s="8" t="s">
        <v>1328</v>
      </c>
      <c r="B1016" s="8" t="s">
        <v>348</v>
      </c>
      <c r="D1016" s="121" t="str">
        <f>HYPERLINK("http://www.chicago.va.gov/services/PRIMARY_CARE.ASP")</f>
        <v>http://www.chicago.va.gov/services/PRIMARY_CARE.ASP</v>
      </c>
      <c r="E1016" s="8" t="s">
        <v>392</v>
      </c>
    </row>
    <row r="1017" ht="14.25" hidden="1" customHeight="1">
      <c r="A1017" s="8" t="s">
        <v>1328</v>
      </c>
      <c r="B1017" s="8" t="s">
        <v>1337</v>
      </c>
      <c r="D1017" s="121" t="str">
        <f>HYPERLINK("http://www.chicago.va.gov/services/RECREATIONAL_THERAPY.ASP")</f>
        <v>http://www.chicago.va.gov/services/RECREATIONAL_THERAPY.ASP</v>
      </c>
      <c r="E1017" s="8" t="s">
        <v>392</v>
      </c>
    </row>
    <row r="1018" ht="14.25" hidden="1" customHeight="1">
      <c r="A1018" s="8" t="s">
        <v>1328</v>
      </c>
      <c r="B1018" s="8" t="s">
        <v>1338</v>
      </c>
      <c r="D1018" s="121" t="str">
        <f>HYPERLINK("http://www.chicago.va.gov/services/REHABILITATION_SERVICES.ASP")</f>
        <v>http://www.chicago.va.gov/services/REHABILITATION_SERVICES.ASP</v>
      </c>
      <c r="E1018" s="8" t="s">
        <v>392</v>
      </c>
    </row>
    <row r="1019" ht="14.25" hidden="1" customHeight="1">
      <c r="A1019" s="8" t="s">
        <v>1328</v>
      </c>
      <c r="B1019" s="8" t="s">
        <v>508</v>
      </c>
      <c r="D1019" s="121" t="str">
        <f>HYPERLINK("http://www.chicago.va.gov/services/RESEARCH.ASP")</f>
        <v>http://www.chicago.va.gov/services/RESEARCH.ASP</v>
      </c>
      <c r="E1019" s="8" t="s">
        <v>392</v>
      </c>
    </row>
    <row r="1020" ht="14.25" hidden="1" customHeight="1">
      <c r="A1020" s="8" t="s">
        <v>1328</v>
      </c>
      <c r="B1020" s="8" t="s">
        <v>360</v>
      </c>
      <c r="D1020" s="121" t="str">
        <f>HYPERLINK("http://www.chicago.va.gov/services/SOCIAL.ASP")</f>
        <v>http://www.chicago.va.gov/services/SOCIAL.ASP</v>
      </c>
      <c r="E1020" s="8" t="s">
        <v>392</v>
      </c>
    </row>
    <row r="1021" ht="14.25" hidden="1" customHeight="1">
      <c r="A1021" s="8" t="s">
        <v>1328</v>
      </c>
      <c r="B1021" s="8" t="s">
        <v>1339</v>
      </c>
      <c r="D1021" s="121" t="str">
        <f>HYPERLINK("http://www.chicago.va.gov/services/SPECIALITY_CARE.ASP")</f>
        <v>http://www.chicago.va.gov/services/SPECIALITY_CARE.ASP</v>
      </c>
      <c r="E1021" s="8" t="s">
        <v>392</v>
      </c>
    </row>
    <row r="1022" ht="14.25" hidden="1" customHeight="1">
      <c r="A1022" s="8" t="s">
        <v>1328</v>
      </c>
      <c r="B1022" s="8" t="s">
        <v>935</v>
      </c>
      <c r="D1022" s="121" t="str">
        <f>HYPERLINK("http://www.chicago.va.gov/services/TRANSITION_AND_CARE_MANAGEMENT.ASP")</f>
        <v>http://www.chicago.va.gov/services/TRANSITION_AND_CARE_MANAGEMENT.ASP</v>
      </c>
      <c r="E1022" s="8" t="s">
        <v>392</v>
      </c>
    </row>
    <row r="1023" ht="14.25" hidden="1" customHeight="1">
      <c r="A1023" s="8" t="s">
        <v>1328</v>
      </c>
      <c r="B1023" s="8" t="s">
        <v>826</v>
      </c>
      <c r="D1023" s="121" t="str">
        <f>HYPERLINK("http://www.chicago.va.gov/services/WHOLE_HEALTH_SYSTEM.ASP")</f>
        <v>http://www.chicago.va.gov/services/WHOLE_HEALTH_SYSTEM.ASP</v>
      </c>
      <c r="E1023" s="8" t="s">
        <v>392</v>
      </c>
    </row>
    <row r="1024" ht="14.25" hidden="1" customHeight="1">
      <c r="A1024" s="8" t="s">
        <v>1340</v>
      </c>
      <c r="B1024" s="8" t="s">
        <v>1075</v>
      </c>
      <c r="D1024" s="121" t="str">
        <f>HYPERLINK("http://www.chillicothe.va.gov/services/EXTENDED_CARE.ASP")</f>
        <v>http://www.chillicothe.va.gov/services/EXTENDED_CARE.ASP</v>
      </c>
      <c r="E1024" s="8" t="s">
        <v>392</v>
      </c>
    </row>
    <row r="1025" ht="14.25" hidden="1" customHeight="1">
      <c r="A1025" s="8" t="s">
        <v>1340</v>
      </c>
      <c r="B1025" s="8" t="s">
        <v>323</v>
      </c>
      <c r="D1025" s="121" t="str">
        <f>HYPERLINK("http://www.chillicothe.va.gov/services/MENTAL_HEALTH.ASP")</f>
        <v>http://www.chillicothe.va.gov/services/MENTAL_HEALTH.ASP</v>
      </c>
      <c r="E1025" s="8" t="s">
        <v>392</v>
      </c>
    </row>
    <row r="1026" ht="14.25" hidden="1" customHeight="1">
      <c r="A1026" s="8" t="s">
        <v>1340</v>
      </c>
      <c r="B1026" s="8" t="s">
        <v>326</v>
      </c>
      <c r="D1026" s="121" t="str">
        <f>HYPERLINK("http://www.chillicothe.va.gov/services/MINORITY_VETERANS_PROGRAM.ASP")</f>
        <v>http://www.chillicothe.va.gov/services/MINORITY_VETERANS_PROGRAM.ASP</v>
      </c>
      <c r="E1026" s="8" t="s">
        <v>392</v>
      </c>
    </row>
    <row r="1027" ht="14.25" hidden="1" customHeight="1">
      <c r="A1027" s="8" t="s">
        <v>1340</v>
      </c>
      <c r="B1027" s="8" t="s">
        <v>332</v>
      </c>
      <c r="D1027" s="121" t="str">
        <f>HYPERLINK("http://www.chillicothe.va.gov/services/NUTRITION_SERVICES.ASP")</f>
        <v>http://www.chillicothe.va.gov/services/NUTRITION_SERVICES.ASP</v>
      </c>
      <c r="E1027" s="8" t="s">
        <v>392</v>
      </c>
    </row>
    <row r="1028" ht="14.25" hidden="1" customHeight="1">
      <c r="A1028" s="8" t="s">
        <v>1340</v>
      </c>
      <c r="B1028" s="8" t="s">
        <v>343</v>
      </c>
      <c r="D1028" s="121" t="str">
        <f>HYPERLINK("http://www.chillicothe.va.gov/services/PHARMACY.ASP")</f>
        <v>http://www.chillicothe.va.gov/services/PHARMACY.ASP</v>
      </c>
      <c r="E1028" s="8" t="s">
        <v>392</v>
      </c>
    </row>
    <row r="1029" ht="14.25" hidden="1" customHeight="1">
      <c r="A1029" s="8" t="s">
        <v>1340</v>
      </c>
      <c r="B1029" s="8" t="s">
        <v>348</v>
      </c>
      <c r="D1029" s="121" t="str">
        <f>HYPERLINK("http://www.chillicothe.va.gov/services/PRIMARY_CARE.ASP")</f>
        <v>http://www.chillicothe.va.gov/services/PRIMARY_CARE.ASP</v>
      </c>
      <c r="E1029" s="8" t="s">
        <v>392</v>
      </c>
    </row>
    <row r="1030" ht="14.25" hidden="1" customHeight="1">
      <c r="A1030" s="8" t="s">
        <v>1340</v>
      </c>
      <c r="B1030" s="8" t="s">
        <v>610</v>
      </c>
      <c r="D1030" s="121" t="str">
        <f>HYPERLINK("http://www.chillicothe.va.gov/services/REHAB.ASP")</f>
        <v>http://www.chillicothe.va.gov/services/REHAB.ASP</v>
      </c>
      <c r="E1030" s="8" t="s">
        <v>392</v>
      </c>
    </row>
    <row r="1031" ht="14.25" hidden="1" customHeight="1">
      <c r="A1031" s="8" t="s">
        <v>1340</v>
      </c>
      <c r="B1031" s="8" t="s">
        <v>360</v>
      </c>
      <c r="D1031" s="121" t="str">
        <f>HYPERLINK("http://www.chillicothe.va.gov/services/SOCIAL_WORK.ASP")</f>
        <v>http://www.chillicothe.va.gov/services/SOCIAL_WORK.ASP</v>
      </c>
      <c r="E1031" s="8" t="s">
        <v>392</v>
      </c>
    </row>
    <row r="1032" ht="14.25" hidden="1" customHeight="1">
      <c r="A1032" s="8" t="s">
        <v>1340</v>
      </c>
      <c r="B1032" s="8" t="s">
        <v>364</v>
      </c>
      <c r="D1032" s="121" t="str">
        <f>HYPERLINK("http://www.chillicothe.va.gov/services/SCI.ASP")</f>
        <v>http://www.chillicothe.va.gov/services/SCI.ASP</v>
      </c>
      <c r="E1032" s="8" t="s">
        <v>392</v>
      </c>
    </row>
    <row r="1033" ht="14.25" hidden="1" customHeight="1">
      <c r="A1033" s="8" t="s">
        <v>1340</v>
      </c>
      <c r="B1033" s="8" t="s">
        <v>729</v>
      </c>
      <c r="D1033" s="121" t="str">
        <f>HYPERLINK("http://www.chillicothe.va.gov/services/URGENT_CARE.ASP")</f>
        <v>http://www.chillicothe.va.gov/services/URGENT_CARE.ASP</v>
      </c>
      <c r="E1033" s="8" t="s">
        <v>392</v>
      </c>
    </row>
    <row r="1034" ht="14.25" hidden="1" customHeight="1">
      <c r="A1034" s="8" t="s">
        <v>1340</v>
      </c>
      <c r="B1034" s="8" t="s">
        <v>742</v>
      </c>
      <c r="D1034" s="121" t="str">
        <f>HYPERLINK("http://www.chillicothe.va.gov/services/VETERANS_TRANSPORTATION_SERVICE.ASP")</f>
        <v>http://www.chillicothe.va.gov/services/VETERANS_TRANSPORTATION_SERVICE.ASP</v>
      </c>
      <c r="E1034" s="8" t="s">
        <v>392</v>
      </c>
    </row>
    <row r="1035" ht="14.25" hidden="1" customHeight="1">
      <c r="A1035" s="8" t="s">
        <v>1340</v>
      </c>
      <c r="B1035" s="8" t="s">
        <v>1341</v>
      </c>
      <c r="D1035" s="121" t="str">
        <f>HYPERLINK("http://www.chillicothe.va.gov/services/VIRTUAL_LIFETIME_ELECTRONIC_RECORD.ASP")</f>
        <v>http://www.chillicothe.va.gov/services/VIRTUAL_LIFETIME_ELECTRONIC_RECORD.ASP</v>
      </c>
      <c r="E1035" s="8" t="s">
        <v>392</v>
      </c>
    </row>
    <row r="1036" ht="14.25" hidden="1" customHeight="1">
      <c r="A1036" s="8" t="s">
        <v>1340</v>
      </c>
      <c r="B1036" s="8" t="s">
        <v>1090</v>
      </c>
      <c r="D1036" s="121" t="str">
        <f>HYPERLINK("http://www.chillicothe.va.gov/services/VISUAL_IMPAIRMENT_SERVICES_TEAM_VIST.ASP")</f>
        <v>http://www.chillicothe.va.gov/services/VISUAL_IMPAIRMENT_SERVICES_TEAM_VIST.ASP</v>
      </c>
      <c r="E1036" s="8" t="s">
        <v>392</v>
      </c>
    </row>
    <row r="1037" ht="14.25" hidden="1" customHeight="1">
      <c r="A1037" s="8" t="s">
        <v>1340</v>
      </c>
      <c r="B1037" s="8" t="s">
        <v>822</v>
      </c>
      <c r="D1037" s="121" t="str">
        <f>HYPERLINK("http://www.chillicothe.va.gov/services/VETERANS_INDUSTRIES.ASP")</f>
        <v>http://www.chillicothe.va.gov/services/VETERANS_INDUSTRIES.ASP</v>
      </c>
      <c r="E1037" s="8" t="s">
        <v>392</v>
      </c>
    </row>
    <row r="1038" ht="14.25" hidden="1" customHeight="1">
      <c r="A1038" s="8" t="s">
        <v>1340</v>
      </c>
      <c r="B1038" s="8" t="s">
        <v>1342</v>
      </c>
      <c r="D1038" s="121" t="str">
        <f>HYPERLINK("http://www.chillicothe.va.gov/services/WILMINGTON_OUTREACH_CENTER.ASP")</f>
        <v>http://www.chillicothe.va.gov/services/WILMINGTON_OUTREACH_CENTER.ASP</v>
      </c>
      <c r="E1038" s="8" t="s">
        <v>392</v>
      </c>
    </row>
    <row r="1039" ht="14.25" hidden="1" customHeight="1">
      <c r="A1039" s="8" t="s">
        <v>1340</v>
      </c>
      <c r="B1039" s="8" t="s">
        <v>379</v>
      </c>
      <c r="D1039" s="121" t="str">
        <f>HYPERLINK("http://www.chillicothe.va.gov/services/WOMEN_VETERANS.ASP")</f>
        <v>http://www.chillicothe.va.gov/services/WOMEN_VETERANS.ASP</v>
      </c>
      <c r="E1039" s="8" t="s">
        <v>392</v>
      </c>
    </row>
    <row r="1040" ht="14.25" hidden="1" customHeight="1">
      <c r="A1040" s="8" t="s">
        <v>1343</v>
      </c>
      <c r="B1040" s="8" t="s">
        <v>415</v>
      </c>
      <c r="D1040" s="121" t="str">
        <f>HYPERLINK("http://www.cincinnati.va.gov/services/ACUPUNCTURE.ASP")</f>
        <v>http://www.cincinnati.va.gov/services/ACUPUNCTURE.ASP</v>
      </c>
      <c r="E1040" s="8" t="s">
        <v>392</v>
      </c>
    </row>
    <row r="1041" ht="14.25" hidden="1" customHeight="1">
      <c r="A1041" s="8" t="s">
        <v>1343</v>
      </c>
      <c r="B1041" s="8" t="s">
        <v>407</v>
      </c>
      <c r="D1041" s="121" t="str">
        <f>HYPERLINK("http://www.cincinnati.va.gov/services/ADHC.ASP")</f>
        <v>http://www.cincinnati.va.gov/services/ADHC.ASP</v>
      </c>
      <c r="E1041" s="8" t="s">
        <v>392</v>
      </c>
    </row>
    <row r="1042" ht="14.25" hidden="1" customHeight="1">
      <c r="A1042" s="8" t="s">
        <v>1343</v>
      </c>
      <c r="B1042" s="8" t="s">
        <v>408</v>
      </c>
      <c r="D1042" s="121" t="str">
        <f>HYPERLINK("http://www.cincinnati.va.gov/services/AGENT_ORANGE_REGISTRY_EXAMS.ASP")</f>
        <v>http://www.cincinnati.va.gov/services/AGENT_ORANGE_REGISTRY_EXAMS.ASP</v>
      </c>
      <c r="E1042" s="8" t="s">
        <v>392</v>
      </c>
    </row>
    <row r="1043" ht="14.25" hidden="1" customHeight="1">
      <c r="A1043" s="8" t="s">
        <v>1343</v>
      </c>
      <c r="B1043" s="8" t="s">
        <v>409</v>
      </c>
      <c r="D1043" s="121" t="str">
        <f>HYPERLINK("http://www.cincinnati.va.gov/services/GECPROGRAMS.ASP")</f>
        <v>http://www.cincinnati.va.gov/services/GECPROGRAMS.ASP</v>
      </c>
      <c r="E1043" s="8" t="s">
        <v>392</v>
      </c>
    </row>
    <row r="1044" ht="14.25" hidden="1" customHeight="1">
      <c r="A1044" s="8" t="s">
        <v>1343</v>
      </c>
      <c r="B1044" s="8" t="s">
        <v>828</v>
      </c>
      <c r="D1044" s="121" t="str">
        <f>HYPERLINK("http://www.cincinnati.va.gov/services/AUDIOLOGY_SPEECH_PATHOLOGY.ASP")</f>
        <v>http://www.cincinnati.va.gov/services/AUDIOLOGY_SPEECH_PATHOLOGY.ASP</v>
      </c>
      <c r="E1044" s="8" t="s">
        <v>392</v>
      </c>
    </row>
    <row r="1045" ht="14.25" hidden="1" customHeight="1">
      <c r="A1045" s="8" t="s">
        <v>1343</v>
      </c>
      <c r="B1045" s="8" t="s">
        <v>1220</v>
      </c>
      <c r="D1045" s="121" t="str">
        <f>HYPERLINK("http://www.cincinnati.va.gov/services/CANCER_CARE_ONCOLOGY.ASP")</f>
        <v>http://www.cincinnati.va.gov/services/CANCER_CARE_ONCOLOGY.ASP</v>
      </c>
      <c r="E1045" s="8" t="s">
        <v>392</v>
      </c>
    </row>
    <row r="1046" ht="14.25" hidden="1" customHeight="1">
      <c r="A1046" s="8" t="s">
        <v>1343</v>
      </c>
      <c r="B1046" s="8" t="s">
        <v>414</v>
      </c>
      <c r="D1046" s="121" t="str">
        <f>HYPERLINK("http://www.cincinnati.va.gov/services/CARDIOLOGY.ASP")</f>
        <v>http://www.cincinnati.va.gov/services/CARDIOLOGY.ASP</v>
      </c>
      <c r="E1046" s="8" t="s">
        <v>392</v>
      </c>
    </row>
    <row r="1047" ht="14.25" hidden="1" customHeight="1">
      <c r="A1047" s="8" t="s">
        <v>1343</v>
      </c>
      <c r="B1047" s="8" t="s">
        <v>417</v>
      </c>
      <c r="D1047" s="121" t="str">
        <f>HYPERLINK("http://www.cincinnati.va.gov/services/CHAPLAIN.ASP")</f>
        <v>http://www.cincinnati.va.gov/services/CHAPLAIN.ASP</v>
      </c>
      <c r="E1047" s="8" t="s">
        <v>392</v>
      </c>
    </row>
    <row r="1048" ht="14.25" hidden="1" customHeight="1">
      <c r="A1048" s="8" t="s">
        <v>1343</v>
      </c>
      <c r="B1048" s="8" t="s">
        <v>1275</v>
      </c>
      <c r="D1048" s="121" t="str">
        <f>HYPERLINK("http://www.cincinnati.va.gov/services/CHIROPRACTIC_CLINIC.ASP")</f>
        <v>http://www.cincinnati.va.gov/services/CHIROPRACTIC_CLINIC.ASP</v>
      </c>
      <c r="E1048" s="8" t="s">
        <v>392</v>
      </c>
    </row>
    <row r="1049" ht="14.25" hidden="1" customHeight="1">
      <c r="A1049" s="8" t="s">
        <v>1343</v>
      </c>
      <c r="B1049" s="8" t="s">
        <v>482</v>
      </c>
      <c r="D1049" s="121" t="str">
        <f>HYPERLINK("http://www.cincinnati.va.gov/services/GEC_COMMUNITY_LIVING_CENTER.ASP")</f>
        <v>http://www.cincinnati.va.gov/services/GEC_COMMUNITY_LIVING_CENTER.ASP</v>
      </c>
      <c r="E1049" s="8" t="s">
        <v>392</v>
      </c>
    </row>
    <row r="1050" ht="14.25" hidden="1" customHeight="1">
      <c r="A1050" s="8" t="s">
        <v>1343</v>
      </c>
      <c r="B1050" s="8" t="s">
        <v>645</v>
      </c>
      <c r="D1050" s="121" t="str">
        <f>HYPERLINK("http://www.cincinnati.va.gov/services/COMPENSATED_WORK_THERAPY_CWT.ASP")</f>
        <v>http://www.cincinnati.va.gov/services/COMPENSATED_WORK_THERAPY_CWT.ASP</v>
      </c>
      <c r="E1050" s="8" t="s">
        <v>392</v>
      </c>
    </row>
    <row r="1051" ht="14.25" hidden="1" customHeight="1">
      <c r="A1051" s="8" t="s">
        <v>1343</v>
      </c>
      <c r="B1051" s="8" t="s">
        <v>422</v>
      </c>
      <c r="D1051" s="121" t="str">
        <f>HYPERLINK("http://www.cincinnati.va.gov/services/COMPENSATION_AND_PENSION_EXAMS.ASP")</f>
        <v>http://www.cincinnati.va.gov/services/COMPENSATION_AND_PENSION_EXAMS.ASP</v>
      </c>
      <c r="E1051" s="8" t="s">
        <v>392</v>
      </c>
    </row>
    <row r="1052" ht="14.25" hidden="1" customHeight="1">
      <c r="A1052" s="8" t="s">
        <v>1343</v>
      </c>
      <c r="B1052" s="8" t="s">
        <v>1221</v>
      </c>
      <c r="D1052" s="121" t="str">
        <f>HYPERLINK("http://www.cincinnati.va.gov/services/DENTAL.ASP")</f>
        <v>http://www.cincinnati.va.gov/services/DENTAL.ASP</v>
      </c>
      <c r="E1052" s="8" t="s">
        <v>392</v>
      </c>
    </row>
    <row r="1053" ht="14.25" hidden="1" customHeight="1">
      <c r="A1053" s="8" t="s">
        <v>1343</v>
      </c>
      <c r="B1053" s="8" t="s">
        <v>517</v>
      </c>
      <c r="D1053" s="121" t="str">
        <f>HYPERLINK("http://www.cincinnati.va.gov/services/DERMATOLOGY.ASP")</f>
        <v>http://www.cincinnati.va.gov/services/DERMATOLOGY.ASP</v>
      </c>
      <c r="E1053" s="8" t="s">
        <v>392</v>
      </c>
    </row>
    <row r="1054" ht="14.25" hidden="1" customHeight="1">
      <c r="A1054" s="8" t="s">
        <v>1343</v>
      </c>
      <c r="B1054" s="8" t="s">
        <v>423</v>
      </c>
      <c r="D1054" s="121" t="str">
        <f>HYPERLINK("http://www.cincinnati.va.gov/services/DIABETES.ASP")</f>
        <v>http://www.cincinnati.va.gov/services/DIABETES.ASP</v>
      </c>
      <c r="E1054" s="8" t="s">
        <v>392</v>
      </c>
    </row>
    <row r="1055" ht="14.25" hidden="1" customHeight="1">
      <c r="A1055" s="8" t="s">
        <v>1343</v>
      </c>
      <c r="B1055" s="8" t="s">
        <v>424</v>
      </c>
      <c r="D1055" s="121" t="str">
        <f>HYPERLINK("http://www.cincinnati.va.gov/services/DIALYSIS.ASP")</f>
        <v>http://www.cincinnati.va.gov/services/DIALYSIS.ASP</v>
      </c>
      <c r="E1055" s="8" t="s">
        <v>392</v>
      </c>
    </row>
    <row r="1056" ht="14.25" hidden="1" customHeight="1">
      <c r="A1056" s="8" t="s">
        <v>1343</v>
      </c>
      <c r="B1056" s="8" t="s">
        <v>875</v>
      </c>
      <c r="D1056" s="121" t="str">
        <f>HYPERLINK("http://www.cincinnati.va.gov/services/DOMICILIARY.ASP")</f>
        <v>http://www.cincinnati.va.gov/services/DOMICILIARY.ASP</v>
      </c>
      <c r="E1056" s="8" t="s">
        <v>392</v>
      </c>
    </row>
    <row r="1057" ht="14.25" hidden="1" customHeight="1">
      <c r="A1057" s="8" t="s">
        <v>1343</v>
      </c>
      <c r="B1057" s="8" t="s">
        <v>426</v>
      </c>
      <c r="D1057" s="121" t="str">
        <f>HYPERLINK("http://www.cincinnati.va.gov/services/EYE_AND_VISION_CARE.ASP")</f>
        <v>http://www.cincinnati.va.gov/services/EYE_AND_VISION_CARE.ASP</v>
      </c>
      <c r="E1057" s="8" t="s">
        <v>392</v>
      </c>
    </row>
    <row r="1058" ht="14.25" hidden="1" customHeight="1">
      <c r="A1058" s="8" t="s">
        <v>1343</v>
      </c>
      <c r="B1058" s="8" t="s">
        <v>585</v>
      </c>
      <c r="D1058" s="121" t="str">
        <f>HYPERLINK("http://www.cincinnati.va.gov/services/FAMILY_SERVICES_PROGRAM.ASP")</f>
        <v>http://www.cincinnati.va.gov/services/FAMILY_SERVICES_PROGRAM.ASP</v>
      </c>
      <c r="E1058" s="8" t="s">
        <v>392</v>
      </c>
    </row>
    <row r="1059" ht="14.25" hidden="1" customHeight="1">
      <c r="A1059" s="8" t="s">
        <v>1343</v>
      </c>
      <c r="B1059" s="8" t="s">
        <v>1344</v>
      </c>
      <c r="D1059" s="121" t="str">
        <f>HYPERLINK("http://www.cincinnati.va.gov/services/FISHER_HOUSE.ASP")</f>
        <v>http://www.cincinnati.va.gov/services/FISHER_HOUSE.ASP</v>
      </c>
      <c r="E1059" s="8" t="s">
        <v>392</v>
      </c>
    </row>
    <row r="1060" ht="14.25" hidden="1" customHeight="1">
      <c r="A1060" s="8" t="s">
        <v>1343</v>
      </c>
      <c r="B1060" s="8" t="s">
        <v>486</v>
      </c>
      <c r="D1060" s="121" t="str">
        <f>HYPERLINK("http://www.cincinnati.va.gov/services/FORMER_PRISONER_OF_WAR_ADVOCAT.ASP")</f>
        <v>http://www.cincinnati.va.gov/services/FORMER_PRISONER_OF_WAR_ADVOCAT.ASP</v>
      </c>
      <c r="E1060" s="8" t="s">
        <v>392</v>
      </c>
    </row>
    <row r="1061" ht="14.25" hidden="1" customHeight="1">
      <c r="A1061" s="8" t="s">
        <v>1343</v>
      </c>
      <c r="B1061" s="8" t="s">
        <v>1345</v>
      </c>
      <c r="D1061" s="121" t="str">
        <f>HYPERLINK("http://www.cincinnati.va.gov/services/FT_THOMAS2.ASP")</f>
        <v>http://www.cincinnati.va.gov/services/FT_THOMAS2.ASP</v>
      </c>
      <c r="E1061" s="8" t="s">
        <v>392</v>
      </c>
    </row>
    <row r="1062" ht="14.25" hidden="1" customHeight="1">
      <c r="A1062" s="8" t="s">
        <v>1343</v>
      </c>
      <c r="B1062" s="8" t="s">
        <v>1346</v>
      </c>
      <c r="D1062" s="121" t="str">
        <f>HYPERLINK("http://www.cincinnati.va.gov/services/GASTROL_INTER.ASP")</f>
        <v>http://www.cincinnati.va.gov/services/GASTROL_INTER.ASP</v>
      </c>
      <c r="E1062" s="8" t="s">
        <v>392</v>
      </c>
    </row>
    <row r="1063" ht="14.25" hidden="1" customHeight="1">
      <c r="A1063" s="8" t="s">
        <v>1343</v>
      </c>
      <c r="B1063" s="8" t="s">
        <v>1347</v>
      </c>
      <c r="D1063" s="121" t="str">
        <f>HYPERLINK("http://www.cincinnati.va.gov/services/GEROFIT.ASP")</f>
        <v>http://www.cincinnati.va.gov/services/GEROFIT.ASP</v>
      </c>
      <c r="E1063" s="8" t="s">
        <v>392</v>
      </c>
    </row>
    <row r="1064" ht="14.25" hidden="1" customHeight="1">
      <c r="A1064" s="8" t="s">
        <v>1343</v>
      </c>
      <c r="B1064" s="8" t="s">
        <v>430</v>
      </c>
      <c r="D1064" s="121" t="str">
        <f>HYPERLINK("http://www.cincinnati.va.gov/services/HIV_AND_AIDS_TREATMENT.ASP")</f>
        <v>http://www.cincinnati.va.gov/services/HIV_AND_AIDS_TREATMENT.ASP</v>
      </c>
      <c r="E1064" s="8" t="s">
        <v>392</v>
      </c>
    </row>
    <row r="1065" ht="14.25" hidden="1" customHeight="1">
      <c r="A1065" s="8" t="s">
        <v>1343</v>
      </c>
      <c r="B1065" s="8" t="s">
        <v>431</v>
      </c>
      <c r="D1065" s="121" t="str">
        <f>HYPERLINK("http://www.cincinnati.va.gov/services/HOME_BASED_PRIMARY_CARE.ASP")</f>
        <v>http://www.cincinnati.va.gov/services/HOME_BASED_PRIMARY_CARE.ASP</v>
      </c>
      <c r="E1065" s="8" t="s">
        <v>392</v>
      </c>
    </row>
    <row r="1066" ht="14.25" hidden="1" customHeight="1">
      <c r="A1066" s="8" t="s">
        <v>1343</v>
      </c>
      <c r="B1066" s="8" t="s">
        <v>395</v>
      </c>
      <c r="D1066" s="121" t="str">
        <f>HYPERLINK("http://www.cincinnati.va.gov/services/HOME_TELEHEALTH.ASP")</f>
        <v>http://www.cincinnati.va.gov/services/HOME_TELEHEALTH.ASP</v>
      </c>
      <c r="E1066" s="8" t="s">
        <v>392</v>
      </c>
    </row>
    <row r="1067" ht="14.25" hidden="1" customHeight="1">
      <c r="A1067" s="8" t="s">
        <v>1343</v>
      </c>
      <c r="B1067" s="8" t="s">
        <v>436</v>
      </c>
      <c r="D1067" s="121" t="str">
        <f>HYPERLINK("http://www.cincinnati.va.gov/services/HOMEMAKER_AND_HOME_HEALTH_AIDE_PROGRAM.ASP")</f>
        <v>http://www.cincinnati.va.gov/services/HOMEMAKER_AND_HOME_HEALTH_AIDE_PROGRAM.ASP</v>
      </c>
      <c r="E1067" s="8" t="s">
        <v>392</v>
      </c>
    </row>
    <row r="1068" ht="14.25" hidden="1" customHeight="1">
      <c r="A1068" s="8" t="s">
        <v>1343</v>
      </c>
      <c r="B1068" s="8" t="s">
        <v>437</v>
      </c>
      <c r="D1068" s="121" t="str">
        <f>HYPERLINK("http://www.cincinnati.va.gov/services/HOSPICE_AND_PALLIATIVE_CARE.ASP")</f>
        <v>http://www.cincinnati.va.gov/services/HOSPICE_AND_PALLIATIVE_CARE.ASP</v>
      </c>
      <c r="E1068" s="8" t="s">
        <v>392</v>
      </c>
    </row>
    <row r="1069" ht="14.25" hidden="1" customHeight="1">
      <c r="A1069" s="8" t="s">
        <v>1343</v>
      </c>
      <c r="B1069" s="8" t="s">
        <v>1348</v>
      </c>
      <c r="D1069" s="121" t="str">
        <f>HYPERLINK("http://www.cincinnati.va.gov/services/MENTAL_HEALTH_INPATIENT_CINCINNATI_VAMC.ASP")</f>
        <v>http://www.cincinnati.va.gov/services/MENTAL_HEALTH_INPATIENT_CINCINNATI_VAMC.ASP</v>
      </c>
      <c r="E1069" s="8" t="s">
        <v>392</v>
      </c>
    </row>
    <row r="1070" ht="14.25" hidden="1" customHeight="1">
      <c r="A1070" s="8" t="s">
        <v>1343</v>
      </c>
      <c r="B1070" s="8" t="s">
        <v>1349</v>
      </c>
      <c r="D1070" s="121" t="str">
        <f>HYPERLINK("http://www.cincinnati.va.gov/services/INPATIENT_MENTAL_HEALTH_FORT_THOMAS_VA.ASP")</f>
        <v>http://www.cincinnati.va.gov/services/INPATIENT_MENTAL_HEALTH_FORT_THOMAS_VA.ASP</v>
      </c>
      <c r="E1070" s="8" t="s">
        <v>392</v>
      </c>
    </row>
    <row r="1071" ht="14.25" hidden="1" customHeight="1">
      <c r="A1071" s="8" t="s">
        <v>1343</v>
      </c>
      <c r="B1071" s="8" t="s">
        <v>438</v>
      </c>
      <c r="D1071" s="121" t="str">
        <f>HYPERLINK("http://www.cincinnati.va.gov/services/LGBT.ASP")</f>
        <v>http://www.cincinnati.va.gov/services/LGBT.ASP</v>
      </c>
      <c r="E1071" s="8" t="s">
        <v>392</v>
      </c>
    </row>
    <row r="1072" ht="14.25" hidden="1" customHeight="1">
      <c r="A1072" s="8" t="s">
        <v>1343</v>
      </c>
      <c r="B1072" s="8" t="s">
        <v>440</v>
      </c>
      <c r="D1072" s="121" t="str">
        <f>HYPERLINK("http://www.cincinnati.va.gov/services/LAB_AND_PATHOLOGY_SERVICES.ASP")</f>
        <v>http://www.cincinnati.va.gov/services/LAB_AND_PATHOLOGY_SERVICES.ASP</v>
      </c>
      <c r="E1072" s="8" t="s">
        <v>392</v>
      </c>
    </row>
    <row r="1073" ht="14.25" hidden="1" customHeight="1">
      <c r="A1073" s="8" t="s">
        <v>1343</v>
      </c>
      <c r="B1073" s="8" t="s">
        <v>441</v>
      </c>
      <c r="D1073" s="121" t="str">
        <f>HYPERLINK("http://www.cincinnati.va.gov/services/MOVE_WEIGHT_MANAGEMENT.ASP")</f>
        <v>http://www.cincinnati.va.gov/services/MOVE_WEIGHT_MANAGEMENT.ASP</v>
      </c>
      <c r="E1073" s="8" t="s">
        <v>392</v>
      </c>
    </row>
    <row r="1074" ht="14.25" hidden="1" customHeight="1">
      <c r="A1074" s="8" t="s">
        <v>1343</v>
      </c>
      <c r="B1074" s="8" t="s">
        <v>323</v>
      </c>
      <c r="D1074" s="121" t="str">
        <f>HYPERLINK("http://www.cincinnati.va.gov/services/MENTAL_HEALTH.ASP")</f>
        <v>http://www.cincinnati.va.gov/services/MENTAL_HEALTH.ASP</v>
      </c>
      <c r="E1074" s="8" t="s">
        <v>392</v>
      </c>
    </row>
    <row r="1075" ht="14.25" hidden="1" customHeight="1">
      <c r="A1075" s="8" t="s">
        <v>1343</v>
      </c>
      <c r="B1075" s="8" t="s">
        <v>1350</v>
      </c>
      <c r="D1075" s="121" t="str">
        <f>HYPERLINK("http://www.cincinnati.va.gov/services/SPECIAL_SERVICES.ASP")</f>
        <v>http://www.cincinnati.va.gov/services/SPECIAL_SERVICES.ASP</v>
      </c>
      <c r="E1075" s="8" t="s">
        <v>392</v>
      </c>
    </row>
    <row r="1076" ht="14.25" hidden="1" customHeight="1">
      <c r="A1076" s="8" t="s">
        <v>1343</v>
      </c>
      <c r="B1076" s="8" t="s">
        <v>445</v>
      </c>
      <c r="D1076" s="121" t="str">
        <f>HYPERLINK("http://www.cincinnati.va.gov/services/MST.ASP")</f>
        <v>http://www.cincinnati.va.gov/services/MST.ASP</v>
      </c>
      <c r="E1076" s="8" t="s">
        <v>392</v>
      </c>
    </row>
    <row r="1077" ht="14.25" hidden="1" customHeight="1">
      <c r="A1077" s="8" t="s">
        <v>1343</v>
      </c>
      <c r="B1077" s="8" t="s">
        <v>1172</v>
      </c>
      <c r="D1077" s="121" t="str">
        <f>HYPERLINK("http://www.cincinnati.va.gov/services/NEUROLOGY.ASP")</f>
        <v>http://www.cincinnati.va.gov/services/NEUROLOGY.ASP</v>
      </c>
      <c r="E1077" s="8" t="s">
        <v>392</v>
      </c>
    </row>
    <row r="1078" ht="14.25" hidden="1" customHeight="1">
      <c r="A1078" s="8" t="s">
        <v>1343</v>
      </c>
      <c r="B1078" s="8" t="s">
        <v>1351</v>
      </c>
      <c r="D1078" s="121" t="str">
        <f>HYPERLINK("http://www.cincinnati.va.gov/services/NUTRITION.ASP")</f>
        <v>http://www.cincinnati.va.gov/services/NUTRITION.ASP</v>
      </c>
      <c r="E1078" s="8" t="s">
        <v>392</v>
      </c>
    </row>
    <row r="1079" ht="14.25" hidden="1" customHeight="1">
      <c r="A1079" s="8" t="s">
        <v>1343</v>
      </c>
      <c r="B1079" s="8" t="s">
        <v>338</v>
      </c>
      <c r="D1079" s="121" t="str">
        <f>HYPERLINK("http://www.cincinnati.va.gov/services/ORTHOPEDICS.ASP")</f>
        <v>http://www.cincinnati.va.gov/services/ORTHOPEDICS.ASP</v>
      </c>
      <c r="E1079" s="8" t="s">
        <v>392</v>
      </c>
    </row>
    <row r="1080" ht="14.25" hidden="1" customHeight="1">
      <c r="A1080" s="8" t="s">
        <v>1343</v>
      </c>
      <c r="B1080" s="8" t="s">
        <v>1352</v>
      </c>
      <c r="D1080" s="121" t="str">
        <f>HYPERLINK("http://www.cincinnati.va.gov/services/OUTPATIENT_BH.ASP")</f>
        <v>http://www.cincinnati.va.gov/services/OUTPATIENT_BH.ASP</v>
      </c>
      <c r="E1080" s="8" t="s">
        <v>392</v>
      </c>
    </row>
    <row r="1081" ht="14.25" hidden="1" customHeight="1">
      <c r="A1081" s="8" t="s">
        <v>1343</v>
      </c>
      <c r="B1081" s="8" t="s">
        <v>449</v>
      </c>
      <c r="D1081" s="121" t="str">
        <f>HYPERLINK("http://www.cincinnati.va.gov/services/PAIN_MGMT.ASP")</f>
        <v>http://www.cincinnati.va.gov/services/PAIN_MGMT.ASP</v>
      </c>
      <c r="E1081" s="8" t="s">
        <v>392</v>
      </c>
    </row>
    <row r="1082" ht="14.25" hidden="1" customHeight="1">
      <c r="A1082" s="8" t="s">
        <v>1343</v>
      </c>
      <c r="B1082" s="8" t="s">
        <v>1353</v>
      </c>
      <c r="D1082" s="121" t="str">
        <f>HYPERLINK("http://www.cincinnati.va.gov/services/PARTIAL_HOSPITALIZATION_PROGRAM_PHP.ASP")</f>
        <v>http://www.cincinnati.va.gov/services/PARTIAL_HOSPITALIZATION_PROGRAM_PHP.ASP</v>
      </c>
      <c r="E1082" s="8" t="s">
        <v>392</v>
      </c>
    </row>
    <row r="1083" ht="14.25" hidden="1" customHeight="1">
      <c r="A1083" s="8" t="s">
        <v>1343</v>
      </c>
      <c r="B1083" s="8" t="s">
        <v>1354</v>
      </c>
      <c r="D1083" s="121" t="str">
        <f>HYPERLINK("http://www.cincinnati.va.gov/services/PEER_SUPPORT.ASP")</f>
        <v>http://www.cincinnati.va.gov/services/PEER_SUPPORT.ASP</v>
      </c>
      <c r="E1083" s="8" t="s">
        <v>392</v>
      </c>
    </row>
    <row r="1084" ht="14.25" hidden="1" customHeight="1">
      <c r="A1084" s="8" t="s">
        <v>1343</v>
      </c>
      <c r="B1084" s="8" t="s">
        <v>343</v>
      </c>
      <c r="D1084" s="121" t="str">
        <f>HYPERLINK("http://www.cincinnati.va.gov/services/PHARMACY.ASP")</f>
        <v>http://www.cincinnati.va.gov/services/PHARMACY.ASP</v>
      </c>
      <c r="E1084" s="8" t="s">
        <v>392</v>
      </c>
    </row>
    <row r="1085" ht="14.25" hidden="1" customHeight="1">
      <c r="A1085" s="8" t="s">
        <v>1343</v>
      </c>
      <c r="B1085" s="8" t="s">
        <v>344</v>
      </c>
      <c r="D1085" s="121" t="str">
        <f>HYPERLINK("http://www.cincinnati.va.gov/services/PHYSICAL_REHABILITION.ASP")</f>
        <v>http://www.cincinnati.va.gov/services/PHYSICAL_REHABILITION.ASP</v>
      </c>
      <c r="E1085" s="8" t="s">
        <v>392</v>
      </c>
    </row>
    <row r="1086" ht="14.25" hidden="1" customHeight="1">
      <c r="A1086" s="8" t="s">
        <v>1343</v>
      </c>
      <c r="B1086" s="8" t="s">
        <v>608</v>
      </c>
      <c r="D1086" s="121" t="str">
        <f>HYPERLINK("http://www.cincinnati.va.gov/services/PHYSTHERAPY.ASP")</f>
        <v>http://www.cincinnati.va.gov/services/PHYSTHERAPY.ASP</v>
      </c>
      <c r="E1086" s="8" t="s">
        <v>392</v>
      </c>
    </row>
    <row r="1087" ht="14.25" hidden="1" customHeight="1">
      <c r="A1087" s="8" t="s">
        <v>1343</v>
      </c>
      <c r="B1087" s="8" t="s">
        <v>450</v>
      </c>
      <c r="D1087" s="121" t="str">
        <f>HYPERLINK("http://www.cincinnati.va.gov/services/PODIATRY.ASP")</f>
        <v>http://www.cincinnati.va.gov/services/PODIATRY.ASP</v>
      </c>
      <c r="E1087" s="8" t="s">
        <v>392</v>
      </c>
    </row>
    <row r="1088" ht="14.25" hidden="1" customHeight="1">
      <c r="A1088" s="8" t="s">
        <v>1343</v>
      </c>
      <c r="B1088" s="8" t="s">
        <v>1355</v>
      </c>
      <c r="D1088" s="121" t="str">
        <f>HYPERLINK("http://www.cincinnati.va.gov/services/PTSD_MENTAL_HEALTH.ASP")</f>
        <v>http://www.cincinnati.va.gov/services/PTSD_MENTAL_HEALTH.ASP</v>
      </c>
      <c r="E1088" s="8" t="s">
        <v>392</v>
      </c>
    </row>
    <row r="1089" ht="14.25" hidden="1" customHeight="1">
      <c r="A1089" s="8" t="s">
        <v>1343</v>
      </c>
      <c r="B1089" s="8" t="s">
        <v>348</v>
      </c>
      <c r="D1089" s="121" t="str">
        <f>HYPERLINK("http://www.cincinnati.va.gov/services/PRIMARY.ASP")</f>
        <v>http://www.cincinnati.va.gov/services/PRIMARY.ASP</v>
      </c>
      <c r="E1089" s="8" t="s">
        <v>392</v>
      </c>
    </row>
    <row r="1090" ht="14.25" hidden="1" customHeight="1">
      <c r="A1090" s="8" t="s">
        <v>1343</v>
      </c>
      <c r="B1090" s="8" t="s">
        <v>1356</v>
      </c>
      <c r="D1090" s="121" t="str">
        <f>HYPERLINK("http://www.cincinnati.va.gov/services/PSYCHIATRIC_EVALUATION_CENTER.ASP")</f>
        <v>http://www.cincinnati.va.gov/services/PSYCHIATRIC_EVALUATION_CENTER.ASP</v>
      </c>
      <c r="E1090" s="8" t="s">
        <v>392</v>
      </c>
    </row>
    <row r="1091" ht="14.25" hidden="1" customHeight="1">
      <c r="A1091" s="8" t="s">
        <v>1343</v>
      </c>
      <c r="B1091" s="8" t="s">
        <v>717</v>
      </c>
      <c r="D1091" s="121" t="str">
        <f>HYPERLINK("http://www.cincinnati.va.gov/services/RADIOLOGY.ASP")</f>
        <v>http://www.cincinnati.va.gov/services/RADIOLOGY.ASP</v>
      </c>
      <c r="E1091" s="8" t="s">
        <v>392</v>
      </c>
    </row>
    <row r="1092" ht="14.25" hidden="1" customHeight="1">
      <c r="A1092" s="8" t="s">
        <v>1343</v>
      </c>
      <c r="B1092" s="8" t="s">
        <v>1312</v>
      </c>
      <c r="D1092" s="121" t="str">
        <f>HYPERLINK("http://www.cincinnati.va.gov/services/RESEARCH.ASP")</f>
        <v>http://www.cincinnati.va.gov/services/RESEARCH.ASP</v>
      </c>
      <c r="E1092" s="8" t="s">
        <v>392</v>
      </c>
    </row>
    <row r="1093" ht="14.25" hidden="1" customHeight="1">
      <c r="A1093" s="8" t="s">
        <v>1343</v>
      </c>
      <c r="B1093" s="8" t="s">
        <v>1357</v>
      </c>
      <c r="D1093" s="121" t="str">
        <f>HYPERLINK("http://www.cincinnati.va.gov/services/INTERNSHIPS.ASP")</f>
        <v>http://www.cincinnati.va.gov/services/INTERNSHIPS.ASP</v>
      </c>
      <c r="E1093" s="8" t="s">
        <v>392</v>
      </c>
    </row>
    <row r="1094" ht="14.25" hidden="1" customHeight="1">
      <c r="A1094" s="8" t="s">
        <v>1343</v>
      </c>
      <c r="B1094" s="8" t="s">
        <v>357</v>
      </c>
      <c r="D1094" s="121" t="str">
        <f>HYPERLINK("http://www.cincinnati.va.gov/services/SLEEP_CLINIC.ASP")</f>
        <v>http://www.cincinnati.va.gov/services/SLEEP_CLINIC.ASP</v>
      </c>
      <c r="E1094" s="8" t="s">
        <v>392</v>
      </c>
    </row>
    <row r="1095" ht="14.25" hidden="1" customHeight="1">
      <c r="A1095" s="8" t="s">
        <v>1343</v>
      </c>
      <c r="B1095" s="8" t="s">
        <v>360</v>
      </c>
      <c r="D1095" s="121" t="str">
        <f>HYPERLINK("http://www.cincinnati.va.gov/services/SOCIALWORK.ASP")</f>
        <v>http://www.cincinnati.va.gov/services/SOCIALWORK.ASP</v>
      </c>
      <c r="E1095" s="8" t="s">
        <v>392</v>
      </c>
    </row>
    <row r="1096" ht="14.25" hidden="1" customHeight="1">
      <c r="A1096" s="8" t="s">
        <v>1343</v>
      </c>
      <c r="B1096" s="8" t="s">
        <v>925</v>
      </c>
      <c r="D1096" s="121" t="str">
        <f>HYPERLINK("http://www.cincinnati.va.gov/services/SOCIAL_WORK_SERVICE.ASP")</f>
        <v>http://www.cincinnati.va.gov/services/SOCIAL_WORK_SERVICE.ASP</v>
      </c>
      <c r="E1096" s="8" t="s">
        <v>392</v>
      </c>
    </row>
    <row r="1097" ht="14.25" hidden="1" customHeight="1">
      <c r="A1097" s="8" t="s">
        <v>1343</v>
      </c>
      <c r="B1097" s="8" t="s">
        <v>364</v>
      </c>
      <c r="D1097" s="121" t="str">
        <f>HYPERLINK("http://www.cincinnati.va.gov/services/SCI.ASP")</f>
        <v>http://www.cincinnati.va.gov/services/SCI.ASP</v>
      </c>
      <c r="E1097" s="8" t="s">
        <v>392</v>
      </c>
    </row>
    <row r="1098" ht="14.25" hidden="1" customHeight="1">
      <c r="A1098" s="8" t="s">
        <v>1343</v>
      </c>
      <c r="B1098" s="8" t="s">
        <v>1358</v>
      </c>
      <c r="D1098" s="121" t="str">
        <f>HYPERLINK("http://www.cincinnati.va.gov/services/SUBSTANCE_DEPENDENCY.ASP")</f>
        <v>http://www.cincinnati.va.gov/services/SUBSTANCE_DEPENDENCY.ASP</v>
      </c>
      <c r="E1098" s="8" t="s">
        <v>392</v>
      </c>
    </row>
    <row r="1099" ht="14.25" hidden="1" customHeight="1">
      <c r="A1099" s="8" t="s">
        <v>1343</v>
      </c>
      <c r="B1099" s="8" t="s">
        <v>1359</v>
      </c>
      <c r="D1099" s="121" t="str">
        <f>HYPERLINK("http://www.cincinnati.va.gov/services/SUPPORTED_EMPLOYMENT.ASP")</f>
        <v>http://www.cincinnati.va.gov/services/SUPPORTED_EMPLOYMENT.ASP</v>
      </c>
      <c r="E1099" s="8" t="s">
        <v>392</v>
      </c>
    </row>
    <row r="1100" ht="14.25" hidden="1" customHeight="1">
      <c r="A1100" s="8" t="s">
        <v>1343</v>
      </c>
      <c r="B1100" s="8" t="s">
        <v>370</v>
      </c>
      <c r="D1100" s="121" t="str">
        <f>HYPERLINK("http://www.cincinnati.va.gov/services/TELEHEALTH.ASP")</f>
        <v>http://www.cincinnati.va.gov/services/TELEHEALTH.ASP</v>
      </c>
      <c r="E1100" s="8" t="s">
        <v>392</v>
      </c>
    </row>
    <row r="1101" ht="14.25" hidden="1" customHeight="1">
      <c r="A1101" s="8" t="s">
        <v>1343</v>
      </c>
      <c r="B1101" s="8" t="s">
        <v>1360</v>
      </c>
      <c r="D1101" s="121" t="str">
        <f>HYPERLINK("http://www.cincinnati.va.gov/services/TOBACCO_CESSATION_COUNSELING.ASP")</f>
        <v>http://www.cincinnati.va.gov/services/TOBACCO_CESSATION_COUNSELING.ASP</v>
      </c>
      <c r="E1101" s="8" t="s">
        <v>392</v>
      </c>
    </row>
    <row r="1102" ht="14.25" hidden="1" customHeight="1">
      <c r="A1102" s="8" t="s">
        <v>1343</v>
      </c>
      <c r="B1102" s="8" t="s">
        <v>1361</v>
      </c>
      <c r="D1102" s="121" t="str">
        <f>HYPERLINK("http://www.cincinnati.va.gov/services/TRAC.ASP")</f>
        <v>http://www.cincinnati.va.gov/services/TRAC.ASP</v>
      </c>
      <c r="E1102" s="8" t="s">
        <v>392</v>
      </c>
    </row>
    <row r="1103" ht="14.25" hidden="1" customHeight="1">
      <c r="A1103" s="8" t="s">
        <v>1343</v>
      </c>
      <c r="B1103" s="8" t="s">
        <v>469</v>
      </c>
      <c r="D1103" s="121" t="str">
        <f>HYPERLINK("http://www.cincinnati.va.gov/services/UROLOGY.ASP")</f>
        <v>http://www.cincinnati.va.gov/services/UROLOGY.ASP</v>
      </c>
      <c r="E1103" s="8" t="s">
        <v>392</v>
      </c>
    </row>
    <row r="1104" ht="14.25" hidden="1" customHeight="1">
      <c r="A1104" s="8" t="s">
        <v>1343</v>
      </c>
      <c r="B1104" s="8" t="s">
        <v>1362</v>
      </c>
      <c r="D1104" s="121" t="str">
        <f>HYPERLINK("http://www.cincinnati.va.gov/services/VASCULAR.ASP")</f>
        <v>http://www.cincinnati.va.gov/services/VASCULAR.ASP</v>
      </c>
      <c r="E1104" s="8" t="s">
        <v>392</v>
      </c>
    </row>
    <row r="1105" ht="14.25" hidden="1" customHeight="1">
      <c r="A1105" s="8" t="s">
        <v>1343</v>
      </c>
      <c r="B1105" s="8" t="s">
        <v>1363</v>
      </c>
      <c r="D1105" s="121" t="str">
        <f>HYPERLINK("http://www.cincinnati.va.gov/services/VBA_REP.ASP")</f>
        <v>http://www.cincinnati.va.gov/services/VBA_REP.ASP</v>
      </c>
      <c r="E1105" s="8" t="s">
        <v>392</v>
      </c>
    </row>
    <row r="1106" ht="14.25" hidden="1" customHeight="1">
      <c r="A1106" s="8" t="s">
        <v>1343</v>
      </c>
      <c r="B1106" s="8" t="s">
        <v>1364</v>
      </c>
      <c r="D1106" s="121" t="str">
        <f>HYPERLINK("http://www.cincinnati.va.gov/services/VETERANS_INTEGRATION_INTO_ACADEMIC_LEADERSHIP.ASP")</f>
        <v>http://www.cincinnati.va.gov/services/VETERANS_INTEGRATION_INTO_ACADEMIC_LEADERSHIP.ASP</v>
      </c>
      <c r="E1106" s="8" t="s">
        <v>392</v>
      </c>
    </row>
    <row r="1107" ht="14.25" hidden="1" customHeight="1">
      <c r="A1107" s="8" t="s">
        <v>1343</v>
      </c>
      <c r="B1107" s="8" t="s">
        <v>1365</v>
      </c>
      <c r="D1107" s="121" t="str">
        <f>HYPERLINK("http://www.cincinnati.va.gov/services/VLER.ASP")</f>
        <v>http://www.cincinnati.va.gov/services/VLER.ASP</v>
      </c>
      <c r="E1107" s="8" t="s">
        <v>392</v>
      </c>
    </row>
    <row r="1108" ht="14.25" hidden="1" customHeight="1">
      <c r="A1108" s="8" t="s">
        <v>1343</v>
      </c>
      <c r="B1108" s="8" t="s">
        <v>1366</v>
      </c>
      <c r="D1108" s="121" t="str">
        <f>HYPERLINK("http://www.cincinnati.va.gov/services/VIST.ASP")</f>
        <v>http://www.cincinnati.va.gov/services/VIST.ASP</v>
      </c>
      <c r="E1108" s="8" t="s">
        <v>392</v>
      </c>
    </row>
    <row r="1109" ht="14.25" hidden="1" customHeight="1">
      <c r="A1109" s="8" t="s">
        <v>1343</v>
      </c>
      <c r="B1109" s="8" t="s">
        <v>822</v>
      </c>
      <c r="D1109" s="121" t="str">
        <f>HYPERLINK("http://www.cincinnati.va.gov/services/VOCATIONAL_SERVICES.ASP")</f>
        <v>http://www.cincinnati.va.gov/services/VOCATIONAL_SERVICES.ASP</v>
      </c>
      <c r="E1109" s="8" t="s">
        <v>392</v>
      </c>
    </row>
    <row r="1110" ht="14.25" hidden="1" customHeight="1">
      <c r="A1110" s="8" t="s">
        <v>1343</v>
      </c>
      <c r="B1110" s="8" t="s">
        <v>1367</v>
      </c>
      <c r="D1110" s="121" t="str">
        <f>HYPERLINK("http://www.cincinnati.va.gov/services/GIVING.ASP")</f>
        <v>http://www.cincinnati.va.gov/services/GIVING.ASP</v>
      </c>
      <c r="E1110" s="8" t="s">
        <v>392</v>
      </c>
    </row>
    <row r="1111" ht="14.25" hidden="1" customHeight="1">
      <c r="A1111" s="8" t="s">
        <v>1343</v>
      </c>
      <c r="B1111" s="8" t="s">
        <v>973</v>
      </c>
      <c r="D1111" s="121" t="str">
        <f>HYPERLINK("http://www.cincinnati.va.gov/services/WHOLE_HEALTH.ASP")</f>
        <v>http://www.cincinnati.va.gov/services/WHOLE_HEALTH.ASP</v>
      </c>
      <c r="E1111" s="8" t="s">
        <v>392</v>
      </c>
    </row>
    <row r="1112" ht="14.25" hidden="1" customHeight="1">
      <c r="A1112" s="8" t="s">
        <v>1343</v>
      </c>
      <c r="B1112" s="8" t="s">
        <v>1368</v>
      </c>
      <c r="D1112" s="121" t="str">
        <f>HYPERLINK("http://www.cincinnati.va.gov/services/WOMEN_VETERANS.ASP")</f>
        <v>http://www.cincinnati.va.gov/services/WOMEN_VETERANS.ASP</v>
      </c>
      <c r="E1112" s="8" t="s">
        <v>392</v>
      </c>
    </row>
    <row r="1113" ht="14.25" hidden="1" customHeight="1">
      <c r="A1113" s="8" t="s">
        <v>1369</v>
      </c>
      <c r="B1113" s="8" t="s">
        <v>1370</v>
      </c>
      <c r="D1113" s="121" t="str">
        <f>HYPERLINK("http://www.clarksburg.va.gov/services/ANESTHESIOLOGY_PAIN_MANAGEMENT.ASP")</f>
        <v>http://www.clarksburg.va.gov/services/ANESTHESIOLOGY_PAIN_MANAGEMENT.ASP</v>
      </c>
      <c r="E1113" s="8" t="s">
        <v>392</v>
      </c>
    </row>
    <row r="1114" ht="14.25" hidden="1" customHeight="1">
      <c r="A1114" s="8" t="s">
        <v>1369</v>
      </c>
      <c r="B1114" s="8" t="s">
        <v>244</v>
      </c>
      <c r="D1114" s="121" t="str">
        <f>HYPERLINK("http://www.clarksburg.va.gov/services/AUDIOLOGY.ASP")</f>
        <v>http://www.clarksburg.va.gov/services/AUDIOLOGY.ASP</v>
      </c>
      <c r="E1114" s="8" t="s">
        <v>392</v>
      </c>
    </row>
    <row r="1115" ht="14.25" hidden="1" customHeight="1">
      <c r="A1115" s="8" t="s">
        <v>1369</v>
      </c>
      <c r="B1115" s="8" t="s">
        <v>446</v>
      </c>
      <c r="D1115" s="121" t="str">
        <f>HYPERLINK("http://www.clarksburg.va.gov/services/BEHAVIORAL_HEALTH.ASP")</f>
        <v>http://www.clarksburg.va.gov/services/BEHAVIORAL_HEALTH.ASP</v>
      </c>
      <c r="E1115" s="8" t="s">
        <v>595</v>
      </c>
    </row>
    <row r="1116" ht="14.25" hidden="1" customHeight="1">
      <c r="A1116" s="8" t="s">
        <v>1369</v>
      </c>
      <c r="B1116" s="8" t="s">
        <v>414</v>
      </c>
      <c r="D1116" s="121" t="str">
        <f>HYPERLINK("http://www.clarksburg.va.gov/services/CARDIOLOGY.ASP")</f>
        <v>http://www.clarksburg.va.gov/services/CARDIOLOGY.ASP</v>
      </c>
      <c r="E1116" s="8" t="s">
        <v>392</v>
      </c>
    </row>
    <row r="1117" ht="14.25" hidden="1" customHeight="1">
      <c r="A1117" s="8" t="s">
        <v>1369</v>
      </c>
      <c r="B1117" s="8" t="s">
        <v>478</v>
      </c>
      <c r="D1117" s="121" t="str">
        <f>HYPERLINK("http://www.clarksburg.va.gov/services/CHAPLAIN_SERVICE.ASP")</f>
        <v>http://www.clarksburg.va.gov/services/CHAPLAIN_SERVICE.ASP</v>
      </c>
      <c r="E1117" s="8" t="s">
        <v>392</v>
      </c>
    </row>
    <row r="1118" ht="14.25" hidden="1" customHeight="1">
      <c r="A1118" s="8" t="s">
        <v>1369</v>
      </c>
      <c r="B1118" s="8" t="s">
        <v>645</v>
      </c>
      <c r="D1118" s="121" t="str">
        <f>HYPERLINK("http://www.clarksburg.va.gov/services/COMPENSATED_WORK_THERAPY_CWT.ASP")</f>
        <v>http://www.clarksburg.va.gov/services/COMPENSATED_WORK_THERAPY_CWT.ASP</v>
      </c>
      <c r="E1118" s="8" t="s">
        <v>392</v>
      </c>
    </row>
    <row r="1119" ht="14.25" hidden="1" customHeight="1">
      <c r="A1119" s="8" t="s">
        <v>1369</v>
      </c>
      <c r="B1119" s="8" t="s">
        <v>517</v>
      </c>
      <c r="D1119" s="121" t="str">
        <f>HYPERLINK("http://www.clarksburg.va.gov/services/DERMATOLOGY.ASP")</f>
        <v>http://www.clarksburg.va.gov/services/DERMATOLOGY.ASP</v>
      </c>
      <c r="E1119" s="8" t="s">
        <v>392</v>
      </c>
    </row>
    <row r="1120" ht="14.25" hidden="1" customHeight="1">
      <c r="A1120" s="8" t="s">
        <v>1369</v>
      </c>
      <c r="B1120" s="8" t="s">
        <v>1371</v>
      </c>
      <c r="D1120" s="121" t="str">
        <f>HYPERLINK("http://www.clarksburg.va.gov/services/OTOLARYNGOLOGY.ASP")</f>
        <v>http://www.clarksburg.va.gov/services/OTOLARYNGOLOGY.ASP</v>
      </c>
      <c r="E1120" s="8" t="s">
        <v>392</v>
      </c>
    </row>
    <row r="1121" ht="14.25" hidden="1" customHeight="1">
      <c r="A1121" s="8" t="s">
        <v>1369</v>
      </c>
      <c r="B1121" s="8" t="s">
        <v>309</v>
      </c>
      <c r="D1121" s="121" t="str">
        <f>HYPERLINK("http://www.clarksburg.va.gov/services/EXTENDED_CARE_AND_REHABILITATION.ASP")</f>
        <v>http://www.clarksburg.va.gov/services/EXTENDED_CARE_AND_REHABILITATION.ASP</v>
      </c>
      <c r="E1121" s="8" t="s">
        <v>392</v>
      </c>
    </row>
    <row r="1122" ht="14.25" hidden="1" customHeight="1">
      <c r="A1122" s="8" t="s">
        <v>1369</v>
      </c>
      <c r="B1122" s="8" t="s">
        <v>949</v>
      </c>
      <c r="D1122" s="121" t="str">
        <f>HYPERLINK("http://www.clarksburg.va.gov/services/EYE_CARE.ASP")</f>
        <v>http://www.clarksburg.va.gov/services/EYE_CARE.ASP</v>
      </c>
      <c r="E1122" s="8" t="s">
        <v>392</v>
      </c>
    </row>
    <row r="1123" ht="14.25" hidden="1" customHeight="1">
      <c r="A1123" s="8" t="s">
        <v>1369</v>
      </c>
      <c r="B1123" s="8" t="s">
        <v>1372</v>
      </c>
      <c r="D1123" s="121" t="str">
        <f>HYPERLINK("http://www.clarksburg.va.gov/services/FEE_BASIS.ASP")</f>
        <v>http://www.clarksburg.va.gov/services/FEE_BASIS.ASP</v>
      </c>
      <c r="E1123" s="8" t="s">
        <v>392</v>
      </c>
    </row>
    <row r="1124" ht="14.25" hidden="1" customHeight="1">
      <c r="A1124" s="8" t="s">
        <v>1369</v>
      </c>
      <c r="B1124" s="8" t="s">
        <v>1138</v>
      </c>
      <c r="D1124" s="121" t="str">
        <f>HYPERLINK("http://www.clarksburg.va.gov/services/GASTROENTEROLOGY.ASP")</f>
        <v>http://www.clarksburg.va.gov/services/GASTROENTEROLOGY.ASP</v>
      </c>
      <c r="E1124" s="8" t="s">
        <v>392</v>
      </c>
    </row>
    <row r="1125" ht="14.25" hidden="1" customHeight="1">
      <c r="A1125" s="8" t="s">
        <v>1369</v>
      </c>
      <c r="B1125" s="8" t="s">
        <v>1373</v>
      </c>
      <c r="D1125" s="121" t="str">
        <f>HYPERLINK("http://www.clarksburg.va.gov/services/GENERAL_SURGERY.ASP")</f>
        <v>http://www.clarksburg.va.gov/services/GENERAL_SURGERY.ASP</v>
      </c>
      <c r="E1125" s="8" t="s">
        <v>392</v>
      </c>
    </row>
    <row r="1126" ht="14.25" hidden="1" customHeight="1">
      <c r="A1126" s="8" t="s">
        <v>1369</v>
      </c>
      <c r="B1126" s="8" t="s">
        <v>560</v>
      </c>
      <c r="D1126" s="121" t="str">
        <f>HYPERLINK("http://www.clarksburg.va.gov/services/HEMATOLOGY.ASP")</f>
        <v>http://www.clarksburg.va.gov/services/HEMATOLOGY.ASP</v>
      </c>
      <c r="E1126" s="8" t="s">
        <v>392</v>
      </c>
    </row>
    <row r="1127" ht="14.25" hidden="1" customHeight="1">
      <c r="A1127" s="8" t="s">
        <v>1369</v>
      </c>
      <c r="B1127" s="8" t="s">
        <v>431</v>
      </c>
      <c r="D1127" s="121" t="str">
        <f>HYPERLINK("http://www.clarksburg.va.gov/services/HOME_BASED_PRIMARY_CARE.ASP")</f>
        <v>http://www.clarksburg.va.gov/services/HOME_BASED_PRIMARY_CARE.ASP</v>
      </c>
      <c r="E1127" s="8" t="s">
        <v>392</v>
      </c>
    </row>
    <row r="1128" ht="14.25" hidden="1" customHeight="1">
      <c r="A1128" s="8" t="s">
        <v>1369</v>
      </c>
      <c r="B1128" s="8" t="s">
        <v>1230</v>
      </c>
      <c r="D1128" s="121" t="str">
        <f>HYPERLINK("http://www.clarksburg.va.gov/services/HOSPICE_CARE.ASP")</f>
        <v>http://www.clarksburg.va.gov/services/HOSPICE_CARE.ASP</v>
      </c>
      <c r="E1128" s="8" t="s">
        <v>392</v>
      </c>
    </row>
    <row r="1129" ht="14.25" hidden="1" customHeight="1">
      <c r="A1129" s="8" t="s">
        <v>1369</v>
      </c>
      <c r="B1129" s="8" t="s">
        <v>317</v>
      </c>
      <c r="D1129" s="121" t="str">
        <f>HYPERLINK("http://www.clarksburg.va.gov/services/LGBT.ASP")</f>
        <v>http://www.clarksburg.va.gov/services/LGBT.ASP</v>
      </c>
      <c r="E1129" s="8" t="s">
        <v>392</v>
      </c>
    </row>
    <row r="1130" ht="14.25" hidden="1" customHeight="1">
      <c r="A1130" s="8" t="s">
        <v>1369</v>
      </c>
      <c r="B1130" s="8" t="s">
        <v>584</v>
      </c>
      <c r="D1130" s="121" t="str">
        <f>HYPERLINK("http://www.clarksburg.va.gov/services/LABORATORY.ASP")</f>
        <v>http://www.clarksburg.va.gov/services/LABORATORY.ASP</v>
      </c>
      <c r="E1130" s="8" t="s">
        <v>392</v>
      </c>
    </row>
    <row r="1131" ht="14.25" hidden="1" customHeight="1">
      <c r="A1131" s="8" t="s">
        <v>1369</v>
      </c>
      <c r="B1131" s="8" t="s">
        <v>323</v>
      </c>
      <c r="D1131" s="121" t="str">
        <f>HYPERLINK("http://www.clarksburg.va.gov/services/BEHAVIORAL_HEALTH.ASP")</f>
        <v>http://www.clarksburg.va.gov/services/BEHAVIORAL_HEALTH.ASP</v>
      </c>
      <c r="E1131" s="8" t="s">
        <v>392</v>
      </c>
    </row>
    <row r="1132" ht="14.25" hidden="1" customHeight="1">
      <c r="A1132" s="8" t="s">
        <v>1369</v>
      </c>
      <c r="B1132" s="8" t="s">
        <v>1374</v>
      </c>
      <c r="D1132" s="121" t="str">
        <f>HYPERLINK("http://www.clarksburg.va.gov/services/MENTAL_HEALTH_OUTPATIENT_CLINIC.ASP")</f>
        <v>http://www.clarksburg.va.gov/services/MENTAL_HEALTH_OUTPATIENT_CLINIC.ASP</v>
      </c>
      <c r="E1132" s="8" t="s">
        <v>392</v>
      </c>
    </row>
    <row r="1133" ht="14.25" hidden="1" customHeight="1">
      <c r="A1133" s="8" t="s">
        <v>1369</v>
      </c>
      <c r="B1133" s="8" t="s">
        <v>1375</v>
      </c>
      <c r="D1133" s="121" t="str">
        <f>HYPERLINK("http://www.clarksburg.va.gov/services/MHPGR.ASP")</f>
        <v>http://www.clarksburg.va.gov/services/MHPGR.ASP</v>
      </c>
      <c r="E1133" s="8" t="s">
        <v>392</v>
      </c>
    </row>
    <row r="1134" ht="14.25" hidden="1" customHeight="1">
      <c r="A1134" s="8" t="s">
        <v>1369</v>
      </c>
      <c r="B1134" s="8" t="s">
        <v>1231</v>
      </c>
      <c r="D1134" s="121" t="str">
        <f>HYPERLINK("http://www.clarksburg.va.gov/services/MILITARY_SEXUAL_TRAUMA_MST.ASP")</f>
        <v>http://www.clarksburg.va.gov/services/MILITARY_SEXUAL_TRAUMA_MST.ASP</v>
      </c>
      <c r="E1134" s="8" t="s">
        <v>392</v>
      </c>
    </row>
    <row r="1135" ht="14.25" hidden="1" customHeight="1">
      <c r="A1135" s="8" t="s">
        <v>1369</v>
      </c>
      <c r="B1135" s="8" t="s">
        <v>494</v>
      </c>
      <c r="D1135" s="121" t="str">
        <f>HYPERLINK("http://www.clarksburg.va.gov/services/MYHEALTHEVET.ASP")</f>
        <v>http://www.clarksburg.va.gov/services/MYHEALTHEVET.ASP</v>
      </c>
      <c r="E1135" s="8" t="s">
        <v>392</v>
      </c>
    </row>
    <row r="1136" ht="14.25" hidden="1" customHeight="1">
      <c r="A1136" s="8" t="s">
        <v>1369</v>
      </c>
      <c r="B1136" s="8" t="s">
        <v>1376</v>
      </c>
      <c r="D1136" s="121" t="str">
        <f>HYPERLINK("http://www.clarksburg.va.gov/services/OCCUPATIONAL_THERAPY_OT.ASP")</f>
        <v>http://www.clarksburg.va.gov/services/OCCUPATIONAL_THERAPY_OT.ASP</v>
      </c>
      <c r="E1136" s="8" t="s">
        <v>392</v>
      </c>
    </row>
    <row r="1137" ht="14.25" hidden="1" customHeight="1">
      <c r="A1137" s="8" t="s">
        <v>1369</v>
      </c>
      <c r="B1137" s="8" t="s">
        <v>839</v>
      </c>
      <c r="D1137" s="121" t="str">
        <f>HYPERLINK("http://www.clarksburg.va.gov/services/ONCOLOGY.ASP")</f>
        <v>http://www.clarksburg.va.gov/services/ONCOLOGY.ASP</v>
      </c>
      <c r="E1137" s="8" t="s">
        <v>392</v>
      </c>
    </row>
    <row r="1138" ht="14.25" hidden="1" customHeight="1">
      <c r="A1138" s="8" t="s">
        <v>1369</v>
      </c>
      <c r="B1138" s="8" t="s">
        <v>338</v>
      </c>
      <c r="D1138" s="121" t="str">
        <f>HYPERLINK("http://www.clarksburg.va.gov/services/ORTHOPEDICS.ASP")</f>
        <v>http://www.clarksburg.va.gov/services/ORTHOPEDICS.ASP</v>
      </c>
      <c r="E1138" s="8" t="s">
        <v>392</v>
      </c>
    </row>
    <row r="1139" ht="14.25" hidden="1" customHeight="1">
      <c r="A1139" s="8" t="s">
        <v>1369</v>
      </c>
      <c r="B1139" s="8" t="s">
        <v>651</v>
      </c>
      <c r="D1139" s="121" t="str">
        <f>HYPERLINK("http://www.clarksburg.va.gov/services/PALLIATIVE_CARE.ASP")</f>
        <v>http://www.clarksburg.va.gov/services/PALLIATIVE_CARE.ASP</v>
      </c>
      <c r="E1139" s="8" t="s">
        <v>392</v>
      </c>
    </row>
    <row r="1140" ht="14.25" hidden="1" customHeight="1">
      <c r="A1140" s="8" t="s">
        <v>1369</v>
      </c>
      <c r="B1140" s="8" t="s">
        <v>343</v>
      </c>
      <c r="D1140" s="121" t="str">
        <f>HYPERLINK("http://www.clarksburg.va.gov/services/PHARMACY.ASP")</f>
        <v>http://www.clarksburg.va.gov/services/PHARMACY.ASP</v>
      </c>
      <c r="E1140" s="8" t="s">
        <v>392</v>
      </c>
    </row>
    <row r="1141" ht="14.25" hidden="1" customHeight="1">
      <c r="A1141" s="8" t="s">
        <v>1369</v>
      </c>
      <c r="B1141" s="8" t="s">
        <v>608</v>
      </c>
      <c r="D1141" s="121" t="str">
        <f>HYPERLINK("http://www.clarksburg.va.gov/services/PHYSICAL_THERAPY.ASP")</f>
        <v>http://www.clarksburg.va.gov/services/PHYSICAL_THERAPY.ASP</v>
      </c>
      <c r="E1141" s="8" t="s">
        <v>392</v>
      </c>
    </row>
    <row r="1142" ht="14.25" hidden="1" customHeight="1">
      <c r="A1142" s="8" t="s">
        <v>1369</v>
      </c>
      <c r="B1142" s="8" t="s">
        <v>450</v>
      </c>
      <c r="D1142" s="121" t="str">
        <f>HYPERLINK("http://www.clarksburg.va.gov/services/PODIATRY.ASP")</f>
        <v>http://www.clarksburg.va.gov/services/PODIATRY.ASP</v>
      </c>
      <c r="E1142" s="8" t="s">
        <v>392</v>
      </c>
    </row>
    <row r="1143" ht="14.25" hidden="1" customHeight="1">
      <c r="A1143" s="8" t="s">
        <v>1369</v>
      </c>
      <c r="B1143" s="8" t="s">
        <v>348</v>
      </c>
      <c r="D1143" s="121" t="str">
        <f>HYPERLINK("http://www.clarksburg.va.gov/services/PRIMARY_CARE.ASP")</f>
        <v>http://www.clarksburg.va.gov/services/PRIMARY_CARE.ASP</v>
      </c>
      <c r="E1143" s="8" t="s">
        <v>392</v>
      </c>
    </row>
    <row r="1144" ht="14.25" hidden="1" customHeight="1">
      <c r="A1144" s="8" t="s">
        <v>1369</v>
      </c>
      <c r="B1144" s="8" t="s">
        <v>1377</v>
      </c>
      <c r="D1144" s="121" t="str">
        <f>HYPERLINK("http://www.clarksburg.va.gov/services/PROSTHETICS_DEPARTMENT.ASP")</f>
        <v>http://www.clarksburg.va.gov/services/PROSTHETICS_DEPARTMENT.ASP</v>
      </c>
      <c r="E1144" s="8" t="s">
        <v>392</v>
      </c>
    </row>
    <row r="1145" ht="14.25" hidden="1" customHeight="1">
      <c r="A1145" s="8" t="s">
        <v>1369</v>
      </c>
      <c r="B1145" s="8" t="s">
        <v>1378</v>
      </c>
      <c r="D1145" s="121" t="str">
        <f>HYPERLINK("http://www.clarksburg.va.gov/services/PULMONOLOGY.ASP")</f>
        <v>http://www.clarksburg.va.gov/services/PULMONOLOGY.ASP</v>
      </c>
      <c r="E1145" s="8" t="s">
        <v>392</v>
      </c>
    </row>
    <row r="1146" ht="14.25" hidden="1" customHeight="1">
      <c r="A1146" s="8" t="s">
        <v>1369</v>
      </c>
      <c r="B1146" s="8" t="s">
        <v>717</v>
      </c>
      <c r="D1146" s="121" t="str">
        <f>HYPERLINK("http://www.clarksburg.va.gov/services/RADIOLOGY.ASP")</f>
        <v>http://www.clarksburg.va.gov/services/RADIOLOGY.ASP</v>
      </c>
      <c r="E1146" s="8" t="s">
        <v>392</v>
      </c>
    </row>
    <row r="1147" ht="14.25" hidden="1" customHeight="1">
      <c r="A1147" s="8" t="s">
        <v>1369</v>
      </c>
      <c r="B1147" s="8" t="s">
        <v>1288</v>
      </c>
      <c r="D1147" s="121" t="str">
        <f>HYPERLINK("http://www.clarksburg.va.gov/services/RECREATIONAL_THERAPY.ASP")</f>
        <v>http://www.clarksburg.va.gov/services/RECREATIONAL_THERAPY.ASP</v>
      </c>
      <c r="E1147" s="8" t="s">
        <v>392</v>
      </c>
    </row>
    <row r="1148" ht="14.25" hidden="1" customHeight="1">
      <c r="A1148" s="8" t="s">
        <v>1369</v>
      </c>
      <c r="B1148" s="8" t="s">
        <v>508</v>
      </c>
      <c r="D1148" s="121" t="str">
        <f>HYPERLINK("http://www.clarksburg.va.gov/services/RESEARCH.ASP")</f>
        <v>http://www.clarksburg.va.gov/services/RESEARCH.ASP</v>
      </c>
      <c r="E1148" s="8" t="s">
        <v>392</v>
      </c>
    </row>
    <row r="1149" ht="14.25" hidden="1" customHeight="1">
      <c r="A1149" s="8" t="s">
        <v>1369</v>
      </c>
      <c r="B1149" s="8" t="s">
        <v>1171</v>
      </c>
      <c r="D1149" s="121" t="str">
        <f>HYPERLINK("http://www.clarksburg.va.gov/services/RHEUMATOLOGY.ASP")</f>
        <v>http://www.clarksburg.va.gov/services/RHEUMATOLOGY.ASP</v>
      </c>
      <c r="E1149" s="8" t="s">
        <v>392</v>
      </c>
    </row>
    <row r="1150" ht="14.25" hidden="1" customHeight="1">
      <c r="A1150" s="8" t="s">
        <v>1369</v>
      </c>
      <c r="B1150" s="8" t="s">
        <v>363</v>
      </c>
      <c r="D1150" s="121" t="str">
        <f>HYPERLINK("http://www.clarksburg.va.gov/services/SPECIALTY_CARE.ASP")</f>
        <v>http://www.clarksburg.va.gov/services/SPECIALTY_CARE.ASP</v>
      </c>
      <c r="E1150" s="8" t="s">
        <v>392</v>
      </c>
    </row>
    <row r="1151" ht="14.25" hidden="1" customHeight="1">
      <c r="A1151" s="8" t="s">
        <v>1369</v>
      </c>
      <c r="B1151" s="8" t="s">
        <v>1379</v>
      </c>
      <c r="D1151" s="121" t="str">
        <f>HYPERLINK("http://www.clarksburg.va.gov/services/THE_SPEECH_PATHOLOGY_CLINIC.ASP")</f>
        <v>http://www.clarksburg.va.gov/services/THE_SPEECH_PATHOLOGY_CLINIC.ASP</v>
      </c>
      <c r="E1151" s="8" t="s">
        <v>392</v>
      </c>
    </row>
    <row r="1152" ht="14.25" hidden="1" customHeight="1">
      <c r="A1152" s="8" t="s">
        <v>1369</v>
      </c>
      <c r="B1152" s="8" t="s">
        <v>364</v>
      </c>
      <c r="D1152" s="121" t="str">
        <f>HYPERLINK("http://www.clarksburg.va.gov/services/SPINAL_CORD_INJURY.ASP")</f>
        <v>http://www.clarksburg.va.gov/services/SPINAL_CORD_INJURY.ASP</v>
      </c>
      <c r="E1152" s="8" t="s">
        <v>392</v>
      </c>
    </row>
    <row r="1153" ht="14.25" hidden="1" customHeight="1">
      <c r="A1153" s="8" t="s">
        <v>1369</v>
      </c>
      <c r="B1153" s="8" t="s">
        <v>722</v>
      </c>
      <c r="D1153" s="121" t="str">
        <f>HYPERLINK("http://www.clarksburg.va.gov/services/SURGERY.ASP")</f>
        <v>http://www.clarksburg.va.gov/services/SURGERY.ASP</v>
      </c>
      <c r="E1153" s="8" t="s">
        <v>392</v>
      </c>
    </row>
    <row r="1154" ht="14.25" hidden="1" customHeight="1">
      <c r="A1154" s="8" t="s">
        <v>1369</v>
      </c>
      <c r="B1154" s="8" t="s">
        <v>370</v>
      </c>
      <c r="D1154" s="121" t="str">
        <f>HYPERLINK("http://www.clarksburg.va.gov/services/TELEHEALTH.ASP")</f>
        <v>http://www.clarksburg.va.gov/services/TELEHEALTH.ASP</v>
      </c>
      <c r="E1154" s="8" t="s">
        <v>392</v>
      </c>
    </row>
    <row r="1155" ht="14.25" hidden="1" customHeight="1">
      <c r="A1155" s="8" t="s">
        <v>1369</v>
      </c>
      <c r="B1155" s="8" t="s">
        <v>469</v>
      </c>
      <c r="D1155" s="121" t="str">
        <f>HYPERLINK("http://www.clarksburg.va.gov/services/UROLOGY.ASP")</f>
        <v>http://www.clarksburg.va.gov/services/UROLOGY.ASP</v>
      </c>
      <c r="E1155" s="8" t="s">
        <v>392</v>
      </c>
    </row>
    <row r="1156" ht="14.25" hidden="1" customHeight="1">
      <c r="A1156" s="8" t="s">
        <v>1369</v>
      </c>
      <c r="B1156" s="8" t="s">
        <v>1380</v>
      </c>
      <c r="D1156" s="121" t="str">
        <f>HYPERLINK("http://www.clarksburg.va.gov/services/VALET.ASP")</f>
        <v>http://www.clarksburg.va.gov/services/VALET.ASP</v>
      </c>
      <c r="E1156" s="8" t="s">
        <v>392</v>
      </c>
    </row>
    <row r="1157" ht="14.25" hidden="1" customHeight="1">
      <c r="A1157" s="8" t="s">
        <v>1369</v>
      </c>
      <c r="B1157" s="8" t="s">
        <v>1362</v>
      </c>
      <c r="D1157" s="121" t="str">
        <f>HYPERLINK("http://www.clarksburg.va.gov/services/VASCULAR.ASP")</f>
        <v>http://www.clarksburg.va.gov/services/VASCULAR.ASP</v>
      </c>
      <c r="E1157" s="8" t="s">
        <v>392</v>
      </c>
    </row>
    <row r="1158" ht="14.25" hidden="1" customHeight="1">
      <c r="A1158" s="8" t="s">
        <v>1369</v>
      </c>
      <c r="B1158" s="8" t="s">
        <v>516</v>
      </c>
      <c r="D1158" s="121" t="str">
        <f>HYPERLINK("http://www.clarksburg.va.gov/services/VJO.ASP")</f>
        <v>http://www.clarksburg.va.gov/services/VJO.ASP</v>
      </c>
      <c r="E1158" s="8" t="s">
        <v>392</v>
      </c>
    </row>
    <row r="1159" ht="14.25" hidden="1" customHeight="1">
      <c r="A1159" s="8" t="s">
        <v>1369</v>
      </c>
      <c r="B1159" s="8" t="s">
        <v>1381</v>
      </c>
      <c r="D1159" s="121" t="str">
        <f>HYPERLINK("http://www.clarksburg.va.gov/services/VISUAL_IMPAIRMENT.ASP")</f>
        <v>http://www.clarksburg.va.gov/services/VISUAL_IMPAIRMENT.ASP</v>
      </c>
      <c r="E1159" s="8" t="s">
        <v>392</v>
      </c>
    </row>
    <row r="1160" ht="14.25" hidden="1" customHeight="1">
      <c r="A1160" s="8" t="s">
        <v>1369</v>
      </c>
      <c r="B1160" s="8" t="s">
        <v>973</v>
      </c>
      <c r="D1160" s="121" t="str">
        <f>HYPERLINK("http://www.clarksburg.va.gov/services/WHOLE_HEALTH.ASP")</f>
        <v>http://www.clarksburg.va.gov/services/WHOLE_HEALTH.ASP</v>
      </c>
      <c r="E1160" s="8" t="s">
        <v>392</v>
      </c>
    </row>
    <row r="1161" ht="14.25" hidden="1" customHeight="1">
      <c r="A1161" s="8" t="s">
        <v>1382</v>
      </c>
      <c r="B1161" s="8" t="s">
        <v>1383</v>
      </c>
      <c r="D1161" s="121" t="str">
        <f>HYPERLINK("http://www.cleveland.va.gov/services/AMPUTEE_CLINIC.ASP")</f>
        <v>http://www.cleveland.va.gov/services/AMPUTEE_CLINIC.ASP</v>
      </c>
      <c r="E1161" s="8" t="s">
        <v>392</v>
      </c>
    </row>
    <row r="1162" ht="14.25" hidden="1" customHeight="1">
      <c r="A1162" s="8" t="s">
        <v>1382</v>
      </c>
      <c r="B1162" s="8" t="s">
        <v>244</v>
      </c>
      <c r="D1162" s="121" t="str">
        <f>HYPERLINK("http://www.cleveland.va.gov/services/AUDIOLOGY.ASP")</f>
        <v>http://www.cleveland.va.gov/services/AUDIOLOGY.ASP</v>
      </c>
      <c r="E1162" s="8" t="s">
        <v>392</v>
      </c>
    </row>
    <row r="1163" ht="14.25" hidden="1" customHeight="1">
      <c r="A1163" s="8" t="s">
        <v>1382</v>
      </c>
      <c r="B1163" s="8" t="s">
        <v>862</v>
      </c>
      <c r="D1163" s="121" t="str">
        <f>HYPERLINK("http://www.cleveland.va.gov/services/BLIND_REHABILITATION.ASP")</f>
        <v>http://www.cleveland.va.gov/services/BLIND_REHABILITATION.ASP</v>
      </c>
      <c r="E1163" s="8" t="s">
        <v>392</v>
      </c>
    </row>
    <row r="1164" ht="14.25" hidden="1" customHeight="1">
      <c r="A1164" s="8" t="s">
        <v>1382</v>
      </c>
      <c r="B1164" s="8" t="s">
        <v>1384</v>
      </c>
      <c r="D1164" s="121" t="str">
        <f>HYPERLINK("http://www.cleveland.va.gov/services/CARDIOLOGY_SERVICE.ASP")</f>
        <v>http://www.cleveland.va.gov/services/CARDIOLOGY_SERVICE.ASP</v>
      </c>
      <c r="E1164" s="8" t="s">
        <v>392</v>
      </c>
    </row>
    <row r="1165" ht="14.25" hidden="1" customHeight="1">
      <c r="A1165" s="8" t="s">
        <v>1382</v>
      </c>
      <c r="B1165" s="8" t="s">
        <v>304</v>
      </c>
      <c r="D1165" s="121" t="str">
        <f>HYPERLINK("http://www.cleveland.va.gov/services/DENTAL.ASP")</f>
        <v>http://www.cleveland.va.gov/services/DENTAL.ASP</v>
      </c>
      <c r="E1165" s="8" t="s">
        <v>392</v>
      </c>
    </row>
    <row r="1166" ht="14.25" hidden="1" customHeight="1">
      <c r="A1166" s="8" t="s">
        <v>1382</v>
      </c>
      <c r="B1166" s="8" t="s">
        <v>517</v>
      </c>
      <c r="D1166" s="121" t="str">
        <f>HYPERLINK("http://www.cleveland.va.gov/services/DERMATOLOGY.ASP")</f>
        <v>http://www.cleveland.va.gov/services/DERMATOLOGY.ASP</v>
      </c>
      <c r="E1166" s="8" t="s">
        <v>392</v>
      </c>
    </row>
    <row r="1167" ht="14.25" hidden="1" customHeight="1">
      <c r="A1167" s="8" t="s">
        <v>1382</v>
      </c>
      <c r="B1167" s="8" t="s">
        <v>1385</v>
      </c>
      <c r="D1167" s="121" t="str">
        <f>HYPERLINK("http://www.cleveland.va.gov/services/DIABETESMGMT.ASP")</f>
        <v>http://www.cleveland.va.gov/services/DIABETESMGMT.ASP</v>
      </c>
      <c r="E1167" s="8" t="s">
        <v>392</v>
      </c>
    </row>
    <row r="1168" ht="14.25" hidden="1" customHeight="1">
      <c r="A1168" s="8" t="s">
        <v>1382</v>
      </c>
      <c r="B1168" s="8" t="s">
        <v>1386</v>
      </c>
      <c r="D1168" s="121" t="str">
        <f>HYPERLINK("http://www.cleveland.va.gov/services/ENDOCRINOLOGY.ASP")</f>
        <v>http://www.cleveland.va.gov/services/ENDOCRINOLOGY.ASP</v>
      </c>
      <c r="E1168" s="8" t="s">
        <v>392</v>
      </c>
    </row>
    <row r="1169" ht="14.25" hidden="1" customHeight="1">
      <c r="A1169" s="8" t="s">
        <v>1382</v>
      </c>
      <c r="B1169" s="8" t="s">
        <v>309</v>
      </c>
      <c r="D1169" s="121" t="str">
        <f>HYPERLINK("http://www.cleveland.va.gov/services/ECRC.ASP")</f>
        <v>http://www.cleveland.va.gov/services/ECRC.ASP</v>
      </c>
      <c r="E1169" s="8" t="s">
        <v>392</v>
      </c>
    </row>
    <row r="1170" ht="14.25" hidden="1" customHeight="1">
      <c r="A1170" s="8" t="s">
        <v>1382</v>
      </c>
      <c r="B1170" s="8" t="s">
        <v>1387</v>
      </c>
      <c r="D1170" s="121" t="str">
        <f>HYPERLINK("http://www.cleveland.va.gov/services/SCANECHO.ASP")</f>
        <v>http://www.cleveland.va.gov/services/SCANECHO.ASP</v>
      </c>
      <c r="E1170" s="8" t="s">
        <v>595</v>
      </c>
    </row>
    <row r="1171" ht="14.25" hidden="1" customHeight="1">
      <c r="A1171" s="8" t="s">
        <v>1382</v>
      </c>
      <c r="B1171" s="8" t="s">
        <v>1388</v>
      </c>
      <c r="D1171" s="121" t="str">
        <f>HYPERLINK("http://www.cleveland.va.gov/services/GERIATRICS.ASP")</f>
        <v>http://www.cleveland.va.gov/services/GERIATRICS.ASP</v>
      </c>
      <c r="E1171" s="8" t="s">
        <v>392</v>
      </c>
    </row>
    <row r="1172" ht="14.25" hidden="1" customHeight="1">
      <c r="A1172" s="8" t="s">
        <v>1382</v>
      </c>
      <c r="B1172" s="8" t="s">
        <v>696</v>
      </c>
      <c r="D1172" s="121" t="str">
        <f>HYPERLINK("http://www.cleveland.va.gov/services/HEMATOLOGY.ASP")</f>
        <v>http://www.cleveland.va.gov/services/HEMATOLOGY.ASP</v>
      </c>
      <c r="E1172" s="8" t="s">
        <v>392</v>
      </c>
    </row>
    <row r="1173" ht="14.25" hidden="1" customHeight="1">
      <c r="A1173" s="8" t="s">
        <v>1382</v>
      </c>
      <c r="B1173" s="8" t="s">
        <v>437</v>
      </c>
      <c r="D1173" s="121" t="str">
        <f>HYPERLINK("http://www.cleveland.va.gov/services/HOSPICE.ASP")</f>
        <v>http://www.cleveland.va.gov/services/HOSPICE.ASP</v>
      </c>
      <c r="E1173" s="8" t="s">
        <v>392</v>
      </c>
    </row>
    <row r="1174" ht="14.25" hidden="1" customHeight="1">
      <c r="A1174" s="8" t="s">
        <v>1382</v>
      </c>
      <c r="B1174" s="8" t="s">
        <v>1389</v>
      </c>
      <c r="D1174" s="121" t="str">
        <f>HYPERLINK("http://www.cleveland.va.gov/services/PHARMACY/LABEL.ASP")</f>
        <v>http://www.cleveland.va.gov/services/PHARMACY/LABEL.ASP</v>
      </c>
      <c r="E1174" s="8" t="s">
        <v>392</v>
      </c>
    </row>
    <row r="1175" ht="14.25" hidden="1" customHeight="1">
      <c r="A1175" s="8" t="s">
        <v>1382</v>
      </c>
      <c r="B1175" s="8" t="s">
        <v>1390</v>
      </c>
      <c r="D1175" s="121" t="str">
        <f>HYPERLINK("http://www.cleveland.va.gov/services/MEDICAL_FOSTER_CARE.ASP")</f>
        <v>http://www.cleveland.va.gov/services/MEDICAL_FOSTER_CARE.ASP</v>
      </c>
      <c r="E1175" s="8" t="s">
        <v>392</v>
      </c>
    </row>
    <row r="1176" ht="14.25" hidden="1" customHeight="1">
      <c r="A1176" s="8" t="s">
        <v>1382</v>
      </c>
      <c r="B1176" s="8" t="s">
        <v>323</v>
      </c>
      <c r="D1176" s="121" t="str">
        <f>HYPERLINK("http://www.cleveland.va.gov/services/MENTALHEALTH.ASP")</f>
        <v>http://www.cleveland.va.gov/services/MENTALHEALTH.ASP</v>
      </c>
      <c r="E1176" s="8" t="s">
        <v>392</v>
      </c>
    </row>
    <row r="1177" ht="14.25" hidden="1" customHeight="1">
      <c r="A1177" s="8" t="s">
        <v>1382</v>
      </c>
      <c r="B1177" s="8" t="s">
        <v>494</v>
      </c>
      <c r="D1177" s="121" t="str">
        <f>HYPERLINK("http://www.cleveland.va.gov/services/MYHEALTHE_VET.ASP")</f>
        <v>http://www.cleveland.va.gov/services/MYHEALTHE_VET.ASP</v>
      </c>
      <c r="E1177" s="8" t="s">
        <v>392</v>
      </c>
    </row>
    <row r="1178" ht="14.25" hidden="1" customHeight="1">
      <c r="A1178" s="8" t="s">
        <v>1382</v>
      </c>
      <c r="B1178" s="8" t="s">
        <v>1391</v>
      </c>
      <c r="D1178" s="121" t="str">
        <f>HYPERLINK("http://www.cleveland.va.gov/services/NEPHROLOGY_SERVICE.ASP")</f>
        <v>http://www.cleveland.va.gov/services/NEPHROLOGY_SERVICE.ASP</v>
      </c>
      <c r="E1178" s="8" t="s">
        <v>392</v>
      </c>
    </row>
    <row r="1179" ht="14.25" hidden="1" customHeight="1">
      <c r="A1179" s="8" t="s">
        <v>1382</v>
      </c>
      <c r="B1179" s="8" t="s">
        <v>1172</v>
      </c>
      <c r="D1179" s="121" t="str">
        <f>HYPERLINK("http://www.cleveland.va.gov/services/NEUROLOGY.ASP")</f>
        <v>http://www.cleveland.va.gov/services/NEUROLOGY.ASP</v>
      </c>
      <c r="E1179" s="8" t="s">
        <v>392</v>
      </c>
    </row>
    <row r="1180" ht="14.25" hidden="1" customHeight="1">
      <c r="A1180" s="8" t="s">
        <v>1382</v>
      </c>
      <c r="B1180" s="8" t="s">
        <v>958</v>
      </c>
      <c r="D1180" s="121" t="str">
        <f>HYPERLINK("http://www.cleveland.va.gov/services/NUCLEAR_MEDICINE_SERVICE.ASP")</f>
        <v>http://www.cleveland.va.gov/services/NUCLEAR_MEDICINE_SERVICE.ASP</v>
      </c>
      <c r="E1180" s="8" t="s">
        <v>392</v>
      </c>
    </row>
    <row r="1181" ht="14.25" hidden="1" customHeight="1">
      <c r="A1181" s="8" t="s">
        <v>1382</v>
      </c>
      <c r="B1181" s="8" t="s">
        <v>1392</v>
      </c>
      <c r="D1181" s="121" t="str">
        <f>HYPERLINK("http://www.cleveland.va.gov/services/NURSING.ASP")</f>
        <v>http://www.cleveland.va.gov/services/NURSING.ASP</v>
      </c>
      <c r="E1181" s="8" t="s">
        <v>392</v>
      </c>
    </row>
    <row r="1182" ht="14.25" hidden="1" customHeight="1">
      <c r="A1182" s="8" t="s">
        <v>1382</v>
      </c>
      <c r="B1182" s="8" t="s">
        <v>1393</v>
      </c>
      <c r="D1182" s="121" t="str">
        <f>HYPERLINK("http://www.cleveland.va.gov/services/PHARMACY/PHARMTACT.ASP")</f>
        <v>http://www.cleveland.va.gov/services/PHARMACY/PHARMTACT.ASP</v>
      </c>
      <c r="E1182" s="8" t="s">
        <v>392</v>
      </c>
    </row>
    <row r="1183" ht="14.25" hidden="1" customHeight="1">
      <c r="A1183" s="8" t="s">
        <v>1382</v>
      </c>
      <c r="B1183" s="8" t="s">
        <v>1394</v>
      </c>
      <c r="D1183" s="121" t="str">
        <f>HYPERLINK("http://www.cleveland.va.gov/services/PHARMACY/INDEX.ASP")</f>
        <v>http://www.cleveland.va.gov/services/PHARMACY/INDEX.ASP</v>
      </c>
      <c r="E1183" s="8" t="s">
        <v>392</v>
      </c>
    </row>
    <row r="1184" ht="14.25" hidden="1" customHeight="1">
      <c r="A1184" s="8" t="s">
        <v>1382</v>
      </c>
      <c r="B1184" s="8" t="s">
        <v>1395</v>
      </c>
      <c r="D1184" s="121" t="str">
        <f>HYPERLINK("http://www.cleveland.va.gov/services/PAIN_MANAGEMENT_CENTER.ASP")</f>
        <v>http://www.cleveland.va.gov/services/PAIN_MANAGEMENT_CENTER.ASP</v>
      </c>
      <c r="E1184" s="8" t="s">
        <v>392</v>
      </c>
    </row>
    <row r="1185" ht="14.25" hidden="1" customHeight="1">
      <c r="A1185" s="8" t="s">
        <v>1382</v>
      </c>
      <c r="B1185" s="8" t="s">
        <v>343</v>
      </c>
      <c r="D1185" s="121" t="str">
        <f>HYPERLINK("http://www.cleveland.va.gov/services/PHARMACY.ASP")</f>
        <v>http://www.cleveland.va.gov/services/PHARMACY.ASP</v>
      </c>
      <c r="E1185" s="8" t="s">
        <v>392</v>
      </c>
    </row>
    <row r="1186" ht="14.25" hidden="1" customHeight="1">
      <c r="A1186" s="8" t="s">
        <v>1382</v>
      </c>
      <c r="B1186" s="8" t="s">
        <v>344</v>
      </c>
      <c r="D1186" s="121" t="str">
        <f>HYPERLINK("http://www.cleveland.va.gov/services/PMR.ASP")</f>
        <v>http://www.cleveland.va.gov/services/PMR.ASP</v>
      </c>
      <c r="E1186" s="8" t="s">
        <v>392</v>
      </c>
    </row>
    <row r="1187" ht="14.25" hidden="1" customHeight="1">
      <c r="A1187" s="8" t="s">
        <v>1382</v>
      </c>
      <c r="B1187" s="8" t="s">
        <v>348</v>
      </c>
      <c r="D1187" s="121" t="str">
        <f>HYPERLINK("http://www.cleveland.va.gov/services/PRIMARY.ASP")</f>
        <v>http://www.cleveland.va.gov/services/PRIMARY.ASP</v>
      </c>
      <c r="E1187" s="8" t="s">
        <v>392</v>
      </c>
    </row>
    <row r="1188" ht="14.25" hidden="1" customHeight="1">
      <c r="A1188" s="8" t="s">
        <v>1382</v>
      </c>
      <c r="B1188" s="8" t="s">
        <v>916</v>
      </c>
      <c r="D1188" s="121" t="str">
        <f>HYPERLINK("http://www.cleveland.va.gov/services/PROSTHETICS.ASP")</f>
        <v>http://www.cleveland.va.gov/services/PROSTHETICS.ASP</v>
      </c>
      <c r="E1188" s="8" t="s">
        <v>392</v>
      </c>
    </row>
    <row r="1189" ht="14.25" hidden="1" customHeight="1">
      <c r="A1189" s="8" t="s">
        <v>1382</v>
      </c>
      <c r="B1189" s="8" t="s">
        <v>1396</v>
      </c>
      <c r="D1189" s="121" t="str">
        <f>HYPERLINK("http://www.cleveland.va.gov/services/PULMONARY.ASP")</f>
        <v>http://www.cleveland.va.gov/services/PULMONARY.ASP</v>
      </c>
      <c r="E1189" s="8" t="s">
        <v>392</v>
      </c>
    </row>
    <row r="1190" ht="14.25" hidden="1" customHeight="1">
      <c r="A1190" s="8" t="s">
        <v>1382</v>
      </c>
      <c r="B1190" s="8" t="s">
        <v>717</v>
      </c>
      <c r="D1190" s="121" t="str">
        <f>HYPERLINK("http://www.cleveland.va.gov/services/RADIOLOGY.ASP")</f>
        <v>http://www.cleveland.va.gov/services/RADIOLOGY.ASP</v>
      </c>
      <c r="E1190" s="8" t="s">
        <v>392</v>
      </c>
    </row>
    <row r="1191" ht="14.25" hidden="1" customHeight="1">
      <c r="A1191" s="8" t="s">
        <v>1382</v>
      </c>
      <c r="B1191" s="8" t="s">
        <v>1397</v>
      </c>
      <c r="D1191" s="121" t="str">
        <f>HYPERLINK("http://www.cleveland.va.gov/services/PRRC.ASP")</f>
        <v>http://www.cleveland.va.gov/services/PRRC.ASP</v>
      </c>
      <c r="E1191" s="8" t="s">
        <v>392</v>
      </c>
    </row>
    <row r="1192" ht="14.25" hidden="1" customHeight="1">
      <c r="A1192" s="8" t="s">
        <v>1382</v>
      </c>
      <c r="B1192" s="8" t="s">
        <v>1398</v>
      </c>
      <c r="D1192" s="121" t="str">
        <f>HYPERLINK("http://www.cleveland.va.gov/services/RESEARCH.ASP")</f>
        <v>http://www.cleveland.va.gov/services/RESEARCH.ASP</v>
      </c>
      <c r="E1192" s="8" t="s">
        <v>392</v>
      </c>
    </row>
    <row r="1193" ht="14.25" hidden="1" customHeight="1">
      <c r="A1193" s="8" t="s">
        <v>1382</v>
      </c>
      <c r="B1193" s="8" t="s">
        <v>1171</v>
      </c>
      <c r="D1193" s="121" t="str">
        <f>HYPERLINK("http://www.cleveland.va.gov/services/ENTERED.ASP")</f>
        <v>http://www.cleveland.va.gov/services/ENTERED.ASP</v>
      </c>
      <c r="E1193" s="8" t="s">
        <v>392</v>
      </c>
    </row>
    <row r="1194" ht="14.25" hidden="1" customHeight="1">
      <c r="A1194" s="8" t="s">
        <v>1382</v>
      </c>
      <c r="B1194" s="8" t="s">
        <v>1399</v>
      </c>
      <c r="D1194" s="121" t="str">
        <f>HYPERLINK("http://www.cleveland.va.gov/services/SCANECHO.ASP")</f>
        <v>http://www.cleveland.va.gov/services/SCANECHO.ASP</v>
      </c>
      <c r="E1194" s="8" t="s">
        <v>392</v>
      </c>
    </row>
    <row r="1195" ht="14.25" hidden="1" customHeight="1">
      <c r="A1195" s="8" t="s">
        <v>1382</v>
      </c>
      <c r="B1195" s="8" t="s">
        <v>360</v>
      </c>
      <c r="D1195" s="121" t="str">
        <f>HYPERLINK("http://www.cleveland.va.gov/services/SOCIALWORK.ASP")</f>
        <v>http://www.cleveland.va.gov/services/SOCIALWORK.ASP</v>
      </c>
      <c r="E1195" s="8" t="s">
        <v>392</v>
      </c>
    </row>
    <row r="1196" ht="14.25" hidden="1" customHeight="1">
      <c r="A1196" s="8" t="s">
        <v>1382</v>
      </c>
      <c r="B1196" s="8" t="s">
        <v>925</v>
      </c>
      <c r="D1196" s="121" t="str">
        <f>HYPERLINK("http://www.cleveland.va.gov/services/SOCIAL_WORK.ASP")</f>
        <v>http://www.cleveland.va.gov/services/SOCIAL_WORK.ASP</v>
      </c>
      <c r="E1196" s="8" t="s">
        <v>392</v>
      </c>
    </row>
    <row r="1197" ht="14.25" hidden="1" customHeight="1">
      <c r="A1197" s="8" t="s">
        <v>1382</v>
      </c>
      <c r="B1197" s="8" t="s">
        <v>363</v>
      </c>
      <c r="D1197" s="121" t="str">
        <f>HYPERLINK("http://www.cleveland.va.gov/services/SPECIALTY.ASP")</f>
        <v>http://www.cleveland.va.gov/services/SPECIALTY.ASP</v>
      </c>
      <c r="E1197" s="8" t="s">
        <v>392</v>
      </c>
    </row>
    <row r="1198" ht="14.25" hidden="1" customHeight="1">
      <c r="A1198" s="8" t="s">
        <v>1382</v>
      </c>
      <c r="B1198" s="8" t="s">
        <v>804</v>
      </c>
      <c r="D1198" s="121" t="str">
        <f>HYPERLINK("http://www.cleveland.va.gov/services/SPEECH_PATHOLOGY.ASP")</f>
        <v>http://www.cleveland.va.gov/services/SPEECH_PATHOLOGY.ASP</v>
      </c>
      <c r="E1198" s="8" t="s">
        <v>392</v>
      </c>
    </row>
    <row r="1199" ht="14.25" hidden="1" customHeight="1">
      <c r="A1199" s="8" t="s">
        <v>1382</v>
      </c>
      <c r="B1199" s="8" t="s">
        <v>463</v>
      </c>
      <c r="D1199" s="121" t="str">
        <f>HYPERLINK("http://www.cleveland.va.gov/services/SPINAL_CORD_INJURY.ASP")</f>
        <v>http://www.cleveland.va.gov/services/SPINAL_CORD_INJURY.ASP</v>
      </c>
      <c r="E1199" s="8" t="s">
        <v>392</v>
      </c>
    </row>
    <row r="1200" ht="14.25" hidden="1" customHeight="1">
      <c r="A1200" s="8" t="s">
        <v>1382</v>
      </c>
      <c r="B1200" s="8" t="s">
        <v>1400</v>
      </c>
      <c r="D1200" s="121" t="str">
        <f>HYPERLINK("http://www.cleveland.va.gov/services/SURGERY.ASP")</f>
        <v>http://www.cleveland.va.gov/services/SURGERY.ASP</v>
      </c>
      <c r="E1200" s="8" t="s">
        <v>392</v>
      </c>
    </row>
    <row r="1201" ht="14.25" hidden="1" customHeight="1">
      <c r="A1201" s="8" t="s">
        <v>1382</v>
      </c>
      <c r="B1201" s="8" t="s">
        <v>1401</v>
      </c>
      <c r="D1201" s="121" t="str">
        <f>HYPERLINK("http://www.cleveland.va.gov/services/SCANECHO.ASP")</f>
        <v>http://www.cleveland.va.gov/services/SCANECHO.ASP</v>
      </c>
      <c r="E1201" s="8" t="s">
        <v>595</v>
      </c>
    </row>
    <row r="1202" ht="14.25" hidden="1" customHeight="1">
      <c r="A1202" s="8" t="s">
        <v>1382</v>
      </c>
      <c r="B1202" s="8" t="s">
        <v>318</v>
      </c>
      <c r="D1202" s="121" t="str">
        <f>HYPERLINK("http://www.cleveland.va.gov/services/VISUAL_IMPAIRMENT_SERVICES.ASP")</f>
        <v>http://www.cleveland.va.gov/services/VISUAL_IMPAIRMENT_SERVICES.ASP</v>
      </c>
      <c r="E1202" s="8" t="s">
        <v>392</v>
      </c>
    </row>
    <row r="1203" ht="14.25" hidden="1" customHeight="1">
      <c r="A1203" s="8" t="s">
        <v>1382</v>
      </c>
      <c r="B1203" s="8" t="s">
        <v>822</v>
      </c>
      <c r="D1203" s="121" t="str">
        <f>HYPERLINK("http://www.cleveland.va.gov/services/VOCATIONAL_SERVICES.ASP")</f>
        <v>http://www.cleveland.va.gov/services/VOCATIONAL_SERVICES.ASP</v>
      </c>
      <c r="E1203" s="8" t="s">
        <v>392</v>
      </c>
    </row>
    <row r="1204" ht="14.25" hidden="1" customHeight="1">
      <c r="A1204" s="8" t="s">
        <v>1382</v>
      </c>
      <c r="B1204" s="8" t="s">
        <v>821</v>
      </c>
      <c r="D1204" s="121" t="str">
        <f>HYPERLINK("http://www.cleveland.va.gov/services/WOMENS_HEALTH.ASP")</f>
        <v>http://www.cleveland.va.gov/services/WOMENS_HEALTH.ASP</v>
      </c>
      <c r="E1204" s="8" t="s">
        <v>392</v>
      </c>
    </row>
    <row r="1205" ht="14.25" hidden="1" customHeight="1">
      <c r="A1205" s="116" t="s">
        <v>1402</v>
      </c>
      <c r="B1205" s="8" t="s">
        <v>817</v>
      </c>
      <c r="D1205" s="121" t="str">
        <f>HYPERLINK("http://www.coatesville.va.gov/services/ACUTE_PSYCHIATRY_UNIT.ASP")</f>
        <v>http://www.coatesville.va.gov/services/ACUTE_PSYCHIATRY_UNIT.ASP</v>
      </c>
      <c r="E1205" s="8" t="s">
        <v>392</v>
      </c>
    </row>
    <row r="1206" ht="14.25" hidden="1" customHeight="1">
      <c r="A1206" s="116" t="s">
        <v>1402</v>
      </c>
      <c r="B1206" s="8" t="s">
        <v>407</v>
      </c>
      <c r="D1206" s="121" t="str">
        <f>HYPERLINK("http://www.coatesville.va.gov/services/ADULT_DAY_HEALTH_CARE.ASP")</f>
        <v>http://www.coatesville.va.gov/services/ADULT_DAY_HEALTH_CARE.ASP</v>
      </c>
      <c r="E1206" s="8" t="s">
        <v>392</v>
      </c>
    </row>
    <row r="1207" ht="14.25" hidden="1" customHeight="1">
      <c r="A1207" s="116" t="s">
        <v>1402</v>
      </c>
      <c r="B1207" s="8" t="s">
        <v>244</v>
      </c>
      <c r="D1207" s="121" t="str">
        <f>HYPERLINK("http://www.coatesville.va.gov/services/AUDIOLOGY.ASP")</f>
        <v>http://www.coatesville.va.gov/services/AUDIOLOGY.ASP</v>
      </c>
      <c r="E1207" s="8" t="s">
        <v>392</v>
      </c>
    </row>
    <row r="1208" ht="14.25" hidden="1" customHeight="1">
      <c r="A1208" s="116" t="s">
        <v>1402</v>
      </c>
      <c r="B1208" s="8" t="s">
        <v>484</v>
      </c>
      <c r="D1208" s="121" t="str">
        <f>HYPERLINK("http://www.coatesville.va.gov/services/CAREGIVER_SUPPORT.ASP")</f>
        <v>http://www.coatesville.va.gov/services/CAREGIVER_SUPPORT.ASP</v>
      </c>
      <c r="E1208" s="8" t="s">
        <v>392</v>
      </c>
    </row>
    <row r="1209" ht="14.25" hidden="1" customHeight="1">
      <c r="A1209" s="116" t="s">
        <v>1402</v>
      </c>
      <c r="B1209" s="8" t="s">
        <v>468</v>
      </c>
      <c r="D1209" s="121" t="str">
        <f>HYPERLINK("http://www.coatesville.va.gov/services/CHAPLAIN_SERVICE.ASP")</f>
        <v>http://www.coatesville.va.gov/services/CHAPLAIN_SERVICE.ASP</v>
      </c>
      <c r="E1209" s="8" t="s">
        <v>392</v>
      </c>
    </row>
    <row r="1210" ht="14.25" hidden="1" customHeight="1">
      <c r="A1210" s="116" t="s">
        <v>1402</v>
      </c>
      <c r="B1210" s="8" t="s">
        <v>482</v>
      </c>
      <c r="D1210" s="121" t="str">
        <f>HYPERLINK("http://www.coatesville.va.gov/services/COMMUNITY_LIVING_CENTER.ASP")</f>
        <v>http://www.coatesville.va.gov/services/COMMUNITY_LIVING_CENTER.ASP</v>
      </c>
      <c r="E1210" s="8" t="s">
        <v>392</v>
      </c>
    </row>
    <row r="1211" ht="14.25" hidden="1" customHeight="1">
      <c r="A1211" s="116" t="s">
        <v>1402</v>
      </c>
      <c r="B1211" s="8" t="s">
        <v>497</v>
      </c>
      <c r="D1211" s="121" t="str">
        <f>HYPERLINK("http://www.coatesville.va.gov/services/WORK_RESTORATION.ASP")</f>
        <v>http://www.coatesville.va.gov/services/WORK_RESTORATION.ASP</v>
      </c>
      <c r="E1211" s="8" t="s">
        <v>595</v>
      </c>
    </row>
    <row r="1212" ht="14.25" hidden="1" customHeight="1">
      <c r="A1212" s="116" t="s">
        <v>1402</v>
      </c>
      <c r="B1212" s="8" t="s">
        <v>1403</v>
      </c>
      <c r="D1212" s="121" t="str">
        <f>HYPERLINK("http://www.coatesville.va.gov/services/RESIDENTIAL_REHABILITATION_TREATMENT_PROGRAMS.ASP")</f>
        <v>http://www.coatesville.va.gov/services/RESIDENTIAL_REHABILITATION_TREATMENT_PROGRAMS.ASP</v>
      </c>
      <c r="E1212" s="8" t="s">
        <v>595</v>
      </c>
    </row>
    <row r="1213" ht="14.25" hidden="1" customHeight="1">
      <c r="A1213" s="116" t="s">
        <v>1402</v>
      </c>
      <c r="B1213" s="8" t="s">
        <v>1404</v>
      </c>
      <c r="D1213" s="121" t="str">
        <f>HYPERLINK("http://www.coatesville.va.gov/services/GERIATRIC_PATIENT_ALIGNED_CARE_TEAM_GERI_PACT.ASP")</f>
        <v>http://www.coatesville.va.gov/services/GERIATRIC_PATIENT_ALIGNED_CARE_TEAM_GERI_PACT.ASP</v>
      </c>
      <c r="E1213" s="8" t="s">
        <v>392</v>
      </c>
    </row>
    <row r="1214" ht="14.25" hidden="1" customHeight="1">
      <c r="A1214" s="116" t="s">
        <v>1402</v>
      </c>
      <c r="B1214" s="8" t="s">
        <v>556</v>
      </c>
      <c r="D1214" s="121" t="str">
        <f>HYPERLINK("http://www.coatesville.va.gov/services/GERIATRICS_AND_EXTENDED_CARE.ASP")</f>
        <v>http://www.coatesville.va.gov/services/GERIATRICS_AND_EXTENDED_CARE.ASP</v>
      </c>
      <c r="E1214" s="8" t="s">
        <v>392</v>
      </c>
    </row>
    <row r="1215" ht="14.25" hidden="1" customHeight="1">
      <c r="A1215" s="116" t="s">
        <v>1402</v>
      </c>
      <c r="B1215" s="8" t="s">
        <v>1405</v>
      </c>
      <c r="D1215" s="121" t="str">
        <f>HYPERLINK("http://www.coatesville.va.gov/services/THE_GOLDEN_MEMORY_CLINIC.ASP")</f>
        <v>http://www.coatesville.va.gov/services/THE_GOLDEN_MEMORY_CLINIC.ASP</v>
      </c>
      <c r="E1215" s="8" t="s">
        <v>392</v>
      </c>
    </row>
    <row r="1216" ht="14.25" hidden="1" customHeight="1">
      <c r="A1216" s="116" t="s">
        <v>1402</v>
      </c>
      <c r="B1216" s="8" t="s">
        <v>431</v>
      </c>
      <c r="D1216" s="121" t="str">
        <f>HYPERLINK("http://www.coatesville.va.gov/services/HOME_BASED_PRIMARY_CARE.ASP")</f>
        <v>http://www.coatesville.va.gov/services/HOME_BASED_PRIMARY_CARE.ASP</v>
      </c>
      <c r="E1216" s="8" t="s">
        <v>392</v>
      </c>
    </row>
    <row r="1217" ht="14.25" hidden="1" customHeight="1">
      <c r="A1217" s="116" t="s">
        <v>1402</v>
      </c>
      <c r="B1217" s="8" t="s">
        <v>1406</v>
      </c>
      <c r="D1217" s="121" t="str">
        <f>HYPERLINK("http://www.coatesville.va.gov/services/HOME_HEALTH_CARE_AND_ADULT_DAY_HEALTH_CARE.ASP")</f>
        <v>http://www.coatesville.va.gov/services/HOME_HEALTH_CARE_AND_ADULT_DAY_HEALTH_CARE.ASP</v>
      </c>
      <c r="E1217" s="8" t="s">
        <v>392</v>
      </c>
    </row>
    <row r="1218" ht="14.25" hidden="1" customHeight="1">
      <c r="A1218" s="116" t="s">
        <v>1402</v>
      </c>
      <c r="B1218" s="8" t="s">
        <v>1407</v>
      </c>
      <c r="D1218" s="121" t="str">
        <f>HYPERLINK("http://www.coatesville.va.gov/services/WORK_RESTORATION.ASP")</f>
        <v>http://www.coatesville.va.gov/services/WORK_RESTORATION.ASP</v>
      </c>
      <c r="E1218" s="8" t="s">
        <v>595</v>
      </c>
    </row>
    <row r="1219" ht="14.25" hidden="1" customHeight="1">
      <c r="A1219" s="116" t="s">
        <v>1402</v>
      </c>
      <c r="B1219" s="8" t="s">
        <v>1148</v>
      </c>
      <c r="D1219" s="121" t="str">
        <f>HYPERLINK("http://www.coatesville.va.gov/services/HOMEMAKER_HOME_HEALTH_AIDE.ASP")</f>
        <v>http://www.coatesville.va.gov/services/HOMEMAKER_HOME_HEALTH_AIDE.ASP</v>
      </c>
      <c r="E1219" s="8" t="s">
        <v>392</v>
      </c>
    </row>
    <row r="1220" ht="14.25" hidden="1" customHeight="1">
      <c r="A1220" s="116" t="s">
        <v>1402</v>
      </c>
      <c r="B1220" s="8" t="s">
        <v>437</v>
      </c>
      <c r="D1220" s="121" t="str">
        <f>HYPERLINK("http://www.coatesville.va.gov/services/HOSPICE_AND_PALLIATIVE_CARE.ASP")</f>
        <v>http://www.coatesville.va.gov/services/HOSPICE_AND_PALLIATIVE_CARE.ASP</v>
      </c>
      <c r="E1220" s="8" t="s">
        <v>392</v>
      </c>
    </row>
    <row r="1221" ht="14.25" hidden="1" customHeight="1">
      <c r="A1221" s="116" t="s">
        <v>1402</v>
      </c>
      <c r="B1221" s="8" t="s">
        <v>476</v>
      </c>
      <c r="D1221" s="121" t="str">
        <f>HYPERLINK("http://www.coatesville.va.gov/services/MEDICAL_FOSTER_HOME.ASP")</f>
        <v>http://www.coatesville.va.gov/services/MEDICAL_FOSTER_HOME.ASP</v>
      </c>
      <c r="E1221" s="8" t="s">
        <v>392</v>
      </c>
    </row>
    <row r="1222" ht="14.25" hidden="1" customHeight="1">
      <c r="A1222" s="116" t="s">
        <v>1402</v>
      </c>
      <c r="B1222" s="8" t="s">
        <v>323</v>
      </c>
      <c r="D1222" s="121" t="str">
        <f>HYPERLINK("http://www.coatesville.va.gov/services/MENTAL_HEALTH_OUTPATIENT_CLINIC.ASP")</f>
        <v>http://www.coatesville.va.gov/services/MENTAL_HEALTH_OUTPATIENT_CLINIC.ASP</v>
      </c>
      <c r="E1222" s="8" t="s">
        <v>392</v>
      </c>
    </row>
    <row r="1223" ht="14.25" hidden="1" customHeight="1">
      <c r="A1223" s="116" t="s">
        <v>1402</v>
      </c>
      <c r="B1223" s="8" t="s">
        <v>326</v>
      </c>
      <c r="D1223" s="121" t="str">
        <f>HYPERLINK("http://www.coatesville.va.gov/services/MINORITY_VETERANS.ASP")</f>
        <v>http://www.coatesville.va.gov/services/MINORITY_VETERANS.ASP</v>
      </c>
      <c r="E1223" s="8" t="s">
        <v>392</v>
      </c>
    </row>
    <row r="1224" ht="14.25" hidden="1" customHeight="1">
      <c r="A1224" s="116" t="s">
        <v>1402</v>
      </c>
      <c r="B1224" s="8" t="s">
        <v>1408</v>
      </c>
      <c r="D1224" s="121" t="str">
        <f t="shared" ref="D1224:D1225" si="7">HYPERLINK("http://www.coatesville.va.gov/services/MOBILE_ADULT_DAY_HEALTH_CARE.ASP")</f>
        <v>http://www.coatesville.va.gov/services/MOBILE_ADULT_DAY_HEALTH_CARE.ASP</v>
      </c>
      <c r="E1224" s="8" t="s">
        <v>392</v>
      </c>
    </row>
    <row r="1225" ht="14.25" hidden="1" customHeight="1">
      <c r="A1225" s="116" t="s">
        <v>1402</v>
      </c>
      <c r="B1225" s="8" t="s">
        <v>1019</v>
      </c>
      <c r="D1225" s="121" t="str">
        <f t="shared" si="7"/>
        <v>http://www.coatesville.va.gov/services/MOBILE_ADULT_DAY_HEALTH_CARE.ASP</v>
      </c>
      <c r="E1225" s="8" t="s">
        <v>595</v>
      </c>
    </row>
    <row r="1226" ht="14.25" hidden="1" customHeight="1">
      <c r="A1226" s="116" t="s">
        <v>1402</v>
      </c>
      <c r="B1226" s="8" t="s">
        <v>1409</v>
      </c>
      <c r="D1226" s="121" t="str">
        <f>HYPERLINK("http://www.coatesville.va.gov/services/VETERANS-CRISIS-LINE.ASP")</f>
        <v>http://www.coatesville.va.gov/services/VETERANS-CRISIS-LINE.ASP</v>
      </c>
      <c r="E1226" s="8" t="s">
        <v>392</v>
      </c>
    </row>
    <row r="1227" ht="14.25" hidden="1" customHeight="1">
      <c r="A1227" s="116" t="s">
        <v>1402</v>
      </c>
      <c r="B1227" s="8" t="s">
        <v>1025</v>
      </c>
      <c r="D1227" s="121" t="str">
        <f>HYPERLINK("http://www.coatesville.va.gov/services/COMMUNITY_LIVING_CENTER.ASP")</f>
        <v>http://www.coatesville.va.gov/services/COMMUNITY_LIVING_CENTER.ASP</v>
      </c>
      <c r="E1227" s="8" t="s">
        <v>595</v>
      </c>
    </row>
    <row r="1228" ht="14.25" hidden="1" customHeight="1">
      <c r="A1228" s="116" t="s">
        <v>1402</v>
      </c>
      <c r="B1228" s="8" t="s">
        <v>900</v>
      </c>
      <c r="D1228" s="121" t="str">
        <f>HYPERLINK("http://www.coatesville.va.gov/services/PHYSICAL_MEDICINE_REHABILITATION.ASP")</f>
        <v>http://www.coatesville.va.gov/services/PHYSICAL_MEDICINE_REHABILITATION.ASP</v>
      </c>
      <c r="E1228" s="8" t="s">
        <v>595</v>
      </c>
    </row>
    <row r="1229" ht="14.25" hidden="1" customHeight="1">
      <c r="A1229" s="116" t="s">
        <v>1402</v>
      </c>
      <c r="B1229" s="8" t="s">
        <v>343</v>
      </c>
      <c r="D1229" s="121" t="str">
        <f>HYPERLINK("http://www.coatesville.va.gov/services/PHARMACY.ASP")</f>
        <v>http://www.coatesville.va.gov/services/PHARMACY.ASP</v>
      </c>
      <c r="E1229" s="8" t="s">
        <v>392</v>
      </c>
    </row>
    <row r="1230" ht="14.25" hidden="1" customHeight="1">
      <c r="A1230" s="116" t="s">
        <v>1402</v>
      </c>
      <c r="B1230" s="8" t="s">
        <v>1283</v>
      </c>
      <c r="D1230" s="121" t="str">
        <f t="shared" ref="D1230:D1231" si="8">HYPERLINK("http://www.coatesville.va.gov/services/PHYSICAL_MEDICINE_REHABILITATION.ASP")</f>
        <v>http://www.coatesville.va.gov/services/PHYSICAL_MEDICINE_REHABILITATION.ASP</v>
      </c>
      <c r="E1230" s="8" t="s">
        <v>392</v>
      </c>
    </row>
    <row r="1231" ht="14.25" hidden="1" customHeight="1">
      <c r="A1231" s="116" t="s">
        <v>1402</v>
      </c>
      <c r="B1231" s="8" t="s">
        <v>608</v>
      </c>
      <c r="D1231" s="121" t="str">
        <f t="shared" si="8"/>
        <v>http://www.coatesville.va.gov/services/PHYSICAL_MEDICINE_REHABILITATION.ASP</v>
      </c>
      <c r="E1231" s="8" t="s">
        <v>595</v>
      </c>
    </row>
    <row r="1232" ht="14.25" hidden="1" customHeight="1">
      <c r="A1232" s="116" t="s">
        <v>1402</v>
      </c>
      <c r="B1232" s="8" t="s">
        <v>833</v>
      </c>
      <c r="D1232" s="121" t="str">
        <f>HYPERLINK("http://www.coatesville.va.gov/services/RESIDENTIAL_REHABILITATION_TREATMENT_PROGRAMS.ASP")</f>
        <v>http://www.coatesville.va.gov/services/RESIDENTIAL_REHABILITATION_TREATMENT_PROGRAMS.ASP</v>
      </c>
      <c r="E1232" s="8" t="s">
        <v>595</v>
      </c>
    </row>
    <row r="1233" ht="14.25" hidden="1" customHeight="1">
      <c r="A1233" s="116" t="s">
        <v>1402</v>
      </c>
      <c r="B1233" s="8" t="s">
        <v>348</v>
      </c>
      <c r="D1233" s="121" t="str">
        <f>HYPERLINK("http://www.coatesville.va.gov/services/PRIMARY_CARE.ASP")</f>
        <v>http://www.coatesville.va.gov/services/PRIMARY_CARE.ASP</v>
      </c>
      <c r="E1233" s="8" t="s">
        <v>392</v>
      </c>
    </row>
    <row r="1234" ht="14.25" hidden="1" customHeight="1">
      <c r="A1234" s="116" t="s">
        <v>1402</v>
      </c>
      <c r="B1234" s="8" t="s">
        <v>916</v>
      </c>
      <c r="D1234" s="121" t="str">
        <f>HYPERLINK("http://www.coatesville.va.gov/services/PROSTHETICS.ASP")</f>
        <v>http://www.coatesville.va.gov/services/PROSTHETICS.ASP</v>
      </c>
      <c r="E1234" s="8" t="s">
        <v>392</v>
      </c>
    </row>
    <row r="1235" ht="14.25" hidden="1" customHeight="1">
      <c r="A1235" s="116" t="s">
        <v>1402</v>
      </c>
      <c r="B1235" s="8" t="s">
        <v>1397</v>
      </c>
      <c r="D1235" s="121" t="str">
        <f>HYPERLINK("http://www.coatesville.va.gov/services/RECOVERY-RESOURCE-CENTER.ASP")</f>
        <v>http://www.coatesville.va.gov/services/RECOVERY-RESOURCE-CENTER.ASP</v>
      </c>
      <c r="E1235" s="8" t="s">
        <v>392</v>
      </c>
    </row>
    <row r="1236" ht="14.25" hidden="1" customHeight="1">
      <c r="A1236" s="116" t="s">
        <v>1402</v>
      </c>
      <c r="B1236" s="8" t="s">
        <v>505</v>
      </c>
      <c r="D1236" s="121" t="str">
        <f>HYPERLINK("http://www.coatesville.va.gov/services/RECREATION_THERAPY.ASP")</f>
        <v>http://www.coatesville.va.gov/services/RECREATION_THERAPY.ASP</v>
      </c>
      <c r="E1236" s="8" t="s">
        <v>392</v>
      </c>
    </row>
    <row r="1237" ht="14.25" hidden="1" customHeight="1">
      <c r="A1237" s="116" t="s">
        <v>1402</v>
      </c>
      <c r="B1237" s="8" t="s">
        <v>1410</v>
      </c>
      <c r="D1237" s="121" t="str">
        <f t="shared" ref="D1237:D1238" si="9">HYPERLINK("http://www.coatesville.va.gov/services/RESIDENTIAL_REHABILITATION_TREATMENT_PROGRAMS.ASP")</f>
        <v>http://www.coatesville.va.gov/services/RESIDENTIAL_REHABILITATION_TREATMENT_PROGRAMS.ASP</v>
      </c>
      <c r="E1237" s="8" t="s">
        <v>595</v>
      </c>
    </row>
    <row r="1238" ht="14.25" hidden="1" customHeight="1">
      <c r="A1238" s="116" t="s">
        <v>1402</v>
      </c>
      <c r="B1238" s="8" t="s">
        <v>1411</v>
      </c>
      <c r="D1238" s="121" t="str">
        <f t="shared" si="9"/>
        <v>http://www.coatesville.va.gov/services/RESIDENTIAL_REHABILITATION_TREATMENT_PROGRAMS.ASP</v>
      </c>
      <c r="E1238" s="8" t="s">
        <v>392</v>
      </c>
    </row>
    <row r="1239" ht="14.25" hidden="1" customHeight="1">
      <c r="A1239" s="116" t="s">
        <v>1402</v>
      </c>
      <c r="B1239" s="8" t="s">
        <v>1027</v>
      </c>
      <c r="D1239" s="121" t="str">
        <f>HYPERLINK("http://www.coatesville.va.gov/services/RESPITE_CARE.ASP")</f>
        <v>http://www.coatesville.va.gov/services/RESPITE_CARE.ASP</v>
      </c>
      <c r="E1239" s="8" t="s">
        <v>392</v>
      </c>
    </row>
    <row r="1240" ht="14.25" hidden="1" customHeight="1">
      <c r="A1240" s="116" t="s">
        <v>1402</v>
      </c>
      <c r="B1240" s="8" t="s">
        <v>360</v>
      </c>
      <c r="D1240" s="121" t="str">
        <f>HYPERLINK("http://www.coatesville.va.gov/services/SOCIAL_WORK.ASP")</f>
        <v>http://www.coatesville.va.gov/services/SOCIAL_WORK.ASP</v>
      </c>
      <c r="E1240" s="8" t="s">
        <v>392</v>
      </c>
    </row>
    <row r="1241" ht="14.25" hidden="1" customHeight="1">
      <c r="A1241" s="116" t="s">
        <v>1402</v>
      </c>
      <c r="B1241" s="8" t="s">
        <v>363</v>
      </c>
      <c r="D1241" s="121" t="str">
        <f>HYPERLINK("http://www.coatesville.va.gov/services/SPECIALTY_CARE.ASP")</f>
        <v>http://www.coatesville.va.gov/services/SPECIALTY_CARE.ASP</v>
      </c>
      <c r="E1241" s="8" t="s">
        <v>392</v>
      </c>
    </row>
    <row r="1242" ht="14.25" hidden="1" customHeight="1">
      <c r="A1242" s="116" t="s">
        <v>1402</v>
      </c>
      <c r="B1242" s="8" t="s">
        <v>726</v>
      </c>
      <c r="D1242" s="121" t="str">
        <f>HYPERLINK("http://www.coatesville.va.gov/services/PHYSICAL_MEDICINE_REHABILITATION.ASP")</f>
        <v>http://www.coatesville.va.gov/services/PHYSICAL_MEDICINE_REHABILITATION.ASP</v>
      </c>
      <c r="E1242" s="8" t="s">
        <v>595</v>
      </c>
    </row>
    <row r="1243" ht="14.25" hidden="1" customHeight="1">
      <c r="A1243" s="116" t="s">
        <v>1402</v>
      </c>
      <c r="B1243" s="8" t="s">
        <v>391</v>
      </c>
      <c r="D1243" s="121" t="str">
        <f>HYPERLINK("http://www.coatesville.va.gov/services/RESIDENTIAL_REHABILITATION_TREATMENT_PROGRAMS.ASP")</f>
        <v>http://www.coatesville.va.gov/services/RESIDENTIAL_REHABILITATION_TREATMENT_PROGRAMS.ASP</v>
      </c>
      <c r="E1243" s="8" t="s">
        <v>595</v>
      </c>
    </row>
    <row r="1244" ht="14.25" hidden="1" customHeight="1">
      <c r="A1244" s="116" t="s">
        <v>1402</v>
      </c>
      <c r="B1244" s="8" t="s">
        <v>564</v>
      </c>
      <c r="D1244" s="121" t="str">
        <f>HYPERLINK("http://www.coatesville.va.gov/services/SUICIDE-PREVENTION.ASP")</f>
        <v>http://www.coatesville.va.gov/services/SUICIDE-PREVENTION.ASP</v>
      </c>
      <c r="E1244" s="8" t="s">
        <v>392</v>
      </c>
    </row>
    <row r="1245" ht="14.25" hidden="1" customHeight="1">
      <c r="A1245" s="116" t="s">
        <v>1402</v>
      </c>
      <c r="B1245" s="8" t="s">
        <v>370</v>
      </c>
      <c r="D1245" s="121" t="str">
        <f>HYPERLINK("http://www.coatesville.va.gov/services/TELEHEALTH.ASP")</f>
        <v>http://www.coatesville.va.gov/services/TELEHEALTH.ASP</v>
      </c>
      <c r="E1245" s="8" t="s">
        <v>392</v>
      </c>
    </row>
    <row r="1246" ht="14.25" hidden="1" customHeight="1">
      <c r="A1246" s="116" t="s">
        <v>1402</v>
      </c>
      <c r="B1246" s="8" t="s">
        <v>729</v>
      </c>
      <c r="D1246" s="121" t="str">
        <f>HYPERLINK("http://www.coatesville.va.gov/services/URGENT_CARE.ASP")</f>
        <v>http://www.coatesville.va.gov/services/URGENT_CARE.ASP</v>
      </c>
      <c r="E1246" s="8" t="s">
        <v>392</v>
      </c>
    </row>
    <row r="1247" ht="14.25" hidden="1" customHeight="1">
      <c r="A1247" s="116" t="s">
        <v>1402</v>
      </c>
      <c r="B1247" s="8" t="s">
        <v>1412</v>
      </c>
      <c r="D1247" s="121" t="str">
        <f>HYPERLINK("http://www.coatesville.va.gov/services/VA_GRANT_PER_DIEM.ASP")</f>
        <v>http://www.coatesville.va.gov/services/VA_GRANT_PER_DIEM.ASP</v>
      </c>
      <c r="E1247" s="8" t="s">
        <v>392</v>
      </c>
    </row>
    <row r="1248" ht="14.25" hidden="1" customHeight="1">
      <c r="A1248" s="116" t="s">
        <v>1402</v>
      </c>
      <c r="B1248" s="8" t="s">
        <v>1023</v>
      </c>
      <c r="D1248" s="121" t="str">
        <f>HYPERLINK("http://www.coatesville.va.gov/services/VETERANS_JUSTICE_OUTREACH.ASP")</f>
        <v>http://www.coatesville.va.gov/services/VETERANS_JUSTICE_OUTREACH.ASP</v>
      </c>
      <c r="E1248" s="8" t="s">
        <v>595</v>
      </c>
    </row>
    <row r="1249" ht="14.25" hidden="1" customHeight="1">
      <c r="A1249" s="116" t="s">
        <v>1402</v>
      </c>
      <c r="B1249" s="8" t="s">
        <v>1182</v>
      </c>
      <c r="D1249" s="121" t="str">
        <f>HYPERLINK("http://www.coatesville.va.gov/services/VETERAN_DIRECTED_CARE.ASP")</f>
        <v>http://www.coatesville.va.gov/services/VETERAN_DIRECTED_CARE.ASP</v>
      </c>
      <c r="E1249" s="8" t="s">
        <v>392</v>
      </c>
    </row>
    <row r="1250" ht="14.25" hidden="1" customHeight="1">
      <c r="A1250" s="116" t="s">
        <v>1402</v>
      </c>
      <c r="B1250" s="8" t="s">
        <v>569</v>
      </c>
      <c r="D1250" s="121" t="str">
        <f>HYPERLINK("http://www.coatesville.va.gov/services/VETERANS-CRISIS-LINE.ASP")</f>
        <v>http://www.coatesville.va.gov/services/VETERANS-CRISIS-LINE.ASP</v>
      </c>
      <c r="E1250" s="8" t="s">
        <v>595</v>
      </c>
    </row>
    <row r="1251" ht="14.25" hidden="1" customHeight="1">
      <c r="A1251" s="116" t="s">
        <v>1402</v>
      </c>
      <c r="B1251" s="8" t="s">
        <v>516</v>
      </c>
      <c r="D1251" s="121" t="str">
        <f>HYPERLINK("http://www.coatesville.va.gov/services/VETERANS_JUSTICE_OUTREACH.ASP")</f>
        <v>http://www.coatesville.va.gov/services/VETERANS_JUSTICE_OUTREACH.ASP</v>
      </c>
      <c r="E1251" s="8" t="s">
        <v>392</v>
      </c>
    </row>
    <row r="1252" ht="14.25" hidden="1" customHeight="1">
      <c r="A1252" s="116" t="s">
        <v>1402</v>
      </c>
      <c r="B1252" s="8" t="s">
        <v>318</v>
      </c>
      <c r="D1252" s="121" t="str">
        <f>HYPERLINK("http://www.coatesville.va.gov/services/VISUAL_IMPAIRMENT_SERVICES.ASP")</f>
        <v>http://www.coatesville.va.gov/services/VISUAL_IMPAIRMENT_SERVICES.ASP</v>
      </c>
      <c r="E1252" s="8" t="s">
        <v>392</v>
      </c>
    </row>
    <row r="1253" ht="14.25" hidden="1" customHeight="1">
      <c r="A1253" s="116" t="s">
        <v>1402</v>
      </c>
      <c r="B1253" s="8" t="s">
        <v>1413</v>
      </c>
      <c r="D1253" s="121" t="str">
        <f>HYPERLINK("http://www.coatesville.va.gov/services/WOMEN.ASP")</f>
        <v>http://www.coatesville.va.gov/services/WOMEN.ASP</v>
      </c>
      <c r="E1253" s="8" t="s">
        <v>392</v>
      </c>
    </row>
    <row r="1254" ht="14.25" hidden="1" customHeight="1">
      <c r="A1254" s="116" t="s">
        <v>1402</v>
      </c>
      <c r="B1254" s="8" t="s">
        <v>1414</v>
      </c>
      <c r="D1254" s="121" t="str">
        <f>HYPERLINK("http://www.coatesville.va.gov/services/WORK_RESTORATION.ASP")</f>
        <v>http://www.coatesville.va.gov/services/WORK_RESTORATION.ASP</v>
      </c>
      <c r="E1254" s="8" t="s">
        <v>392</v>
      </c>
    </row>
    <row r="1255" ht="14.25" hidden="1" customHeight="1">
      <c r="A1255" s="8" t="s">
        <v>1415</v>
      </c>
      <c r="B1255" s="8" t="s">
        <v>1416</v>
      </c>
      <c r="D1255" s="121" t="str">
        <f>HYPERLINK("http://www.columbiamo.va.gov/services/ANESTHESIA.ASP")</f>
        <v>http://www.columbiamo.va.gov/services/ANESTHESIA.ASP</v>
      </c>
      <c r="E1255" s="8" t="s">
        <v>392</v>
      </c>
    </row>
    <row r="1256" ht="14.25" hidden="1" customHeight="1">
      <c r="A1256" s="8" t="s">
        <v>1415</v>
      </c>
      <c r="B1256" s="8" t="s">
        <v>1417</v>
      </c>
      <c r="D1256" s="121" t="str">
        <f>HYPERLINK("http://www.columbiamo.va.gov/services/AUDIOLOGY_SPEECH_PATHOLOGY.ASP")</f>
        <v>http://www.columbiamo.va.gov/services/AUDIOLOGY_SPEECH_PATHOLOGY.ASP</v>
      </c>
      <c r="E1256" s="8" t="s">
        <v>392</v>
      </c>
    </row>
    <row r="1257" ht="14.25" hidden="1" customHeight="1">
      <c r="A1257" s="8" t="s">
        <v>1415</v>
      </c>
      <c r="B1257" s="8" t="s">
        <v>446</v>
      </c>
      <c r="D1257" s="121" t="str">
        <f>HYPERLINK("http://www.columbiamo.va.gov/services/BEHAVIORAL_HEALTH.ASP")</f>
        <v>http://www.columbiamo.va.gov/services/BEHAVIORAL_HEALTH.ASP</v>
      </c>
      <c r="E1257" s="8" t="s">
        <v>595</v>
      </c>
    </row>
    <row r="1258" ht="14.25" hidden="1" customHeight="1">
      <c r="A1258" s="8" t="s">
        <v>1415</v>
      </c>
      <c r="B1258" s="8" t="s">
        <v>1125</v>
      </c>
      <c r="D1258" s="121" t="str">
        <f>HYPERLINK("http://www.columbiamo.va.gov/services/CARDIAC_SURGERY.ASP")</f>
        <v>http://www.columbiamo.va.gov/services/CARDIAC_SURGERY.ASP</v>
      </c>
      <c r="E1258" s="8" t="s">
        <v>392</v>
      </c>
    </row>
    <row r="1259" ht="14.25" hidden="1" customHeight="1">
      <c r="A1259" s="8" t="s">
        <v>1415</v>
      </c>
      <c r="B1259" s="8" t="s">
        <v>414</v>
      </c>
      <c r="D1259" s="121" t="str">
        <f>HYPERLINK("http://www.columbiamo.va.gov/services/CARDIOLOGY.ASP")</f>
        <v>http://www.columbiamo.va.gov/services/CARDIOLOGY.ASP</v>
      </c>
      <c r="E1259" s="8" t="s">
        <v>392</v>
      </c>
    </row>
    <row r="1260" ht="14.25" hidden="1" customHeight="1">
      <c r="A1260" s="8" t="s">
        <v>1415</v>
      </c>
      <c r="B1260" s="8" t="s">
        <v>488</v>
      </c>
      <c r="D1260" s="121" t="str">
        <f>HYPERLINK("http://www.columbiamo.va.gov/services/CAREGIVER_SUPPORT_PROGRAM.ASP")</f>
        <v>http://www.columbiamo.va.gov/services/CAREGIVER_SUPPORT_PROGRAM.ASP</v>
      </c>
      <c r="E1260" s="8" t="s">
        <v>392</v>
      </c>
    </row>
    <row r="1261" ht="14.25" hidden="1" customHeight="1">
      <c r="A1261" s="8" t="s">
        <v>1415</v>
      </c>
      <c r="B1261" s="8" t="s">
        <v>478</v>
      </c>
      <c r="D1261" s="121" t="str">
        <f>HYPERLINK("http://www.columbiamo.va.gov/services/CHAPLAIN_SERVICE.ASP")</f>
        <v>http://www.columbiamo.va.gov/services/CHAPLAIN_SERVICE.ASP</v>
      </c>
      <c r="E1261" s="8" t="s">
        <v>392</v>
      </c>
    </row>
    <row r="1262" ht="14.25" hidden="1" customHeight="1">
      <c r="A1262" s="8" t="s">
        <v>1415</v>
      </c>
      <c r="B1262" s="8" t="s">
        <v>482</v>
      </c>
      <c r="D1262" s="121" t="str">
        <f>HYPERLINK("http://www.columbiamo.va.gov/services/COMMUNITY_LIVING_CENTER.ASP")</f>
        <v>http://www.columbiamo.va.gov/services/COMMUNITY_LIVING_CENTER.ASP</v>
      </c>
      <c r="E1262" s="8" t="s">
        <v>392</v>
      </c>
    </row>
    <row r="1263" ht="14.25" hidden="1" customHeight="1">
      <c r="A1263" s="8" t="s">
        <v>1415</v>
      </c>
      <c r="B1263" s="8" t="s">
        <v>304</v>
      </c>
      <c r="D1263" s="121" t="str">
        <f>HYPERLINK("http://www.columbiamo.va.gov/services/DENTAL.ASP")</f>
        <v>http://www.columbiamo.va.gov/services/DENTAL.ASP</v>
      </c>
      <c r="E1263" s="8" t="s">
        <v>392</v>
      </c>
    </row>
    <row r="1264" ht="14.25" hidden="1" customHeight="1">
      <c r="A1264" s="8" t="s">
        <v>1415</v>
      </c>
      <c r="B1264" s="8" t="s">
        <v>1418</v>
      </c>
      <c r="D1264" s="121" t="str">
        <f>HYPERLINK("http://www.columbiamo.va.gov/services/EMERGENCY_CARE.ASP")</f>
        <v>http://www.columbiamo.va.gov/services/EMERGENCY_CARE.ASP</v>
      </c>
      <c r="E1264" s="8" t="s">
        <v>392</v>
      </c>
    </row>
    <row r="1265" ht="14.25" hidden="1" customHeight="1">
      <c r="A1265" s="8" t="s">
        <v>1415</v>
      </c>
      <c r="B1265" s="8" t="s">
        <v>1330</v>
      </c>
      <c r="D1265" s="121" t="str">
        <f>HYPERLINK("http://www.columbiamo.va.gov/services/ETHICS.ASP")</f>
        <v>http://www.columbiamo.va.gov/services/ETHICS.ASP</v>
      </c>
      <c r="E1265" s="8" t="s">
        <v>392</v>
      </c>
    </row>
    <row r="1266" ht="14.25" hidden="1" customHeight="1">
      <c r="A1266" s="8" t="s">
        <v>1415</v>
      </c>
      <c r="B1266" s="8" t="s">
        <v>1419</v>
      </c>
      <c r="D1266" s="121" t="str">
        <f>HYPERLINK("http://www.columbiamo.va.gov/services/GASTROENTEROLOGY_GI_SERVICE.ASP")</f>
        <v>http://www.columbiamo.va.gov/services/GASTROENTEROLOGY_GI_SERVICE.ASP</v>
      </c>
      <c r="E1266" s="8" t="s">
        <v>392</v>
      </c>
    </row>
    <row r="1267" ht="14.25" hidden="1" customHeight="1">
      <c r="A1267" s="8" t="s">
        <v>1415</v>
      </c>
      <c r="B1267" s="8" t="s">
        <v>1373</v>
      </c>
      <c r="D1267" s="121" t="str">
        <f>HYPERLINK("http://www.columbiamo.va.gov/services/GENERAL_SURGERY.ASP")</f>
        <v>http://www.columbiamo.va.gov/services/GENERAL_SURGERY.ASP</v>
      </c>
      <c r="E1267" s="8" t="s">
        <v>392</v>
      </c>
    </row>
    <row r="1268" ht="14.25" hidden="1" customHeight="1">
      <c r="A1268" s="8" t="s">
        <v>1415</v>
      </c>
      <c r="B1268" s="8" t="s">
        <v>431</v>
      </c>
      <c r="D1268" s="121" t="str">
        <f>HYPERLINK("http://www.columbiamo.va.gov/services/HOME_BASED_PRIMARY_CARE.ASP")</f>
        <v>http://www.columbiamo.va.gov/services/HOME_BASED_PRIMARY_CARE.ASP</v>
      </c>
      <c r="E1268" s="8" t="s">
        <v>392</v>
      </c>
    </row>
    <row r="1269" ht="14.25" hidden="1" customHeight="1">
      <c r="A1269" s="8" t="s">
        <v>1415</v>
      </c>
      <c r="B1269" s="8" t="s">
        <v>1420</v>
      </c>
      <c r="D1269" s="121" t="str">
        <f>HYPERLINK("http://www.columbiamo.va.gov/services/IMAGING_RADIOLOGY_NUCLEAR_MEDICINE_SERVICES.ASP")</f>
        <v>http://www.columbiamo.va.gov/services/IMAGING_RADIOLOGY_NUCLEAR_MEDICINE_SERVICES.ASP</v>
      </c>
      <c r="E1269" s="8" t="s">
        <v>392</v>
      </c>
    </row>
    <row r="1270" ht="14.25" hidden="1" customHeight="1">
      <c r="A1270" s="8" t="s">
        <v>1415</v>
      </c>
      <c r="B1270" s="8" t="s">
        <v>1421</v>
      </c>
      <c r="D1270" s="121" t="str">
        <f>HYPERLINK("http://www.columbiamo.va.gov/services/LESBIAN_GAY_BISEXUAL_TRANSGENDER_LGBT_VETERANS.ASP")</f>
        <v>http://www.columbiamo.va.gov/services/LESBIAN_GAY_BISEXUAL_TRANSGENDER_LGBT_VETERANS.ASP</v>
      </c>
      <c r="E1270" s="8" t="s">
        <v>392</v>
      </c>
    </row>
    <row r="1271" ht="14.25" hidden="1" customHeight="1">
      <c r="A1271" s="8" t="s">
        <v>1415</v>
      </c>
      <c r="B1271" s="8" t="s">
        <v>1422</v>
      </c>
      <c r="D1271" s="121" t="str">
        <f>HYPERLINK("http://www.columbiamo.va.gov/services/MEDICAL_SUBSPECIALTIES.ASP")</f>
        <v>http://www.columbiamo.va.gov/services/MEDICAL_SUBSPECIALTIES.ASP</v>
      </c>
      <c r="E1271" s="8" t="s">
        <v>392</v>
      </c>
    </row>
    <row r="1272" ht="14.25" hidden="1" customHeight="1">
      <c r="A1272" s="8" t="s">
        <v>1415</v>
      </c>
      <c r="B1272" s="8" t="s">
        <v>323</v>
      </c>
      <c r="D1272" s="121" t="str">
        <f>HYPERLINK("http://www.columbiamo.va.gov/services/BEHAVIORAL_HEALTH.ASP")</f>
        <v>http://www.columbiamo.va.gov/services/BEHAVIORAL_HEALTH.ASP</v>
      </c>
      <c r="E1272" s="8" t="s">
        <v>392</v>
      </c>
    </row>
    <row r="1273" ht="14.25" hidden="1" customHeight="1">
      <c r="A1273" s="8" t="s">
        <v>1415</v>
      </c>
      <c r="B1273" s="8" t="s">
        <v>1423</v>
      </c>
      <c r="D1273" s="121" t="str">
        <f>HYPERLINK("http://www.columbiamo.va.gov/services/MINOR_SURGERY.ASP")</f>
        <v>http://www.columbiamo.va.gov/services/MINOR_SURGERY.ASP</v>
      </c>
      <c r="E1273" s="8" t="s">
        <v>392</v>
      </c>
    </row>
    <row r="1274" ht="14.25" hidden="1" customHeight="1">
      <c r="A1274" s="8" t="s">
        <v>1415</v>
      </c>
      <c r="B1274" s="8" t="s">
        <v>900</v>
      </c>
      <c r="D1274" s="121" t="str">
        <f>HYPERLINK("http://www.columbiamo.va.gov/services/OCCUPATIONAL_THERAPY.ASP")</f>
        <v>http://www.columbiamo.va.gov/services/OCCUPATIONAL_THERAPY.ASP</v>
      </c>
      <c r="E1274" s="8" t="s">
        <v>392</v>
      </c>
    </row>
    <row r="1275" ht="14.25" hidden="1" customHeight="1">
      <c r="A1275" s="8" t="s">
        <v>1415</v>
      </c>
      <c r="B1275" s="8" t="s">
        <v>337</v>
      </c>
      <c r="D1275" s="121" t="str">
        <f>HYPERLINK("http://www.columbiamo.va.gov/services/OPHTHALMOLOGY.ASP")</f>
        <v>http://www.columbiamo.va.gov/services/OPHTHALMOLOGY.ASP</v>
      </c>
      <c r="E1275" s="8" t="s">
        <v>392</v>
      </c>
    </row>
    <row r="1276" ht="14.25" hidden="1" customHeight="1">
      <c r="A1276" s="8" t="s">
        <v>1415</v>
      </c>
      <c r="B1276" s="8" t="s">
        <v>1424</v>
      </c>
      <c r="D1276" s="121" t="str">
        <f>HYPERLINK("http://www.columbiamo.va.gov/services/ORTHOPEDIC_SURGERY.ASP")</f>
        <v>http://www.columbiamo.va.gov/services/ORTHOPEDIC_SURGERY.ASP</v>
      </c>
      <c r="E1276" s="8" t="s">
        <v>392</v>
      </c>
    </row>
    <row r="1277" ht="14.25" hidden="1" customHeight="1">
      <c r="A1277" s="8" t="s">
        <v>1415</v>
      </c>
      <c r="B1277" s="8" t="s">
        <v>1425</v>
      </c>
      <c r="D1277" s="121" t="str">
        <f>HYPERLINK("http://www.columbiamo.va.gov/services/OTOLARYNGOLOGY_EAR_NOSE_AND_THROAT_OR_ENT.ASP")</f>
        <v>http://www.columbiamo.va.gov/services/OTOLARYNGOLOGY_EAR_NOSE_AND_THROAT_OR_ENT.ASP</v>
      </c>
      <c r="E1277" s="8" t="s">
        <v>392</v>
      </c>
    </row>
    <row r="1278" ht="14.25" hidden="1" customHeight="1">
      <c r="A1278" s="8" t="s">
        <v>1415</v>
      </c>
      <c r="B1278" s="8" t="s">
        <v>651</v>
      </c>
      <c r="D1278" s="121" t="str">
        <f>HYPERLINK("http://www.columbiamo.va.gov/services/PALLIATIVE_CARE.ASP")</f>
        <v>http://www.columbiamo.va.gov/services/PALLIATIVE_CARE.ASP</v>
      </c>
      <c r="E1278" s="8" t="s">
        <v>392</v>
      </c>
    </row>
    <row r="1279" ht="14.25" hidden="1" customHeight="1">
      <c r="A1279" s="8" t="s">
        <v>1415</v>
      </c>
      <c r="B1279" s="8" t="s">
        <v>314</v>
      </c>
      <c r="D1279" s="121" t="str">
        <f>HYPERLINK("http://www.columbiamo.va.gov/services/PATHOLOGY_AND_LABORATORY_MEDICINE.ASP")</f>
        <v>http://www.columbiamo.va.gov/services/PATHOLOGY_AND_LABORATORY_MEDICINE.ASP</v>
      </c>
      <c r="E1279" s="8" t="s">
        <v>392</v>
      </c>
    </row>
    <row r="1280" ht="14.25" hidden="1" customHeight="1">
      <c r="A1280" s="8" t="s">
        <v>1415</v>
      </c>
      <c r="B1280" s="8" t="s">
        <v>343</v>
      </c>
      <c r="D1280" s="121" t="str">
        <f>HYPERLINK("http://www.columbiamo.va.gov/services/PHARMACY_SERVICE.ASP")</f>
        <v>http://www.columbiamo.va.gov/services/PHARMACY_SERVICE.ASP</v>
      </c>
      <c r="E1280" s="8" t="s">
        <v>392</v>
      </c>
    </row>
    <row r="1281" ht="14.25" hidden="1" customHeight="1">
      <c r="A1281" s="8" t="s">
        <v>1415</v>
      </c>
      <c r="B1281" s="8" t="s">
        <v>1426</v>
      </c>
      <c r="D1281" s="121" t="str">
        <f>HYPERLINK("http://www.columbiamo.va.gov/services/PHYSICAL_MEDICINE_REHABILITATION_PM_R.ASP")</f>
        <v>http://www.columbiamo.va.gov/services/PHYSICAL_MEDICINE_REHABILITATION_PM_R.ASP</v>
      </c>
      <c r="E1281" s="8" t="s">
        <v>392</v>
      </c>
    </row>
    <row r="1282" ht="14.25" hidden="1" customHeight="1">
      <c r="A1282" s="8" t="s">
        <v>1415</v>
      </c>
      <c r="B1282" s="8" t="s">
        <v>608</v>
      </c>
      <c r="D1282" s="121" t="str">
        <f>HYPERLINK("http://www.columbiamo.va.gov/services/PHYSICAL_THERAPY.ASP")</f>
        <v>http://www.columbiamo.va.gov/services/PHYSICAL_THERAPY.ASP</v>
      </c>
      <c r="E1282" s="8" t="s">
        <v>392</v>
      </c>
    </row>
    <row r="1283" ht="14.25" hidden="1" customHeight="1">
      <c r="A1283" s="8" t="s">
        <v>1415</v>
      </c>
      <c r="B1283" s="8" t="s">
        <v>1427</v>
      </c>
      <c r="D1283" s="121" t="str">
        <f>HYPERLINK("http://www.columbiamo.va.gov/services/PLASTIC_SURGERY.ASP")</f>
        <v>http://www.columbiamo.va.gov/services/PLASTIC_SURGERY.ASP</v>
      </c>
      <c r="E1283" s="8" t="s">
        <v>392</v>
      </c>
    </row>
    <row r="1284" ht="14.25" hidden="1" customHeight="1">
      <c r="A1284" s="8" t="s">
        <v>1415</v>
      </c>
      <c r="B1284" s="8" t="s">
        <v>450</v>
      </c>
      <c r="D1284" s="121" t="str">
        <f>HYPERLINK("http://www.columbiamo.va.gov/services/PODIATRY.ASP")</f>
        <v>http://www.columbiamo.va.gov/services/PODIATRY.ASP</v>
      </c>
      <c r="E1284" s="8" t="s">
        <v>392</v>
      </c>
    </row>
    <row r="1285" ht="14.25" hidden="1" customHeight="1">
      <c r="A1285" s="8" t="s">
        <v>1415</v>
      </c>
      <c r="B1285" s="8" t="s">
        <v>348</v>
      </c>
      <c r="D1285" s="121" t="str">
        <f>HYPERLINK("http://www.columbiamo.va.gov/services/PRIMARY_CARE.ASP")</f>
        <v>http://www.columbiamo.va.gov/services/PRIMARY_CARE.ASP</v>
      </c>
      <c r="E1285" s="8" t="s">
        <v>392</v>
      </c>
    </row>
    <row r="1286" ht="14.25" hidden="1" customHeight="1">
      <c r="A1286" s="8" t="s">
        <v>1415</v>
      </c>
      <c r="B1286" s="8" t="s">
        <v>916</v>
      </c>
      <c r="D1286" s="121" t="str">
        <f>HYPERLINK("http://www.columbiamo.va.gov/services/PROSTHETICS_AND_SENSORY_AIDS_SERVICE.ASP")</f>
        <v>http://www.columbiamo.va.gov/services/PROSTHETICS_AND_SENSORY_AIDS_SERVICE.ASP</v>
      </c>
      <c r="E1286" s="8" t="s">
        <v>392</v>
      </c>
    </row>
    <row r="1287" ht="14.25" hidden="1" customHeight="1">
      <c r="A1287" s="8" t="s">
        <v>1415</v>
      </c>
      <c r="B1287" s="8" t="s">
        <v>1312</v>
      </c>
      <c r="D1287" s="121" t="str">
        <f>HYPERLINK("http://www.columbiamo.va.gov/services/RESEARCH.ASP")</f>
        <v>http://www.columbiamo.va.gov/services/RESEARCH.ASP</v>
      </c>
      <c r="E1287" s="8" t="s">
        <v>392</v>
      </c>
    </row>
    <row r="1288" ht="14.25" hidden="1" customHeight="1">
      <c r="A1288" s="8" t="s">
        <v>1415</v>
      </c>
      <c r="B1288" s="8" t="s">
        <v>1428</v>
      </c>
      <c r="D1288" s="121" t="str">
        <f>HYPERLINK("http://www.columbiamo.va.gov/services/RESPIRATORY_CARE.ASP")</f>
        <v>http://www.columbiamo.va.gov/services/RESPIRATORY_CARE.ASP</v>
      </c>
      <c r="E1288" s="8" t="s">
        <v>392</v>
      </c>
    </row>
    <row r="1289" ht="14.25" hidden="1" customHeight="1">
      <c r="A1289" s="8" t="s">
        <v>1415</v>
      </c>
      <c r="B1289" s="8" t="s">
        <v>1429</v>
      </c>
      <c r="D1289" s="121" t="str">
        <f>HYPERLINK("http://www.columbiamo.va.gov/services/SLEEP_LAB.ASP")</f>
        <v>http://www.columbiamo.va.gov/services/SLEEP_LAB.ASP</v>
      </c>
      <c r="E1289" s="8" t="s">
        <v>392</v>
      </c>
    </row>
    <row r="1290" ht="14.25" hidden="1" customHeight="1">
      <c r="A1290" s="8" t="s">
        <v>1415</v>
      </c>
      <c r="B1290" s="8" t="s">
        <v>925</v>
      </c>
      <c r="D1290" s="121" t="str">
        <f>HYPERLINK("http://www.columbiamo.va.gov/services/SOCIAL_WORK_SERVICE.ASP")</f>
        <v>http://www.columbiamo.va.gov/services/SOCIAL_WORK_SERVICE.ASP</v>
      </c>
      <c r="E1290" s="8" t="s">
        <v>392</v>
      </c>
    </row>
    <row r="1291" ht="14.25" hidden="1" customHeight="1">
      <c r="A1291" s="8" t="s">
        <v>1415</v>
      </c>
      <c r="B1291" s="8" t="s">
        <v>1430</v>
      </c>
      <c r="D1291" s="121" t="str">
        <f>HYPERLINK("http://www.columbiamo.va.gov/services/SURGICAL_ENDOSCOPY.ASP")</f>
        <v>http://www.columbiamo.va.gov/services/SURGICAL_ENDOSCOPY.ASP</v>
      </c>
      <c r="E1291" s="8" t="s">
        <v>392</v>
      </c>
    </row>
    <row r="1292" ht="14.25" hidden="1" customHeight="1">
      <c r="A1292" s="8" t="s">
        <v>1415</v>
      </c>
      <c r="B1292" s="8" t="s">
        <v>888</v>
      </c>
      <c r="D1292" s="121" t="str">
        <f>HYPERLINK("http://www.columbiamo.va.gov/services/SURGICAL_SERVICES.ASP")</f>
        <v>http://www.columbiamo.va.gov/services/SURGICAL_SERVICES.ASP</v>
      </c>
      <c r="E1292" s="8" t="s">
        <v>392</v>
      </c>
    </row>
    <row r="1293" ht="14.25" hidden="1" customHeight="1">
      <c r="A1293" s="8" t="s">
        <v>1415</v>
      </c>
      <c r="B1293" s="8" t="s">
        <v>1431</v>
      </c>
      <c r="D1293" s="121" t="str">
        <f>HYPERLINK("http://www.columbiamo.va.gov/services/THORACIC_SURGERY.ASP")</f>
        <v>http://www.columbiamo.va.gov/services/THORACIC_SURGERY.ASP</v>
      </c>
      <c r="E1293" s="8" t="s">
        <v>392</v>
      </c>
    </row>
    <row r="1294" ht="14.25" hidden="1" customHeight="1">
      <c r="A1294" s="8" t="s">
        <v>1415</v>
      </c>
      <c r="B1294" s="8" t="s">
        <v>1432</v>
      </c>
      <c r="D1294" s="121" t="str">
        <f>HYPERLINK("http://www.columbiamo.va.gov/services/OEF_OIF_OND_PROGRAM.ASP")</f>
        <v>http://www.columbiamo.va.gov/services/OEF_OIF_OND_PROGRAM.ASP</v>
      </c>
      <c r="E1294" s="8" t="s">
        <v>392</v>
      </c>
    </row>
    <row r="1295" ht="14.25" hidden="1" customHeight="1">
      <c r="A1295" s="8" t="s">
        <v>1415</v>
      </c>
      <c r="B1295" s="8" t="s">
        <v>1362</v>
      </c>
      <c r="D1295" s="121" t="str">
        <f>HYPERLINK("http://www.columbiamo.va.gov/services/VASCULAR_SURGERY.ASP")</f>
        <v>http://www.columbiamo.va.gov/services/VASCULAR_SURGERY.ASP</v>
      </c>
      <c r="E1295" s="8" t="s">
        <v>392</v>
      </c>
    </row>
    <row r="1296" ht="14.25" hidden="1" customHeight="1">
      <c r="A1296" s="8" t="s">
        <v>1415</v>
      </c>
      <c r="B1296" s="8" t="s">
        <v>379</v>
      </c>
      <c r="D1296" s="121" t="str">
        <f>HYPERLINK("http://www.columbiamo.va.gov/services/WOMEN_VETERANS.ASP")</f>
        <v>http://www.columbiamo.va.gov/services/WOMEN_VETERANS.ASP</v>
      </c>
      <c r="E1296" s="8" t="s">
        <v>392</v>
      </c>
    </row>
    <row r="1297" ht="14.25" hidden="1" customHeight="1">
      <c r="A1297" s="8" t="s">
        <v>1433</v>
      </c>
      <c r="B1297" s="8" t="s">
        <v>410</v>
      </c>
      <c r="D1297" s="121" t="str">
        <f>HYPERLINK("http://www.columbiasc.va.gov/services/ANESTHESIOLOGY.ASP")</f>
        <v>http://www.columbiasc.va.gov/services/ANESTHESIOLOGY.ASP</v>
      </c>
      <c r="E1297" s="8" t="s">
        <v>392</v>
      </c>
    </row>
    <row r="1298" ht="14.25" hidden="1" customHeight="1">
      <c r="A1298" s="8" t="s">
        <v>1433</v>
      </c>
      <c r="B1298" s="8" t="s">
        <v>1434</v>
      </c>
      <c r="D1298" s="121" t="str">
        <f>HYPERLINK("http://www.columbiasc.va.gov/services/AUDIOLOGY_AND_SPEECH_PATHOLOGY.ASP")</f>
        <v>http://www.columbiasc.va.gov/services/AUDIOLOGY_AND_SPEECH_PATHOLOGY.ASP</v>
      </c>
      <c r="E1298" s="8" t="s">
        <v>392</v>
      </c>
    </row>
    <row r="1299" ht="14.25" hidden="1" customHeight="1">
      <c r="A1299" s="8" t="s">
        <v>1433</v>
      </c>
      <c r="B1299" s="8" t="s">
        <v>478</v>
      </c>
      <c r="D1299" s="121" t="str">
        <f>HYPERLINK("http://www.columbiasc.va.gov/services/CHAPLAIN_SERVICE.ASP")</f>
        <v>http://www.columbiasc.va.gov/services/CHAPLAIN_SERVICE.ASP</v>
      </c>
      <c r="E1299" s="8" t="s">
        <v>392</v>
      </c>
    </row>
    <row r="1300" ht="14.25" hidden="1" customHeight="1">
      <c r="A1300" s="8" t="s">
        <v>1433</v>
      </c>
      <c r="B1300" s="8" t="s">
        <v>1435</v>
      </c>
      <c r="D1300" s="121" t="str">
        <f>HYPERLINK("http://www.columbiasc.va.gov/services/COMPLIANCE_AND_BUSINESS_INTEGRITY_INTEGRATED_ETHICS_OFFICER.ASP")</f>
        <v>http://www.columbiasc.va.gov/services/COMPLIANCE_AND_BUSINESS_INTEGRITY_INTEGRATED_ETHICS_OFFICER.ASP</v>
      </c>
      <c r="E1300" s="8" t="s">
        <v>392</v>
      </c>
    </row>
    <row r="1301" ht="14.25" hidden="1" customHeight="1">
      <c r="A1301" s="8" t="s">
        <v>1433</v>
      </c>
      <c r="B1301" s="8" t="s">
        <v>1436</v>
      </c>
      <c r="D1301" s="121" t="str">
        <f>HYPERLINK("http://www.columbiasc.va.gov/services/EDUCATION_SERVICE_STAFF_AND_AFFILIATES.ASP")</f>
        <v>http://www.columbiasc.va.gov/services/EDUCATION_SERVICE_STAFF_AND_AFFILIATES.ASP</v>
      </c>
      <c r="E1301" s="8" t="s">
        <v>392</v>
      </c>
    </row>
    <row r="1302" ht="14.25" hidden="1" customHeight="1">
      <c r="A1302" s="8" t="s">
        <v>1433</v>
      </c>
      <c r="B1302" s="8" t="s">
        <v>1437</v>
      </c>
      <c r="D1302" s="121" t="str">
        <f>HYPERLINK("http://www.columbiasc.va.gov/services/EDUCATION_SERVICE_VETERAN_PATIENTS.ASP")</f>
        <v>http://www.columbiasc.va.gov/services/EDUCATION_SERVICE_VETERAN_PATIENTS.ASP</v>
      </c>
      <c r="E1302" s="8" t="s">
        <v>392</v>
      </c>
    </row>
    <row r="1303" ht="14.25" hidden="1" customHeight="1">
      <c r="A1303" s="8" t="s">
        <v>1433</v>
      </c>
      <c r="B1303" s="8" t="s">
        <v>1438</v>
      </c>
      <c r="D1303" s="121" t="str">
        <f>HYPERLINK("http://www.columbiasc.va.gov/services/ENGINEERING.ASP")</f>
        <v>http://www.columbiasc.va.gov/services/ENGINEERING.ASP</v>
      </c>
      <c r="E1303" s="8" t="s">
        <v>392</v>
      </c>
    </row>
    <row r="1304" ht="14.25" hidden="1" customHeight="1">
      <c r="A1304" s="8" t="s">
        <v>1433</v>
      </c>
      <c r="B1304" s="8" t="s">
        <v>1439</v>
      </c>
      <c r="D1304" s="121" t="str">
        <f>HYPERLINK("http://www.columbiasc.va.gov/services/ENVIRONMENTAL_MANAGEMENT_SERVICE.ASP")</f>
        <v>http://www.columbiasc.va.gov/services/ENVIRONMENTAL_MANAGEMENT_SERVICE.ASP</v>
      </c>
      <c r="E1304" s="8" t="s">
        <v>392</v>
      </c>
    </row>
    <row r="1305" ht="14.25" hidden="1" customHeight="1">
      <c r="A1305" s="8" t="s">
        <v>1433</v>
      </c>
      <c r="B1305" s="8" t="s">
        <v>719</v>
      </c>
      <c r="D1305" s="121" t="str">
        <f>HYPERLINK("http://www.columbiasc.va.gov/services/EYE_CLINIC.ASP")</f>
        <v>http://www.columbiasc.va.gov/services/EYE_CLINIC.ASP</v>
      </c>
      <c r="E1305" s="8" t="s">
        <v>392</v>
      </c>
    </row>
    <row r="1306" ht="14.25" hidden="1" customHeight="1">
      <c r="A1306" s="8" t="s">
        <v>1433</v>
      </c>
      <c r="B1306" s="8" t="s">
        <v>1440</v>
      </c>
      <c r="D1306" s="121" t="str">
        <f>HYPERLINK("http://www.columbiasc.va.gov/services/FLU.ASP")</f>
        <v>http://www.columbiasc.va.gov/services/FLU.ASP</v>
      </c>
      <c r="E1306" s="8" t="s">
        <v>392</v>
      </c>
    </row>
    <row r="1307" ht="14.25" hidden="1" customHeight="1">
      <c r="A1307" s="8" t="s">
        <v>1433</v>
      </c>
      <c r="B1307" s="8" t="s">
        <v>1441</v>
      </c>
      <c r="D1307" s="121" t="str">
        <f>HYPERLINK("http://www.columbiasc.va.gov/services/LEGAL_CLINIC.ASP")</f>
        <v>http://www.columbiasc.va.gov/services/LEGAL_CLINIC.ASP</v>
      </c>
      <c r="E1307" s="8" t="s">
        <v>392</v>
      </c>
    </row>
    <row r="1308" ht="14.25" hidden="1" customHeight="1">
      <c r="A1308" s="8" t="s">
        <v>1433</v>
      </c>
      <c r="B1308" s="8" t="s">
        <v>678</v>
      </c>
      <c r="D1308" s="121" t="str">
        <f>HYPERLINK("http://www.columbiasc.va.gov/services/LGBT.ASP")</f>
        <v>http://www.columbiasc.va.gov/services/LGBT.ASP</v>
      </c>
      <c r="E1308" s="8" t="s">
        <v>392</v>
      </c>
    </row>
    <row r="1309" ht="14.25" hidden="1" customHeight="1">
      <c r="A1309" s="8" t="s">
        <v>1433</v>
      </c>
      <c r="B1309" s="8" t="s">
        <v>323</v>
      </c>
      <c r="D1309" s="121" t="str">
        <f>HYPERLINK("http://www.columbiasc.va.gov/services/MENTAL_HEALTH.ASP")</f>
        <v>http://www.columbiasc.va.gov/services/MENTAL_HEALTH.ASP</v>
      </c>
      <c r="E1309" s="8" t="s">
        <v>392</v>
      </c>
    </row>
    <row r="1310" ht="14.25" hidden="1" customHeight="1">
      <c r="A1310" s="8" t="s">
        <v>1433</v>
      </c>
      <c r="B1310" s="8" t="s">
        <v>1442</v>
      </c>
      <c r="D1310" s="121" t="str">
        <f>HYPERLINK("http://www.columbiasc.va.gov/services/NON_VA_COORDINATED_CARE_PROGRAM.ASP")</f>
        <v>http://www.columbiasc.va.gov/services/NON_VA_COORDINATED_CARE_PROGRAM.ASP</v>
      </c>
      <c r="E1310" s="8" t="s">
        <v>392</v>
      </c>
    </row>
    <row r="1311" ht="14.25" hidden="1" customHeight="1">
      <c r="A1311" s="8" t="s">
        <v>1433</v>
      </c>
      <c r="B1311" s="8" t="s">
        <v>1251</v>
      </c>
      <c r="D1311" s="121" t="str">
        <f>HYPERLINK("http://www.columbiasc.va.gov/services/NURSING_SERVICE.ASP")</f>
        <v>http://www.columbiasc.va.gov/services/NURSING_SERVICE.ASP</v>
      </c>
      <c r="E1311" s="8" t="s">
        <v>392</v>
      </c>
    </row>
    <row r="1312" ht="14.25" hidden="1" customHeight="1">
      <c r="A1312" s="8" t="s">
        <v>1433</v>
      </c>
      <c r="B1312" s="8" t="s">
        <v>1443</v>
      </c>
      <c r="D1312" s="121" t="str">
        <f>HYPERLINK("http://www.columbiasc.va.gov/services/ORTHOPAEDIC_SERVICES.ASP")</f>
        <v>http://www.columbiasc.va.gov/services/ORTHOPAEDIC_SERVICES.ASP</v>
      </c>
      <c r="E1312" s="8" t="s">
        <v>392</v>
      </c>
    </row>
    <row r="1313" ht="14.25" hidden="1" customHeight="1">
      <c r="A1313" s="8" t="s">
        <v>1433</v>
      </c>
      <c r="B1313" s="8" t="s">
        <v>343</v>
      </c>
      <c r="D1313" s="121" t="str">
        <f>HYPERLINK("http://www.columbiasc.va.gov/services/PHARMACY.ASP")</f>
        <v>http://www.columbiasc.va.gov/services/PHARMACY.ASP</v>
      </c>
      <c r="E1313" s="8" t="s">
        <v>392</v>
      </c>
    </row>
    <row r="1314" ht="14.25" hidden="1" customHeight="1">
      <c r="A1314" s="8" t="s">
        <v>1433</v>
      </c>
      <c r="B1314" s="8" t="s">
        <v>1444</v>
      </c>
      <c r="D1314" s="121" t="str">
        <f>HYPERLINK("http://www.columbiasc.va.gov/services/PT.ASP")</f>
        <v>http://www.columbiasc.va.gov/services/PT.ASP</v>
      </c>
      <c r="E1314" s="8" t="s">
        <v>392</v>
      </c>
    </row>
    <row r="1315" ht="14.25" hidden="1" customHeight="1">
      <c r="A1315" s="8" t="s">
        <v>1433</v>
      </c>
      <c r="B1315" s="8" t="s">
        <v>1445</v>
      </c>
      <c r="D1315" s="121" t="str">
        <f>HYPERLINK("http://www.columbiasc.va.gov/services/PLASTIC_CLINIC.ASP")</f>
        <v>http://www.columbiasc.va.gov/services/PLASTIC_CLINIC.ASP</v>
      </c>
      <c r="E1315" s="8" t="s">
        <v>392</v>
      </c>
    </row>
    <row r="1316" ht="14.25" hidden="1" customHeight="1">
      <c r="A1316" s="8" t="s">
        <v>1433</v>
      </c>
      <c r="B1316" s="8" t="s">
        <v>1446</v>
      </c>
      <c r="D1316" s="121" t="str">
        <f>HYPERLINK("http://www.columbiasc.va.gov/services/PODIATRY_CLINIC.ASP")</f>
        <v>http://www.columbiasc.va.gov/services/PODIATRY_CLINIC.ASP</v>
      </c>
      <c r="E1316" s="8" t="s">
        <v>392</v>
      </c>
    </row>
    <row r="1317" ht="14.25" hidden="1" customHeight="1">
      <c r="A1317" s="8" t="s">
        <v>1433</v>
      </c>
      <c r="B1317" s="8" t="s">
        <v>775</v>
      </c>
      <c r="D1317" s="121" t="str">
        <f>HYPERLINK("http://www.columbiasc.va.gov/services/POLICE_SERVICE.ASP")</f>
        <v>http://www.columbiasc.va.gov/services/POLICE_SERVICE.ASP</v>
      </c>
      <c r="E1317" s="8" t="s">
        <v>392</v>
      </c>
    </row>
    <row r="1318" ht="14.25" hidden="1" customHeight="1">
      <c r="A1318" s="8" t="s">
        <v>1433</v>
      </c>
      <c r="B1318" s="8" t="s">
        <v>1447</v>
      </c>
      <c r="D1318" s="121" t="str">
        <f>HYPERLINK("http://www.columbiasc.va.gov/services/PRE_BED_ASSESSMENT_CLINIC.ASP")</f>
        <v>http://www.columbiasc.va.gov/services/PRE_BED_ASSESSMENT_CLINIC.ASP</v>
      </c>
      <c r="E1318" s="8" t="s">
        <v>392</v>
      </c>
    </row>
    <row r="1319" ht="14.25" hidden="1" customHeight="1">
      <c r="A1319" s="8" t="s">
        <v>1433</v>
      </c>
      <c r="B1319" s="8" t="s">
        <v>504</v>
      </c>
      <c r="D1319" s="121" t="str">
        <f>HYPERLINK("http://www.columbiasc.va.gov/services/PUBLIC_AFFAIRS.ASP")</f>
        <v>http://www.columbiasc.va.gov/services/PUBLIC_AFFAIRS.ASP</v>
      </c>
      <c r="E1319" s="8" t="s">
        <v>392</v>
      </c>
    </row>
    <row r="1320" ht="14.25" hidden="1" customHeight="1">
      <c r="A1320" s="8" t="s">
        <v>1433</v>
      </c>
      <c r="B1320" s="8" t="s">
        <v>1067</v>
      </c>
      <c r="D1320" s="121" t="str">
        <f>HYPERLINK("http://www.columbiasc.va.gov/services/QUALITY_MANAGEMENT.ASP")</f>
        <v>http://www.columbiasc.va.gov/services/QUALITY_MANAGEMENT.ASP</v>
      </c>
      <c r="E1320" s="8" t="s">
        <v>392</v>
      </c>
    </row>
    <row r="1321" ht="14.25" hidden="1" customHeight="1">
      <c r="A1321" s="8" t="s">
        <v>1433</v>
      </c>
      <c r="B1321" s="8" t="s">
        <v>1312</v>
      </c>
      <c r="D1321" s="121" t="str">
        <f>HYPERLINK("http://www.columbiasc.va.gov/services/RESEARCH_AND_DEVELOPMENT.ASP")</f>
        <v>http://www.columbiasc.va.gov/services/RESEARCH_AND_DEVELOPMENT.ASP</v>
      </c>
      <c r="E1321" s="8" t="s">
        <v>392</v>
      </c>
    </row>
    <row r="1322" ht="14.25" hidden="1" customHeight="1">
      <c r="A1322" s="8" t="s">
        <v>1433</v>
      </c>
      <c r="B1322" s="8" t="s">
        <v>1448</v>
      </c>
      <c r="D1322" s="121" t="str">
        <f>HYPERLINK("http://www.columbiasc.va.gov/services/SLEEP_STUDIES.ASP")</f>
        <v>http://www.columbiasc.va.gov/services/SLEEP_STUDIES.ASP</v>
      </c>
      <c r="E1322" s="8" t="s">
        <v>392</v>
      </c>
    </row>
    <row r="1323" ht="14.25" hidden="1" customHeight="1">
      <c r="A1323" s="8" t="s">
        <v>1433</v>
      </c>
      <c r="B1323" s="8" t="s">
        <v>925</v>
      </c>
      <c r="D1323" s="121" t="str">
        <f>HYPERLINK("http://www.columbiasc.va.gov/services/SOCIAL_WORK_SERVICE.ASP")</f>
        <v>http://www.columbiasc.va.gov/services/SOCIAL_WORK_SERVICE.ASP</v>
      </c>
      <c r="E1323" s="8" t="s">
        <v>392</v>
      </c>
    </row>
    <row r="1324" ht="14.25" hidden="1" customHeight="1">
      <c r="A1324" s="8" t="s">
        <v>1433</v>
      </c>
      <c r="B1324" s="8" t="s">
        <v>1449</v>
      </c>
      <c r="D1324" s="121" t="str">
        <f>HYPERLINK("http://www.columbiasc.va.gov/services/SURGICAL_CARE_SERVICE.ASP")</f>
        <v>http://www.columbiasc.va.gov/services/SURGICAL_CARE_SERVICE.ASP</v>
      </c>
      <c r="E1324" s="8" t="s">
        <v>392</v>
      </c>
    </row>
    <row r="1325" ht="14.25" hidden="1" customHeight="1">
      <c r="A1325" s="8" t="s">
        <v>1433</v>
      </c>
      <c r="B1325" s="8" t="s">
        <v>1450</v>
      </c>
      <c r="D1325" s="121" t="str">
        <f>HYPERLINK("http://www.columbiasc.va.gov/services/TELEHEALTH_SERVICES.ASP")</f>
        <v>http://www.columbiasc.va.gov/services/TELEHEALTH_SERVICES.ASP</v>
      </c>
      <c r="E1325" s="8" t="s">
        <v>392</v>
      </c>
    </row>
    <row r="1326" ht="14.25" hidden="1" customHeight="1">
      <c r="A1326" s="8" t="s">
        <v>1433</v>
      </c>
      <c r="B1326" s="8" t="s">
        <v>1451</v>
      </c>
      <c r="D1326" s="121" t="str">
        <f>HYPERLINK("http://www.columbiasc.va.gov/services/OEF_OIF_OND_RETURNING_SERVICE_MEMBERS.ASP")</f>
        <v>http://www.columbiasc.va.gov/services/OEF_OIF_OND_RETURNING_SERVICE_MEMBERS.ASP</v>
      </c>
      <c r="E1326" s="8" t="s">
        <v>392</v>
      </c>
    </row>
    <row r="1327" ht="14.25" hidden="1" customHeight="1">
      <c r="A1327" s="8" t="s">
        <v>1433</v>
      </c>
      <c r="B1327" s="8" t="s">
        <v>1452</v>
      </c>
      <c r="D1327" s="121" t="str">
        <f>HYPERLINK("http://www.columbiasc.va.gov/services/UROLOGY_CLINIC.ASP")</f>
        <v>http://www.columbiasc.va.gov/services/UROLOGY_CLINIC.ASP</v>
      </c>
      <c r="E1327" s="8" t="s">
        <v>392</v>
      </c>
    </row>
    <row r="1328" ht="14.25" hidden="1" customHeight="1">
      <c r="A1328" s="8" t="s">
        <v>1433</v>
      </c>
      <c r="B1328" s="8" t="s">
        <v>1453</v>
      </c>
      <c r="D1328" s="121" t="str">
        <f>HYPERLINK("http://www.columbiasc.va.gov/services/VASCULAR.ASP")</f>
        <v>http://www.columbiasc.va.gov/services/VASCULAR.ASP</v>
      </c>
      <c r="E1328" s="8" t="s">
        <v>392</v>
      </c>
    </row>
    <row r="1329" ht="14.25" hidden="1" customHeight="1">
      <c r="A1329" s="8" t="s">
        <v>1433</v>
      </c>
      <c r="B1329" s="8" t="s">
        <v>1454</v>
      </c>
      <c r="D1329" s="121" t="str">
        <f>HYPERLINK("http://www.columbiasc.va.gov/services/VOLUNTEER_SERVICES.ASP")</f>
        <v>http://www.columbiasc.va.gov/services/VOLUNTEER_SERVICES.ASP</v>
      </c>
      <c r="E1329" s="8" t="s">
        <v>392</v>
      </c>
    </row>
    <row r="1330" ht="14.25" hidden="1" customHeight="1">
      <c r="A1330" s="8" t="s">
        <v>1455</v>
      </c>
      <c r="B1330" s="8" t="s">
        <v>446</v>
      </c>
      <c r="D1330" s="121" t="str">
        <f>HYPERLINK("http://www.columbus.va.gov/services/MENTALHEALTH.ASP")</f>
        <v>http://www.columbus.va.gov/services/MENTALHEALTH.ASP</v>
      </c>
      <c r="E1330" s="8" t="s">
        <v>392</v>
      </c>
    </row>
    <row r="1331" ht="14.25" hidden="1" customHeight="1">
      <c r="A1331" s="8" t="s">
        <v>1455</v>
      </c>
      <c r="B1331" s="8" t="s">
        <v>414</v>
      </c>
      <c r="D1331" s="121" t="str">
        <f>HYPERLINK("http://www.columbus.va.gov/services/CARDIOLOGY.ASP")</f>
        <v>http://www.columbus.va.gov/services/CARDIOLOGY.ASP</v>
      </c>
      <c r="E1331" s="8" t="s">
        <v>392</v>
      </c>
    </row>
    <row r="1332" ht="14.25" hidden="1" customHeight="1">
      <c r="A1332" s="8" t="s">
        <v>1455</v>
      </c>
      <c r="B1332" s="8" t="s">
        <v>304</v>
      </c>
      <c r="D1332" s="121" t="str">
        <f>HYPERLINK("http://www.columbus.va.gov/services/DENTAL.ASP")</f>
        <v>http://www.columbus.va.gov/services/DENTAL.ASP</v>
      </c>
      <c r="E1332" s="8" t="s">
        <v>392</v>
      </c>
    </row>
    <row r="1333" ht="14.25" hidden="1" customHeight="1">
      <c r="A1333" s="8" t="s">
        <v>1455</v>
      </c>
      <c r="B1333" s="8" t="s">
        <v>517</v>
      </c>
      <c r="D1333" s="121" t="str">
        <f>HYPERLINK("http://www.columbus.va.gov/services/DERMATOLOGY.ASP")</f>
        <v>http://www.columbus.va.gov/services/DERMATOLOGY.ASP</v>
      </c>
      <c r="E1333" s="8" t="s">
        <v>392</v>
      </c>
    </row>
    <row r="1334" ht="14.25" hidden="1" customHeight="1">
      <c r="A1334" s="8" t="s">
        <v>1455</v>
      </c>
      <c r="B1334" s="8" t="s">
        <v>1456</v>
      </c>
      <c r="D1334" s="121" t="str">
        <f>HYPERLINK("http://www.columbus.va.gov/services/EARNOSEANDTHROAT_ENT.ASP")</f>
        <v>http://www.columbus.va.gov/services/EARNOSEANDTHROAT_ENT.ASP</v>
      </c>
      <c r="E1334" s="8" t="s">
        <v>392</v>
      </c>
    </row>
    <row r="1335" ht="14.25" hidden="1" customHeight="1">
      <c r="A1335" s="8" t="s">
        <v>1455</v>
      </c>
      <c r="B1335" s="8" t="s">
        <v>1457</v>
      </c>
      <c r="D1335" s="121" t="str">
        <f>HYPERLINK("http://www.columbus.va.gov/services/ENDOCRINOLOGY.ASP")</f>
        <v>http://www.columbus.va.gov/services/ENDOCRINOLOGY.ASP</v>
      </c>
      <c r="E1335" s="8" t="s">
        <v>392</v>
      </c>
    </row>
    <row r="1336" ht="14.25" hidden="1" customHeight="1">
      <c r="A1336" s="8" t="s">
        <v>1455</v>
      </c>
      <c r="B1336" s="8" t="s">
        <v>1458</v>
      </c>
      <c r="D1336" s="121" t="str">
        <f>HYPERLINK("http://www.columbus.va.gov/services/EYE.ASP")</f>
        <v>http://www.columbus.va.gov/services/EYE.ASP</v>
      </c>
      <c r="E1336" s="8" t="s">
        <v>392</v>
      </c>
    </row>
    <row r="1337" ht="14.25" hidden="1" customHeight="1">
      <c r="A1337" s="8" t="s">
        <v>1455</v>
      </c>
      <c r="B1337" s="8" t="s">
        <v>1138</v>
      </c>
      <c r="D1337" s="121" t="str">
        <f>HYPERLINK("http://www.columbus.va.gov/services/GASTROENTEROLOGY.ASP")</f>
        <v>http://www.columbus.va.gov/services/GASTROENTEROLOGY.ASP</v>
      </c>
      <c r="E1337" s="8" t="s">
        <v>392</v>
      </c>
    </row>
    <row r="1338" ht="14.25" hidden="1" customHeight="1">
      <c r="A1338" s="8" t="s">
        <v>1455</v>
      </c>
      <c r="B1338" s="8" t="s">
        <v>1373</v>
      </c>
      <c r="D1338" s="121" t="str">
        <f>HYPERLINK("http://www.columbus.va.gov/services/GENERALSURGERY.ASP")</f>
        <v>http://www.columbus.va.gov/services/GENERALSURGERY.ASP</v>
      </c>
      <c r="E1338" s="8" t="s">
        <v>392</v>
      </c>
    </row>
    <row r="1339" ht="14.25" hidden="1" customHeight="1">
      <c r="A1339" s="8" t="s">
        <v>1455</v>
      </c>
      <c r="B1339" s="8" t="s">
        <v>556</v>
      </c>
      <c r="D1339" s="121" t="str">
        <f>HYPERLINK("http://www.columbus.va.gov/services/ECRC.ASP")</f>
        <v>http://www.columbus.va.gov/services/ECRC.ASP</v>
      </c>
      <c r="E1339" s="8" t="s">
        <v>392</v>
      </c>
    </row>
    <row r="1340" ht="14.25" hidden="1" customHeight="1">
      <c r="A1340" s="8" t="s">
        <v>1455</v>
      </c>
      <c r="B1340" s="8" t="s">
        <v>1459</v>
      </c>
      <c r="D1340" s="121" t="str">
        <f>HYPERLINK("http://www.columbus.va.gov/services/GYNECOLOGICAL_SURGERY.ASP")</f>
        <v>http://www.columbus.va.gov/services/GYNECOLOGICAL_SURGERY.ASP</v>
      </c>
      <c r="E1340" s="8" t="s">
        <v>392</v>
      </c>
    </row>
    <row r="1341" ht="14.25" hidden="1" customHeight="1">
      <c r="A1341" s="8" t="s">
        <v>1455</v>
      </c>
      <c r="B1341" s="8" t="s">
        <v>1460</v>
      </c>
      <c r="D1341" s="121" t="str">
        <f>HYPERLINK("http://www.columbus.va.gov/services/HEMATOLOGY.ASP")</f>
        <v>http://www.columbus.va.gov/services/HEMATOLOGY.ASP</v>
      </c>
      <c r="E1341" s="8" t="s">
        <v>392</v>
      </c>
    </row>
    <row r="1342" ht="14.25" hidden="1" customHeight="1">
      <c r="A1342" s="8" t="s">
        <v>1455</v>
      </c>
      <c r="B1342" s="8" t="s">
        <v>437</v>
      </c>
      <c r="D1342" s="121" t="str">
        <f>HYPERLINK("http://www.columbus.va.gov/services/HOSPICE.ASP")</f>
        <v>http://www.columbus.va.gov/services/HOSPICE.ASP</v>
      </c>
      <c r="E1342" s="8" t="s">
        <v>392</v>
      </c>
    </row>
    <row r="1343" ht="14.25" hidden="1" customHeight="1">
      <c r="A1343" s="8" t="s">
        <v>1455</v>
      </c>
      <c r="B1343" s="8" t="s">
        <v>523</v>
      </c>
      <c r="D1343" s="121" t="str">
        <f>HYPERLINK("http://www.columbus.va.gov/services/LGBTQ/INDEX.ASP")</f>
        <v>http://www.columbus.va.gov/services/LGBTQ/INDEX.ASP</v>
      </c>
      <c r="E1343" s="8" t="s">
        <v>392</v>
      </c>
    </row>
    <row r="1344" ht="14.25" hidden="1" customHeight="1">
      <c r="A1344" s="8" t="s">
        <v>1455</v>
      </c>
      <c r="B1344" s="8" t="s">
        <v>1461</v>
      </c>
      <c r="D1344" s="121" t="str">
        <f>HYPERLINK("http://www.columbus.va.gov/services/LGBTQ/LGBTCHAMPIONS.ASP")</f>
        <v>http://www.columbus.va.gov/services/LGBTQ/LGBTCHAMPIONS.ASP</v>
      </c>
      <c r="E1344" s="8" t="s">
        <v>392</v>
      </c>
    </row>
    <row r="1345" ht="14.25" hidden="1" customHeight="1">
      <c r="A1345" s="8" t="s">
        <v>1455</v>
      </c>
      <c r="B1345" s="8" t="s">
        <v>1016</v>
      </c>
      <c r="D1345" s="121" t="str">
        <f>HYPERLINK("http://www.columbus.va.gov/services/MEDICAL_FOSTER_HOME_PROGRAM.ASP")</f>
        <v>http://www.columbus.va.gov/services/MEDICAL_FOSTER_HOME_PROGRAM.ASP</v>
      </c>
      <c r="E1345" s="8" t="s">
        <v>392</v>
      </c>
    </row>
    <row r="1346" ht="14.25" hidden="1" customHeight="1">
      <c r="A1346" s="8" t="s">
        <v>1455</v>
      </c>
      <c r="B1346" s="8" t="s">
        <v>326</v>
      </c>
      <c r="D1346" s="121" t="str">
        <f>HYPERLINK("http://www.columbus.va.gov/services/MINORITYVET.ASP")</f>
        <v>http://www.columbus.va.gov/services/MINORITYVET.ASP</v>
      </c>
      <c r="E1346" s="8" t="s">
        <v>392</v>
      </c>
    </row>
    <row r="1347" ht="14.25" hidden="1" customHeight="1">
      <c r="A1347" s="8" t="s">
        <v>1455</v>
      </c>
      <c r="B1347" s="8" t="s">
        <v>1462</v>
      </c>
      <c r="D1347" s="121" t="str">
        <f>HYPERLINK("http://www.columbus.va.gov/services/NEPHROLOGY_RENAL.ASP")</f>
        <v>http://www.columbus.va.gov/services/NEPHROLOGY_RENAL.ASP</v>
      </c>
      <c r="E1347" s="8" t="s">
        <v>392</v>
      </c>
    </row>
    <row r="1348" ht="14.25" hidden="1" customHeight="1">
      <c r="A1348" s="8" t="s">
        <v>1455</v>
      </c>
      <c r="B1348" s="8" t="s">
        <v>1172</v>
      </c>
      <c r="D1348" s="121" t="str">
        <f>HYPERLINK("http://www.columbus.va.gov/services/NEUROLOGY.ASP")</f>
        <v>http://www.columbus.va.gov/services/NEUROLOGY.ASP</v>
      </c>
      <c r="E1348" s="8" t="s">
        <v>392</v>
      </c>
    </row>
    <row r="1349" ht="14.25" hidden="1" customHeight="1">
      <c r="A1349" s="8" t="s">
        <v>1455</v>
      </c>
      <c r="B1349" s="8" t="s">
        <v>1310</v>
      </c>
      <c r="D1349" s="121" t="str">
        <f>HYPERLINK("http://www.columbus.va.gov/services/NUTRITION_SERVICES.ASP")</f>
        <v>http://www.columbus.va.gov/services/NUTRITION_SERVICES.ASP</v>
      </c>
      <c r="E1349" s="8" t="s">
        <v>392</v>
      </c>
    </row>
    <row r="1350" ht="14.25" hidden="1" customHeight="1">
      <c r="A1350" s="8" t="s">
        <v>1455</v>
      </c>
      <c r="B1350" s="8" t="s">
        <v>1463</v>
      </c>
      <c r="D1350" s="121" t="str">
        <f>HYPERLINK("http://www.columbus.va.gov/services/ORTHOPEDIC.ASP")</f>
        <v>http://www.columbus.va.gov/services/ORTHOPEDIC.ASP</v>
      </c>
      <c r="E1350" s="8" t="s">
        <v>392</v>
      </c>
    </row>
    <row r="1351" ht="14.25" hidden="1" customHeight="1">
      <c r="A1351" s="8" t="s">
        <v>1455</v>
      </c>
      <c r="B1351" s="8" t="s">
        <v>1464</v>
      </c>
      <c r="D1351" s="121" t="str">
        <f>HYPERLINK("http://www.columbus.va.gov/services/PAINSERVICES.ASP")</f>
        <v>http://www.columbus.va.gov/services/PAINSERVICES.ASP</v>
      </c>
      <c r="E1351" s="8" t="s">
        <v>392</v>
      </c>
    </row>
    <row r="1352" ht="14.25" hidden="1" customHeight="1">
      <c r="A1352" s="8" t="s">
        <v>1455</v>
      </c>
      <c r="B1352" s="8" t="s">
        <v>1465</v>
      </c>
      <c r="D1352" s="121" t="str">
        <f>HYPERLINK("http://www.columbus.va.gov/services/PHARMACY.ASP")</f>
        <v>http://www.columbus.va.gov/services/PHARMACY.ASP</v>
      </c>
      <c r="E1352" s="8" t="s">
        <v>392</v>
      </c>
    </row>
    <row r="1353" ht="14.25" hidden="1" customHeight="1">
      <c r="A1353" s="8" t="s">
        <v>1455</v>
      </c>
      <c r="B1353" s="8" t="s">
        <v>1466</v>
      </c>
      <c r="D1353" s="121" t="str">
        <f>HYPERLINK("http://www.columbus.va.gov/services/PMRS.ASP")</f>
        <v>http://www.columbus.va.gov/services/PMRS.ASP</v>
      </c>
      <c r="E1353" s="8" t="s">
        <v>392</v>
      </c>
    </row>
    <row r="1354" ht="14.25" hidden="1" customHeight="1">
      <c r="A1354" s="8" t="s">
        <v>1455</v>
      </c>
      <c r="B1354" s="8" t="s">
        <v>1467</v>
      </c>
      <c r="D1354" s="121" t="str">
        <f>HYPERLINK("http://www.columbus.va.gov/services/PLASTICSURGERYSERVICE.ASP")</f>
        <v>http://www.columbus.va.gov/services/PLASTICSURGERYSERVICE.ASP</v>
      </c>
      <c r="E1354" s="8" t="s">
        <v>392</v>
      </c>
    </row>
    <row r="1355" ht="14.25" hidden="1" customHeight="1">
      <c r="A1355" s="8" t="s">
        <v>1455</v>
      </c>
      <c r="B1355" s="8" t="s">
        <v>1446</v>
      </c>
      <c r="D1355" s="121" t="str">
        <f>HYPERLINK("http://www.columbus.va.gov/services/PODIETRY.ASP")</f>
        <v>http://www.columbus.va.gov/services/PODIETRY.ASP</v>
      </c>
      <c r="E1355" s="8" t="s">
        <v>392</v>
      </c>
    </row>
    <row r="1356" ht="14.25" hidden="1" customHeight="1">
      <c r="A1356" s="8" t="s">
        <v>1455</v>
      </c>
      <c r="B1356" s="8" t="s">
        <v>1468</v>
      </c>
      <c r="D1356" s="121" t="str">
        <f>HYPERLINK("http://www.columbus.va.gov/services/PRE_ADMISSIONTESTING.ASP")</f>
        <v>http://www.columbus.va.gov/services/PRE_ADMISSIONTESTING.ASP</v>
      </c>
      <c r="E1356" s="8" t="s">
        <v>392</v>
      </c>
    </row>
    <row r="1357" ht="14.25" hidden="1" customHeight="1">
      <c r="A1357" s="8" t="s">
        <v>1455</v>
      </c>
      <c r="B1357" s="8" t="s">
        <v>348</v>
      </c>
      <c r="D1357" s="121" t="str">
        <f>HYPERLINK("http://www.columbus.va.gov/services/PRIMARY_CARE.ASP")</f>
        <v>http://www.columbus.va.gov/services/PRIMARY_CARE.ASP</v>
      </c>
      <c r="E1357" s="8" t="s">
        <v>392</v>
      </c>
    </row>
    <row r="1358" ht="14.25" hidden="1" customHeight="1">
      <c r="A1358" s="8" t="s">
        <v>1455</v>
      </c>
      <c r="B1358" s="8" t="s">
        <v>1469</v>
      </c>
      <c r="D1358" s="121" t="str">
        <f>HYPERLINK("http://www.columbus.va.gov/services/PULMONARY.ASP")</f>
        <v>http://www.columbus.va.gov/services/PULMONARY.ASP</v>
      </c>
      <c r="E1358" s="8" t="s">
        <v>392</v>
      </c>
    </row>
    <row r="1359" ht="14.25" hidden="1" customHeight="1">
      <c r="A1359" s="8" t="s">
        <v>1455</v>
      </c>
      <c r="B1359" s="8" t="s">
        <v>1470</v>
      </c>
      <c r="D1359" s="121" t="str">
        <f>HYPERLINK("http://www.columbus.va.gov/services/RECOVERY_SERVICES.ASP")</f>
        <v>http://www.columbus.va.gov/services/RECOVERY_SERVICES.ASP</v>
      </c>
      <c r="E1359" s="8" t="s">
        <v>392</v>
      </c>
    </row>
    <row r="1360" ht="14.25" hidden="1" customHeight="1">
      <c r="A1360" s="8" t="s">
        <v>1455</v>
      </c>
      <c r="B1360" s="8" t="s">
        <v>1171</v>
      </c>
      <c r="D1360" s="121" t="str">
        <f>HYPERLINK("http://www.columbus.va.gov/services/RHEUMATOLOGY.ASP")</f>
        <v>http://www.columbus.va.gov/services/RHEUMATOLOGY.ASP</v>
      </c>
      <c r="E1360" s="8" t="s">
        <v>392</v>
      </c>
    </row>
    <row r="1361" ht="14.25" hidden="1" customHeight="1">
      <c r="A1361" s="8" t="s">
        <v>1455</v>
      </c>
      <c r="B1361" s="8" t="s">
        <v>360</v>
      </c>
      <c r="D1361" s="121" t="str">
        <f>HYPERLINK("http://www.columbus.va.gov/services/SOCIALWORK.ASP")</f>
        <v>http://www.columbus.va.gov/services/SOCIALWORK.ASP</v>
      </c>
      <c r="E1361" s="8" t="s">
        <v>392</v>
      </c>
    </row>
    <row r="1362" ht="14.25" hidden="1" customHeight="1">
      <c r="A1362" s="8" t="s">
        <v>1455</v>
      </c>
      <c r="B1362" s="8" t="s">
        <v>1471</v>
      </c>
      <c r="D1362" s="121" t="str">
        <f>HYPERLINK("http://www.columbus.va.gov/services/SPECIALTY.ASP")</f>
        <v>http://www.columbus.va.gov/services/SPECIALTY.ASP</v>
      </c>
      <c r="E1362" s="8" t="s">
        <v>392</v>
      </c>
    </row>
    <row r="1363" ht="14.25" hidden="1" customHeight="1">
      <c r="A1363" s="8" t="s">
        <v>1455</v>
      </c>
      <c r="B1363" s="8" t="s">
        <v>364</v>
      </c>
      <c r="D1363" s="121" t="str">
        <f>HYPERLINK("http://www.columbus.va.gov/services/SCI.ASP")</f>
        <v>http://www.columbus.va.gov/services/SCI.ASP</v>
      </c>
      <c r="E1363" s="8" t="s">
        <v>392</v>
      </c>
    </row>
    <row r="1364" ht="14.25" hidden="1" customHeight="1">
      <c r="A1364" s="8" t="s">
        <v>1455</v>
      </c>
      <c r="B1364" s="8" t="s">
        <v>1472</v>
      </c>
      <c r="D1364" s="121" t="str">
        <f>HYPERLINK("http://www.columbus.va.gov/services/UCC.ASP")</f>
        <v>http://www.columbus.va.gov/services/UCC.ASP</v>
      </c>
      <c r="E1364" s="8" t="s">
        <v>392</v>
      </c>
    </row>
    <row r="1365" ht="14.25" hidden="1" customHeight="1">
      <c r="A1365" s="8" t="s">
        <v>1455</v>
      </c>
      <c r="B1365" s="8" t="s">
        <v>469</v>
      </c>
      <c r="D1365" s="121" t="str">
        <f>HYPERLINK("http://www.columbus.va.gov/services/UROLOGY.ASP")</f>
        <v>http://www.columbus.va.gov/services/UROLOGY.ASP</v>
      </c>
      <c r="E1365" s="8" t="s">
        <v>392</v>
      </c>
    </row>
    <row r="1366" ht="14.25" hidden="1" customHeight="1">
      <c r="A1366" s="8" t="s">
        <v>1455</v>
      </c>
      <c r="B1366" s="8" t="s">
        <v>1362</v>
      </c>
      <c r="D1366" s="121" t="str">
        <f>HYPERLINK("http://www.columbus.va.gov/services/VASCULAR_SURGERY.ASP")</f>
        <v>http://www.columbus.va.gov/services/VASCULAR_SURGERY.ASP</v>
      </c>
      <c r="E1366" s="8" t="s">
        <v>392</v>
      </c>
    </row>
    <row r="1367" ht="14.25" hidden="1" customHeight="1">
      <c r="A1367" s="8" t="s">
        <v>1455</v>
      </c>
      <c r="B1367" s="8" t="s">
        <v>1473</v>
      </c>
      <c r="D1367" s="121" t="str">
        <f>HYPERLINK("http://www.columbus.va.gov/services/WOMEN.ASP")</f>
        <v>http://www.columbus.va.gov/services/WOMEN.ASP</v>
      </c>
      <c r="E1367" s="8" t="s">
        <v>392</v>
      </c>
    </row>
    <row r="1368" ht="14.25" hidden="1" customHeight="1">
      <c r="A1368" s="8" t="s">
        <v>1455</v>
      </c>
      <c r="B1368" s="8" t="s">
        <v>1474</v>
      </c>
      <c r="D1368" s="121" t="str">
        <f>HYPERLINK("http://www.columbus.va.gov/services/WOUND_CARE.ASP")</f>
        <v>http://www.columbus.va.gov/services/WOUND_CARE.ASP</v>
      </c>
      <c r="E1368" s="8" t="s">
        <v>392</v>
      </c>
    </row>
    <row r="1369" ht="14.25" hidden="1" customHeight="1">
      <c r="A1369" s="8" t="s">
        <v>1475</v>
      </c>
      <c r="B1369" s="8" t="s">
        <v>828</v>
      </c>
      <c r="D1369" s="121" t="str">
        <f>HYPERLINK("http://www.connecticut.va.gov/services/AUDIOLOGY_AND_SPEECH_PATHOLOGY.ASP")</f>
        <v>http://www.connecticut.va.gov/services/AUDIOLOGY_AND_SPEECH_PATHOLOGY.ASP</v>
      </c>
      <c r="E1369" s="8" t="s">
        <v>392</v>
      </c>
    </row>
    <row r="1370" ht="14.25" hidden="1" customHeight="1">
      <c r="A1370" s="8" t="s">
        <v>1475</v>
      </c>
      <c r="B1370" s="8" t="s">
        <v>1476</v>
      </c>
      <c r="D1370" s="121" t="str">
        <f>HYPERLINK("http://www.connecticut.va.gov/services/BLIND_REHABILITATION_OUTPATIENT_SPECIALIST.ASP")</f>
        <v>http://www.connecticut.va.gov/services/BLIND_REHABILITATION_OUTPATIENT_SPECIALIST.ASP</v>
      </c>
      <c r="E1370" s="8" t="s">
        <v>392</v>
      </c>
    </row>
    <row r="1371" ht="14.25" hidden="1" customHeight="1">
      <c r="A1371" s="8" t="s">
        <v>1475</v>
      </c>
      <c r="B1371" s="8" t="s">
        <v>1477</v>
      </c>
      <c r="D1371" s="121" t="str">
        <f>HYPERLINK("http://www.connecticut.va.gov/services/CAT_SCAN_WEST_HAVEN.ASP")</f>
        <v>http://www.connecticut.va.gov/services/CAT_SCAN_WEST_HAVEN.ASP</v>
      </c>
      <c r="E1371" s="8" t="s">
        <v>392</v>
      </c>
    </row>
    <row r="1372" ht="14.25" hidden="1" customHeight="1">
      <c r="A1372" s="8" t="s">
        <v>1475</v>
      </c>
      <c r="B1372" s="8" t="s">
        <v>414</v>
      </c>
      <c r="D1372" s="121" t="str">
        <f>HYPERLINK("http://www.connecticut.va.gov/services/CARDIOLOGY.ASP")</f>
        <v>http://www.connecticut.va.gov/services/CARDIOLOGY.ASP</v>
      </c>
      <c r="E1372" s="8" t="s">
        <v>392</v>
      </c>
    </row>
    <row r="1373" ht="14.25" hidden="1" customHeight="1">
      <c r="A1373" s="8" t="s">
        <v>1475</v>
      </c>
      <c r="B1373" s="8" t="s">
        <v>1478</v>
      </c>
      <c r="D1373" s="121" t="str">
        <f>HYPERLINK("http://www.connecticut.va.gov/services/CARE_CASE_MANAGEMENT_AND_TELEHEALTH.ASP")</f>
        <v>http://www.connecticut.va.gov/services/CARE_CASE_MANAGEMENT_AND_TELEHEALTH.ASP</v>
      </c>
      <c r="E1373" s="8" t="s">
        <v>392</v>
      </c>
    </row>
    <row r="1374" ht="14.25" hidden="1" customHeight="1">
      <c r="A1374" s="8" t="s">
        <v>1475</v>
      </c>
      <c r="B1374" s="8" t="s">
        <v>478</v>
      </c>
      <c r="D1374" s="121" t="str">
        <f>HYPERLINK("http://www.connecticut.va.gov/services/CHAPLAIN_SERVICE.ASP")</f>
        <v>http://www.connecticut.va.gov/services/CHAPLAIN_SERVICE.ASP</v>
      </c>
      <c r="E1374" s="8" t="s">
        <v>392</v>
      </c>
    </row>
    <row r="1375" ht="14.25" hidden="1" customHeight="1">
      <c r="A1375" s="8" t="s">
        <v>1475</v>
      </c>
      <c r="B1375" s="8" t="s">
        <v>1479</v>
      </c>
      <c r="D1375" s="121" t="str">
        <f>HYPERLINK("http://www.connecticut.va.gov/services/COMPREHENSIVE_CANCER_CENTER_WEST_HAVEN.ASP")</f>
        <v>http://www.connecticut.va.gov/services/COMPREHENSIVE_CANCER_CENTER_WEST_HAVEN.ASP</v>
      </c>
      <c r="E1375" s="8" t="s">
        <v>392</v>
      </c>
    </row>
    <row r="1376" ht="14.25" hidden="1" customHeight="1">
      <c r="A1376" s="8" t="s">
        <v>1475</v>
      </c>
      <c r="B1376" s="8" t="s">
        <v>513</v>
      </c>
      <c r="D1376" s="121" t="str">
        <f>HYPERLINK("http://www.connecticut.va.gov/services/DENTAL_SERVICE.ASP")</f>
        <v>http://www.connecticut.va.gov/services/DENTAL_SERVICE.ASP</v>
      </c>
      <c r="E1376" s="8" t="s">
        <v>392</v>
      </c>
    </row>
    <row r="1377" ht="14.25" hidden="1" customHeight="1">
      <c r="A1377" s="8" t="s">
        <v>1475</v>
      </c>
      <c r="B1377" s="8" t="s">
        <v>517</v>
      </c>
      <c r="D1377" s="121" t="str">
        <f>HYPERLINK("http://www.connecticut.va.gov/services/DERMATOLOGY.ASP")</f>
        <v>http://www.connecticut.va.gov/services/DERMATOLOGY.ASP</v>
      </c>
      <c r="E1377" s="8" t="s">
        <v>392</v>
      </c>
    </row>
    <row r="1378" ht="14.25" hidden="1" customHeight="1">
      <c r="A1378" s="8" t="s">
        <v>1475</v>
      </c>
      <c r="B1378" s="8" t="s">
        <v>1480</v>
      </c>
      <c r="D1378" s="121" t="str">
        <f>HYPERLINK("http://www.connecticut.va.gov/services/EASTERN_BLIND_REHABILITATION_SERVICE.ASP")</f>
        <v>http://www.connecticut.va.gov/services/EASTERN_BLIND_REHABILITATION_SERVICE.ASP</v>
      </c>
      <c r="E1378" s="8" t="s">
        <v>392</v>
      </c>
    </row>
    <row r="1379" ht="14.25" hidden="1" customHeight="1">
      <c r="A1379" s="8" t="s">
        <v>1475</v>
      </c>
      <c r="B1379" s="8" t="s">
        <v>1481</v>
      </c>
      <c r="D1379" s="121" t="str">
        <f>HYPERLINK("http://www.connecticut.va.gov/services/EPILEPSY_CENTER_OF_EXCELLENCE.ASP")</f>
        <v>http://www.connecticut.va.gov/services/EPILEPSY_CENTER_OF_EXCELLENCE.ASP</v>
      </c>
      <c r="E1379" s="8" t="s">
        <v>392</v>
      </c>
    </row>
    <row r="1380" ht="14.25" hidden="1" customHeight="1">
      <c r="A1380" s="8" t="s">
        <v>1475</v>
      </c>
      <c r="B1380" s="8" t="s">
        <v>1388</v>
      </c>
      <c r="D1380" s="121" t="str">
        <f>HYPERLINK("http://www.connecticut.va.gov/services/GERIATRICS.ASP")</f>
        <v>http://www.connecticut.va.gov/services/GERIATRICS.ASP</v>
      </c>
      <c r="E1380" s="8" t="s">
        <v>392</v>
      </c>
    </row>
    <row r="1381" ht="14.25" hidden="1" customHeight="1">
      <c r="A1381" s="8" t="s">
        <v>1475</v>
      </c>
      <c r="B1381" s="8" t="s">
        <v>556</v>
      </c>
      <c r="D1381" s="121" t="str">
        <f>HYPERLINK("http://www.connecticut.va.gov/services/GERIATRICS_AND_EXTENDED_CARE.ASP")</f>
        <v>http://www.connecticut.va.gov/services/GERIATRICS_AND_EXTENDED_CARE.ASP</v>
      </c>
      <c r="E1381" s="8" t="s">
        <v>392</v>
      </c>
    </row>
    <row r="1382" ht="14.25" hidden="1" customHeight="1">
      <c r="A1382" s="8" t="s">
        <v>1475</v>
      </c>
      <c r="B1382" s="8" t="s">
        <v>1482</v>
      </c>
      <c r="D1382" s="121" t="str">
        <f>HYPERLINK("http://www.connecticut.va.gov/services/HYPERTENSION_CLINIC.ASP")</f>
        <v>http://www.connecticut.va.gov/services/HYPERTENSION_CLINIC.ASP</v>
      </c>
      <c r="E1382" s="8" t="s">
        <v>392</v>
      </c>
    </row>
    <row r="1383" ht="14.25" hidden="1" customHeight="1">
      <c r="A1383" s="8" t="s">
        <v>1475</v>
      </c>
      <c r="B1383" s="8" t="s">
        <v>1483</v>
      </c>
      <c r="D1383" s="121" t="str">
        <f>HYPERLINK("http://www.connecticut.va.gov/services/INTERVENTIONAL_RADIOLOGY.ASP")</f>
        <v>http://www.connecticut.va.gov/services/INTERVENTIONAL_RADIOLOGY.ASP</v>
      </c>
      <c r="E1383" s="8" t="s">
        <v>392</v>
      </c>
    </row>
    <row r="1384" ht="14.25" hidden="1" customHeight="1">
      <c r="A1384" s="8" t="s">
        <v>1475</v>
      </c>
      <c r="B1384" s="8" t="s">
        <v>1484</v>
      </c>
      <c r="D1384" s="121" t="str">
        <f>HYPERLINK("http://www.connecticut.va.gov/services/DIALYSIS.ASP")</f>
        <v>http://www.connecticut.va.gov/services/DIALYSIS.ASP</v>
      </c>
      <c r="E1384" s="8" t="s">
        <v>392</v>
      </c>
    </row>
    <row r="1385" ht="14.25" hidden="1" customHeight="1">
      <c r="A1385" s="8" t="s">
        <v>1475</v>
      </c>
      <c r="B1385" s="8" t="s">
        <v>952</v>
      </c>
      <c r="D1385" s="121" t="str">
        <f>HYPERLINK("http://www.connecticut.va.gov/services/LGBT.ASP")</f>
        <v>http://www.connecticut.va.gov/services/LGBT.ASP</v>
      </c>
      <c r="E1385" s="8" t="s">
        <v>392</v>
      </c>
    </row>
    <row r="1386" ht="14.25" hidden="1" customHeight="1">
      <c r="A1386" s="8" t="s">
        <v>1475</v>
      </c>
      <c r="B1386" s="8" t="s">
        <v>1485</v>
      </c>
      <c r="D1386" s="121" t="str">
        <f>HYPERLINK("http://www.connecticut.va.gov/services/MRI_WEST_HAVEN.ASP")</f>
        <v>http://www.connecticut.va.gov/services/MRI_WEST_HAVEN.ASP</v>
      </c>
      <c r="E1386" s="8" t="s">
        <v>392</v>
      </c>
    </row>
    <row r="1387" ht="14.25" hidden="1" customHeight="1">
      <c r="A1387" s="8" t="s">
        <v>1475</v>
      </c>
      <c r="B1387" s="8" t="s">
        <v>323</v>
      </c>
      <c r="D1387" s="121" t="str">
        <f>HYPERLINK("http://www.connecticut.va.gov/services/MENTAL_HEALTH_SERVICE_LINE.ASP")</f>
        <v>http://www.connecticut.va.gov/services/MENTAL_HEALTH_SERVICE_LINE.ASP</v>
      </c>
      <c r="E1387" s="8" t="s">
        <v>392</v>
      </c>
    </row>
    <row r="1388" ht="14.25" hidden="1" customHeight="1">
      <c r="A1388" s="8" t="s">
        <v>1475</v>
      </c>
      <c r="B1388" s="8" t="s">
        <v>1486</v>
      </c>
      <c r="D1388" s="121" t="str">
        <f>HYPERLINK("http://www.connecticut.va.gov/services/MILITARY_SEXUAL_TRAUMA_SERVICES.ASP")</f>
        <v>http://www.connecticut.va.gov/services/MILITARY_SEXUAL_TRAUMA_SERVICES.ASP</v>
      </c>
      <c r="E1388" s="8" t="s">
        <v>392</v>
      </c>
    </row>
    <row r="1389" ht="14.25" hidden="1" customHeight="1">
      <c r="A1389" s="8" t="s">
        <v>1475</v>
      </c>
      <c r="B1389" s="8" t="s">
        <v>1487</v>
      </c>
      <c r="D1389" s="121" t="str">
        <f>HYPERLINK("http://www.connecticut.va.gov/services/MY_HEALTHEVET_COORDINATOR.ASP")</f>
        <v>http://www.connecticut.va.gov/services/MY_HEALTHEVET_COORDINATOR.ASP</v>
      </c>
      <c r="E1389" s="8" t="s">
        <v>392</v>
      </c>
    </row>
    <row r="1390" ht="14.25" hidden="1" customHeight="1">
      <c r="A1390" s="8" t="s">
        <v>1475</v>
      </c>
      <c r="B1390" s="8" t="s">
        <v>1172</v>
      </c>
      <c r="D1390" s="121" t="str">
        <f>HYPERLINK("http://www.connecticut.va.gov/services/NEUROLOGY.ASP")</f>
        <v>http://www.connecticut.va.gov/services/NEUROLOGY.ASP</v>
      </c>
      <c r="E1390" s="8" t="s">
        <v>392</v>
      </c>
    </row>
    <row r="1391" ht="14.25" hidden="1" customHeight="1">
      <c r="A1391" s="8" t="s">
        <v>1475</v>
      </c>
      <c r="B1391" s="8" t="s">
        <v>1488</v>
      </c>
      <c r="D1391" s="121" t="str">
        <f>HYPERLINK("http://www.connecticut.va.gov/services/VET_CENTER_READJUSTMENT_COUNSELING_SERVICE.ASP")</f>
        <v>http://www.connecticut.va.gov/services/VET_CENTER_READJUSTMENT_COUNSELING_SERVICE.ASP</v>
      </c>
      <c r="E1391" s="8" t="s">
        <v>392</v>
      </c>
    </row>
    <row r="1392" ht="14.25" hidden="1" customHeight="1">
      <c r="A1392" s="8" t="s">
        <v>1475</v>
      </c>
      <c r="B1392" s="8" t="s">
        <v>603</v>
      </c>
      <c r="D1392" s="121" t="str">
        <f>HYPERLINK("http://www.connecticut.va.gov/services/NUCLEAR_MEDICINE.ASP")</f>
        <v>http://www.connecticut.va.gov/services/NUCLEAR_MEDICINE.ASP</v>
      </c>
      <c r="E1392" s="8" t="s">
        <v>392</v>
      </c>
    </row>
    <row r="1393" ht="14.25" hidden="1" customHeight="1">
      <c r="A1393" s="8" t="s">
        <v>1475</v>
      </c>
      <c r="B1393" s="8" t="s">
        <v>1251</v>
      </c>
      <c r="D1393" s="121" t="str">
        <f>HYPERLINK("http://www.connecticut.va.gov/services/NURSING_SERVICE.ASP")</f>
        <v>http://www.connecticut.va.gov/services/NURSING_SERVICE.ASP</v>
      </c>
      <c r="E1393" s="8" t="s">
        <v>392</v>
      </c>
    </row>
    <row r="1394" ht="14.25" hidden="1" customHeight="1">
      <c r="A1394" s="8" t="s">
        <v>1475</v>
      </c>
      <c r="B1394" s="8" t="s">
        <v>332</v>
      </c>
      <c r="D1394" s="121" t="str">
        <f>HYPERLINK("http://www.connecticut.va.gov/services/NUTRITION_AND_FOOD_SERVICES.ASP")</f>
        <v>http://www.connecticut.va.gov/services/NUTRITION_AND_FOOD_SERVICES.ASP</v>
      </c>
      <c r="E1394" s="8" t="s">
        <v>392</v>
      </c>
    </row>
    <row r="1395" ht="14.25" hidden="1" customHeight="1">
      <c r="A1395" s="8" t="s">
        <v>1475</v>
      </c>
      <c r="B1395" s="8" t="s">
        <v>1489</v>
      </c>
      <c r="D1395" s="121" t="str">
        <f>HYPERLINK("http://www.connecticut.va.gov/services/OCCUPATIONAL_HEALTH.ASP")</f>
        <v>http://www.connecticut.va.gov/services/OCCUPATIONAL_HEALTH.ASP</v>
      </c>
      <c r="E1395" s="8" t="s">
        <v>392</v>
      </c>
    </row>
    <row r="1396" ht="14.25" hidden="1" customHeight="1">
      <c r="A1396" s="8" t="s">
        <v>1475</v>
      </c>
      <c r="B1396" s="8" t="s">
        <v>709</v>
      </c>
      <c r="D1396" s="121" t="str">
        <f>HYPERLINK("http://www.connecticut.va.gov/services/OPTOMETRY_OPHTHALMOLOGY.ASP")</f>
        <v>http://www.connecticut.va.gov/services/OPTOMETRY_OPHTHALMOLOGY.ASP</v>
      </c>
      <c r="E1396" s="8" t="s">
        <v>392</v>
      </c>
    </row>
    <row r="1397" ht="14.25" hidden="1" customHeight="1">
      <c r="A1397" s="8" t="s">
        <v>1475</v>
      </c>
      <c r="B1397" s="8" t="s">
        <v>1490</v>
      </c>
      <c r="D1397" s="121" t="str">
        <f>HYPERLINK("http://www.connecticut.va.gov/services/PET_CT.ASP")</f>
        <v>http://www.connecticut.va.gov/services/PET_CT.ASP</v>
      </c>
      <c r="E1397" s="8" t="s">
        <v>392</v>
      </c>
    </row>
    <row r="1398" ht="14.25" hidden="1" customHeight="1">
      <c r="A1398" s="8" t="s">
        <v>1475</v>
      </c>
      <c r="B1398" s="8" t="s">
        <v>1491</v>
      </c>
      <c r="D1398" s="121" t="str">
        <f>HYPERLINK("http://www.connecticut.va.gov/services/PRIME_CENTER.ASP")</f>
        <v>http://www.connecticut.va.gov/services/PRIME_CENTER.ASP</v>
      </c>
      <c r="E1398" s="8" t="s">
        <v>392</v>
      </c>
    </row>
    <row r="1399" ht="14.25" hidden="1" customHeight="1">
      <c r="A1399" s="8" t="s">
        <v>1475</v>
      </c>
      <c r="B1399" s="8" t="s">
        <v>1492</v>
      </c>
      <c r="D1399" s="121" t="str">
        <f>HYPERLINK("http://www.connecticut.va.gov/services/PATHOLOGY_AND_LABORATORY_MEDICINE_NEWINGTON.ASP")</f>
        <v>http://www.connecticut.va.gov/services/PATHOLOGY_AND_LABORATORY_MEDICINE_NEWINGTON.ASP</v>
      </c>
      <c r="E1399" s="8" t="s">
        <v>392</v>
      </c>
    </row>
    <row r="1400" ht="14.25" hidden="1" customHeight="1">
      <c r="A1400" s="8" t="s">
        <v>1475</v>
      </c>
      <c r="B1400" s="8" t="s">
        <v>1493</v>
      </c>
      <c r="D1400" s="121" t="str">
        <f>HYPERLINK("http://www.connecticut.va.gov/services/PATHOLOGY_AND_LABORATORY_MEDICINE_WEST_HAVEN.ASP")</f>
        <v>http://www.connecticut.va.gov/services/PATHOLOGY_AND_LABORATORY_MEDICINE_WEST_HAVEN.ASP</v>
      </c>
      <c r="E1400" s="8" t="s">
        <v>392</v>
      </c>
    </row>
    <row r="1401" ht="14.25" hidden="1" customHeight="1">
      <c r="A1401" s="8" t="s">
        <v>1475</v>
      </c>
      <c r="B1401" s="8" t="s">
        <v>343</v>
      </c>
      <c r="D1401" s="121" t="str">
        <f>HYPERLINK("http://www.connecticut.va.gov/services/PHARMACY.ASP")</f>
        <v>http://www.connecticut.va.gov/services/PHARMACY.ASP</v>
      </c>
      <c r="E1401" s="8" t="s">
        <v>392</v>
      </c>
    </row>
    <row r="1402" ht="14.25" hidden="1" customHeight="1">
      <c r="A1402" s="8" t="s">
        <v>1475</v>
      </c>
      <c r="B1402" s="8" t="s">
        <v>1494</v>
      </c>
      <c r="D1402" s="121" t="str">
        <f>HYPERLINK("http://www.connecticut.va.gov/services/PHLEBOTOMY_SERVICES_NEWINGTON.ASP")</f>
        <v>http://www.connecticut.va.gov/services/PHLEBOTOMY_SERVICES_NEWINGTON.ASP</v>
      </c>
      <c r="E1402" s="8" t="s">
        <v>392</v>
      </c>
    </row>
    <row r="1403" ht="14.25" hidden="1" customHeight="1">
      <c r="A1403" s="8" t="s">
        <v>1475</v>
      </c>
      <c r="B1403" s="8" t="s">
        <v>1495</v>
      </c>
      <c r="D1403" s="121" t="str">
        <f>HYPERLINK("http://www.connecticut.va.gov/services/PHLEBOTOMY_SERVICES_WEST_HAVEN.ASP")</f>
        <v>http://www.connecticut.va.gov/services/PHLEBOTOMY_SERVICES_WEST_HAVEN.ASP</v>
      </c>
      <c r="E1403" s="8" t="s">
        <v>392</v>
      </c>
    </row>
    <row r="1404" ht="14.25" hidden="1" customHeight="1">
      <c r="A1404" s="8" t="s">
        <v>1475</v>
      </c>
      <c r="B1404" s="8" t="s">
        <v>450</v>
      </c>
      <c r="D1404" s="121" t="str">
        <f>HYPERLINK("http://www.connecticut.va.gov/services/PODIATRY.ASP")</f>
        <v>http://www.connecticut.va.gov/services/PODIATRY.ASP</v>
      </c>
      <c r="E1404" s="8" t="s">
        <v>392</v>
      </c>
    </row>
    <row r="1405" ht="14.25" hidden="1" customHeight="1">
      <c r="A1405" s="8" t="s">
        <v>1475</v>
      </c>
      <c r="B1405" s="8" t="s">
        <v>348</v>
      </c>
      <c r="D1405" s="121" t="str">
        <f>HYPERLINK("http://www.connecticut.va.gov/services/PRIMARY_CARE.ASP")</f>
        <v>http://www.connecticut.va.gov/services/PRIMARY_CARE.ASP</v>
      </c>
      <c r="E1405" s="8" t="s">
        <v>392</v>
      </c>
    </row>
    <row r="1406" ht="14.25" hidden="1" customHeight="1">
      <c r="A1406" s="8" t="s">
        <v>1475</v>
      </c>
      <c r="B1406" s="8" t="s">
        <v>1496</v>
      </c>
      <c r="D1406" s="121" t="str">
        <f>HYPERLINK("http://www.connecticut.va.gov/services/PSYCHIATRIC_ER.ASP")</f>
        <v>http://www.connecticut.va.gov/services/PSYCHIATRIC_ER.ASP</v>
      </c>
      <c r="E1406" s="8" t="s">
        <v>392</v>
      </c>
    </row>
    <row r="1407" ht="14.25" hidden="1" customHeight="1">
      <c r="A1407" s="8" t="s">
        <v>1475</v>
      </c>
      <c r="B1407" s="8" t="s">
        <v>918</v>
      </c>
      <c r="D1407" s="121" t="str">
        <f>HYPERLINK("http://www.connecticut.va.gov/services/PSYCHOLOGY_SERVICE.ASP")</f>
        <v>http://www.connecticut.va.gov/services/PSYCHOLOGY_SERVICE.ASP</v>
      </c>
      <c r="E1407" s="8" t="s">
        <v>392</v>
      </c>
    </row>
    <row r="1408" ht="14.25" hidden="1" customHeight="1">
      <c r="A1408" s="8" t="s">
        <v>1475</v>
      </c>
      <c r="B1408" s="8" t="s">
        <v>1497</v>
      </c>
      <c r="D1408" s="121" t="str">
        <f>HYPERLINK("http://www.connecticut.va.gov/services/PULMONARY_CLINIC.ASP")</f>
        <v>http://www.connecticut.va.gov/services/PULMONARY_CLINIC.ASP</v>
      </c>
      <c r="E1408" s="8" t="s">
        <v>392</v>
      </c>
    </row>
    <row r="1409" ht="14.25" hidden="1" customHeight="1">
      <c r="A1409" s="8" t="s">
        <v>1475</v>
      </c>
      <c r="B1409" s="8" t="s">
        <v>1498</v>
      </c>
      <c r="D1409" s="121" t="str">
        <f>HYPERLINK("http://www.connecticut.va.gov/services/RADIATION_SAFETY_OFFICE.ASP")</f>
        <v>http://www.connecticut.va.gov/services/RADIATION_SAFETY_OFFICE.ASP</v>
      </c>
      <c r="E1409" s="8" t="s">
        <v>392</v>
      </c>
    </row>
    <row r="1410" ht="14.25" hidden="1" customHeight="1">
      <c r="A1410" s="8" t="s">
        <v>1475</v>
      </c>
      <c r="B1410" s="8" t="s">
        <v>1499</v>
      </c>
      <c r="D1410" s="121" t="str">
        <f>HYPERLINK("http://www.connecticut.va.gov/services/RADIOLOGY_SERVICE_WEST_HAVEN_CAMPUS.ASP")</f>
        <v>http://www.connecticut.va.gov/services/RADIOLOGY_SERVICE_WEST_HAVEN_CAMPUS.ASP</v>
      </c>
      <c r="E1410" s="8" t="s">
        <v>392</v>
      </c>
    </row>
    <row r="1411" ht="14.25" hidden="1" customHeight="1">
      <c r="A1411" s="8" t="s">
        <v>1475</v>
      </c>
      <c r="B1411" s="8" t="s">
        <v>1500</v>
      </c>
      <c r="D1411" s="121" t="str">
        <f>HYPERLINK("http://www.connecticut.va.gov/services/RENAL_CLINIC_NEWINGTON.ASP")</f>
        <v>http://www.connecticut.va.gov/services/RENAL_CLINIC_NEWINGTON.ASP</v>
      </c>
      <c r="E1411" s="8" t="s">
        <v>392</v>
      </c>
    </row>
    <row r="1412" ht="14.25" hidden="1" customHeight="1">
      <c r="A1412" s="8" t="s">
        <v>1475</v>
      </c>
      <c r="B1412" s="8" t="s">
        <v>1501</v>
      </c>
      <c r="D1412" s="121" t="str">
        <f>HYPERLINK("http://www.connecticut.va.gov/services/RENAL_CLINIC_WEST_HAVEN.ASP")</f>
        <v>http://www.connecticut.va.gov/services/RENAL_CLINIC_WEST_HAVEN.ASP</v>
      </c>
      <c r="E1412" s="8" t="s">
        <v>392</v>
      </c>
    </row>
    <row r="1413" ht="14.25" hidden="1" customHeight="1">
      <c r="A1413" s="8" t="s">
        <v>1475</v>
      </c>
      <c r="B1413" s="8" t="s">
        <v>1502</v>
      </c>
      <c r="D1413" s="121" t="str">
        <f>HYPERLINK("http://www.connecticut.va.gov/services/RENAL_REPLACEMENT_OPTIONS.ASP")</f>
        <v>http://www.connecticut.va.gov/services/RENAL_REPLACEMENT_OPTIONS.ASP</v>
      </c>
      <c r="E1413" s="8" t="s">
        <v>392</v>
      </c>
    </row>
    <row r="1414" ht="14.25" hidden="1" customHeight="1">
      <c r="A1414" s="8" t="s">
        <v>1475</v>
      </c>
      <c r="B1414" s="8" t="s">
        <v>1503</v>
      </c>
      <c r="D1414" s="121" t="str">
        <f>HYPERLINK("http://www.connecticut.va.gov/services/RENAL_TRANSPLANT_CLINIC.ASP")</f>
        <v>http://www.connecticut.va.gov/services/RENAL_TRANSPLANT_CLINIC.ASP</v>
      </c>
      <c r="E1414" s="8" t="s">
        <v>392</v>
      </c>
    </row>
    <row r="1415" ht="14.25" hidden="1" customHeight="1">
      <c r="A1415" s="8" t="s">
        <v>1475</v>
      </c>
      <c r="B1415" s="8" t="s">
        <v>508</v>
      </c>
      <c r="D1415" s="121" t="str">
        <f>HYPERLINK("http://www.connecticut.va.gov/services/RESEARCH.ASP")</f>
        <v>http://www.connecticut.va.gov/services/RESEARCH.ASP</v>
      </c>
      <c r="E1415" s="8" t="s">
        <v>392</v>
      </c>
    </row>
    <row r="1416" ht="14.25" hidden="1" customHeight="1">
      <c r="A1416" s="8" t="s">
        <v>1475</v>
      </c>
      <c r="B1416" s="8" t="s">
        <v>360</v>
      </c>
      <c r="D1416" s="121" t="str">
        <f>HYPERLINK("http://www.connecticut.va.gov/services/SOCIALWORK.ASP")</f>
        <v>http://www.connecticut.va.gov/services/SOCIALWORK.ASP</v>
      </c>
      <c r="E1416" s="8" t="s">
        <v>392</v>
      </c>
    </row>
    <row r="1417" ht="14.25" hidden="1" customHeight="1">
      <c r="A1417" s="8" t="s">
        <v>1475</v>
      </c>
      <c r="B1417" s="8" t="s">
        <v>617</v>
      </c>
      <c r="D1417" s="121" t="str">
        <f>HYPERLINK("http://www.connecticut.va.gov/services/SUICIDE_PREVENTION_PROGRAM.ASP")</f>
        <v>http://www.connecticut.va.gov/services/SUICIDE_PREVENTION_PROGRAM.ASP</v>
      </c>
      <c r="E1417" s="8" t="s">
        <v>392</v>
      </c>
    </row>
    <row r="1418" ht="14.25" hidden="1" customHeight="1">
      <c r="A1418" s="8" t="s">
        <v>1475</v>
      </c>
      <c r="B1418" s="8" t="s">
        <v>888</v>
      </c>
      <c r="D1418" s="121" t="str">
        <f>HYPERLINK("http://www.connecticut.va.gov/services/SURGICAL_SERVICES.ASP")</f>
        <v>http://www.connecticut.va.gov/services/SURGICAL_SERVICES.ASP</v>
      </c>
      <c r="E1418" s="8" t="s">
        <v>392</v>
      </c>
    </row>
    <row r="1419" ht="14.25" hidden="1" customHeight="1">
      <c r="A1419" s="8" t="s">
        <v>1475</v>
      </c>
      <c r="B1419" s="8" t="s">
        <v>1504</v>
      </c>
      <c r="D1419" s="121" t="str">
        <f>HYPERLINK("http://www.connecticut.va.gov/services/ULTRASOUND_SERVICE_WEST_HAVEN.ASP")</f>
        <v>http://www.connecticut.va.gov/services/ULTRASOUND_SERVICE_WEST_HAVEN.ASP</v>
      </c>
      <c r="E1419" s="8" t="s">
        <v>392</v>
      </c>
    </row>
    <row r="1420" ht="14.25" hidden="1" customHeight="1">
      <c r="A1420" s="8" t="s">
        <v>1475</v>
      </c>
      <c r="B1420" s="8" t="s">
        <v>1452</v>
      </c>
      <c r="D1420" s="121" t="str">
        <f>HYPERLINK("http://www.connecticut.va.gov/services/UROLOGY_CLINIC.ASP")</f>
        <v>http://www.connecticut.va.gov/services/UROLOGY_CLINIC.ASP</v>
      </c>
      <c r="E1420" s="8" t="s">
        <v>392</v>
      </c>
    </row>
    <row r="1421" ht="14.25" hidden="1" customHeight="1">
      <c r="A1421" s="8" t="s">
        <v>1475</v>
      </c>
      <c r="B1421" s="8" t="s">
        <v>1273</v>
      </c>
      <c r="D1421" s="121" t="str">
        <f>HYPERLINK("http://www.connecticut.va.gov/services/VETERAN_HEALTH_EDUCATION.ASP")</f>
        <v>http://www.connecticut.va.gov/services/VETERAN_HEALTH_EDUCATION.ASP</v>
      </c>
      <c r="E1421" s="8" t="s">
        <v>392</v>
      </c>
    </row>
    <row r="1422" ht="14.25" hidden="1" customHeight="1">
      <c r="A1422" s="8" t="s">
        <v>1505</v>
      </c>
      <c r="B1422" s="8" t="s">
        <v>624</v>
      </c>
      <c r="D1422" s="121" t="str">
        <f>HYPERLINK("http://www.danville.va.gov/services/APPOINTMENTS.ASP")</f>
        <v>http://www.danville.va.gov/services/APPOINTMENTS.ASP</v>
      </c>
      <c r="E1422" s="8" t="s">
        <v>392</v>
      </c>
    </row>
    <row r="1423" ht="14.25" hidden="1" customHeight="1">
      <c r="A1423" s="8" t="s">
        <v>1505</v>
      </c>
      <c r="B1423" s="8" t="s">
        <v>663</v>
      </c>
      <c r="D1423" s="121" t="str">
        <f>HYPERLINK("http://www.danville.va.gov/services/ELIGIBILITY.ASP")</f>
        <v>http://www.danville.va.gov/services/ELIGIBILITY.ASP</v>
      </c>
      <c r="E1423" s="8" t="s">
        <v>392</v>
      </c>
    </row>
    <row r="1424" ht="14.25" hidden="1" customHeight="1">
      <c r="A1424" s="8" t="s">
        <v>1505</v>
      </c>
      <c r="B1424" s="8" t="s">
        <v>1506</v>
      </c>
      <c r="D1424" s="121" t="str">
        <f>HYPERLINK("http://www.danville.va.gov/services/MOVE_WEIGHT_MANAGEMENT_PROGRAM_FOR_VETERANS.ASP")</f>
        <v>http://www.danville.va.gov/services/MOVE_WEIGHT_MANAGEMENT_PROGRAM_FOR_VETERANS.ASP</v>
      </c>
      <c r="E1424" s="8" t="s">
        <v>392</v>
      </c>
    </row>
    <row r="1425" ht="14.25" hidden="1" customHeight="1">
      <c r="A1425" s="8" t="s">
        <v>1505</v>
      </c>
      <c r="B1425" s="8" t="s">
        <v>323</v>
      </c>
      <c r="D1425" s="121" t="str">
        <f>HYPERLINK("http://www.danville.va.gov/services/MENTAL_HEALTH.ASP")</f>
        <v>http://www.danville.va.gov/services/MENTAL_HEALTH.ASP</v>
      </c>
      <c r="E1425" s="8" t="s">
        <v>392</v>
      </c>
    </row>
    <row r="1426" ht="14.25" hidden="1" customHeight="1">
      <c r="A1426" s="8" t="s">
        <v>1505</v>
      </c>
      <c r="B1426" s="8" t="s">
        <v>1507</v>
      </c>
      <c r="D1426" s="121" t="str">
        <f>HYPERLINK("http://www.danville.va.gov/services/MENTAL_HEALTH_INTENSIVE_CASE_MANAGEMENT_PROGRAM.ASP")</f>
        <v>http://www.danville.va.gov/services/MENTAL_HEALTH_INTENSIVE_CASE_MANAGEMENT_PROGRAM.ASP</v>
      </c>
      <c r="E1426" s="8" t="s">
        <v>392</v>
      </c>
    </row>
    <row r="1427" ht="14.25" hidden="1" customHeight="1">
      <c r="A1427" s="8" t="s">
        <v>1505</v>
      </c>
      <c r="B1427" s="8" t="s">
        <v>1508</v>
      </c>
      <c r="D1427" s="121" t="str">
        <f>HYPERLINK("http://www.danville.va.gov/services/MH_SERVICES_INPATIENT.ASP")</f>
        <v>http://www.danville.va.gov/services/MH_SERVICES_INPATIENT.ASP</v>
      </c>
      <c r="E1427" s="8" t="s">
        <v>392</v>
      </c>
    </row>
    <row r="1428" ht="14.25" hidden="1" customHeight="1">
      <c r="A1428" s="8" t="s">
        <v>1505</v>
      </c>
      <c r="B1428" s="8" t="s">
        <v>1509</v>
      </c>
      <c r="D1428" s="121" t="str">
        <f>HYPERLINK("http://www.danville.va.gov/services/MENTAL_HEALTH_SUICIDE_PREVENTION.ASP")</f>
        <v>http://www.danville.va.gov/services/MENTAL_HEALTH_SUICIDE_PREVENTION.ASP</v>
      </c>
      <c r="E1428" s="8" t="s">
        <v>392</v>
      </c>
    </row>
    <row r="1429" ht="14.25" hidden="1" customHeight="1">
      <c r="A1429" s="8" t="s">
        <v>1505</v>
      </c>
      <c r="B1429" s="8" t="s">
        <v>326</v>
      </c>
      <c r="D1429" s="121" t="str">
        <f>HYPERLINK("http://www.danville.va.gov/services/MINORITY_VETERANS_PROGRAM.ASP")</f>
        <v>http://www.danville.va.gov/services/MINORITY_VETERANS_PROGRAM.ASP</v>
      </c>
      <c r="E1429" s="8" t="s">
        <v>392</v>
      </c>
    </row>
    <row r="1430" ht="14.25" hidden="1" customHeight="1">
      <c r="A1430" s="8" t="s">
        <v>1505</v>
      </c>
      <c r="B1430" s="8" t="s">
        <v>1510</v>
      </c>
      <c r="D1430" s="121" t="str">
        <f>HYPERLINK("http://www.danville.va.gov/services/NEUROPSYCHOLOGY.ASP")</f>
        <v>http://www.danville.va.gov/services/NEUROPSYCHOLOGY.ASP</v>
      </c>
      <c r="E1430" s="8" t="s">
        <v>392</v>
      </c>
    </row>
    <row r="1431" ht="14.25" hidden="1" customHeight="1">
      <c r="A1431" s="8" t="s">
        <v>1505</v>
      </c>
      <c r="B1431" s="8" t="s">
        <v>1511</v>
      </c>
      <c r="D1431" s="121" t="str">
        <f>HYPERLINK("http://www.danville.va.gov/services/PALLIATIVE_CARE_EDUCATION_VOLUNTEER_OPPORTUNITIES.ASP")</f>
        <v>http://www.danville.va.gov/services/PALLIATIVE_CARE_EDUCATION_VOLUNTEER_OPPORTUNITIES.ASP</v>
      </c>
      <c r="E1431" s="8" t="s">
        <v>392</v>
      </c>
    </row>
    <row r="1432" ht="14.25" hidden="1" customHeight="1">
      <c r="A1432" s="8" t="s">
        <v>1505</v>
      </c>
      <c r="B1432" s="8" t="s">
        <v>1512</v>
      </c>
      <c r="D1432" s="121" t="str">
        <f>HYPERLINK("http://www.danville.va.gov/services/PALLIATIVE_CARE_PRE_PLANNING.ASP")</f>
        <v>http://www.danville.va.gov/services/PALLIATIVE_CARE_PRE_PLANNING.ASP</v>
      </c>
      <c r="E1432" s="8" t="s">
        <v>392</v>
      </c>
    </row>
    <row r="1433" ht="14.25" hidden="1" customHeight="1">
      <c r="A1433" s="8" t="s">
        <v>1505</v>
      </c>
      <c r="B1433" s="8" t="s">
        <v>1513</v>
      </c>
      <c r="D1433" s="121" t="str">
        <f>HYPERLINK("http://www.danville.va.gov/services/PALLIATIVE_CARE.ASP")</f>
        <v>http://www.danville.va.gov/services/PALLIATIVE_CARE.ASP</v>
      </c>
      <c r="E1433" s="8" t="s">
        <v>392</v>
      </c>
    </row>
    <row r="1434" ht="14.25" hidden="1" customHeight="1">
      <c r="A1434" s="8" t="s">
        <v>1505</v>
      </c>
      <c r="B1434" s="8" t="s">
        <v>1514</v>
      </c>
      <c r="D1434" s="121" t="str">
        <f>HYPERLINK("http://www.danville.va.gov/services/PALLIATIVE_CARE_INFORMATION.ASP")</f>
        <v>http://www.danville.va.gov/services/PALLIATIVE_CARE_INFORMATION.ASP</v>
      </c>
      <c r="E1434" s="8" t="s">
        <v>392</v>
      </c>
    </row>
    <row r="1435" ht="14.25" hidden="1" customHeight="1">
      <c r="A1435" s="8" t="s">
        <v>1505</v>
      </c>
      <c r="B1435" s="8" t="s">
        <v>1515</v>
      </c>
      <c r="D1435" s="121" t="str">
        <f>HYPERLINK("http://www.danville.va.gov/services/PALLIATIVE_CARE_PROGRAM.ASP")</f>
        <v>http://www.danville.va.gov/services/PALLIATIVE_CARE_PROGRAM.ASP</v>
      </c>
      <c r="E1435" s="8" t="s">
        <v>392</v>
      </c>
    </row>
    <row r="1436" ht="14.25" hidden="1" customHeight="1">
      <c r="A1436" s="8" t="s">
        <v>1505</v>
      </c>
      <c r="B1436" s="8" t="s">
        <v>961</v>
      </c>
      <c r="D1436" s="121" t="str">
        <f>HYPERLINK("http://www.danville.va.gov/services/PHYSICAL_MEDICI.ASP")</f>
        <v>http://www.danville.va.gov/services/PHYSICAL_MEDICI.ASP</v>
      </c>
      <c r="E1436" s="8" t="s">
        <v>392</v>
      </c>
    </row>
    <row r="1437" ht="14.25" hidden="1" customHeight="1">
      <c r="A1437" s="8" t="s">
        <v>1505</v>
      </c>
      <c r="B1437" s="8" t="s">
        <v>1516</v>
      </c>
      <c r="D1437" s="121" t="str">
        <f>HYPERLINK("http://www.danville.va.gov/services/PODIATRIC_RESIDENCY_CLERKSHIP_PROGRAMS.ASP")</f>
        <v>http://www.danville.va.gov/services/PODIATRIC_RESIDENCY_CLERKSHIP_PROGRAMS.ASP</v>
      </c>
      <c r="E1437" s="8" t="s">
        <v>392</v>
      </c>
    </row>
    <row r="1438" ht="14.25" hidden="1" customHeight="1">
      <c r="A1438" s="8" t="s">
        <v>1505</v>
      </c>
      <c r="B1438" s="8" t="s">
        <v>1517</v>
      </c>
      <c r="D1438" s="121" t="str">
        <f>HYPERLINK("http://www.danville.va.gov/services/POST_TRAUMATIC_STRESS_DISORDER_PTSD.ASP")</f>
        <v>http://www.danville.va.gov/services/POST_TRAUMATIC_STRESS_DISORDER_PTSD.ASP</v>
      </c>
      <c r="E1438" s="8" t="s">
        <v>392</v>
      </c>
    </row>
    <row r="1439" ht="14.25" hidden="1" customHeight="1">
      <c r="A1439" s="8" t="s">
        <v>1505</v>
      </c>
      <c r="B1439" s="8" t="s">
        <v>1518</v>
      </c>
      <c r="D1439" s="121" t="str">
        <f>HYPERLINK("http://www.danville.va.gov/services/PRIMARY_CARE.ASP")</f>
        <v>http://www.danville.va.gov/services/PRIMARY_CARE.ASP</v>
      </c>
      <c r="E1439" s="8" t="s">
        <v>392</v>
      </c>
    </row>
    <row r="1440" ht="14.25" hidden="1" customHeight="1">
      <c r="A1440" s="8" t="s">
        <v>1505</v>
      </c>
      <c r="B1440" s="8" t="s">
        <v>1079</v>
      </c>
      <c r="D1440" s="121" t="str">
        <f>HYPERLINK("http://www.danville.va.gov/services/PSYCHOSOCIAL_RESIDENTIAL_REHABILITATION_TREATMENT_PROGRAM_PRRTP.ASP")</f>
        <v>http://www.danville.va.gov/services/PSYCHOSOCIAL_RESIDENTIAL_REHABILITATION_TREATMENT_PROGRAM_PRRTP.ASP</v>
      </c>
      <c r="E1440" s="8" t="s">
        <v>392</v>
      </c>
    </row>
    <row r="1441" ht="14.25" hidden="1" customHeight="1">
      <c r="A1441" s="8" t="s">
        <v>1505</v>
      </c>
      <c r="B1441" s="8" t="s">
        <v>355</v>
      </c>
      <c r="D1441" s="121" t="str">
        <f>HYPERLINK("http://www.danville.va.gov/services/RETURNING_SERVICE_MEMBERS.ASP")</f>
        <v>http://www.danville.va.gov/services/RETURNING_SERVICE_MEMBERS.ASP</v>
      </c>
      <c r="E1441" s="8" t="s">
        <v>392</v>
      </c>
    </row>
    <row r="1442" ht="14.25" hidden="1" customHeight="1">
      <c r="A1442" s="8" t="s">
        <v>1505</v>
      </c>
      <c r="B1442" s="8" t="s">
        <v>360</v>
      </c>
      <c r="D1442" s="121" t="str">
        <f>HYPERLINK("http://www.danville.va.gov/services/SOCIAL_WORK.ASP")</f>
        <v>http://www.danville.va.gov/services/SOCIAL_WORK.ASP</v>
      </c>
      <c r="E1442" s="8" t="s">
        <v>392</v>
      </c>
    </row>
    <row r="1443" ht="14.25" hidden="1" customHeight="1">
      <c r="A1443" s="8" t="s">
        <v>1505</v>
      </c>
      <c r="B1443" s="8" t="s">
        <v>1519</v>
      </c>
      <c r="D1443" s="121" t="str">
        <f>HYPERLINK("http://www.danville.va.gov/services/SUBSTANCE_ABUSE_TREATMENT_PROGRAM.ASP")</f>
        <v>http://www.danville.va.gov/services/SUBSTANCE_ABUSE_TREATMENT_PROGRAM.ASP</v>
      </c>
      <c r="E1443" s="8" t="s">
        <v>392</v>
      </c>
    </row>
    <row r="1444" ht="14.25" hidden="1" customHeight="1">
      <c r="A1444" s="8" t="s">
        <v>1505</v>
      </c>
      <c r="B1444" s="8" t="s">
        <v>1520</v>
      </c>
      <c r="D1444" s="121" t="str">
        <f>HYPERLINK("http://www.danville.va.gov/services/SURGERY_SERVICE.ASP")</f>
        <v>http://www.danville.va.gov/services/SURGERY_SERVICE.ASP</v>
      </c>
      <c r="E1444" s="8" t="s">
        <v>392</v>
      </c>
    </row>
    <row r="1445" ht="14.25" hidden="1" customHeight="1">
      <c r="A1445" s="8" t="s">
        <v>1505</v>
      </c>
      <c r="B1445" s="8" t="s">
        <v>1521</v>
      </c>
      <c r="D1445" s="121" t="str">
        <f>HYPERLINK("http://www.danville.va.gov/services/THERAPEUTIC_SUPPORTED_EMPLOYMENT_SERVICES_TSES_PROGRAM.ASP")</f>
        <v>http://www.danville.va.gov/services/THERAPEUTIC_SUPPORTED_EMPLOYMENT_SERVICES_TSES_PROGRAM.ASP</v>
      </c>
      <c r="E1445" s="8" t="s">
        <v>392</v>
      </c>
    </row>
    <row r="1446" ht="14.25" hidden="1" customHeight="1">
      <c r="A1446" s="8" t="s">
        <v>1505</v>
      </c>
      <c r="B1446" s="8" t="s">
        <v>1522</v>
      </c>
      <c r="D1446" s="121" t="str">
        <f>HYPERLINK("http://www.danville.va.gov/services/VAIHCS_MEDICAL_FOSTER_HOME_PROGRAM.ASP")</f>
        <v>http://www.danville.va.gov/services/VAIHCS_MEDICAL_FOSTER_HOME_PROGRAM.ASP</v>
      </c>
      <c r="E1446" s="8" t="s">
        <v>392</v>
      </c>
    </row>
    <row r="1447" ht="14.25" hidden="1" customHeight="1">
      <c r="A1447" s="8" t="s">
        <v>1505</v>
      </c>
      <c r="B1447" s="8" t="s">
        <v>1523</v>
      </c>
      <c r="D1447" s="121" t="str">
        <f>HYPERLINK("http://www.danville.va.gov/services/WOMENS_VETERAN_PROGRAM.ASP")</f>
        <v>http://www.danville.va.gov/services/WOMENS_VETERAN_PROGRAM.ASP</v>
      </c>
      <c r="E1447" s="8" t="s">
        <v>392</v>
      </c>
    </row>
    <row r="1448" ht="14.25" hidden="1" customHeight="1">
      <c r="A1448" s="8" t="s">
        <v>1524</v>
      </c>
      <c r="B1448" s="8" t="s">
        <v>475</v>
      </c>
      <c r="D1448" s="121" t="str">
        <f>HYPERLINK("http://www.dayton.va.gov/services/ADMISSIONS.ASP")</f>
        <v>http://www.dayton.va.gov/services/ADMISSIONS.ASP</v>
      </c>
      <c r="E1448" s="8" t="s">
        <v>392</v>
      </c>
    </row>
    <row r="1449" ht="14.25" hidden="1" customHeight="1">
      <c r="A1449" s="8" t="s">
        <v>1524</v>
      </c>
      <c r="B1449" s="8" t="s">
        <v>576</v>
      </c>
      <c r="D1449" s="121" t="str">
        <f>HYPERLINK("http://www.dayton.va.gov/services/ADVANCED_LOW_VISION_CLINIC.ASP")</f>
        <v>http://www.dayton.va.gov/services/ADVANCED_LOW_VISION_CLINIC.ASP</v>
      </c>
      <c r="E1449" s="8" t="s">
        <v>392</v>
      </c>
    </row>
    <row r="1450" ht="14.25" hidden="1" customHeight="1">
      <c r="A1450" s="8" t="s">
        <v>1524</v>
      </c>
      <c r="B1450" s="8" t="s">
        <v>626</v>
      </c>
      <c r="D1450" s="121" t="str">
        <f>HYPERLINK("http://www.dayton.va.gov/services/AMERICAN_LEGION.ASP")</f>
        <v>http://www.dayton.va.gov/services/AMERICAN_LEGION.ASP</v>
      </c>
      <c r="E1450" s="8" t="s">
        <v>392</v>
      </c>
    </row>
    <row r="1451" ht="14.25" hidden="1" customHeight="1">
      <c r="A1451" s="8" t="s">
        <v>1524</v>
      </c>
      <c r="B1451" s="8" t="s">
        <v>1525</v>
      </c>
      <c r="D1451" s="121" t="str">
        <f>HYPERLINK("http://www.dayton.va.gov/services/ANESTHESIA.ASP")</f>
        <v>http://www.dayton.va.gov/services/ANESTHESIA.ASP</v>
      </c>
      <c r="E1451" s="8" t="s">
        <v>392</v>
      </c>
    </row>
    <row r="1452" ht="14.25" hidden="1" customHeight="1">
      <c r="A1452" s="8" t="s">
        <v>1524</v>
      </c>
      <c r="B1452" s="8" t="s">
        <v>1526</v>
      </c>
      <c r="D1452" s="121" t="str">
        <f>HYPERLINK("http://www.dayton.va.gov/services/ANTICOAGULATION_CLINIC.ASP")</f>
        <v>http://www.dayton.va.gov/services/ANTICOAGULATION_CLINIC.ASP</v>
      </c>
      <c r="E1452" s="8" t="s">
        <v>392</v>
      </c>
    </row>
    <row r="1453" ht="14.25" hidden="1" customHeight="1">
      <c r="A1453" s="8" t="s">
        <v>1524</v>
      </c>
      <c r="B1453" s="8" t="s">
        <v>1527</v>
      </c>
      <c r="D1453" s="121" t="str">
        <f>HYPERLINK("http://www.dayton.va.gov/services/AUDIOLOGY_HEARING.ASP")</f>
        <v>http://www.dayton.va.gov/services/AUDIOLOGY_HEARING.ASP</v>
      </c>
      <c r="E1453" s="8" t="s">
        <v>392</v>
      </c>
    </row>
    <row r="1454" ht="14.25" hidden="1" customHeight="1">
      <c r="A1454" s="8" t="s">
        <v>1524</v>
      </c>
      <c r="B1454" s="8" t="s">
        <v>1528</v>
      </c>
      <c r="D1454" s="121" t="str">
        <f>HYPERLINK("http://www.dayton.va.gov/services/BIO_ENGINEERING.ASP")</f>
        <v>http://www.dayton.va.gov/services/BIO_ENGINEERING.ASP</v>
      </c>
      <c r="E1454" s="8" t="s">
        <v>392</v>
      </c>
    </row>
    <row r="1455" ht="14.25" hidden="1" customHeight="1">
      <c r="A1455" s="8" t="s">
        <v>1524</v>
      </c>
      <c r="B1455" s="8" t="s">
        <v>862</v>
      </c>
      <c r="D1455" s="121" t="str">
        <f>HYPERLINK("http://www.dayton.va.gov/services/BLIND_REHABILITATION.ASP")</f>
        <v>http://www.dayton.va.gov/services/BLIND_REHABILITATION.ASP</v>
      </c>
      <c r="E1455" s="8" t="s">
        <v>392</v>
      </c>
    </row>
    <row r="1456" ht="14.25" hidden="1" customHeight="1">
      <c r="A1456" s="8" t="s">
        <v>1524</v>
      </c>
      <c r="B1456" s="8" t="s">
        <v>1529</v>
      </c>
      <c r="D1456" s="121" t="str">
        <f>HYPERLINK("http://www.dayton.va.gov/services/PRIMARY_CARE_BLUE_TEAM.ASP")</f>
        <v>http://www.dayton.va.gov/services/PRIMARY_CARE_BLUE_TEAM.ASP</v>
      </c>
      <c r="E1456" s="8" t="s">
        <v>392</v>
      </c>
    </row>
    <row r="1457" ht="14.25" hidden="1" customHeight="1">
      <c r="A1457" s="8" t="s">
        <v>1524</v>
      </c>
      <c r="B1457" s="8" t="s">
        <v>1530</v>
      </c>
      <c r="D1457" s="121" t="str">
        <f>HYPERLINK("http://www.dayton.va.gov/services/CAT_SCAN.ASP")</f>
        <v>http://www.dayton.va.gov/services/CAT_SCAN.ASP</v>
      </c>
      <c r="E1457" s="8" t="s">
        <v>392</v>
      </c>
    </row>
    <row r="1458" ht="14.25" hidden="1" customHeight="1">
      <c r="A1458" s="8" t="s">
        <v>1524</v>
      </c>
      <c r="B1458" s="8" t="s">
        <v>1531</v>
      </c>
      <c r="D1458" s="121" t="str">
        <f>HYPERLINK("http://www.dayton.va.gov/services/CANTEEN.ASP")</f>
        <v>http://www.dayton.va.gov/services/CANTEEN.ASP</v>
      </c>
      <c r="E1458" s="8" t="s">
        <v>392</v>
      </c>
    </row>
    <row r="1459" ht="14.25" hidden="1" customHeight="1">
      <c r="A1459" s="8" t="s">
        <v>1524</v>
      </c>
      <c r="B1459" s="8" t="s">
        <v>1532</v>
      </c>
      <c r="D1459" s="121" t="str">
        <f>HYPERLINK("http://www.dayton.va.gov/services/BARBERSHOP_SERVICES.ASP")</f>
        <v>http://www.dayton.va.gov/services/BARBERSHOP_SERVICES.ASP</v>
      </c>
      <c r="E1459" s="8" t="s">
        <v>392</v>
      </c>
    </row>
    <row r="1460" ht="14.25" hidden="1" customHeight="1">
      <c r="A1460" s="8" t="s">
        <v>1524</v>
      </c>
      <c r="B1460" s="8" t="s">
        <v>414</v>
      </c>
      <c r="D1460" s="121" t="str">
        <f>HYPERLINK("http://www.dayton.va.gov/services/PACEMAKER_CLINIC.ASP")</f>
        <v>http://www.dayton.va.gov/services/PACEMAKER_CLINIC.ASP</v>
      </c>
      <c r="E1460" s="8" t="s">
        <v>392</v>
      </c>
    </row>
    <row r="1461" ht="14.25" hidden="1" customHeight="1">
      <c r="A1461" s="8" t="s">
        <v>1524</v>
      </c>
      <c r="B1461" s="8" t="s">
        <v>1533</v>
      </c>
      <c r="D1461" s="121" t="str">
        <f>HYPERLINK("http://www.dayton.va.gov/services/CAREGIVER_SUPPORT_PROGRAM_CSP.ASP")</f>
        <v>http://www.dayton.va.gov/services/CAREGIVER_SUPPORT_PROGRAM_CSP.ASP</v>
      </c>
      <c r="E1461" s="8" t="s">
        <v>392</v>
      </c>
    </row>
    <row r="1462" ht="14.25" hidden="1" customHeight="1">
      <c r="A1462" s="8" t="s">
        <v>1524</v>
      </c>
      <c r="B1462" s="8" t="s">
        <v>1534</v>
      </c>
      <c r="D1462" s="121" t="str">
        <f>HYPERLINK("http://www.dayton.va.gov/services/CATH_LAB_HEART_CATH.ASP")</f>
        <v>http://www.dayton.va.gov/services/CATH_LAB_HEART_CATH.ASP</v>
      </c>
      <c r="E1462" s="8" t="s">
        <v>392</v>
      </c>
    </row>
    <row r="1463" ht="14.25" hidden="1" customHeight="1">
      <c r="A1463" s="8" t="s">
        <v>1524</v>
      </c>
      <c r="B1463" s="8" t="s">
        <v>1535</v>
      </c>
      <c r="D1463" s="121" t="str">
        <f>HYPERLINK("http://www.dayton.va.gov/services/CEMETERY.ASP")</f>
        <v>http://www.dayton.va.gov/services/CEMETERY.ASP</v>
      </c>
      <c r="E1463" s="8" t="s">
        <v>392</v>
      </c>
    </row>
    <row r="1464" ht="14.25" hidden="1" customHeight="1">
      <c r="A1464" s="8" t="s">
        <v>1524</v>
      </c>
      <c r="B1464" s="8" t="s">
        <v>478</v>
      </c>
      <c r="D1464" s="121" t="str">
        <f>HYPERLINK("http://www.dayton.va.gov/services/CHAPLAIN_SERVICE.ASP")</f>
        <v>http://www.dayton.va.gov/services/CHAPLAIN_SERVICE.ASP</v>
      </c>
      <c r="E1464" s="8" t="s">
        <v>392</v>
      </c>
    </row>
    <row r="1465" ht="14.25" hidden="1" customHeight="1">
      <c r="A1465" s="8" t="s">
        <v>1524</v>
      </c>
      <c r="B1465" s="8" t="s">
        <v>1536</v>
      </c>
      <c r="D1465" s="121" t="str">
        <f>HYPERLINK("http://www.dayton.va.gov/services/CHILD_CARE_SERVICES.ASP")</f>
        <v>http://www.dayton.va.gov/services/CHILD_CARE_SERVICES.ASP</v>
      </c>
      <c r="E1465" s="8" t="s">
        <v>392</v>
      </c>
    </row>
    <row r="1466" ht="14.25" hidden="1" customHeight="1">
      <c r="A1466" s="8" t="s">
        <v>1524</v>
      </c>
      <c r="B1466" s="8" t="s">
        <v>1537</v>
      </c>
      <c r="D1466" s="121" t="str">
        <f>HYPERLINK("http://www.dayton.va.gov/services/CHIROPRACTOR.ASP")</f>
        <v>http://www.dayton.va.gov/services/CHIROPRACTOR.ASP</v>
      </c>
      <c r="E1466" s="8" t="s">
        <v>392</v>
      </c>
    </row>
    <row r="1467" ht="14.25" hidden="1" customHeight="1">
      <c r="A1467" s="8" t="s">
        <v>1524</v>
      </c>
      <c r="B1467" s="8" t="s">
        <v>1538</v>
      </c>
      <c r="D1467" s="121" t="str">
        <f>HYPERLINK("http://www.dayton.va.gov/services/COLORECTAL_CANCER_SCREENING.ASP")</f>
        <v>http://www.dayton.va.gov/services/COLORECTAL_CANCER_SCREENING.ASP</v>
      </c>
      <c r="E1467" s="8" t="s">
        <v>392</v>
      </c>
    </row>
    <row r="1468" ht="14.25" hidden="1" customHeight="1">
      <c r="A1468" s="8" t="s">
        <v>1524</v>
      </c>
      <c r="B1468" s="8" t="s">
        <v>580</v>
      </c>
      <c r="D1468" s="121" t="str">
        <f>HYPERLINK("http://www.dayton.va.gov/services/COMMUNITY_BASED_OUTPATIENT_CLINICS.ASP")</f>
        <v>http://www.dayton.va.gov/services/COMMUNITY_BASED_OUTPATIENT_CLINICS.ASP</v>
      </c>
      <c r="E1468" s="8" t="s">
        <v>392</v>
      </c>
    </row>
    <row r="1469" ht="14.25" hidden="1" customHeight="1">
      <c r="A1469" s="8" t="s">
        <v>1524</v>
      </c>
      <c r="B1469" s="8" t="s">
        <v>1539</v>
      </c>
      <c r="D1469" s="121" t="str">
        <f>HYPERLINK("http://www.dayton.va.gov/services/COMMUNITY_HEALTH_NURSING_COORDINATORS_CHNC.ASP")</f>
        <v>http://www.dayton.va.gov/services/COMMUNITY_HEALTH_NURSING_COORDINATORS_CHNC.ASP</v>
      </c>
      <c r="E1469" s="8" t="s">
        <v>392</v>
      </c>
    </row>
    <row r="1470" ht="14.25" hidden="1" customHeight="1">
      <c r="A1470" s="8" t="s">
        <v>1524</v>
      </c>
      <c r="B1470" s="8" t="s">
        <v>1540</v>
      </c>
      <c r="D1470" s="121" t="str">
        <f>HYPERLINK("http://www.dayton.va.gov/services/COMMUNITY_OUTREACH.ASP")</f>
        <v>http://www.dayton.va.gov/services/COMMUNITY_OUTREACH.ASP</v>
      </c>
      <c r="E1470" s="8" t="s">
        <v>392</v>
      </c>
    </row>
    <row r="1471" ht="14.25" hidden="1" customHeight="1">
      <c r="A1471" s="8" t="s">
        <v>1524</v>
      </c>
      <c r="B1471" s="8" t="s">
        <v>1541</v>
      </c>
      <c r="D1471" s="121" t="str">
        <f>HYPERLINK("http://www.dayton.va.gov/services/COMMUNITY_RESIDENTIAL_CARE_CRC.ASP")</f>
        <v>http://www.dayton.va.gov/services/COMMUNITY_RESIDENTIAL_CARE_CRC.ASP</v>
      </c>
      <c r="E1471" s="8" t="s">
        <v>392</v>
      </c>
    </row>
    <row r="1472" ht="14.25" hidden="1" customHeight="1">
      <c r="A1472" s="8" t="s">
        <v>1524</v>
      </c>
      <c r="B1472" s="8" t="s">
        <v>645</v>
      </c>
      <c r="D1472" s="121" t="str">
        <f>HYPERLINK("http://www.dayton.va.gov/services/COMPENSATED_WORK_THERAPY_CWT.ASP")</f>
        <v>http://www.dayton.va.gov/services/COMPENSATED_WORK_THERAPY_CWT.ASP</v>
      </c>
      <c r="E1472" s="8" t="s">
        <v>392</v>
      </c>
    </row>
    <row r="1473" ht="14.25" hidden="1" customHeight="1">
      <c r="A1473" s="8" t="s">
        <v>1524</v>
      </c>
      <c r="B1473" s="8" t="s">
        <v>1542</v>
      </c>
      <c r="D1473" s="121" t="str">
        <f>HYPERLINK("http://www.dayton.va.gov/services/COMPENSATION_PENSION_EXAMS.ASP")</f>
        <v>http://www.dayton.va.gov/services/COMPENSATION_PENSION_EXAMS.ASP</v>
      </c>
      <c r="E1473" s="8" t="s">
        <v>392</v>
      </c>
    </row>
    <row r="1474" ht="14.25" hidden="1" customHeight="1">
      <c r="A1474" s="8" t="s">
        <v>1524</v>
      </c>
      <c r="B1474" s="8" t="s">
        <v>583</v>
      </c>
      <c r="D1474" s="121" t="str">
        <f>HYPERLINK("http://www.dayton.va.gov/services/CONTRACT_NURSING_HOME_PROGRAM.ASP")</f>
        <v>http://www.dayton.va.gov/services/CONTRACT_NURSING_HOME_PROGRAM.ASP</v>
      </c>
      <c r="E1474" s="8" t="s">
        <v>392</v>
      </c>
    </row>
    <row r="1475" ht="14.25" hidden="1" customHeight="1">
      <c r="A1475" s="8" t="s">
        <v>1524</v>
      </c>
      <c r="B1475" s="8" t="s">
        <v>1543</v>
      </c>
      <c r="D1475" s="121" t="str">
        <f>HYPERLINK("http://www.dayton.va.gov/services/DAY_AIR_CREDIT_UNION.ASP")</f>
        <v>http://www.dayton.va.gov/services/DAY_AIR_CREDIT_UNION.ASP</v>
      </c>
      <c r="E1475" s="8" t="s">
        <v>392</v>
      </c>
    </row>
    <row r="1476" ht="14.25" hidden="1" customHeight="1">
      <c r="A1476" s="8" t="s">
        <v>1524</v>
      </c>
      <c r="B1476" s="8" t="s">
        <v>483</v>
      </c>
      <c r="D1476" s="121" t="str">
        <f>HYPERLINK("http://www.dayton.va.gov/services/DECEDENT_AFFAIRS.ASP")</f>
        <v>http://www.dayton.va.gov/services/DECEDENT_AFFAIRS.ASP</v>
      </c>
      <c r="E1476" s="8" t="s">
        <v>392</v>
      </c>
    </row>
    <row r="1477" ht="14.25" hidden="1" customHeight="1">
      <c r="A1477" s="8" t="s">
        <v>1524</v>
      </c>
      <c r="B1477" s="8" t="s">
        <v>513</v>
      </c>
      <c r="D1477" s="121" t="str">
        <f>HYPERLINK("http://www.dayton.va.gov/services/DENTAL_CLINIC.ASP")</f>
        <v>http://www.dayton.va.gov/services/DENTAL_CLINIC.ASP</v>
      </c>
      <c r="E1477" s="8" t="s">
        <v>392</v>
      </c>
    </row>
    <row r="1478" ht="14.25" hidden="1" customHeight="1">
      <c r="A1478" s="8" t="s">
        <v>1524</v>
      </c>
      <c r="B1478" s="8" t="s">
        <v>517</v>
      </c>
      <c r="D1478" s="121" t="str">
        <f>HYPERLINK("http://www.dayton.va.gov/services/DERMATOLOGY.ASP")</f>
        <v>http://www.dayton.va.gov/services/DERMATOLOGY.ASP</v>
      </c>
      <c r="E1478" s="8" t="s">
        <v>392</v>
      </c>
    </row>
    <row r="1479" ht="14.25" hidden="1" customHeight="1">
      <c r="A1479" s="8" t="s">
        <v>1524</v>
      </c>
      <c r="B1479" s="8" t="s">
        <v>1544</v>
      </c>
      <c r="D1479" s="121" t="str">
        <f>HYPERLINK("http://www.dayton.va.gov/services/DIABETES_NURSE.ASP")</f>
        <v>http://www.dayton.va.gov/services/DIABETES_NURSE.ASP</v>
      </c>
      <c r="E1479" s="8" t="s">
        <v>392</v>
      </c>
    </row>
    <row r="1480" ht="14.25" hidden="1" customHeight="1">
      <c r="A1480" s="8" t="s">
        <v>1524</v>
      </c>
      <c r="B1480" s="8" t="s">
        <v>1545</v>
      </c>
      <c r="D1480" s="121" t="str">
        <f>HYPERLINK("http://www.dayton.va.gov/services/DIABETIC_EDUCATION_PROGRAM.ASP")</f>
        <v>http://www.dayton.va.gov/services/DIABETIC_EDUCATION_PROGRAM.ASP</v>
      </c>
      <c r="E1480" s="8" t="s">
        <v>392</v>
      </c>
    </row>
    <row r="1481" ht="14.25" hidden="1" customHeight="1">
      <c r="A1481" s="8" t="s">
        <v>1524</v>
      </c>
      <c r="B1481" s="8" t="s">
        <v>1546</v>
      </c>
      <c r="D1481" s="121" t="str">
        <f>HYPERLINK("http://www.dayton.va.gov/services/DISABLED_AMERICAN_VETERANS_DAV.ASP")</f>
        <v>http://www.dayton.va.gov/services/DISABLED_AMERICAN_VETERANS_DAV.ASP</v>
      </c>
      <c r="E1481" s="8" t="s">
        <v>392</v>
      </c>
    </row>
    <row r="1482" ht="14.25" hidden="1" customHeight="1">
      <c r="A1482" s="8" t="s">
        <v>1524</v>
      </c>
      <c r="B1482" s="8" t="s">
        <v>875</v>
      </c>
      <c r="D1482" s="121" t="str">
        <f>HYPERLINK("http://www.dayton.va.gov/services/DOMICILIARY.ASP")</f>
        <v>http://www.dayton.va.gov/services/DOMICILIARY.ASP</v>
      </c>
      <c r="E1482" s="8" t="s">
        <v>392</v>
      </c>
    </row>
    <row r="1483" ht="14.25" hidden="1" customHeight="1">
      <c r="A1483" s="8" t="s">
        <v>1524</v>
      </c>
      <c r="B1483" s="8" t="s">
        <v>1547</v>
      </c>
      <c r="D1483" s="121" t="str">
        <f>HYPERLINK("http://www.dayton.va.gov/services/DOMICILIARY_PROGRAM_FOR_HOMELESS_VETERANS_DCHV.ASP")</f>
        <v>http://www.dayton.va.gov/services/DOMICILIARY_PROGRAM_FOR_HOMELESS_VETERANS_DCHV.ASP</v>
      </c>
      <c r="E1483" s="8" t="s">
        <v>392</v>
      </c>
    </row>
    <row r="1484" ht="14.25" hidden="1" customHeight="1">
      <c r="A1484" s="8" t="s">
        <v>1524</v>
      </c>
      <c r="B1484" s="8" t="s">
        <v>1548</v>
      </c>
      <c r="D1484" s="121" t="str">
        <f>HYPERLINK("http://www.dayton.va.gov/services/DUAL_DIAGNOSIS_PROGRAM_DDP.ASP")</f>
        <v>http://www.dayton.va.gov/services/DUAL_DIAGNOSIS_PROGRAM_DDP.ASP</v>
      </c>
      <c r="E1484" s="8" t="s">
        <v>392</v>
      </c>
    </row>
    <row r="1485" ht="14.25" hidden="1" customHeight="1">
      <c r="A1485" s="8" t="s">
        <v>1524</v>
      </c>
      <c r="B1485" s="8" t="s">
        <v>1549</v>
      </c>
      <c r="D1485" s="121" t="str">
        <f>HYPERLINK("http://www.dayton.va.gov/services/EBENEFITS.ASP")</f>
        <v>http://www.dayton.va.gov/services/EBENEFITS.ASP</v>
      </c>
      <c r="E1485" s="8" t="s">
        <v>392</v>
      </c>
    </row>
    <row r="1486" ht="14.25" hidden="1" customHeight="1">
      <c r="A1486" s="8" t="s">
        <v>1524</v>
      </c>
      <c r="B1486" s="8" t="s">
        <v>1550</v>
      </c>
      <c r="D1486" s="121" t="str">
        <f>HYPERLINK("http://www.dayton.va.gov/services/ECHO.ASP")</f>
        <v>http://www.dayton.va.gov/services/ECHO.ASP</v>
      </c>
      <c r="E1486" s="8" t="s">
        <v>392</v>
      </c>
    </row>
    <row r="1487" ht="14.25" hidden="1" customHeight="1">
      <c r="A1487" s="8" t="s">
        <v>1524</v>
      </c>
      <c r="B1487" s="8" t="s">
        <v>1551</v>
      </c>
      <c r="D1487" s="121" t="str">
        <f>HYPERLINK("http://www.dayton.va.gov/services/EAR_NOSE_THROAT_ENT.ASP")</f>
        <v>http://www.dayton.va.gov/services/EAR_NOSE_THROAT_ENT.ASP</v>
      </c>
      <c r="E1487" s="8" t="s">
        <v>392</v>
      </c>
    </row>
    <row r="1488" ht="14.25" hidden="1" customHeight="1">
      <c r="A1488" s="8" t="s">
        <v>1524</v>
      </c>
      <c r="B1488" s="8" t="s">
        <v>1552</v>
      </c>
      <c r="D1488" s="121" t="str">
        <f>HYPERLINK("http://www.dayton.va.gov/services/ELIGIBILITY_MEANS_TEST.ASP")</f>
        <v>http://www.dayton.va.gov/services/ELIGIBILITY_MEANS_TEST.ASP</v>
      </c>
      <c r="E1488" s="8" t="s">
        <v>392</v>
      </c>
    </row>
    <row r="1489" ht="14.25" hidden="1" customHeight="1">
      <c r="A1489" s="8" t="s">
        <v>1524</v>
      </c>
      <c r="B1489" s="8" t="s">
        <v>1553</v>
      </c>
      <c r="D1489" s="121" t="str">
        <f>HYPERLINK("http://www.dayton.va.gov/services/ELIGIBILITY.ASP")</f>
        <v>http://www.dayton.va.gov/services/ELIGIBILITY.ASP</v>
      </c>
      <c r="E1489" s="8" t="s">
        <v>392</v>
      </c>
    </row>
    <row r="1490" ht="14.25" hidden="1" customHeight="1">
      <c r="A1490" s="8" t="s">
        <v>1524</v>
      </c>
      <c r="B1490" s="8" t="s">
        <v>308</v>
      </c>
      <c r="D1490" s="121" t="str">
        <f>HYPERLINK("http://www.dayton.va.gov/services/EMERGENCY_DEPARTMENT.ASP")</f>
        <v>http://www.dayton.va.gov/services/EMERGENCY_DEPARTMENT.ASP</v>
      </c>
      <c r="E1490" s="8" t="s">
        <v>392</v>
      </c>
    </row>
    <row r="1491" ht="14.25" hidden="1" customHeight="1">
      <c r="A1491" s="8" t="s">
        <v>1524</v>
      </c>
      <c r="B1491" s="8" t="s">
        <v>1554</v>
      </c>
      <c r="D1491" s="121" t="str">
        <f>HYPERLINK("http://www.dayton.va.gov/services/EMPLOYEE_HEALTH.ASP")</f>
        <v>http://www.dayton.va.gov/services/EMPLOYEE_HEALTH.ASP</v>
      </c>
      <c r="E1491" s="8" t="s">
        <v>392</v>
      </c>
    </row>
    <row r="1492" ht="14.25" hidden="1" customHeight="1">
      <c r="A1492" s="8" t="s">
        <v>1524</v>
      </c>
      <c r="B1492" s="8" t="s">
        <v>1555</v>
      </c>
      <c r="D1492" s="121" t="str">
        <f>HYPERLINK("http://www.dayton.va.gov/services/ENDOCRINOLOGY_HORMONES.ASP")</f>
        <v>http://www.dayton.va.gov/services/ENDOCRINOLOGY_HORMONES.ASP</v>
      </c>
      <c r="E1492" s="8" t="s">
        <v>392</v>
      </c>
    </row>
    <row r="1493" ht="14.25" hidden="1" customHeight="1">
      <c r="A1493" s="8" t="s">
        <v>1524</v>
      </c>
      <c r="B1493" s="8" t="s">
        <v>1556</v>
      </c>
      <c r="D1493" s="121" t="str">
        <f>HYPERLINK("http://www.dayton.va.gov/services/ENVIRONMENTAL_HEALTH_PROGRAM.ASP")</f>
        <v>http://www.dayton.va.gov/services/ENVIRONMENTAL_HEALTH_PROGRAM.ASP</v>
      </c>
      <c r="E1493" s="8" t="s">
        <v>392</v>
      </c>
    </row>
    <row r="1494" ht="14.25" hidden="1" customHeight="1">
      <c r="A1494" s="8" t="s">
        <v>1524</v>
      </c>
      <c r="B1494" s="8" t="s">
        <v>719</v>
      </c>
      <c r="D1494" s="121" t="str">
        <f>HYPERLINK("http://www.dayton.va.gov/services/EYE_CLINIC.ASP")</f>
        <v>http://www.dayton.va.gov/services/EYE_CLINIC.ASP</v>
      </c>
      <c r="E1494" s="8" t="s">
        <v>392</v>
      </c>
    </row>
    <row r="1495" ht="14.25" hidden="1" customHeight="1">
      <c r="A1495" s="8" t="s">
        <v>1524</v>
      </c>
      <c r="B1495" s="8" t="s">
        <v>585</v>
      </c>
      <c r="D1495" s="121" t="str">
        <f>HYPERLINK("http://www.dayton.va.gov/services/FAMILY_SERVICES_PROGRAM.ASP")</f>
        <v>http://www.dayton.va.gov/services/FAMILY_SERVICES_PROGRAM.ASP</v>
      </c>
      <c r="E1495" s="8" t="s">
        <v>392</v>
      </c>
    </row>
    <row r="1496" ht="14.25" hidden="1" customHeight="1">
      <c r="A1496" s="8" t="s">
        <v>1524</v>
      </c>
      <c r="B1496" s="8" t="s">
        <v>1344</v>
      </c>
      <c r="D1496" s="121" t="str">
        <f>HYPERLINK("http://www.dayton.va.gov/services/FISHER_HOUSE.ASP")</f>
        <v>http://www.dayton.va.gov/services/FISHER_HOUSE.ASP</v>
      </c>
      <c r="E1496" s="8" t="s">
        <v>392</v>
      </c>
    </row>
    <row r="1497" ht="14.25" hidden="1" customHeight="1">
      <c r="A1497" s="8" t="s">
        <v>1524</v>
      </c>
      <c r="B1497" s="8" t="s">
        <v>486</v>
      </c>
      <c r="D1497" s="121" t="str">
        <f>HYPERLINK("http://www.dayton.va.gov/services/FORMER_PRISONER_OF_WAR_ADVOCATE.ASP")</f>
        <v>http://www.dayton.va.gov/services/FORMER_PRISONER_OF_WAR_ADVOCATE.ASP</v>
      </c>
      <c r="E1497" s="8" t="s">
        <v>392</v>
      </c>
    </row>
    <row r="1498" ht="14.25" hidden="1" customHeight="1">
      <c r="A1498" s="8" t="s">
        <v>1524</v>
      </c>
      <c r="B1498" s="8" t="s">
        <v>1557</v>
      </c>
      <c r="D1498" s="121" t="str">
        <f>HYPERLINK("http://www.dayton.va.gov/services/GI_CLINIC_GASTROENTEROLOGY.ASP")</f>
        <v>http://www.dayton.va.gov/services/GI_CLINIC_GASTROENTEROLOGY.ASP</v>
      </c>
      <c r="E1498" s="8" t="s">
        <v>392</v>
      </c>
    </row>
    <row r="1499" ht="14.25" hidden="1" customHeight="1">
      <c r="A1499" s="8" t="s">
        <v>1524</v>
      </c>
      <c r="B1499" s="8" t="s">
        <v>1138</v>
      </c>
      <c r="D1499" s="121" t="str">
        <f>HYPERLINK("http://www.dayton.va.gov/services/PROCTO_CLINIC_GI.ASP")</f>
        <v>http://www.dayton.va.gov/services/PROCTO_CLINIC_GI.ASP</v>
      </c>
      <c r="E1499" s="8" t="s">
        <v>392</v>
      </c>
    </row>
    <row r="1500" ht="14.25" hidden="1" customHeight="1">
      <c r="A1500" s="8" t="s">
        <v>1524</v>
      </c>
      <c r="B1500" s="8" t="s">
        <v>1558</v>
      </c>
      <c r="D1500" s="121" t="str">
        <f>HYPERLINK("http://www.dayton.va.gov/services/PRIMARY_CARE_GOLD_TEAM.ASP")</f>
        <v>http://www.dayton.va.gov/services/PRIMARY_CARE_GOLD_TEAM.ASP</v>
      </c>
      <c r="E1500" s="8" t="s">
        <v>392</v>
      </c>
    </row>
    <row r="1501" ht="14.25" hidden="1" customHeight="1">
      <c r="A1501" s="8" t="s">
        <v>1524</v>
      </c>
      <c r="B1501" s="8" t="s">
        <v>1559</v>
      </c>
      <c r="D1501" s="121" t="str">
        <f>HYPERLINK("http://www.dayton.va.gov/services/GRANT_PER_DIEM_PROGRAM.ASP")</f>
        <v>http://www.dayton.va.gov/services/GRANT_PER_DIEM_PROGRAM.ASP</v>
      </c>
      <c r="E1501" s="8" t="s">
        <v>392</v>
      </c>
    </row>
    <row r="1502" ht="14.25" hidden="1" customHeight="1">
      <c r="A1502" s="8" t="s">
        <v>1524</v>
      </c>
      <c r="B1502" s="8" t="s">
        <v>1560</v>
      </c>
      <c r="D1502" s="121" t="str">
        <f>HYPERLINK("http://www.dayton.va.gov/services/PRIMARY_CARE_GREEN_TEAM.ASP")</f>
        <v>http://www.dayton.va.gov/services/PRIMARY_CARE_GREEN_TEAM.ASP</v>
      </c>
      <c r="E1502" s="8" t="s">
        <v>392</v>
      </c>
    </row>
    <row r="1503" ht="14.25" hidden="1" customHeight="1">
      <c r="A1503" s="8" t="s">
        <v>1524</v>
      </c>
      <c r="B1503" s="8" t="s">
        <v>1055</v>
      </c>
      <c r="D1503" s="121" t="str">
        <f>HYPERLINK("http://www.dayton.va.gov/services/HUD_VASH_PROGRAM.ASP")</f>
        <v>http://www.dayton.va.gov/services/HUD_VASH_PROGRAM.ASP</v>
      </c>
      <c r="E1503" s="8" t="s">
        <v>392</v>
      </c>
    </row>
    <row r="1504" ht="14.25" hidden="1" customHeight="1">
      <c r="A1504" s="8" t="s">
        <v>1524</v>
      </c>
      <c r="B1504" s="8" t="s">
        <v>1561</v>
      </c>
      <c r="D1504" s="121" t="str">
        <f>HYPERLINK("http://www.dayton.va.gov/services/HEALTH_CARE_FOR_THE_HOMELESS_VETERANS_HCHV.ASP")</f>
        <v>http://www.dayton.va.gov/services/HEALTH_CARE_FOR_THE_HOMELESS_VETERANS_HCHV.ASP</v>
      </c>
      <c r="E1504" s="8" t="s">
        <v>392</v>
      </c>
    </row>
    <row r="1505" ht="14.25" hidden="1" customHeight="1">
      <c r="A1505" s="8" t="s">
        <v>1524</v>
      </c>
      <c r="B1505" s="8" t="s">
        <v>696</v>
      </c>
      <c r="D1505" s="121" t="str">
        <f>HYPERLINK("http://www.dayton.va.gov/services/HEMATOLOGY_ONCOLOGY.ASP")</f>
        <v>http://www.dayton.va.gov/services/HEMATOLOGY_ONCOLOGY.ASP</v>
      </c>
      <c r="E1505" s="8" t="s">
        <v>392</v>
      </c>
    </row>
    <row r="1506" ht="14.25" hidden="1" customHeight="1">
      <c r="A1506" s="8" t="s">
        <v>1524</v>
      </c>
      <c r="B1506" s="8" t="s">
        <v>1562</v>
      </c>
      <c r="D1506" s="121" t="str">
        <f>HYPERLINK("http://www.dayton.va.gov/services/HEMODIALYSIS_UNIT.ASP")</f>
        <v>http://www.dayton.va.gov/services/HEMODIALYSIS_UNIT.ASP</v>
      </c>
      <c r="E1506" s="8" t="s">
        <v>392</v>
      </c>
    </row>
    <row r="1507" ht="14.25" hidden="1" customHeight="1">
      <c r="A1507" s="8" t="s">
        <v>1524</v>
      </c>
      <c r="B1507" s="8" t="s">
        <v>1058</v>
      </c>
      <c r="D1507" s="121" t="str">
        <f>HYPERLINK("http://www.dayton.va.gov/services/HOME_BASED_PRIMARY_CARE_HBPC.ASP")</f>
        <v>http://www.dayton.va.gov/services/HOME_BASED_PRIMARY_CARE_HBPC.ASP</v>
      </c>
      <c r="E1507" s="8" t="s">
        <v>392</v>
      </c>
    </row>
    <row r="1508" ht="14.25" hidden="1" customHeight="1">
      <c r="A1508" s="8" t="s">
        <v>1524</v>
      </c>
      <c r="B1508" s="8" t="s">
        <v>1230</v>
      </c>
      <c r="D1508" s="121" t="str">
        <f>HYPERLINK("http://www.dayton.va.gov/services/HOSPICE_AND_PALLIATIVE_CARE.ASP")</f>
        <v>http://www.dayton.va.gov/services/HOSPICE_AND_PALLIATIVE_CARE.ASP</v>
      </c>
      <c r="E1508" s="8" t="s">
        <v>392</v>
      </c>
    </row>
    <row r="1509" ht="14.25" hidden="1" customHeight="1">
      <c r="A1509" s="8" t="s">
        <v>1524</v>
      </c>
      <c r="B1509" s="8" t="s">
        <v>1563</v>
      </c>
      <c r="D1509" s="121" t="str">
        <f>HYPERLINK("http://www.dayton.va.gov/services/HOSPITALITY_DESK_FRONT_LOBBY.ASP")</f>
        <v>http://www.dayton.va.gov/services/HOSPITALITY_DESK_FRONT_LOBBY.ASP</v>
      </c>
      <c r="E1509" s="8" t="s">
        <v>392</v>
      </c>
    </row>
    <row r="1510" ht="14.25" hidden="1" customHeight="1">
      <c r="A1510" s="8" t="s">
        <v>1524</v>
      </c>
      <c r="B1510" s="8" t="s">
        <v>1564</v>
      </c>
      <c r="D1510" s="121" t="str">
        <f>HYPERLINK("http://www.dayton.va.gov/services/HUMAN_RESOURCES_MANAGEMENT.ASP")</f>
        <v>http://www.dayton.va.gov/services/HUMAN_RESOURCES_MANAGEMENT.ASP</v>
      </c>
      <c r="E1510" s="8" t="s">
        <v>392</v>
      </c>
    </row>
    <row r="1511" ht="14.25" hidden="1" customHeight="1">
      <c r="A1511" s="8" t="s">
        <v>1524</v>
      </c>
      <c r="B1511" s="8" t="s">
        <v>1565</v>
      </c>
      <c r="D1511" s="121" t="str">
        <f>HYPERLINK("http://www.dayton.va.gov/services/INCENTIVE_THERAPY_IT.ASP")</f>
        <v>http://www.dayton.va.gov/services/INCENTIVE_THERAPY_IT.ASP</v>
      </c>
      <c r="E1511" s="8" t="s">
        <v>392</v>
      </c>
    </row>
    <row r="1512" ht="14.25" hidden="1" customHeight="1">
      <c r="A1512" s="8" t="s">
        <v>1524</v>
      </c>
      <c r="B1512" s="8" t="s">
        <v>1567</v>
      </c>
      <c r="D1512" s="121" t="str">
        <f>HYPERLINK("http://www.dayton.va.gov/services/INFECTION_CONTROL.ASP")</f>
        <v>http://www.dayton.va.gov/services/INFECTION_CONTROL.ASP</v>
      </c>
      <c r="E1512" s="8" t="s">
        <v>392</v>
      </c>
    </row>
    <row r="1513" ht="14.25" hidden="1" customHeight="1">
      <c r="A1513" s="8" t="s">
        <v>1524</v>
      </c>
      <c r="B1513" s="8" t="s">
        <v>1568</v>
      </c>
      <c r="D1513" s="121" t="str">
        <f>HYPERLINK("http://www.dayton.va.gov/services/INPATIENT_REHABILITATION_PROGRAM.ASP")</f>
        <v>http://www.dayton.va.gov/services/INPATIENT_REHABILITATION_PROGRAM.ASP</v>
      </c>
      <c r="E1513" s="8" t="s">
        <v>392</v>
      </c>
    </row>
    <row r="1514" ht="14.25" hidden="1" customHeight="1">
      <c r="A1514" s="8" t="s">
        <v>1524</v>
      </c>
      <c r="B1514" s="8" t="s">
        <v>1569</v>
      </c>
      <c r="D1514" s="121" t="str">
        <f>HYPERLINK("http://www.dayton.va.gov/services/INPATIENT_ROOMS_ICU.ASP")</f>
        <v>http://www.dayton.va.gov/services/INPATIENT_ROOMS_ICU.ASP</v>
      </c>
      <c r="E1514" s="8" t="s">
        <v>392</v>
      </c>
    </row>
    <row r="1515" ht="14.25" hidden="1" customHeight="1">
      <c r="A1515" s="8" t="s">
        <v>1524</v>
      </c>
      <c r="B1515" s="8" t="s">
        <v>1570</v>
      </c>
      <c r="D1515" s="121" t="str">
        <f>HYPERLINK("http://www.dayton.va.gov/services/INPATIENT_ROOMS_PSYCHIATRY.ASP")</f>
        <v>http://www.dayton.va.gov/services/INPATIENT_ROOMS_PSYCHIATRY.ASP</v>
      </c>
      <c r="E1515" s="8" t="s">
        <v>392</v>
      </c>
    </row>
    <row r="1516" ht="14.25" hidden="1" customHeight="1">
      <c r="A1516" s="8" t="s">
        <v>1524</v>
      </c>
      <c r="B1516" s="8" t="s">
        <v>1573</v>
      </c>
      <c r="D1516" s="121" t="str">
        <f>HYPERLINK("http://www.dayton.va.gov/services/INPATIENT_ROOMS_TELEMETRY.ASP")</f>
        <v>http://www.dayton.va.gov/services/INPATIENT_ROOMS_TELEMETRY.ASP</v>
      </c>
      <c r="E1516" s="8" t="s">
        <v>392</v>
      </c>
    </row>
    <row r="1517" ht="14.25" hidden="1" customHeight="1">
      <c r="A1517" s="8" t="s">
        <v>1524</v>
      </c>
      <c r="B1517" s="8" t="s">
        <v>1574</v>
      </c>
      <c r="D1517" s="121" t="str">
        <f>HYPERLINK("http://www.dayton.va.gov/services/INPATIENT_ROOMS_SURG_MED_TELETRY.ASP")</f>
        <v>http://www.dayton.va.gov/services/INPATIENT_ROOMS_SURG_MED_TELETRY.ASP</v>
      </c>
      <c r="E1517" s="8" t="s">
        <v>392</v>
      </c>
    </row>
    <row r="1518" ht="14.25" hidden="1" customHeight="1">
      <c r="A1518" s="8" t="s">
        <v>1524</v>
      </c>
      <c r="B1518" s="8" t="s">
        <v>1575</v>
      </c>
      <c r="D1518" s="121" t="str">
        <f>HYPERLINK("http://www.dayton.va.gov/services/INTERVENTIONAL_RADIOLOGY.ASP")</f>
        <v>http://www.dayton.va.gov/services/INTERVENTIONAL_RADIOLOGY.ASP</v>
      </c>
      <c r="E1518" s="8" t="s">
        <v>392</v>
      </c>
    </row>
    <row r="1519" ht="14.25" hidden="1" customHeight="1">
      <c r="A1519" s="8" t="s">
        <v>1524</v>
      </c>
      <c r="B1519" s="8" t="s">
        <v>1576</v>
      </c>
      <c r="D1519" s="121" t="str">
        <f>HYPERLINK("http://www.dayton.va.gov/services/KENNEDY_WAY.ASP")</f>
        <v>http://www.dayton.va.gov/services/KENNEDY_WAY.ASP</v>
      </c>
      <c r="E1519" s="8" t="s">
        <v>392</v>
      </c>
    </row>
    <row r="1520" ht="14.25" hidden="1" customHeight="1">
      <c r="A1520" s="8" t="s">
        <v>1524</v>
      </c>
      <c r="B1520" s="8" t="s">
        <v>1577</v>
      </c>
      <c r="D1520" s="121" t="str">
        <f>HYPERLINK("http://www.dayton.va.gov/services/KINESIOTHERAPY_CARDIAC_PULMONARY_REHAB.ASP")</f>
        <v>http://www.dayton.va.gov/services/KINESIOTHERAPY_CARDIAC_PULMONARY_REHAB.ASP</v>
      </c>
      <c r="E1520" s="8" t="s">
        <v>392</v>
      </c>
    </row>
    <row r="1521" ht="14.25" hidden="1" customHeight="1">
      <c r="A1521" s="8" t="s">
        <v>1524</v>
      </c>
      <c r="B1521" s="8" t="s">
        <v>1578</v>
      </c>
      <c r="D1521" s="121" t="str">
        <f>HYPERLINK("http://www.dayton.va.gov/services/KINESIOTHERAPY_CLINIC.ASP")</f>
        <v>http://www.dayton.va.gov/services/KINESIOTHERAPY_CLINIC.ASP</v>
      </c>
      <c r="E1521" s="8" t="s">
        <v>392</v>
      </c>
    </row>
    <row r="1522" ht="14.25" hidden="1" customHeight="1">
      <c r="A1522" s="8" t="s">
        <v>1524</v>
      </c>
      <c r="B1522" s="8" t="s">
        <v>1579</v>
      </c>
      <c r="D1522" s="121" t="str">
        <f>HYPERLINK("http://www.dayton.va.gov/services/KINESIOTHERAPY_CLINIC_FITNESS_CENTER.ASP")</f>
        <v>http://www.dayton.va.gov/services/KINESIOTHERAPY_CLINIC_FITNESS_CENTER.ASP</v>
      </c>
      <c r="E1522" s="8" t="s">
        <v>392</v>
      </c>
    </row>
    <row r="1523" ht="14.25" hidden="1" customHeight="1">
      <c r="A1523" s="8" t="s">
        <v>1524</v>
      </c>
      <c r="B1523" s="8" t="s">
        <v>1581</v>
      </c>
      <c r="D1523" s="121" t="str">
        <f>HYPERLINK("http://www.dayton.va.gov/services/LGBT_VETERANS_CARE_COORDINATOR.ASP")</f>
        <v>http://www.dayton.va.gov/services/LGBT_VETERANS_CARE_COORDINATOR.ASP</v>
      </c>
      <c r="E1523" s="8" t="s">
        <v>392</v>
      </c>
    </row>
    <row r="1524" ht="14.25" hidden="1" customHeight="1">
      <c r="A1524" s="8" t="s">
        <v>1524</v>
      </c>
      <c r="B1524" s="8" t="s">
        <v>1583</v>
      </c>
      <c r="D1524" s="121" t="str">
        <f>HYPERLINK("http://www.dayton.va.gov/services/LAB.ASP")</f>
        <v>http://www.dayton.va.gov/services/LAB.ASP</v>
      </c>
      <c r="E1524" s="8" t="s">
        <v>392</v>
      </c>
    </row>
    <row r="1525" ht="14.25" hidden="1" customHeight="1">
      <c r="A1525" s="8" t="s">
        <v>1524</v>
      </c>
      <c r="B1525" s="8" t="s">
        <v>481</v>
      </c>
      <c r="D1525" s="121" t="str">
        <f>HYPERLINK("http://www.dayton.va.gov/services/LIBRARY.ASP")</f>
        <v>http://www.dayton.va.gov/services/LIBRARY.ASP</v>
      </c>
      <c r="E1525" s="8" t="s">
        <v>392</v>
      </c>
    </row>
    <row r="1526" ht="14.25" hidden="1" customHeight="1">
      <c r="A1526" s="8" t="s">
        <v>1524</v>
      </c>
      <c r="B1526" s="8" t="s">
        <v>1588</v>
      </c>
      <c r="D1526" s="121" t="str">
        <f>HYPERLINK("http://www.dayton.va.gov/services/LOGISTICS_SERVICES.ASP")</f>
        <v>http://www.dayton.va.gov/services/LOGISTICS_SERVICES.ASP</v>
      </c>
      <c r="E1526" s="8" t="s">
        <v>392</v>
      </c>
    </row>
    <row r="1527" ht="14.25" hidden="1" customHeight="1">
      <c r="A1527" s="8" t="s">
        <v>1524</v>
      </c>
      <c r="B1527" s="8" t="s">
        <v>1591</v>
      </c>
      <c r="D1527" s="121" t="str">
        <f>HYPERLINK("http://www.dayton.va.gov/services/MOVE.ASP")</f>
        <v>http://www.dayton.va.gov/services/MOVE.ASP</v>
      </c>
      <c r="E1527" s="8" t="s">
        <v>392</v>
      </c>
    </row>
    <row r="1528" ht="14.25" hidden="1" customHeight="1">
      <c r="A1528" s="8" t="s">
        <v>1524</v>
      </c>
      <c r="B1528" s="8" t="s">
        <v>1592</v>
      </c>
      <c r="D1528" s="121" t="str">
        <f>HYPERLINK("http://www.dayton.va.gov/services/MAGNETIC_RESONANCE_IMAGING_MRI.ASP")</f>
        <v>http://www.dayton.va.gov/services/MAGNETIC_RESONANCE_IMAGING_MRI.ASP</v>
      </c>
      <c r="E1528" s="8" t="s">
        <v>392</v>
      </c>
    </row>
    <row r="1529" ht="14.25" hidden="1" customHeight="1">
      <c r="A1529" s="8" t="s">
        <v>1524</v>
      </c>
      <c r="B1529" s="8" t="s">
        <v>442</v>
      </c>
      <c r="D1529" s="121" t="str">
        <f>HYPERLINK("http://www.dayton.va.gov/services/MAMMOGRAPHY.ASP")</f>
        <v>http://www.dayton.va.gov/services/MAMMOGRAPHY.ASP</v>
      </c>
      <c r="E1529" s="8" t="s">
        <v>392</v>
      </c>
    </row>
    <row r="1530" ht="14.25" hidden="1" customHeight="1">
      <c r="A1530" s="8" t="s">
        <v>1524</v>
      </c>
      <c r="B1530" s="8" t="s">
        <v>1594</v>
      </c>
      <c r="D1530" s="121" t="str">
        <f>HYPERLINK("http://www.dayton.va.gov/services/MED_1.ASP")</f>
        <v>http://www.dayton.va.gov/services/MED_1.ASP</v>
      </c>
      <c r="E1530" s="8" t="s">
        <v>392</v>
      </c>
    </row>
    <row r="1531" ht="14.25" hidden="1" customHeight="1">
      <c r="A1531" s="8" t="s">
        <v>1524</v>
      </c>
      <c r="B1531" s="8" t="s">
        <v>476</v>
      </c>
      <c r="D1531" s="121" t="str">
        <f>HYPERLINK("http://www.dayton.va.gov/services/MEDICAL_FOSTER_HOME.ASP")</f>
        <v>http://www.dayton.va.gov/services/MEDICAL_FOSTER_HOME.ASP</v>
      </c>
      <c r="E1531" s="8" t="s">
        <v>392</v>
      </c>
    </row>
    <row r="1532" ht="14.25" hidden="1" customHeight="1">
      <c r="A1532" s="8" t="s">
        <v>1524</v>
      </c>
      <c r="B1532" s="8" t="s">
        <v>1028</v>
      </c>
      <c r="D1532" s="121" t="str">
        <f>HYPERLINK("http://www.dayton.va.gov/services/MEDICAL_MEDIA.ASP")</f>
        <v>http://www.dayton.va.gov/services/MEDICAL_MEDIA.ASP</v>
      </c>
      <c r="E1532" s="8" t="s">
        <v>392</v>
      </c>
    </row>
    <row r="1533" ht="14.25" hidden="1" customHeight="1">
      <c r="A1533" s="8" t="s">
        <v>1524</v>
      </c>
      <c r="B1533" s="8" t="s">
        <v>599</v>
      </c>
      <c r="D1533" s="121" t="str">
        <f>HYPERLINK("http://www.dayton.va.gov/services/MEDICAL_SERVICE.ASP")</f>
        <v>http://www.dayton.va.gov/services/MEDICAL_SERVICE.ASP</v>
      </c>
      <c r="E1533" s="8" t="s">
        <v>392</v>
      </c>
    </row>
    <row r="1534" ht="14.25" hidden="1" customHeight="1">
      <c r="A1534" s="8" t="s">
        <v>1524</v>
      </c>
      <c r="B1534" s="8" t="s">
        <v>323</v>
      </c>
      <c r="D1534" s="121" t="str">
        <f>HYPERLINK("http://www.dayton.va.gov/services/MENTAL_HEALTH_SERVICES.ASP")</f>
        <v>http://www.dayton.va.gov/services/MENTAL_HEALTH_SERVICES.ASP</v>
      </c>
      <c r="E1534" s="8" t="s">
        <v>392</v>
      </c>
    </row>
    <row r="1535" ht="14.25" hidden="1" customHeight="1">
      <c r="A1535" s="8" t="s">
        <v>1524</v>
      </c>
      <c r="B1535" s="8" t="s">
        <v>748</v>
      </c>
      <c r="D1535" s="121" t="str">
        <f>HYPERLINK("http://www.dayton.va.gov/services/MENTAL_HEALTH_CLINIC.ASP")</f>
        <v>http://www.dayton.va.gov/services/MENTAL_HEALTH_CLINIC.ASP</v>
      </c>
      <c r="E1535" s="8" t="s">
        <v>392</v>
      </c>
    </row>
    <row r="1536" ht="14.25" hidden="1" customHeight="1">
      <c r="A1536" s="8" t="s">
        <v>1524</v>
      </c>
      <c r="B1536" s="8" t="s">
        <v>600</v>
      </c>
      <c r="D1536" s="121" t="str">
        <f>HYPERLINK("http://www.dayton.va.gov/services/MENTAL_HEALTH_INTENSIVE_CASE_MANAGEMENT.ASP")</f>
        <v>http://www.dayton.va.gov/services/MENTAL_HEALTH_INTENSIVE_CASE_MANAGEMENT.ASP</v>
      </c>
      <c r="E1536" s="8" t="s">
        <v>392</v>
      </c>
    </row>
    <row r="1537" ht="14.25" hidden="1" customHeight="1">
      <c r="A1537" s="8" t="s">
        <v>1524</v>
      </c>
      <c r="B1537" s="8" t="s">
        <v>1601</v>
      </c>
      <c r="D1537" s="121" t="str">
        <f>HYPERLINK("http://www.dayton.va.gov/services/MENTAL_HEALTH_OUTPATIENT.ASP")</f>
        <v>http://www.dayton.va.gov/services/MENTAL_HEALTH_OUTPATIENT.ASP</v>
      </c>
      <c r="E1537" s="8" t="s">
        <v>392</v>
      </c>
    </row>
    <row r="1538" ht="14.25" hidden="1" customHeight="1">
      <c r="A1538" s="8" t="s">
        <v>1524</v>
      </c>
      <c r="B1538" s="8" t="s">
        <v>1603</v>
      </c>
      <c r="D1538" s="121" t="str">
        <f>HYPERLINK("http://www.dayton.va.gov/services/MENTAL_HEALTH_RESIDENTIAL_REHABILITATION_TREATMENT_PROGRAM.ASP")</f>
        <v>http://www.dayton.va.gov/services/MENTAL_HEALTH_RESIDENTIAL_REHABILITATION_TREATMENT_PROGRAM.ASP</v>
      </c>
      <c r="E1538" s="8" t="s">
        <v>392</v>
      </c>
    </row>
    <row r="1539" ht="14.25" hidden="1" customHeight="1">
      <c r="A1539" s="8" t="s">
        <v>1524</v>
      </c>
      <c r="B1539" s="8" t="s">
        <v>1604</v>
      </c>
      <c r="D1539" s="121" t="str">
        <f>HYPERLINK("http://www.dayton.va.gov/services/MILITARY_SEXUAL_TRAUMA_MST.ASP")</f>
        <v>http://www.dayton.va.gov/services/MILITARY_SEXUAL_TRAUMA_MST.ASP</v>
      </c>
      <c r="E1539" s="8" t="s">
        <v>392</v>
      </c>
    </row>
    <row r="1540" ht="14.25" hidden="1" customHeight="1">
      <c r="A1540" s="8" t="s">
        <v>1524</v>
      </c>
      <c r="B1540" s="8" t="s">
        <v>1607</v>
      </c>
      <c r="D1540" s="121" t="str">
        <f>HYPERLINK("http://www.dayton.va.gov/services/MINORITY_VETERANS.ASP")</f>
        <v>http://www.dayton.va.gov/services/MINORITY_VETERANS.ASP</v>
      </c>
      <c r="E1540" s="8" t="s">
        <v>392</v>
      </c>
    </row>
    <row r="1541" ht="14.25" hidden="1" customHeight="1">
      <c r="A1541" s="8" t="s">
        <v>1524</v>
      </c>
      <c r="B1541" s="8" t="s">
        <v>1608</v>
      </c>
      <c r="D1541" s="121" t="str">
        <f>HYPERLINK("http://www.dayton.va.gov/services/MULTIPLE_SCLEROSIS_CARE_LIASION.ASP")</f>
        <v>http://www.dayton.va.gov/services/MULTIPLE_SCLEROSIS_CARE_LIASION.ASP</v>
      </c>
      <c r="E1541" s="8" t="s">
        <v>392</v>
      </c>
    </row>
    <row r="1542" ht="14.25" hidden="1" customHeight="1">
      <c r="A1542" s="8" t="s">
        <v>1524</v>
      </c>
      <c r="B1542" s="8" t="s">
        <v>707</v>
      </c>
      <c r="D1542" s="121" t="str">
        <f>HYPERLINK("http://www.dayton.va.gov/services/MY_HEALTHEVET.ASP")</f>
        <v>http://www.dayton.va.gov/services/MY_HEALTHEVET.ASP</v>
      </c>
      <c r="E1542" s="8" t="s">
        <v>392</v>
      </c>
    </row>
    <row r="1543" ht="14.25" hidden="1" customHeight="1">
      <c r="A1543" s="8" t="s">
        <v>1524</v>
      </c>
      <c r="B1543" s="8" t="s">
        <v>1613</v>
      </c>
      <c r="D1543" s="121" t="str">
        <f>HYPERLINK("http://www.dayton.va.gov/services/NEPHROLOGY_KIDNEY.ASP")</f>
        <v>http://www.dayton.va.gov/services/NEPHROLOGY_KIDNEY.ASP</v>
      </c>
      <c r="E1543" s="8" t="s">
        <v>392</v>
      </c>
    </row>
    <row r="1544" ht="14.25" hidden="1" customHeight="1">
      <c r="A1544" s="8" t="s">
        <v>1524</v>
      </c>
      <c r="B1544" s="8" t="s">
        <v>1615</v>
      </c>
      <c r="D1544" s="121" t="str">
        <f>HYPERLINK("http://www.dayton.va.gov/services/NEUROLOGY_CLINIC.ASP")</f>
        <v>http://www.dayton.va.gov/services/NEUROLOGY_CLINIC.ASP</v>
      </c>
      <c r="E1544" s="8" t="s">
        <v>392</v>
      </c>
    </row>
    <row r="1545" ht="14.25" hidden="1" customHeight="1">
      <c r="A1545" s="8" t="s">
        <v>1524</v>
      </c>
      <c r="B1545" s="8" t="s">
        <v>1617</v>
      </c>
      <c r="D1545" s="121" t="str">
        <f>HYPERLINK("http://www.dayton.va.gov/services/NONVA_CARE_PROGRAM.ASP")</f>
        <v>http://www.dayton.va.gov/services/NONVA_CARE_PROGRAM.ASP</v>
      </c>
      <c r="E1545" s="8" t="s">
        <v>392</v>
      </c>
    </row>
    <row r="1546" ht="14.25" hidden="1" customHeight="1">
      <c r="A1546" s="8" t="s">
        <v>1524</v>
      </c>
      <c r="B1546" s="8" t="s">
        <v>603</v>
      </c>
      <c r="D1546" s="121" t="str">
        <f>HYPERLINK("http://www.dayton.va.gov/services/NUCLEAR_MEDICINE.ASP")</f>
        <v>http://www.dayton.va.gov/services/NUCLEAR_MEDICINE.ASP</v>
      </c>
      <c r="E1546" s="8" t="s">
        <v>392</v>
      </c>
    </row>
    <row r="1547" ht="14.25" hidden="1" customHeight="1">
      <c r="A1547" s="8" t="s">
        <v>1524</v>
      </c>
      <c r="B1547" s="8" t="s">
        <v>1621</v>
      </c>
      <c r="D1547" s="121" t="str">
        <f>HYPERLINK("http://www.dayton.va.gov/services/NURSING_SERVICES.ASP")</f>
        <v>http://www.dayton.va.gov/services/NURSING_SERVICES.ASP</v>
      </c>
      <c r="E1547" s="8" t="s">
        <v>392</v>
      </c>
    </row>
    <row r="1548" ht="14.25" hidden="1" customHeight="1">
      <c r="A1548" s="8" t="s">
        <v>1524</v>
      </c>
      <c r="B1548" s="8" t="s">
        <v>335</v>
      </c>
      <c r="D1548" s="121" t="str">
        <f>HYPERLINK("http://www.dayton.va.gov/services/NUTRITION_AND_FOOD_SERVICE.ASP")</f>
        <v>http://www.dayton.va.gov/services/NUTRITION_AND_FOOD_SERVICE.ASP</v>
      </c>
      <c r="E1548" s="8" t="s">
        <v>392</v>
      </c>
    </row>
    <row r="1549" ht="14.25" hidden="1" customHeight="1">
      <c r="A1549" s="8" t="s">
        <v>1524</v>
      </c>
      <c r="B1549" s="8" t="s">
        <v>1624</v>
      </c>
      <c r="D1549" s="121" t="str">
        <f>HYPERLINK("http://www.dayton.va.gov/services/OEF_OIF_POST_DEPLOYMENT_CLINIC.ASP")</f>
        <v>http://www.dayton.va.gov/services/OEF_OIF_POST_DEPLOYMENT_CLINIC.ASP</v>
      </c>
      <c r="E1549" s="8" t="s">
        <v>392</v>
      </c>
    </row>
    <row r="1550" ht="14.25" hidden="1" customHeight="1">
      <c r="A1550" s="8" t="s">
        <v>1524</v>
      </c>
      <c r="B1550" s="8" t="s">
        <v>900</v>
      </c>
      <c r="D1550" s="121" t="str">
        <f>HYPERLINK("http://www.dayton.va.gov/services/OCCUPATIONAL_THERAPY_OT.ASP")</f>
        <v>http://www.dayton.va.gov/services/OCCUPATIONAL_THERAPY_OT.ASP</v>
      </c>
      <c r="E1550" s="8" t="s">
        <v>392</v>
      </c>
    </row>
    <row r="1551" ht="14.25" hidden="1" customHeight="1">
      <c r="A1551" s="8" t="s">
        <v>1524</v>
      </c>
      <c r="B1551" s="8" t="s">
        <v>1627</v>
      </c>
      <c r="D1551" s="121" t="str">
        <f>HYPERLINK("http://www.dayton.va.gov/services/VETERANS_SATISFACTION_SERVICE.ASP")</f>
        <v>http://www.dayton.va.gov/services/VETERANS_SATISFACTION_SERVICE.ASP</v>
      </c>
      <c r="E1551" s="8" t="s">
        <v>392</v>
      </c>
    </row>
    <row r="1552" ht="14.25" hidden="1" customHeight="1">
      <c r="A1552" s="8" t="s">
        <v>1524</v>
      </c>
      <c r="B1552" s="8" t="s">
        <v>1629</v>
      </c>
      <c r="D1552" s="121" t="str">
        <f>HYPERLINK("http://www.dayton.va.gov/services/OPERATION_CLEAR_MIND.ASP")</f>
        <v>http://www.dayton.va.gov/services/OPERATION_CLEAR_MIND.ASP</v>
      </c>
      <c r="E1552" s="8" t="s">
        <v>392</v>
      </c>
    </row>
    <row r="1553" ht="14.25" hidden="1" customHeight="1">
      <c r="A1553" s="8" t="s">
        <v>1524</v>
      </c>
      <c r="B1553" s="8" t="s">
        <v>337</v>
      </c>
      <c r="D1553" s="121" t="str">
        <f>HYPERLINK("http://www.dayton.va.gov/services/OPHTHALMOLOGY.ASP")</f>
        <v>http://www.dayton.va.gov/services/OPHTHALMOLOGY.ASP</v>
      </c>
      <c r="E1553" s="8" t="s">
        <v>392</v>
      </c>
    </row>
    <row r="1554" ht="14.25" hidden="1" customHeight="1">
      <c r="A1554" s="8" t="s">
        <v>1524</v>
      </c>
      <c r="B1554" s="8" t="s">
        <v>1631</v>
      </c>
      <c r="D1554" s="121" t="str">
        <f>HYPERLINK("http://www.dayton.va.gov/services/OPTICAL_SHOP_EYEGLASSES.ASP")</f>
        <v>http://www.dayton.va.gov/services/OPTICAL_SHOP_EYEGLASSES.ASP</v>
      </c>
      <c r="E1554" s="8" t="s">
        <v>392</v>
      </c>
    </row>
    <row r="1555" ht="14.25" hidden="1" customHeight="1">
      <c r="A1555" s="8" t="s">
        <v>1524</v>
      </c>
      <c r="B1555" s="8" t="s">
        <v>1632</v>
      </c>
      <c r="D1555" s="121" t="str">
        <f>HYPERLINK("http://www.dayton.va.gov/services/OPTOMETRY_APPOINTMENT.ASP")</f>
        <v>http://www.dayton.va.gov/services/OPTOMETRY_APPOINTMENT.ASP</v>
      </c>
      <c r="E1555" s="8" t="s">
        <v>392</v>
      </c>
    </row>
    <row r="1556" ht="14.25" hidden="1" customHeight="1">
      <c r="A1556" s="8" t="s">
        <v>1524</v>
      </c>
      <c r="B1556" s="8" t="s">
        <v>338</v>
      </c>
      <c r="D1556" s="121" t="str">
        <f>HYPERLINK("http://www.dayton.va.gov/services/ORTHOPEDICS.ASP")</f>
        <v>http://www.dayton.va.gov/services/ORTHOPEDICS.ASP</v>
      </c>
      <c r="E1556" s="8" t="s">
        <v>392</v>
      </c>
    </row>
    <row r="1557" ht="14.25" hidden="1" customHeight="1">
      <c r="A1557" s="8" t="s">
        <v>1524</v>
      </c>
      <c r="B1557" s="8" t="s">
        <v>1633</v>
      </c>
      <c r="D1557" s="121" t="str">
        <f>HYPERLINK("http://www.dayton.va.gov/services/OUTPATIENT_SUBSTANCE_TREATMENT_PROGRAM.ASP")</f>
        <v>http://www.dayton.va.gov/services/OUTPATIENT_SUBSTANCE_TREATMENT_PROGRAM.ASP</v>
      </c>
      <c r="E1557" s="8" t="s">
        <v>392</v>
      </c>
    </row>
    <row r="1558" ht="14.25" hidden="1" customHeight="1">
      <c r="A1558" s="8" t="s">
        <v>1524</v>
      </c>
      <c r="B1558" s="8" t="s">
        <v>449</v>
      </c>
      <c r="D1558" s="121" t="str">
        <f>HYPERLINK("http://www.dayton.va.gov/services/PAIN_MANAGEMENT.ASP")</f>
        <v>http://www.dayton.va.gov/services/PAIN_MANAGEMENT.ASP</v>
      </c>
      <c r="E1558" s="8" t="s">
        <v>392</v>
      </c>
    </row>
    <row r="1559" ht="14.25" hidden="1" customHeight="1">
      <c r="A1559" s="8" t="s">
        <v>1524</v>
      </c>
      <c r="B1559" s="8" t="s">
        <v>694</v>
      </c>
      <c r="D1559" s="121" t="str">
        <f>HYPERLINK("http://www.dayton.va.gov/services/PATIENT_ADVOCATE.ASP")</f>
        <v>http://www.dayton.va.gov/services/PATIENT_ADVOCATE.ASP</v>
      </c>
      <c r="E1559" s="8" t="s">
        <v>392</v>
      </c>
    </row>
    <row r="1560" ht="14.25" hidden="1" customHeight="1">
      <c r="A1560" s="8" t="s">
        <v>1524</v>
      </c>
      <c r="B1560" s="8" t="s">
        <v>1634</v>
      </c>
      <c r="D1560" s="121" t="str">
        <f>HYPERLINK("http://www.dayton.va.gov/services/PATIENT_BUSINESS_SERVICE_PBS.ASP")</f>
        <v>http://www.dayton.va.gov/services/PATIENT_BUSINESS_SERVICE_PBS.ASP</v>
      </c>
      <c r="E1560" s="8" t="s">
        <v>392</v>
      </c>
    </row>
    <row r="1561" ht="14.25" hidden="1" customHeight="1">
      <c r="A1561" s="8" t="s">
        <v>1524</v>
      </c>
      <c r="B1561" s="8" t="s">
        <v>1635</v>
      </c>
      <c r="D1561" s="121" t="str">
        <f>HYPERLINK("http://www.dayton.va.gov/services/PATIENT_FINANCIAL_SERVICES.ASP")</f>
        <v>http://www.dayton.va.gov/services/PATIENT_FINANCIAL_SERVICES.ASP</v>
      </c>
      <c r="E1561" s="8" t="s">
        <v>392</v>
      </c>
    </row>
    <row r="1562" ht="14.25" hidden="1" customHeight="1">
      <c r="A1562" s="8" t="s">
        <v>1524</v>
      </c>
      <c r="B1562" s="8" t="s">
        <v>498</v>
      </c>
      <c r="D1562" s="121" t="str">
        <f>HYPERLINK("http://www.dayton.va.gov/services/PATIENT_HEALTH_EDUCATION.ASP")</f>
        <v>http://www.dayton.va.gov/services/PATIENT_HEALTH_EDUCATION.ASP</v>
      </c>
      <c r="E1562" s="8" t="s">
        <v>392</v>
      </c>
    </row>
    <row r="1563" ht="14.25" hidden="1" customHeight="1">
      <c r="A1563" s="8" t="s">
        <v>1524</v>
      </c>
      <c r="B1563" s="8" t="s">
        <v>500</v>
      </c>
      <c r="D1563" s="121" t="str">
        <f>HYPERLINK("http://www.dayton.va.gov/services/PATIENT_TRAVEL.ASP")</f>
        <v>http://www.dayton.va.gov/services/PATIENT_TRAVEL.ASP</v>
      </c>
      <c r="E1563" s="8" t="s">
        <v>392</v>
      </c>
    </row>
    <row r="1564" ht="14.25" hidden="1" customHeight="1">
      <c r="A1564" s="8" t="s">
        <v>1524</v>
      </c>
      <c r="B1564" s="8" t="s">
        <v>343</v>
      </c>
      <c r="D1564" s="121" t="str">
        <f>HYPERLINK("http://www.dayton.va.gov/services/PHARMACY.ASP")</f>
        <v>http://www.dayton.va.gov/services/PHARMACY.ASP</v>
      </c>
      <c r="E1564" s="8" t="s">
        <v>392</v>
      </c>
    </row>
    <row r="1565" ht="14.25" hidden="1" customHeight="1">
      <c r="A1565" s="8" t="s">
        <v>1524</v>
      </c>
      <c r="B1565" s="8" t="s">
        <v>1637</v>
      </c>
      <c r="D1565" s="121" t="str">
        <f>HYPERLINK("http://www.dayton.va.gov/services/PHYSICAL_MEDICINE_AND_REHABILITATION_CLINIC.ASP")</f>
        <v>http://www.dayton.va.gov/services/PHYSICAL_MEDICINE_AND_REHABILITATION_CLINIC.ASP</v>
      </c>
      <c r="E1565" s="8" t="s">
        <v>392</v>
      </c>
    </row>
    <row r="1566" ht="14.25" hidden="1" customHeight="1">
      <c r="A1566" s="8" t="s">
        <v>1524</v>
      </c>
      <c r="B1566" s="8" t="s">
        <v>608</v>
      </c>
      <c r="D1566" s="121" t="str">
        <f>HYPERLINK("http://www.dayton.va.gov/services/PHYSICAL_THERAPY.ASP")</f>
        <v>http://www.dayton.va.gov/services/PHYSICAL_THERAPY.ASP</v>
      </c>
      <c r="E1566" s="8" t="s">
        <v>392</v>
      </c>
    </row>
    <row r="1567" ht="14.25" hidden="1" customHeight="1">
      <c r="A1567" s="8" t="s">
        <v>1524</v>
      </c>
      <c r="B1567" s="8" t="s">
        <v>450</v>
      </c>
      <c r="D1567" s="121" t="str">
        <f>HYPERLINK("http://www.dayton.va.gov/services/PODIATRY.ASP")</f>
        <v>http://www.dayton.va.gov/services/PODIATRY.ASP</v>
      </c>
      <c r="E1567" s="8" t="s">
        <v>392</v>
      </c>
    </row>
    <row r="1568" ht="14.25" hidden="1" customHeight="1">
      <c r="A1568" s="8" t="s">
        <v>1524</v>
      </c>
      <c r="B1568" s="8" t="s">
        <v>775</v>
      </c>
      <c r="D1568" s="121" t="str">
        <f>HYPERLINK("http://www.dayton.va.gov/services/POLICE_SERVICE.ASP")</f>
        <v>http://www.dayton.va.gov/services/POLICE_SERVICE.ASP</v>
      </c>
      <c r="E1568" s="8" t="s">
        <v>392</v>
      </c>
    </row>
    <row r="1569" ht="14.25" hidden="1" customHeight="1">
      <c r="A1569" s="8" t="s">
        <v>1524</v>
      </c>
      <c r="B1569" s="8" t="s">
        <v>1643</v>
      </c>
      <c r="D1569" s="121" t="str">
        <f>HYPERLINK("http://www.dayton.va.gov/services/POLYSUBSTANCE_REHABILITATION_PROGRAM.ASP")</f>
        <v>http://www.dayton.va.gov/services/POLYSUBSTANCE_REHABILITATION_PROGRAM.ASP</v>
      </c>
      <c r="E1569" s="8" t="s">
        <v>392</v>
      </c>
    </row>
    <row r="1570" ht="14.25" hidden="1" customHeight="1">
      <c r="A1570" s="8" t="s">
        <v>1524</v>
      </c>
      <c r="B1570" s="8" t="s">
        <v>699</v>
      </c>
      <c r="D1570" s="121" t="str">
        <f>HYPERLINK("http://www.dayton.va.gov/services/POLYTRAUMA.ASP")</f>
        <v>http://www.dayton.va.gov/services/POLYTRAUMA.ASP</v>
      </c>
      <c r="E1570" s="8" t="s">
        <v>392</v>
      </c>
    </row>
    <row r="1571" ht="14.25" hidden="1" customHeight="1">
      <c r="A1571" s="8" t="s">
        <v>1524</v>
      </c>
      <c r="B1571" s="8" t="s">
        <v>1647</v>
      </c>
      <c r="D1571" s="121" t="str">
        <f>HYPERLINK("http://www.dayton.va.gov/services/POST-TRAUMATIC_STRESS_DISORDER_PROGRAM.ASP")</f>
        <v>http://www.dayton.va.gov/services/POST-TRAUMATIC_STRESS_DISORDER_PROGRAM.ASP</v>
      </c>
      <c r="E1571" s="8" t="s">
        <v>392</v>
      </c>
    </row>
    <row r="1572" ht="14.25" hidden="1" customHeight="1">
      <c r="A1572" s="8" t="s">
        <v>1524</v>
      </c>
      <c r="B1572" s="8" t="s">
        <v>348</v>
      </c>
      <c r="D1572" s="121" t="str">
        <f>HYPERLINK("http://www.dayton.va.gov/services/PRIMARY_CARE.ASP")</f>
        <v>http://www.dayton.va.gov/services/PRIMARY_CARE.ASP</v>
      </c>
      <c r="E1572" s="8" t="s">
        <v>392</v>
      </c>
    </row>
    <row r="1573" ht="14.25" hidden="1" customHeight="1">
      <c r="A1573" s="8" t="s">
        <v>1524</v>
      </c>
      <c r="B1573" s="8" t="s">
        <v>1044</v>
      </c>
      <c r="D1573" s="121" t="str">
        <f>HYPERLINK("http://www.dayton.va.gov/services/PRISONER_OF_WAR.ASP")</f>
        <v>http://www.dayton.va.gov/services/PRISONER_OF_WAR.ASP</v>
      </c>
      <c r="E1573" s="8" t="s">
        <v>392</v>
      </c>
    </row>
    <row r="1574" ht="14.25" hidden="1" customHeight="1">
      <c r="A1574" s="8" t="s">
        <v>1524</v>
      </c>
      <c r="B1574" s="8" t="s">
        <v>1652</v>
      </c>
      <c r="D1574" s="121" t="str">
        <f>HYPERLINK("http://www.dayton.va.gov/services/PROSTHETIC_TREATMENT_CENTER.ASP")</f>
        <v>http://www.dayton.va.gov/services/PROSTHETIC_TREATMENT_CENTER.ASP</v>
      </c>
      <c r="E1574" s="8" t="s">
        <v>392</v>
      </c>
    </row>
    <row r="1575" ht="14.25" hidden="1" customHeight="1">
      <c r="A1575" s="8" t="s">
        <v>1524</v>
      </c>
      <c r="B1575" s="8" t="s">
        <v>353</v>
      </c>
      <c r="D1575" s="121" t="str">
        <f>HYPERLINK("http://www.dayton.va.gov/services/PROSTHETICS.ASP")</f>
        <v>http://www.dayton.va.gov/services/PROSTHETICS.ASP</v>
      </c>
      <c r="E1575" s="8" t="s">
        <v>392</v>
      </c>
    </row>
    <row r="1576" ht="14.25" hidden="1" customHeight="1">
      <c r="A1576" s="8" t="s">
        <v>1524</v>
      </c>
      <c r="B1576" s="8" t="s">
        <v>1657</v>
      </c>
      <c r="D1576" s="121" t="str">
        <f>HYPERLINK("http://www.dayton.va.gov/services/PSYCHIATRY_OUTPATIENT.ASP")</f>
        <v>http://www.dayton.va.gov/services/PSYCHIATRY_OUTPATIENT.ASP</v>
      </c>
      <c r="E1576" s="8" t="s">
        <v>392</v>
      </c>
    </row>
    <row r="1577" ht="14.25" hidden="1" customHeight="1">
      <c r="A1577" s="8" t="s">
        <v>1524</v>
      </c>
      <c r="B1577" s="8" t="s">
        <v>1659</v>
      </c>
      <c r="D1577" s="121" t="str">
        <f>HYPERLINK("http://www.dayton.va.gov/services/PSYCHOSOCIAL_REHABILITATION.ASP")</f>
        <v>http://www.dayton.va.gov/services/PSYCHOSOCIAL_REHABILITATION.ASP</v>
      </c>
      <c r="E1577" s="8" t="s">
        <v>392</v>
      </c>
    </row>
    <row r="1578" ht="14.25" hidden="1" customHeight="1">
      <c r="A1578" s="8" t="s">
        <v>1524</v>
      </c>
      <c r="B1578" s="8" t="s">
        <v>1661</v>
      </c>
      <c r="D1578" s="121" t="str">
        <f>HYPERLINK("http://www.dayton.va.gov/services/PSYCHOSOCIAL_REHABILITATION_AND_RECOVERY_CENTER.ASP")</f>
        <v>http://www.dayton.va.gov/services/PSYCHOSOCIAL_REHABILITATION_AND_RECOVERY_CENTER.ASP</v>
      </c>
      <c r="E1578" s="8" t="s">
        <v>392</v>
      </c>
    </row>
    <row r="1579" ht="14.25" hidden="1" customHeight="1">
      <c r="A1579" s="8" t="s">
        <v>1524</v>
      </c>
      <c r="B1579" s="8" t="s">
        <v>504</v>
      </c>
      <c r="D1579" s="121" t="str">
        <f>HYPERLINK("http://www.dayton.va.gov/services/PUBLIC_AFFAIRS.ASP")</f>
        <v>http://www.dayton.va.gov/services/PUBLIC_AFFAIRS.ASP</v>
      </c>
      <c r="E1579" s="8" t="s">
        <v>392</v>
      </c>
    </row>
    <row r="1580" ht="14.25" hidden="1" customHeight="1">
      <c r="A1580" s="8" t="s">
        <v>1524</v>
      </c>
      <c r="B1580" s="8" t="s">
        <v>1665</v>
      </c>
      <c r="D1580" s="121" t="str">
        <f>HYPERLINK("http://www.dayton.va.gov/services/PULMONARY_LAB.ASP")</f>
        <v>http://www.dayton.va.gov/services/PULMONARY_LAB.ASP</v>
      </c>
      <c r="E1580" s="8" t="s">
        <v>392</v>
      </c>
    </row>
    <row r="1581" ht="14.25" hidden="1" customHeight="1">
      <c r="A1581" s="8" t="s">
        <v>1524</v>
      </c>
      <c r="B1581" s="8" t="s">
        <v>1666</v>
      </c>
      <c r="D1581" s="121" t="str">
        <f>HYPERLINK("http://www.dayton.va.gov/services/RADIATION_THERAPY_ONCOLOGY.ASP")</f>
        <v>http://www.dayton.va.gov/services/RADIATION_THERAPY_ONCOLOGY.ASP</v>
      </c>
      <c r="E1581" s="8" t="s">
        <v>392</v>
      </c>
    </row>
    <row r="1582" ht="14.25" hidden="1" customHeight="1">
      <c r="A1582" s="8" t="s">
        <v>1524</v>
      </c>
      <c r="B1582" s="8" t="s">
        <v>717</v>
      </c>
      <c r="D1582" s="121" t="str">
        <f>HYPERLINK("http://www.dayton.va.gov/services/RADIOLOGY.ASP")</f>
        <v>http://www.dayton.va.gov/services/RADIOLOGY.ASP</v>
      </c>
      <c r="E1582" s="8" t="s">
        <v>392</v>
      </c>
    </row>
    <row r="1583" ht="14.25" hidden="1" customHeight="1">
      <c r="A1583" s="8" t="s">
        <v>1524</v>
      </c>
      <c r="B1583" s="8" t="s">
        <v>1667</v>
      </c>
      <c r="D1583" s="121" t="str">
        <f>HYPERLINK("http://www.dayton.va.gov/services/READJUSTMENT_COUNSELING.ASP")</f>
        <v>http://www.dayton.va.gov/services/READJUSTMENT_COUNSELING.ASP</v>
      </c>
      <c r="E1583" s="8" t="s">
        <v>392</v>
      </c>
    </row>
    <row r="1584" ht="14.25" hidden="1" customHeight="1">
      <c r="A1584" s="8" t="s">
        <v>1524</v>
      </c>
      <c r="B1584" s="8" t="s">
        <v>505</v>
      </c>
      <c r="D1584" s="121" t="str">
        <f>HYPERLINK("http://www.dayton.va.gov/services/RECREATION_THERAPY.ASP")</f>
        <v>http://www.dayton.va.gov/services/RECREATION_THERAPY.ASP</v>
      </c>
      <c r="E1584" s="8" t="s">
        <v>392</v>
      </c>
    </row>
    <row r="1585" ht="14.25" hidden="1" customHeight="1">
      <c r="A1585" s="8" t="s">
        <v>1524</v>
      </c>
      <c r="B1585" s="8" t="s">
        <v>1670</v>
      </c>
      <c r="D1585" s="121" t="str">
        <f>HYPERLINK("http://www.dayton.va.gov/services/PRIMARY_CARE_RED_TEAM.ASP")</f>
        <v>http://www.dayton.va.gov/services/PRIMARY_CARE_RED_TEAM.ASP</v>
      </c>
      <c r="E1585" s="8" t="s">
        <v>392</v>
      </c>
    </row>
    <row r="1586" ht="14.25" hidden="1" customHeight="1">
      <c r="A1586" s="8" t="s">
        <v>1524</v>
      </c>
      <c r="B1586" s="8" t="s">
        <v>610</v>
      </c>
      <c r="D1586" s="121" t="str">
        <f>HYPERLINK("http://www.dayton.va.gov/services/REHABILITATION.ASP")</f>
        <v>http://www.dayton.va.gov/services/REHABILITATION.ASP</v>
      </c>
      <c r="E1586" s="8" t="s">
        <v>392</v>
      </c>
    </row>
    <row r="1587" ht="14.25" hidden="1" customHeight="1">
      <c r="A1587" s="8" t="s">
        <v>1524</v>
      </c>
      <c r="B1587" s="8" t="s">
        <v>708</v>
      </c>
      <c r="D1587" s="121" t="str">
        <f>HYPERLINK("http://www.dayton.va.gov/services/RELEASE_OF_INFORMATION_ROI.ASP")</f>
        <v>http://www.dayton.va.gov/services/RELEASE_OF_INFORMATION_ROI.ASP</v>
      </c>
      <c r="E1587" s="8" t="s">
        <v>392</v>
      </c>
    </row>
    <row r="1588" ht="14.25" hidden="1" customHeight="1">
      <c r="A1588" s="8" t="s">
        <v>1524</v>
      </c>
      <c r="B1588" s="8" t="s">
        <v>1675</v>
      </c>
      <c r="D1588" s="121" t="str">
        <f>HYPERLINK("http://www.dayton.va.gov/services/RENAL_CLINIC.ASP")</f>
        <v>http://www.dayton.va.gov/services/RENAL_CLINIC.ASP</v>
      </c>
      <c r="E1588" s="8" t="s">
        <v>392</v>
      </c>
    </row>
    <row r="1589" ht="14.25" hidden="1" customHeight="1">
      <c r="A1589" s="8" t="s">
        <v>1524</v>
      </c>
      <c r="B1589" s="8" t="s">
        <v>508</v>
      </c>
      <c r="D1589" s="121" t="str">
        <f>HYPERLINK("http://www.dayton.va.gov/services/RESEARCH.ASP")</f>
        <v>http://www.dayton.va.gov/services/RESEARCH.ASP</v>
      </c>
      <c r="E1589" s="8" t="s">
        <v>392</v>
      </c>
    </row>
    <row r="1590" ht="14.25" hidden="1" customHeight="1">
      <c r="A1590" s="8" t="s">
        <v>1524</v>
      </c>
      <c r="B1590" s="8" t="s">
        <v>1677</v>
      </c>
      <c r="D1590" s="121" t="str">
        <f>HYPERLINK("http://www.dayton.va.gov/services/RESPIRATORY.ASP")</f>
        <v>http://www.dayton.va.gov/services/RESPIRATORY.ASP</v>
      </c>
      <c r="E1590" s="8" t="s">
        <v>392</v>
      </c>
    </row>
    <row r="1591" ht="14.25" hidden="1" customHeight="1">
      <c r="A1591" s="8" t="s">
        <v>1524</v>
      </c>
      <c r="B1591" s="8" t="s">
        <v>1069</v>
      </c>
      <c r="D1591" s="121" t="str">
        <f>HYPERLINK("http://www.dayton.va.gov/services/RESPITE_CARE_PROGRAM.ASP")</f>
        <v>http://www.dayton.va.gov/services/RESPITE_CARE_PROGRAM.ASP</v>
      </c>
      <c r="E1591" s="8" t="s">
        <v>392</v>
      </c>
    </row>
    <row r="1592" ht="14.25" hidden="1" customHeight="1">
      <c r="A1592" s="8" t="s">
        <v>1524</v>
      </c>
      <c r="B1592" s="8" t="s">
        <v>1171</v>
      </c>
      <c r="D1592" s="121" t="str">
        <f>HYPERLINK("http://www.dayton.va.gov/services/RHEUMATOLOGY.ASP")</f>
        <v>http://www.dayton.va.gov/services/RHEUMATOLOGY.ASP</v>
      </c>
      <c r="E1592" s="8" t="s">
        <v>392</v>
      </c>
    </row>
    <row r="1593" ht="14.25" hidden="1" customHeight="1">
      <c r="A1593" s="8" t="s">
        <v>1524</v>
      </c>
      <c r="B1593" s="8" t="s">
        <v>1683</v>
      </c>
      <c r="D1593" s="121" t="str">
        <f>HYPERLINK("http://www.dayton.va.gov/services/SAM_UNIT.ASP")</f>
        <v>http://www.dayton.va.gov/services/SAM_UNIT.ASP</v>
      </c>
      <c r="E1593" s="8" t="s">
        <v>392</v>
      </c>
    </row>
    <row r="1594" ht="14.25" hidden="1" customHeight="1">
      <c r="A1594" s="8" t="s">
        <v>1524</v>
      </c>
      <c r="B1594" s="8" t="s">
        <v>357</v>
      </c>
      <c r="D1594" s="121" t="str">
        <f>HYPERLINK("http://www.dayton.va.gov/services/SLEEP_CLINIC.ASP")</f>
        <v>http://www.dayton.va.gov/services/SLEEP_CLINIC.ASP</v>
      </c>
      <c r="E1594" s="8" t="s">
        <v>392</v>
      </c>
    </row>
    <row r="1595" ht="14.25" hidden="1" customHeight="1">
      <c r="A1595" s="8" t="s">
        <v>1524</v>
      </c>
      <c r="B1595" s="8" t="s">
        <v>925</v>
      </c>
      <c r="D1595" s="121" t="str">
        <f>HYPERLINK("http://www.dayton.va.gov/services/SOCIAL_WORK_SERVICE.ASP")</f>
        <v>http://www.dayton.va.gov/services/SOCIAL_WORK_SERVICE.ASP</v>
      </c>
      <c r="E1595" s="8" t="s">
        <v>392</v>
      </c>
    </row>
    <row r="1596" ht="14.25" hidden="1" customHeight="1">
      <c r="A1596" s="8" t="s">
        <v>1524</v>
      </c>
      <c r="B1596" s="8" t="s">
        <v>1687</v>
      </c>
      <c r="D1596" s="121" t="str">
        <f>HYPERLINK("http://www.dayton.va.gov/services/SPECIALTY_CLINIC_LAB_MICROBIOLOGY.ASP")</f>
        <v>http://www.dayton.va.gov/services/SPECIALTY_CLINIC_LAB_MICROBIOLOGY.ASP</v>
      </c>
      <c r="E1596" s="8" t="s">
        <v>392</v>
      </c>
    </row>
    <row r="1597" ht="14.25" hidden="1" customHeight="1">
      <c r="A1597" s="8" t="s">
        <v>1524</v>
      </c>
      <c r="B1597" s="8" t="s">
        <v>1688</v>
      </c>
      <c r="D1597" s="121" t="str">
        <f>HYPERLINK("http://www.dayton.va.gov/services/SPECIALTY_CLINIC_LAB_SENDOUTS.ASP")</f>
        <v>http://www.dayton.va.gov/services/SPECIALTY_CLINIC_LAB_SENDOUTS.ASP</v>
      </c>
      <c r="E1597" s="8" t="s">
        <v>392</v>
      </c>
    </row>
    <row r="1598" ht="14.25" hidden="1" customHeight="1">
      <c r="A1598" s="8" t="s">
        <v>1524</v>
      </c>
      <c r="B1598" s="8" t="s">
        <v>612</v>
      </c>
      <c r="D1598" s="121" t="str">
        <f>HYPERLINK("http://www.dayton.va.gov/services/SPEECH_PATHOLOGY_AND_AUDIOLOGY.ASP")</f>
        <v>http://www.dayton.va.gov/services/SPEECH_PATHOLOGY_AND_AUDIOLOGY.ASP</v>
      </c>
      <c r="E1598" s="8" t="s">
        <v>392</v>
      </c>
    </row>
    <row r="1599" ht="14.25" hidden="1" customHeight="1">
      <c r="A1599" s="8" t="s">
        <v>1524</v>
      </c>
      <c r="B1599" s="8" t="s">
        <v>1071</v>
      </c>
      <c r="D1599" s="121" t="str">
        <f>HYPERLINK("http://www.dayton.va.gov/services/SPINAL_CORD_INJURY_CLINIC.ASP")</f>
        <v>http://www.dayton.va.gov/services/SPINAL_CORD_INJURY_CLINIC.ASP</v>
      </c>
      <c r="E1599" s="8" t="s">
        <v>392</v>
      </c>
    </row>
    <row r="1600" ht="14.25" hidden="1" customHeight="1">
      <c r="A1600" s="8" t="s">
        <v>1524</v>
      </c>
      <c r="B1600" s="8" t="s">
        <v>1072</v>
      </c>
      <c r="D1600" s="121" t="str">
        <f>HYPERLINK("http://www.dayton.va.gov/services/SATP.ASP")</f>
        <v>http://www.dayton.va.gov/services/SATP.ASP</v>
      </c>
      <c r="E1600" s="8" t="s">
        <v>392</v>
      </c>
    </row>
    <row r="1601" ht="14.25" hidden="1" customHeight="1">
      <c r="A1601" s="8" t="s">
        <v>1524</v>
      </c>
      <c r="B1601" s="8" t="s">
        <v>617</v>
      </c>
      <c r="D1601" s="121" t="str">
        <f>HYPERLINK("http://www.dayton.va.gov/services/SUICIDE_PREVENTION_PROGRAM.ASP")</f>
        <v>http://www.dayton.va.gov/services/SUICIDE_PREVENTION_PROGRAM.ASP</v>
      </c>
      <c r="E1601" s="8" t="s">
        <v>392</v>
      </c>
    </row>
    <row r="1602" ht="14.25" hidden="1" customHeight="1">
      <c r="A1602" s="8" t="s">
        <v>1524</v>
      </c>
      <c r="B1602" s="8" t="s">
        <v>1691</v>
      </c>
      <c r="D1602" s="121" t="str">
        <f>HYPERLINK("http://www.dayton.va.gov/services/TSES.ASP")</f>
        <v>http://www.dayton.va.gov/services/TSES.ASP</v>
      </c>
      <c r="E1602" s="8" t="s">
        <v>595</v>
      </c>
    </row>
    <row r="1603" ht="14.25" hidden="1" customHeight="1">
      <c r="A1603" s="8" t="s">
        <v>1524</v>
      </c>
      <c r="B1603" s="8" t="s">
        <v>620</v>
      </c>
      <c r="D1603" s="121" t="str">
        <f>HYPERLINK("http://www.dayton.va.gov/services/TELE_NURSE_TRIAGE_AFTER_HOURS_PROGRAM.ASP")</f>
        <v>http://www.dayton.va.gov/services/TELE_NURSE_TRIAGE_AFTER_HOURS_PROGRAM.ASP</v>
      </c>
      <c r="E1603" s="8" t="s">
        <v>392</v>
      </c>
    </row>
    <row r="1604" ht="14.25" hidden="1" customHeight="1">
      <c r="A1604" s="8" t="s">
        <v>1524</v>
      </c>
      <c r="B1604" s="8" t="s">
        <v>370</v>
      </c>
      <c r="D1604" s="121" t="str">
        <f>HYPERLINK("http://www.dayton.va.gov/services/TELEHEALTH.ASP")</f>
        <v>http://www.dayton.va.gov/services/TELEHEALTH.ASP</v>
      </c>
      <c r="E1604" s="8" t="s">
        <v>392</v>
      </c>
    </row>
    <row r="1605" ht="14.25" hidden="1" customHeight="1">
      <c r="A1605" s="8" t="s">
        <v>1524</v>
      </c>
      <c r="B1605" s="8" t="s">
        <v>1696</v>
      </c>
      <c r="D1605" s="121" t="str">
        <f>HYPERLINK("http://www.dayton.va.gov/services/TSES.ASP")</f>
        <v>http://www.dayton.va.gov/services/TSES.ASP</v>
      </c>
      <c r="E1605" s="8" t="s">
        <v>392</v>
      </c>
    </row>
    <row r="1606" ht="14.25" hidden="1" customHeight="1">
      <c r="A1606" s="8" t="s">
        <v>1524</v>
      </c>
      <c r="B1606" s="8" t="s">
        <v>1700</v>
      </c>
      <c r="D1606" s="121" t="str">
        <f>HYPERLINK("http://www.dayton.va.gov/services/THORACIC_SURGERY_CLINIC.ASP")</f>
        <v>http://www.dayton.va.gov/services/THORACIC_SURGERY_CLINIC.ASP</v>
      </c>
      <c r="E1606" s="8" t="s">
        <v>392</v>
      </c>
    </row>
    <row r="1607" ht="14.25" hidden="1" customHeight="1">
      <c r="A1607" s="8" t="s">
        <v>1524</v>
      </c>
      <c r="B1607" s="8" t="s">
        <v>735</v>
      </c>
      <c r="D1607" s="121" t="str">
        <f>HYPERLINK("http://www.dayton.va.gov/services/TOBACCO_CESSATION.ASP")</f>
        <v>http://www.dayton.va.gov/services/TOBACCO_CESSATION.ASP</v>
      </c>
      <c r="E1607" s="8" t="s">
        <v>392</v>
      </c>
    </row>
    <row r="1608" ht="14.25" hidden="1" customHeight="1">
      <c r="A1608" s="8" t="s">
        <v>1524</v>
      </c>
      <c r="B1608" s="8" t="s">
        <v>935</v>
      </c>
      <c r="D1608" s="121" t="str">
        <f>HYPERLINK("http://www.dayton.va.gov/services/FREEDOM_CENTER.ASP")</f>
        <v>http://www.dayton.va.gov/services/FREEDOM_CENTER.ASP</v>
      </c>
      <c r="E1608" s="8" t="s">
        <v>392</v>
      </c>
    </row>
    <row r="1609" ht="14.25" hidden="1" customHeight="1">
      <c r="A1609" s="8" t="s">
        <v>1524</v>
      </c>
      <c r="B1609" s="8" t="s">
        <v>1705</v>
      </c>
      <c r="D1609" s="121" t="str">
        <f>HYPERLINK("http://www.dayton.va.gov/services/TRANSPLANT.ASP")</f>
        <v>http://www.dayton.va.gov/services/TRANSPLANT.ASP</v>
      </c>
      <c r="E1609" s="8" t="s">
        <v>392</v>
      </c>
    </row>
    <row r="1610" ht="14.25" hidden="1" customHeight="1">
      <c r="A1610" s="8" t="s">
        <v>1524</v>
      </c>
      <c r="B1610" s="8" t="s">
        <v>1294</v>
      </c>
      <c r="D1610" s="121" t="str">
        <f>HYPERLINK("http://www.dayton.va.gov/services/TRAUMATIC_BRAIN_INJURY.ASP")</f>
        <v>http://www.dayton.va.gov/services/TRAUMATIC_BRAIN_INJURY.ASP</v>
      </c>
      <c r="E1610" s="8" t="s">
        <v>392</v>
      </c>
    </row>
    <row r="1611" ht="14.25" hidden="1" customHeight="1">
      <c r="A1611" s="8" t="s">
        <v>1524</v>
      </c>
      <c r="B1611" s="8" t="s">
        <v>1711</v>
      </c>
      <c r="D1611" s="121" t="str">
        <f>HYPERLINK("http://www.dayton.va.gov/services/TRAVEL_CLERK.ASP")</f>
        <v>http://www.dayton.va.gov/services/TRAVEL_CLERK.ASP</v>
      </c>
      <c r="E1611" s="8" t="s">
        <v>392</v>
      </c>
    </row>
    <row r="1612" ht="14.25" hidden="1" customHeight="1">
      <c r="A1612" s="8" t="s">
        <v>1524</v>
      </c>
      <c r="B1612" s="8" t="s">
        <v>1714</v>
      </c>
      <c r="D1612" s="121" t="str">
        <f>HYPERLINK("http://www.dayton.va.gov/services/TRICARE_COORDINATOR.ASP")</f>
        <v>http://www.dayton.va.gov/services/TRICARE_COORDINATOR.ASP</v>
      </c>
      <c r="E1612" s="8" t="s">
        <v>392</v>
      </c>
    </row>
    <row r="1613" ht="14.25" hidden="1" customHeight="1">
      <c r="A1613" s="8" t="s">
        <v>1524</v>
      </c>
      <c r="B1613" s="8" t="s">
        <v>810</v>
      </c>
      <c r="D1613" s="121" t="str">
        <f>HYPERLINK("http://www.dayton.va.gov/services/ULTRASOUND.ASP")</f>
        <v>http://www.dayton.va.gov/services/ULTRASOUND.ASP</v>
      </c>
      <c r="E1613" s="8" t="s">
        <v>392</v>
      </c>
    </row>
    <row r="1614" ht="14.25" hidden="1" customHeight="1">
      <c r="A1614" s="8" t="s">
        <v>1524</v>
      </c>
      <c r="B1614" s="8" t="s">
        <v>1452</v>
      </c>
      <c r="D1614" s="121" t="str">
        <f>HYPERLINK("http://www.dayton.va.gov/services/UROLOGY_CLINIC.ASP")</f>
        <v>http://www.dayton.va.gov/services/UROLOGY_CLINIC.ASP</v>
      </c>
      <c r="E1614" s="8" t="s">
        <v>392</v>
      </c>
    </row>
    <row r="1615" ht="14.25" hidden="1" customHeight="1">
      <c r="A1615" s="8" t="s">
        <v>1524</v>
      </c>
      <c r="B1615" s="8" t="s">
        <v>1722</v>
      </c>
      <c r="D1615" s="121" t="str">
        <f>HYPERLINK("http://www.dayton.va.gov/services/VBA_CH_31.ASP")</f>
        <v>http://www.dayton.va.gov/services/VBA_CH_31.ASP</v>
      </c>
      <c r="E1615" s="8" t="s">
        <v>392</v>
      </c>
    </row>
    <row r="1616" ht="14.25" hidden="1" customHeight="1">
      <c r="A1616" s="8" t="s">
        <v>1524</v>
      </c>
      <c r="B1616" s="8" t="s">
        <v>1723</v>
      </c>
      <c r="D1616" s="121" t="str">
        <f>HYPERLINK("http://www.dayton.va.gov/services/VASCULAR_SURGERY_CLINIC.ASP")</f>
        <v>http://www.dayton.va.gov/services/VASCULAR_SURGERY_CLINIC.ASP</v>
      </c>
      <c r="E1616" s="8" t="s">
        <v>392</v>
      </c>
    </row>
    <row r="1617" ht="14.25" hidden="1" customHeight="1">
      <c r="A1617" s="8" t="s">
        <v>1524</v>
      </c>
      <c r="B1617" s="8" t="s">
        <v>1724</v>
      </c>
      <c r="D1617" s="121" t="str">
        <f>HYPERLINK("http://www.dayton.va.gov/services/VET_CENTER.ASP")</f>
        <v>http://www.dayton.va.gov/services/VET_CENTER.ASP</v>
      </c>
      <c r="E1617" s="8" t="s">
        <v>392</v>
      </c>
    </row>
    <row r="1618" ht="14.25" hidden="1" customHeight="1">
      <c r="A1618" s="8" t="s">
        <v>1524</v>
      </c>
      <c r="B1618" s="8" t="s">
        <v>1363</v>
      </c>
      <c r="D1618" s="121" t="str">
        <f>HYPERLINK("http://www.dayton.va.gov/services/VETERANS_BENEFITS_COUNSELOR.ASP")</f>
        <v>http://www.dayton.va.gov/services/VETERANS_BENEFITS_COUNSELOR.ASP</v>
      </c>
      <c r="E1618" s="8" t="s">
        <v>392</v>
      </c>
    </row>
    <row r="1619" ht="14.25" hidden="1" customHeight="1">
      <c r="A1619" s="8" t="s">
        <v>1524</v>
      </c>
      <c r="B1619" s="8" t="s">
        <v>1727</v>
      </c>
      <c r="D1619" s="121" t="str">
        <f>HYPERLINK("http://www.dayton.va.gov/services/LGBT.ASP")</f>
        <v>http://www.dayton.va.gov/services/LGBT.ASP</v>
      </c>
      <c r="E1619" s="8" t="s">
        <v>392</v>
      </c>
    </row>
    <row r="1620" ht="14.25" hidden="1" customHeight="1">
      <c r="A1620" s="8" t="s">
        <v>1524</v>
      </c>
      <c r="B1620" s="8" t="s">
        <v>1729</v>
      </c>
      <c r="D1620" s="121" t="str">
        <f>HYPERLINK("http://www.dayton.va.gov/services/TSES.ASP")</f>
        <v>http://www.dayton.va.gov/services/TSES.ASP</v>
      </c>
      <c r="E1620" s="8" t="s">
        <v>595</v>
      </c>
    </row>
    <row r="1621" ht="14.25" hidden="1" customHeight="1">
      <c r="A1621" s="8" t="s">
        <v>1524</v>
      </c>
      <c r="B1621" s="8" t="s">
        <v>1731</v>
      </c>
      <c r="D1621" s="121" t="str">
        <f>HYPERLINK("http://www.dayton.va.gov/services/VETERANS_JUSTICE_OUTREACH_PROGRAM.ASP")</f>
        <v>http://www.dayton.va.gov/services/VETERANS_JUSTICE_OUTREACH_PROGRAM.ASP</v>
      </c>
      <c r="E1621" s="8" t="s">
        <v>392</v>
      </c>
    </row>
    <row r="1622" ht="14.25" hidden="1" customHeight="1">
      <c r="A1622" s="8" t="s">
        <v>1524</v>
      </c>
      <c r="B1622" s="8" t="s">
        <v>1733</v>
      </c>
      <c r="D1622" s="121" t="str">
        <f>HYPERLINK("http://www.dayton.va.gov/services/VETERANS_SERVICE_ORGANIZATIONS_BLIND_VETERANS_ASSOCIATION.ASP")</f>
        <v>http://www.dayton.va.gov/services/VETERANS_SERVICE_ORGANIZATIONS_BLIND_VETERANS_ASSOCIATION.ASP</v>
      </c>
      <c r="E1622" s="8" t="s">
        <v>392</v>
      </c>
    </row>
    <row r="1623" ht="14.25" hidden="1" customHeight="1">
      <c r="A1623" s="8" t="s">
        <v>1524</v>
      </c>
      <c r="B1623" s="8" t="s">
        <v>1733</v>
      </c>
      <c r="D1623" s="121" t="str">
        <f>HYPERLINK("http://www.dayton.va.gov/services/VETERANS_SERVICE_ORGANIZATIONS_PVA.ASP")</f>
        <v>http://www.dayton.va.gov/services/VETERANS_SERVICE_ORGANIZATIONS_PVA.ASP</v>
      </c>
      <c r="E1623" s="8" t="s">
        <v>392</v>
      </c>
    </row>
    <row r="1624" ht="14.25" hidden="1" customHeight="1">
      <c r="A1624" s="8" t="s">
        <v>1524</v>
      </c>
      <c r="B1624" s="8" t="s">
        <v>1733</v>
      </c>
      <c r="D1624" s="121" t="str">
        <f>HYPERLINK("http://www.dayton.va.gov/services/VETERANS_SERVICE_ORGANIZATIONS_MARINE_CORP_LEAGUE.ASP")</f>
        <v>http://www.dayton.va.gov/services/VETERANS_SERVICE_ORGANIZATIONS_MARINE_CORP_LEAGUE.ASP</v>
      </c>
      <c r="E1624" s="8" t="s">
        <v>392</v>
      </c>
    </row>
    <row r="1625" ht="14.25" hidden="1" customHeight="1">
      <c r="A1625" s="8" t="s">
        <v>1524</v>
      </c>
      <c r="B1625" s="8" t="s">
        <v>1733</v>
      </c>
      <c r="D1625" s="121" t="str">
        <f>HYPERLINK("http://www.dayton.va.gov/services/VETERANS_SERVICE_ORGANIZATIONS_DISABLED_AMERICAN_VETERANS.ASP")</f>
        <v>http://www.dayton.va.gov/services/VETERANS_SERVICE_ORGANIZATIONS_DISABLED_AMERICAN_VETERANS.ASP</v>
      </c>
      <c r="E1625" s="8" t="s">
        <v>392</v>
      </c>
    </row>
    <row r="1626" ht="14.25" hidden="1" customHeight="1">
      <c r="A1626" s="8" t="s">
        <v>1524</v>
      </c>
      <c r="B1626" s="8" t="s">
        <v>1733</v>
      </c>
      <c r="D1626" s="121" t="str">
        <f>HYPERLINK("http://www.dayton.va.gov/services/VETERANS_SERVICE_ORGANIZATIONS_VETERANS_OF_FOREIGN_WARS.ASP")</f>
        <v>http://www.dayton.va.gov/services/VETERANS_SERVICE_ORGANIZATIONS_VETERANS_OF_FOREIGN_WARS.ASP</v>
      </c>
      <c r="E1626" s="8" t="s">
        <v>392</v>
      </c>
    </row>
    <row r="1627" ht="14.25" hidden="1" customHeight="1">
      <c r="A1627" s="8" t="s">
        <v>1524</v>
      </c>
      <c r="B1627" s="8" t="s">
        <v>1743</v>
      </c>
      <c r="D1627" s="121" t="str">
        <f>HYPERLINK("http://www.dayton.va.gov/services/VISUAL_IMPAIRMENT_SERVICES_AND_TEAM.ASP")</f>
        <v>http://www.dayton.va.gov/services/VISUAL_IMPAIRMENT_SERVICES_AND_TEAM.ASP</v>
      </c>
      <c r="E1627" s="8" t="s">
        <v>392</v>
      </c>
    </row>
    <row r="1628" ht="14.25" hidden="1" customHeight="1">
      <c r="A1628" s="8" t="s">
        <v>1524</v>
      </c>
      <c r="B1628" s="8" t="s">
        <v>375</v>
      </c>
      <c r="D1628" s="121" t="str">
        <f>HYPERLINK("http://www.dayton.va.gov/services/VOCATIONAL_REHABILITATION.ASP")</f>
        <v>http://www.dayton.va.gov/services/VOCATIONAL_REHABILITATION.ASP</v>
      </c>
      <c r="E1628" s="8" t="s">
        <v>392</v>
      </c>
    </row>
    <row r="1629" ht="14.25" hidden="1" customHeight="1">
      <c r="A1629" s="8" t="s">
        <v>1524</v>
      </c>
      <c r="B1629" s="8" t="s">
        <v>518</v>
      </c>
      <c r="D1629" s="121" t="str">
        <f>HYPERLINK("http://www.dayton.va.gov/services/VOLUNTARY_SERVICE.ASP")</f>
        <v>http://www.dayton.va.gov/services/VOLUNTARY_SERVICE.ASP</v>
      </c>
      <c r="E1629" s="8" t="s">
        <v>392</v>
      </c>
    </row>
    <row r="1630" ht="14.25" hidden="1" customHeight="1">
      <c r="A1630" s="8" t="s">
        <v>1524</v>
      </c>
      <c r="B1630" s="8" t="s">
        <v>1747</v>
      </c>
      <c r="D1630" s="121" t="str">
        <f>HYPERLINK("http://www.dayton.va.gov/services/WOMENS_CENTER.ASP")</f>
        <v>http://www.dayton.va.gov/services/WOMENS_CENTER.ASP</v>
      </c>
      <c r="E1630" s="8" t="s">
        <v>392</v>
      </c>
    </row>
    <row r="1631" ht="14.25" hidden="1" customHeight="1">
      <c r="A1631" s="8" t="s">
        <v>1524</v>
      </c>
      <c r="B1631" s="8" t="s">
        <v>1751</v>
      </c>
      <c r="D1631" s="121" t="str">
        <f>HYPERLINK("http://www.dayton.va.gov/services/WOUND_CLINIC.ASP")</f>
        <v>http://www.dayton.va.gov/services/WOUND_CLINIC.ASP</v>
      </c>
      <c r="E1631" s="8" t="s">
        <v>392</v>
      </c>
    </row>
    <row r="1632" ht="14.25" hidden="1" customHeight="1">
      <c r="A1632" s="8" t="s">
        <v>1524</v>
      </c>
      <c r="B1632" s="8" t="s">
        <v>1753</v>
      </c>
      <c r="D1632" s="121" t="str">
        <f>HYPERLINK("http://www.dayton.va.gov/services/X-RAY_RADIOLOGY_CHECK_IN.ASP")</f>
        <v>http://www.dayton.va.gov/services/X-RAY_RADIOLOGY_CHECK_IN.ASP</v>
      </c>
      <c r="E1632" s="8" t="s">
        <v>392</v>
      </c>
    </row>
    <row r="1633" ht="14.25" hidden="1" customHeight="1">
      <c r="A1633" s="8" t="s">
        <v>1755</v>
      </c>
      <c r="B1633" s="8" t="s">
        <v>410</v>
      </c>
      <c r="D1633" s="121" t="str">
        <f>HYPERLINK("http://www.denver.va.gov/services/ANESTHESIOLOGY.ASP")</f>
        <v>http://www.denver.va.gov/services/ANESTHESIOLOGY.ASP</v>
      </c>
      <c r="E1633" s="8" t="s">
        <v>392</v>
      </c>
    </row>
    <row r="1634" ht="14.25" hidden="1" customHeight="1">
      <c r="A1634" s="8" t="s">
        <v>1755</v>
      </c>
      <c r="B1634" s="8" t="s">
        <v>244</v>
      </c>
      <c r="D1634" s="121" t="str">
        <f>HYPERLINK("http://www.denver.va.gov/services/AUDIOLOGY.ASP")</f>
        <v>http://www.denver.va.gov/services/AUDIOLOGY.ASP</v>
      </c>
      <c r="E1634" s="8" t="s">
        <v>392</v>
      </c>
    </row>
    <row r="1635" ht="14.25" hidden="1" customHeight="1">
      <c r="A1635" s="8" t="s">
        <v>1755</v>
      </c>
      <c r="B1635" s="8" t="s">
        <v>1758</v>
      </c>
      <c r="D1635" s="121" t="str">
        <f>HYPERLINK("http://www.denver.va.gov/services/COSPRINGS-SURGERY.ASP")</f>
        <v>http://www.denver.va.gov/services/COSPRINGS-SURGERY.ASP</v>
      </c>
      <c r="E1635" s="8" t="s">
        <v>392</v>
      </c>
    </row>
    <row r="1636" ht="14.25" hidden="1" customHeight="1">
      <c r="A1636" s="8" t="s">
        <v>1755</v>
      </c>
      <c r="B1636" s="8" t="s">
        <v>1759</v>
      </c>
      <c r="D1636" s="121" t="str">
        <f>HYPERLINK("http://www.denver.va.gov/services/GRECC.ASP")</f>
        <v>http://www.denver.va.gov/services/GRECC.ASP</v>
      </c>
      <c r="E1636" s="8" t="s">
        <v>392</v>
      </c>
    </row>
    <row r="1637" ht="14.25" hidden="1" customHeight="1">
      <c r="A1637" s="8" t="s">
        <v>1755</v>
      </c>
      <c r="B1637" s="8" t="s">
        <v>476</v>
      </c>
      <c r="D1637" s="121" t="str">
        <f>HYPERLINK("http://www.denver.va.gov/services/MEDICAL_FOSTER_HOME.ASP")</f>
        <v>http://www.denver.va.gov/services/MEDICAL_FOSTER_HOME.ASP</v>
      </c>
      <c r="E1637" s="8" t="s">
        <v>392</v>
      </c>
    </row>
    <row r="1638" ht="14.25" hidden="1" customHeight="1">
      <c r="A1638" s="8" t="s">
        <v>1755</v>
      </c>
      <c r="B1638" s="8" t="s">
        <v>323</v>
      </c>
      <c r="D1638" s="121" t="str">
        <f>HYPERLINK("http://www.denver.va.gov/services/MENTAL_HEALTH.ASP")</f>
        <v>http://www.denver.va.gov/services/MENTAL_HEALTH.ASP</v>
      </c>
      <c r="E1638" s="8" t="s">
        <v>392</v>
      </c>
    </row>
    <row r="1639" ht="14.25" hidden="1" customHeight="1">
      <c r="A1639" s="8" t="s">
        <v>1755</v>
      </c>
      <c r="B1639" s="8" t="s">
        <v>343</v>
      </c>
      <c r="D1639" s="121" t="str">
        <f>HYPERLINK("http://www.denver.va.gov/services/PHARMACY.ASP")</f>
        <v>http://www.denver.va.gov/services/PHARMACY.ASP</v>
      </c>
      <c r="E1639" s="8" t="s">
        <v>392</v>
      </c>
    </row>
    <row r="1640" ht="14.25" hidden="1" customHeight="1">
      <c r="A1640" s="8" t="s">
        <v>1755</v>
      </c>
      <c r="B1640" s="8" t="s">
        <v>699</v>
      </c>
      <c r="D1640" s="121" t="str">
        <f>HYPERLINK("http://www.denver.va.gov/services/POLYTRAUMA.ASP")</f>
        <v>http://www.denver.va.gov/services/POLYTRAUMA.ASP</v>
      </c>
      <c r="E1640" s="8" t="s">
        <v>392</v>
      </c>
    </row>
    <row r="1641" ht="14.25" hidden="1" customHeight="1">
      <c r="A1641" s="8" t="s">
        <v>1755</v>
      </c>
      <c r="B1641" s="8" t="s">
        <v>721</v>
      </c>
      <c r="D1641" s="121" t="str">
        <f>HYPERLINK("http://www.denver.va.gov/services/PSYCHOLOGY.ASP")</f>
        <v>http://www.denver.va.gov/services/PSYCHOLOGY.ASP</v>
      </c>
      <c r="E1641" s="8" t="s">
        <v>392</v>
      </c>
    </row>
    <row r="1642" ht="14.25" hidden="1" customHeight="1">
      <c r="A1642" s="8" t="s">
        <v>1755</v>
      </c>
      <c r="B1642" s="8" t="s">
        <v>791</v>
      </c>
      <c r="D1642" s="121" t="str">
        <f>HYPERLINK("http://www.denver.va.gov/services/PULMONARY.ASP")</f>
        <v>http://www.denver.va.gov/services/PULMONARY.ASP</v>
      </c>
      <c r="E1642" s="8" t="s">
        <v>392</v>
      </c>
    </row>
    <row r="1643" ht="14.25" hidden="1" customHeight="1">
      <c r="A1643" s="8" t="s">
        <v>1755</v>
      </c>
      <c r="B1643" s="8" t="s">
        <v>508</v>
      </c>
      <c r="D1643" s="121" t="str">
        <f>HYPERLINK("http://www.denver.va.gov/services/RESEARCH.ASP")</f>
        <v>http://www.denver.va.gov/services/RESEARCH.ASP</v>
      </c>
      <c r="E1643" s="8" t="s">
        <v>392</v>
      </c>
    </row>
    <row r="1644" ht="14.25" hidden="1" customHeight="1">
      <c r="A1644" s="8" t="s">
        <v>1755</v>
      </c>
      <c r="B1644" s="8" t="s">
        <v>888</v>
      </c>
      <c r="D1644" s="121" t="str">
        <f>HYPERLINK("http://www.denver.va.gov/services/SURGERY.ASP")</f>
        <v>http://www.denver.va.gov/services/SURGERY.ASP</v>
      </c>
      <c r="E1644" s="8" t="s">
        <v>392</v>
      </c>
    </row>
    <row r="1645" ht="14.25" hidden="1" customHeight="1">
      <c r="A1645" s="8" t="s">
        <v>1769</v>
      </c>
      <c r="B1645" s="8" t="s">
        <v>1770</v>
      </c>
      <c r="D1645" s="121" t="str">
        <f>HYPERLINK("http://www.detroit.va.gov/services/MH_ACUTE_PSYCHIATRIC_SERVICE.ASP")</f>
        <v>http://www.detroit.va.gov/services/MH_ACUTE_PSYCHIATRIC_SERVICE.ASP</v>
      </c>
      <c r="E1645" s="8" t="s">
        <v>392</v>
      </c>
    </row>
    <row r="1646" ht="14.25" hidden="1" customHeight="1">
      <c r="A1646" s="8" t="s">
        <v>1769</v>
      </c>
      <c r="B1646" s="8" t="s">
        <v>478</v>
      </c>
      <c r="D1646" s="121" t="str">
        <f>HYPERLINK("http://www.detroit.va.gov/services/CHAPLAIN_SERVICE.ASP")</f>
        <v>http://www.detroit.va.gov/services/CHAPLAIN_SERVICE.ASP</v>
      </c>
      <c r="E1646" s="8" t="s">
        <v>392</v>
      </c>
    </row>
    <row r="1647" ht="14.25" hidden="1" customHeight="1">
      <c r="A1647" s="8" t="s">
        <v>1769</v>
      </c>
      <c r="B1647" s="8" t="s">
        <v>1772</v>
      </c>
      <c r="D1647" s="121" t="str">
        <f>HYPERLINK("http://www.detroit.va.gov/services/MH_CLINICAL_NEUROPSYCHOLOGY.ASP")</f>
        <v>http://www.detroit.va.gov/services/MH_CLINICAL_NEUROPSYCHOLOGY.ASP</v>
      </c>
      <c r="E1647" s="8" t="s">
        <v>392</v>
      </c>
    </row>
    <row r="1648" ht="14.25" hidden="1" customHeight="1">
      <c r="A1648" s="8" t="s">
        <v>1769</v>
      </c>
      <c r="B1648" s="8" t="s">
        <v>1774</v>
      </c>
      <c r="D1648" s="121" t="str">
        <f>HYPERLINK("http://www.detroit.va.gov/services/MH_COMPENSATED_WORK_THERAPY.ASP")</f>
        <v>http://www.detroit.va.gov/services/MH_COMPENSATED_WORK_THERAPY.ASP</v>
      </c>
      <c r="E1648" s="8" t="s">
        <v>392</v>
      </c>
    </row>
    <row r="1649" ht="14.25" hidden="1" customHeight="1">
      <c r="A1649" s="8" t="s">
        <v>1769</v>
      </c>
      <c r="B1649" s="8" t="s">
        <v>1775</v>
      </c>
      <c r="D1649" s="121" t="str">
        <f>HYPERLINK("http://www.detroit.va.gov/services/CARDIOVASCULAR_SERVICE_LINE.ASP")</f>
        <v>http://www.detroit.va.gov/services/CARDIOVASCULAR_SERVICE_LINE.ASP</v>
      </c>
      <c r="E1649" s="8" t="s">
        <v>392</v>
      </c>
    </row>
    <row r="1650" ht="14.25" hidden="1" customHeight="1">
      <c r="A1650" s="8" t="s">
        <v>1769</v>
      </c>
      <c r="B1650" s="8" t="s">
        <v>517</v>
      </c>
      <c r="D1650" s="121" t="str">
        <f>HYPERLINK("http://www.detroit.va.gov/services/DERMATOLOGY.ASP")</f>
        <v>http://www.detroit.va.gov/services/DERMATOLOGY.ASP</v>
      </c>
      <c r="E1650" s="8" t="s">
        <v>392</v>
      </c>
    </row>
    <row r="1651" ht="14.25" hidden="1" customHeight="1">
      <c r="A1651" s="8" t="s">
        <v>1769</v>
      </c>
      <c r="B1651" s="8" t="s">
        <v>843</v>
      </c>
      <c r="D1651" s="121" t="str">
        <f>HYPERLINK("http://www.detroit.va.gov/services/MH_DRRTP.ASP")</f>
        <v>http://www.detroit.va.gov/services/MH_DRRTP.ASP</v>
      </c>
      <c r="E1651" s="8" t="s">
        <v>392</v>
      </c>
    </row>
    <row r="1652" ht="14.25" hidden="1" customHeight="1">
      <c r="A1652" s="8" t="s">
        <v>1769</v>
      </c>
      <c r="B1652" s="8" t="s">
        <v>538</v>
      </c>
      <c r="D1652" s="121" t="str">
        <f>HYPERLINK("http://www.detroit.va.gov/services/ENDOCRINOLOGY.ASP")</f>
        <v>http://www.detroit.va.gov/services/ENDOCRINOLOGY.ASP</v>
      </c>
      <c r="E1652" s="8" t="s">
        <v>392</v>
      </c>
    </row>
    <row r="1653" ht="14.25" hidden="1" customHeight="1">
      <c r="A1653" s="8" t="s">
        <v>1769</v>
      </c>
      <c r="B1653" s="8" t="s">
        <v>309</v>
      </c>
      <c r="D1653" s="121" t="str">
        <f>HYPERLINK("http://www.detroit.va.gov/services/EXTENDED_CARE_AND_REHABILITATION.ASP")</f>
        <v>http://www.detroit.va.gov/services/EXTENDED_CARE_AND_REHABILITATION.ASP</v>
      </c>
      <c r="E1653" s="8" t="s">
        <v>392</v>
      </c>
    </row>
    <row r="1654" ht="14.25" hidden="1" customHeight="1">
      <c r="A1654" s="8" t="s">
        <v>1769</v>
      </c>
      <c r="B1654" s="8" t="s">
        <v>519</v>
      </c>
      <c r="D1654" s="121" t="str">
        <f>HYPERLINK("http://www.detroit.va.gov/services/FPOW.ASP")</f>
        <v>http://www.detroit.va.gov/services/FPOW.ASP</v>
      </c>
      <c r="E1654" s="8" t="s">
        <v>392</v>
      </c>
    </row>
    <row r="1655" ht="14.25" hidden="1" customHeight="1">
      <c r="A1655" s="8" t="s">
        <v>1769</v>
      </c>
      <c r="B1655" s="8" t="s">
        <v>1783</v>
      </c>
      <c r="D1655" s="121" t="str">
        <f>HYPERLINK("http://www.detroit.va.gov/services/GASTROENTEROLOGY_AND_HEPATOLOGY.ASP")</f>
        <v>http://www.detroit.va.gov/services/GASTROENTEROLOGY_AND_HEPATOLOGY.ASP</v>
      </c>
      <c r="E1655" s="8" t="s">
        <v>392</v>
      </c>
    </row>
    <row r="1656" ht="14.25" hidden="1" customHeight="1">
      <c r="A1656" s="8" t="s">
        <v>1769</v>
      </c>
      <c r="B1656" s="8" t="s">
        <v>1786</v>
      </c>
      <c r="D1656" s="121" t="str">
        <f>HYPERLINK("http://www.detroit.va.gov/services/HIV_AIDS_DIS_MGMT.ASP")</f>
        <v>http://www.detroit.va.gov/services/HIV_AIDS_DIS_MGMT.ASP</v>
      </c>
      <c r="E1656" s="8" t="s">
        <v>392</v>
      </c>
    </row>
    <row r="1657" ht="14.25" hidden="1" customHeight="1">
      <c r="A1657" s="8" t="s">
        <v>1769</v>
      </c>
      <c r="B1657" s="8" t="s">
        <v>1788</v>
      </c>
      <c r="D1657" s="121" t="str">
        <f>HYPERLINK("http://www.detroit.va.gov/services/HEMATOLOGY_ONCOLOGY_CHEMOTHERAPY.ASP")</f>
        <v>http://www.detroit.va.gov/services/HEMATOLOGY_ONCOLOGY_CHEMOTHERAPY.ASP</v>
      </c>
      <c r="E1657" s="8" t="s">
        <v>392</v>
      </c>
    </row>
    <row r="1658" ht="14.25" hidden="1" customHeight="1">
      <c r="A1658" s="8" t="s">
        <v>1769</v>
      </c>
      <c r="B1658" s="8" t="s">
        <v>579</v>
      </c>
      <c r="D1658" s="121" t="str">
        <f>HYPERLINK("http://www.detroit.va.gov/services/INFECTIOUS_DISEASE.ASP")</f>
        <v>http://www.detroit.va.gov/services/INFECTIOUS_DISEASE.ASP</v>
      </c>
      <c r="E1658" s="8" t="s">
        <v>392</v>
      </c>
    </row>
    <row r="1659" ht="14.25" hidden="1" customHeight="1">
      <c r="A1659" s="8" t="s">
        <v>1769</v>
      </c>
      <c r="B1659" s="8" t="s">
        <v>1792</v>
      </c>
      <c r="D1659" s="121" t="str">
        <f>HYPERLINK("http://www.detroit.va.gov/services/INTERNAL_MEDICINE.ASP")</f>
        <v>http://www.detroit.va.gov/services/INTERNAL_MEDICINE.ASP</v>
      </c>
      <c r="E1659" s="8" t="s">
        <v>392</v>
      </c>
    </row>
    <row r="1660" ht="14.25" hidden="1" customHeight="1">
      <c r="A1660" s="8" t="s">
        <v>1769</v>
      </c>
      <c r="B1660" s="8" t="s">
        <v>1794</v>
      </c>
      <c r="D1660" s="121" t="str">
        <f>HYPERLINK("http://www.detroit.va.gov/services/MEDICAL_SPECIALTIES.ASP")</f>
        <v>http://www.detroit.va.gov/services/MEDICAL_SPECIALTIES.ASP</v>
      </c>
      <c r="E1660" s="8" t="s">
        <v>392</v>
      </c>
    </row>
    <row r="1661" ht="14.25" hidden="1" customHeight="1">
      <c r="A1661" s="8" t="s">
        <v>1769</v>
      </c>
      <c r="B1661" s="8" t="s">
        <v>323</v>
      </c>
      <c r="D1661" s="121" t="str">
        <f>HYPERLINK("http://www.detroit.va.gov/services/MH_MENTAL_HEALTH.ASP")</f>
        <v>http://www.detroit.va.gov/services/MH_MENTAL_HEALTH.ASP</v>
      </c>
      <c r="E1661" s="8" t="s">
        <v>392</v>
      </c>
    </row>
    <row r="1662" ht="14.25" hidden="1" customHeight="1">
      <c r="A1662" s="8" t="s">
        <v>1769</v>
      </c>
      <c r="B1662" s="8" t="s">
        <v>1797</v>
      </c>
      <c r="D1662" s="121" t="str">
        <f>HYPERLINK("http://www.detroit.va.gov/services/MH_INTAKE_SERVICE.ASP")</f>
        <v>http://www.detroit.va.gov/services/MH_INTAKE_SERVICE.ASP</v>
      </c>
      <c r="E1662" s="8" t="s">
        <v>392</v>
      </c>
    </row>
    <row r="1663" ht="14.25" hidden="1" customHeight="1">
      <c r="A1663" s="8" t="s">
        <v>1769</v>
      </c>
      <c r="B1663" s="8" t="s">
        <v>1231</v>
      </c>
      <c r="D1663" s="121" t="str">
        <f>HYPERLINK("http://www.detroit.va.gov/services/MH_MILITARY_SEXUAL_TRAUMA.ASP")</f>
        <v>http://www.detroit.va.gov/services/MH_MILITARY_SEXUAL_TRAUMA.ASP</v>
      </c>
      <c r="E1663" s="8" t="s">
        <v>392</v>
      </c>
    </row>
    <row r="1664" ht="14.25" hidden="1" customHeight="1">
      <c r="A1664" s="8" t="s">
        <v>1769</v>
      </c>
      <c r="B1664" s="8" t="s">
        <v>1799</v>
      </c>
      <c r="D1664" s="121" t="str">
        <f>HYPERLINK("http://www.detroit.va.gov/services/NEPHROLOGY.ASP")</f>
        <v>http://www.detroit.va.gov/services/NEPHROLOGY.ASP</v>
      </c>
      <c r="E1664" s="8" t="s">
        <v>392</v>
      </c>
    </row>
    <row r="1665" ht="14.25" hidden="1" customHeight="1">
      <c r="A1665" s="8" t="s">
        <v>1769</v>
      </c>
      <c r="B1665" s="8" t="s">
        <v>1172</v>
      </c>
      <c r="D1665" s="121" t="str">
        <f>HYPERLINK("http://www.detroit.va.gov/services/NEUROLOGY.ASP")</f>
        <v>http://www.detroit.va.gov/services/NEUROLOGY.ASP</v>
      </c>
      <c r="E1665" s="8" t="s">
        <v>392</v>
      </c>
    </row>
    <row r="1666" ht="14.25" hidden="1" customHeight="1">
      <c r="A1666" s="8" t="s">
        <v>1769</v>
      </c>
      <c r="B1666" s="8" t="s">
        <v>603</v>
      </c>
      <c r="D1666" s="121" t="str">
        <f>HYPERLINK("http://www.detroit.va.gov/services/NUCLEAR_MEDICINE.ASP")</f>
        <v>http://www.detroit.va.gov/services/NUCLEAR_MEDICINE.ASP</v>
      </c>
      <c r="E1666" s="8" t="s">
        <v>392</v>
      </c>
    </row>
    <row r="1667" ht="14.25" hidden="1" customHeight="1">
      <c r="A1667" s="8" t="s">
        <v>1769</v>
      </c>
      <c r="B1667" s="8" t="s">
        <v>651</v>
      </c>
      <c r="D1667" s="121" t="str">
        <f>HYPERLINK("http://www.detroit.va.gov/services/PALLIATIVECARE.ASP")</f>
        <v>http://www.detroit.va.gov/services/PALLIATIVECARE.ASP</v>
      </c>
      <c r="E1667" s="8" t="s">
        <v>392</v>
      </c>
    </row>
    <row r="1668" ht="14.25" hidden="1" customHeight="1">
      <c r="A1668" s="8" t="s">
        <v>1769</v>
      </c>
      <c r="B1668" s="8" t="s">
        <v>960</v>
      </c>
      <c r="D1668" s="121" t="str">
        <f>HYPERLINK("http://www.detroit.va.gov/services/PALMS.ASP")</f>
        <v>http://www.detroit.va.gov/services/PALMS.ASP</v>
      </c>
      <c r="E1668" s="8" t="s">
        <v>392</v>
      </c>
    </row>
    <row r="1669" ht="14.25" hidden="1" customHeight="1">
      <c r="A1669" s="8" t="s">
        <v>1769</v>
      </c>
      <c r="B1669" s="8" t="s">
        <v>343</v>
      </c>
      <c r="D1669" s="121" t="str">
        <f>HYPERLINK("http://www.detroit.va.gov/services/PHARMACY.ASP")</f>
        <v>http://www.detroit.va.gov/services/PHARMACY.ASP</v>
      </c>
      <c r="E1669" s="8" t="s">
        <v>392</v>
      </c>
    </row>
    <row r="1670" ht="14.25" hidden="1" customHeight="1">
      <c r="A1670" s="8" t="s">
        <v>1769</v>
      </c>
      <c r="B1670" s="8" t="s">
        <v>1803</v>
      </c>
      <c r="D1670" s="121" t="str">
        <f>HYPERLINK("http://www.detroit.va.gov/services/PHARMACY_ANTICOAGULATION_CLINIC.ASP")</f>
        <v>http://www.detroit.va.gov/services/PHARMACY_ANTICOAGULATION_CLINIC.ASP</v>
      </c>
      <c r="E1670" s="8" t="s">
        <v>392</v>
      </c>
    </row>
    <row r="1671" ht="14.25" hidden="1" customHeight="1">
      <c r="A1671" s="8" t="s">
        <v>1769</v>
      </c>
      <c r="B1671" s="8" t="s">
        <v>1804</v>
      </c>
      <c r="D1671" s="121" t="str">
        <f>HYPERLINK("http://www.detroit.va.gov/services/MH_POST_TRAUMATIC_STRESS_DISORDER_TEAM.ASP")</f>
        <v>http://www.detroit.va.gov/services/MH_POST_TRAUMATIC_STRESS_DISORDER_TEAM.ASP</v>
      </c>
      <c r="E1671" s="8" t="s">
        <v>392</v>
      </c>
    </row>
    <row r="1672" ht="14.25" hidden="1" customHeight="1">
      <c r="A1672" s="8" t="s">
        <v>1769</v>
      </c>
      <c r="B1672" s="8" t="s">
        <v>348</v>
      </c>
      <c r="D1672" s="121" t="str">
        <f>HYPERLINK("http://www.detroit.va.gov/services/PRIMARY.ASP")</f>
        <v>http://www.detroit.va.gov/services/PRIMARY.ASP</v>
      </c>
      <c r="E1672" s="8" t="s">
        <v>392</v>
      </c>
    </row>
    <row r="1673" ht="14.25" hidden="1" customHeight="1">
      <c r="A1673" s="8" t="s">
        <v>1769</v>
      </c>
      <c r="B1673" s="8" t="s">
        <v>1805</v>
      </c>
      <c r="D1673" s="121" t="str">
        <f>HYPERLINK("http://www.detroit.va.gov/services/MH_PRIMARY_CARE_MENTAL_HEALTH_INTEGRATION.ASP")</f>
        <v>http://www.detroit.va.gov/services/MH_PRIMARY_CARE_MENTAL_HEALTH_INTEGRATION.ASP</v>
      </c>
      <c r="E1673" s="8" t="s">
        <v>392</v>
      </c>
    </row>
    <row r="1674" ht="14.25" hidden="1" customHeight="1">
      <c r="A1674" s="8" t="s">
        <v>1769</v>
      </c>
      <c r="B1674" s="8" t="s">
        <v>964</v>
      </c>
      <c r="D1674" s="121" t="str">
        <f>HYPERLINK("http://www.detroit.va.gov/services/MH_PSYCHOSOCIAL_REHABILITATION_AND_RECOVERY_CENTER.ASP")</f>
        <v>http://www.detroit.va.gov/services/MH_PSYCHOSOCIAL_REHABILITATION_AND_RECOVERY_CENTER.ASP</v>
      </c>
      <c r="E1674" s="8" t="s">
        <v>392</v>
      </c>
    </row>
    <row r="1675" ht="14.25" hidden="1" customHeight="1">
      <c r="A1675" s="8" t="s">
        <v>1769</v>
      </c>
      <c r="B1675" s="8" t="s">
        <v>1807</v>
      </c>
      <c r="D1675" s="121" t="str">
        <f>HYPERLINK("http://www.detroit.va.gov/services/PULMONARY.ASP")</f>
        <v>http://www.detroit.va.gov/services/PULMONARY.ASP</v>
      </c>
      <c r="E1675" s="8" t="s">
        <v>392</v>
      </c>
    </row>
    <row r="1676" ht="14.25" hidden="1" customHeight="1">
      <c r="A1676" s="8" t="s">
        <v>1769</v>
      </c>
      <c r="B1676" s="8" t="s">
        <v>457</v>
      </c>
      <c r="D1676" s="121" t="str">
        <f>HYPERLINK("http://www.detroit.va.gov/services/RADIATION_ONCOLOGY.ASP")</f>
        <v>http://www.detroit.va.gov/services/RADIATION_ONCOLOGY.ASP</v>
      </c>
      <c r="E1676" s="8" t="s">
        <v>392</v>
      </c>
    </row>
    <row r="1677" ht="14.25" hidden="1" customHeight="1">
      <c r="A1677" s="8" t="s">
        <v>1769</v>
      </c>
      <c r="B1677" s="8" t="s">
        <v>717</v>
      </c>
      <c r="D1677" s="121" t="str">
        <f>HYPERLINK("http://www.detroit.va.gov/services/RADIOLOGY.ASP")</f>
        <v>http://www.detroit.va.gov/services/RADIOLOGY.ASP</v>
      </c>
      <c r="E1677" s="8" t="s">
        <v>392</v>
      </c>
    </row>
    <row r="1678" ht="14.25" hidden="1" customHeight="1">
      <c r="A1678" s="8" t="s">
        <v>1769</v>
      </c>
      <c r="B1678" s="8" t="s">
        <v>505</v>
      </c>
      <c r="D1678" s="121" t="str">
        <f>HYPERLINK("http://www.detroit.va.gov/services/RECREATION_THERAPY.ASP")</f>
        <v>http://www.detroit.va.gov/services/RECREATION_THERAPY.ASP</v>
      </c>
      <c r="E1678" s="8" t="s">
        <v>392</v>
      </c>
    </row>
    <row r="1679" ht="14.25" hidden="1" customHeight="1">
      <c r="A1679" s="8" t="s">
        <v>1769</v>
      </c>
      <c r="B1679" s="8" t="s">
        <v>1171</v>
      </c>
      <c r="D1679" s="121" t="str">
        <f>HYPERLINK("http://www.detroit.va.gov/services/RHEUMATOLOGY.ASP")</f>
        <v>http://www.detroit.va.gov/services/RHEUMATOLOGY.ASP</v>
      </c>
      <c r="E1679" s="8" t="s">
        <v>392</v>
      </c>
    </row>
    <row r="1680" ht="14.25" hidden="1" customHeight="1">
      <c r="A1680" s="8" t="s">
        <v>1769</v>
      </c>
      <c r="B1680" s="8" t="s">
        <v>1809</v>
      </c>
      <c r="D1680" s="121" t="str">
        <f>HYPERLINK("http://www.detroit.va.gov/services/SLEEPCENTER_DEFAULT.ASP")</f>
        <v>http://www.detroit.va.gov/services/SLEEPCENTER_DEFAULT.ASP</v>
      </c>
      <c r="E1680" s="8" t="s">
        <v>392</v>
      </c>
    </row>
    <row r="1681" ht="14.25" hidden="1" customHeight="1">
      <c r="A1681" s="8" t="s">
        <v>1769</v>
      </c>
      <c r="B1681" s="8" t="s">
        <v>360</v>
      </c>
      <c r="D1681" s="121" t="str">
        <f>HYPERLINK("http://www.detroit.va.gov/services/SOCIALWORK.ASP")</f>
        <v>http://www.detroit.va.gov/services/SOCIALWORK.ASP</v>
      </c>
      <c r="E1681" s="8" t="s">
        <v>392</v>
      </c>
    </row>
    <row r="1682" ht="14.25" hidden="1" customHeight="1">
      <c r="A1682" s="8" t="s">
        <v>1769</v>
      </c>
      <c r="B1682" s="8" t="s">
        <v>363</v>
      </c>
      <c r="D1682" s="121" t="str">
        <f>HYPERLINK("http://www.detroit.va.gov/services/SPECIALTY.ASP")</f>
        <v>http://www.detroit.va.gov/services/SPECIALTY.ASP</v>
      </c>
      <c r="E1682" s="8" t="s">
        <v>392</v>
      </c>
    </row>
    <row r="1683" ht="14.25" hidden="1" customHeight="1">
      <c r="A1683" s="8" t="s">
        <v>1769</v>
      </c>
      <c r="B1683" s="8" t="s">
        <v>364</v>
      </c>
      <c r="D1683" s="121" t="str">
        <f>HYPERLINK("http://www.detroit.va.gov/services/SCI.ASP")</f>
        <v>http://www.detroit.va.gov/services/SCI.ASP</v>
      </c>
      <c r="E1683" s="8" t="s">
        <v>392</v>
      </c>
    </row>
    <row r="1684" ht="14.25" hidden="1" customHeight="1">
      <c r="A1684" s="8" t="s">
        <v>1769</v>
      </c>
      <c r="B1684" s="8" t="s">
        <v>1813</v>
      </c>
      <c r="D1684" s="121" t="str">
        <f>HYPERLINK("http://www.detroit.va.gov/services/MH_SUBSTANCE_USE_DISORDER_SERVICES.ASP")</f>
        <v>http://www.detroit.va.gov/services/MH_SUBSTANCE_USE_DISORDER_SERVICES.ASP</v>
      </c>
      <c r="E1684" s="8" t="s">
        <v>392</v>
      </c>
    </row>
    <row r="1685" ht="14.25" hidden="1" customHeight="1">
      <c r="A1685" s="8" t="s">
        <v>1769</v>
      </c>
      <c r="B1685" s="8" t="s">
        <v>1088</v>
      </c>
      <c r="D1685" s="121" t="str">
        <f>HYPERLINK("http://www.detroit.va.gov/services/SURGERY.ASP")</f>
        <v>http://www.detroit.va.gov/services/SURGERY.ASP</v>
      </c>
      <c r="E1685" s="8" t="s">
        <v>392</v>
      </c>
    </row>
    <row r="1686" ht="14.25" hidden="1" customHeight="1">
      <c r="A1686" s="8" t="s">
        <v>1769</v>
      </c>
      <c r="B1686" s="8" t="s">
        <v>1818</v>
      </c>
      <c r="D1686" s="121" t="str">
        <f>HYPERLINK("http://www.detroit.va.gov/services/POLYTRAUMA.ASP")</f>
        <v>http://www.detroit.va.gov/services/POLYTRAUMA.ASP</v>
      </c>
      <c r="E1686" s="8" t="s">
        <v>392</v>
      </c>
    </row>
    <row r="1687" ht="14.25" hidden="1" customHeight="1">
      <c r="A1687" s="8" t="s">
        <v>1769</v>
      </c>
      <c r="B1687" s="8" t="s">
        <v>1819</v>
      </c>
      <c r="D1687" s="121" t="str">
        <f>HYPERLINK("http://www.detroit.va.gov/services/VIST.ASP")</f>
        <v>http://www.detroit.va.gov/services/VIST.ASP</v>
      </c>
      <c r="E1687" s="8" t="s">
        <v>392</v>
      </c>
    </row>
    <row r="1688" ht="14.25" hidden="1" customHeight="1">
      <c r="A1688" s="8" t="s">
        <v>1769</v>
      </c>
      <c r="B1688" s="8" t="s">
        <v>1822</v>
      </c>
      <c r="D1688" s="121" t="str">
        <f>HYPERLINK("http://www.detroit.va.gov/services/VCR.ASP")</f>
        <v>http://www.detroit.va.gov/services/VCR.ASP</v>
      </c>
      <c r="E1688" s="8" t="s">
        <v>392</v>
      </c>
    </row>
    <row r="1689" ht="14.25" hidden="1" customHeight="1">
      <c r="A1689" s="8" t="s">
        <v>1823</v>
      </c>
      <c r="B1689" s="8" t="s">
        <v>244</v>
      </c>
      <c r="D1689" s="121" t="str">
        <f>HYPERLINK("http://www.dublin.va.gov/services/AUDIOLOGY.ASP")</f>
        <v>http://www.dublin.va.gov/services/AUDIOLOGY.ASP</v>
      </c>
      <c r="E1689" s="8" t="s">
        <v>392</v>
      </c>
    </row>
    <row r="1690" ht="14.25" hidden="1" customHeight="1">
      <c r="A1690" s="8" t="s">
        <v>1823</v>
      </c>
      <c r="B1690" s="8" t="s">
        <v>478</v>
      </c>
      <c r="D1690" s="121" t="str">
        <f>HYPERLINK("http://www.dublin.va.gov/services/CHAPLAIN_SERVICE.ASP")</f>
        <v>http://www.dublin.va.gov/services/CHAPLAIN_SERVICE.ASP</v>
      </c>
      <c r="E1690" s="8" t="s">
        <v>392</v>
      </c>
    </row>
    <row r="1691" ht="14.25" hidden="1" customHeight="1">
      <c r="A1691" s="8" t="s">
        <v>1823</v>
      </c>
      <c r="B1691" s="8" t="s">
        <v>309</v>
      </c>
      <c r="D1691" s="121" t="str">
        <f>HYPERLINK("http://www.dublin.va.gov/services/ECRC.ASP")</f>
        <v>http://www.dublin.va.gov/services/ECRC.ASP</v>
      </c>
      <c r="E1691" s="8" t="s">
        <v>392</v>
      </c>
    </row>
    <row r="1692" ht="14.25" hidden="1" customHeight="1">
      <c r="A1692" s="8" t="s">
        <v>1823</v>
      </c>
      <c r="B1692" s="8" t="s">
        <v>1825</v>
      </c>
      <c r="D1692" s="121" t="str">
        <f>HYPERLINK("http://www.dublin.va.gov/services/MOVE.ASP")</f>
        <v>http://www.dublin.va.gov/services/MOVE.ASP</v>
      </c>
      <c r="E1692" s="8" t="s">
        <v>392</v>
      </c>
    </row>
    <row r="1693" ht="14.25" hidden="1" customHeight="1">
      <c r="A1693" s="8" t="s">
        <v>1823</v>
      </c>
      <c r="B1693" s="8" t="s">
        <v>1826</v>
      </c>
      <c r="D1693" s="121" t="str">
        <f>HYPERLINK("http://www.dublin.va.gov/services/MEDICAL_FOSTER_HOME_PROGRAM.ASP")</f>
        <v>http://www.dublin.va.gov/services/MEDICAL_FOSTER_HOME_PROGRAM.ASP</v>
      </c>
      <c r="E1693" s="8" t="s">
        <v>392</v>
      </c>
    </row>
    <row r="1694" ht="14.25" hidden="1" customHeight="1">
      <c r="A1694" s="8" t="s">
        <v>1823</v>
      </c>
      <c r="B1694" s="8" t="s">
        <v>323</v>
      </c>
      <c r="D1694" s="121" t="str">
        <f>HYPERLINK("http://www.dublin.va.gov/services/MENTALHEALTH.ASP")</f>
        <v>http://www.dublin.va.gov/services/MENTALHEALTH.ASP</v>
      </c>
      <c r="E1694" s="8" t="s">
        <v>392</v>
      </c>
    </row>
    <row r="1695" ht="14.25" hidden="1" customHeight="1">
      <c r="A1695" s="8" t="s">
        <v>1823</v>
      </c>
      <c r="B1695" s="8" t="s">
        <v>343</v>
      </c>
      <c r="D1695" s="121" t="str">
        <f>HYPERLINK("http://www.dublin.va.gov/services/PHARMACY.ASP")</f>
        <v>http://www.dublin.va.gov/services/PHARMACY.ASP</v>
      </c>
      <c r="E1695" s="8" t="s">
        <v>392</v>
      </c>
    </row>
    <row r="1696" ht="14.25" hidden="1" customHeight="1">
      <c r="A1696" s="8" t="s">
        <v>1823</v>
      </c>
      <c r="B1696" s="8" t="s">
        <v>348</v>
      </c>
      <c r="D1696" s="121" t="str">
        <f>HYPERLINK("http://www.dublin.va.gov/services/PRIMARY.ASP")</f>
        <v>http://www.dublin.va.gov/services/PRIMARY.ASP</v>
      </c>
      <c r="E1696" s="8" t="s">
        <v>392</v>
      </c>
    </row>
    <row r="1697" ht="14.25" hidden="1" customHeight="1">
      <c r="A1697" s="8" t="s">
        <v>1823</v>
      </c>
      <c r="B1697" s="8" t="s">
        <v>360</v>
      </c>
      <c r="D1697" s="121" t="str">
        <f>HYPERLINK("http://www.dublin.va.gov/services/SOCIALWORK.ASP")</f>
        <v>http://www.dublin.va.gov/services/SOCIALWORK.ASP</v>
      </c>
      <c r="E1697" s="8" t="s">
        <v>392</v>
      </c>
    </row>
    <row r="1698" ht="14.25" hidden="1" customHeight="1">
      <c r="A1698" s="8" t="s">
        <v>1823</v>
      </c>
      <c r="B1698" s="8" t="s">
        <v>363</v>
      </c>
      <c r="D1698" s="121" t="str">
        <f>HYPERLINK("http://www.dublin.va.gov/services/SPECIALTY.ASP")</f>
        <v>http://www.dublin.va.gov/services/SPECIALTY.ASP</v>
      </c>
      <c r="E1698" s="8" t="s">
        <v>392</v>
      </c>
    </row>
    <row r="1699" ht="14.25" hidden="1" customHeight="1">
      <c r="A1699" s="8" t="s">
        <v>1823</v>
      </c>
      <c r="B1699" s="8" t="s">
        <v>1830</v>
      </c>
      <c r="D1699" s="121" t="str">
        <f>HYPERLINK("http://www.dublin.va.gov/services/TRANSITION_CARE_MANAGEMENT_TCM.ASP")</f>
        <v>http://www.dublin.va.gov/services/TRANSITION_CARE_MANAGEMENT_TCM.ASP</v>
      </c>
      <c r="E1699" s="8" t="s">
        <v>392</v>
      </c>
    </row>
    <row r="1700" ht="14.25" hidden="1" customHeight="1">
      <c r="A1700" s="8" t="s">
        <v>1831</v>
      </c>
      <c r="B1700" s="8" t="s">
        <v>692</v>
      </c>
      <c r="D1700" s="121" t="str">
        <f>HYPERLINK("http://www.durham.va.gov/services/COMMUNITY_CARE.ASP")</f>
        <v>http://www.durham.va.gov/services/COMMUNITY_CARE.ASP</v>
      </c>
      <c r="E1700" s="8" t="s">
        <v>392</v>
      </c>
    </row>
    <row r="1701" ht="14.25" hidden="1" customHeight="1">
      <c r="A1701" s="8" t="s">
        <v>1831</v>
      </c>
      <c r="B1701" s="8" t="s">
        <v>1832</v>
      </c>
      <c r="D1701" s="121" t="str">
        <f>HYPERLINK("http://www.durham.va.gov/services/GASTROINTESTINAL_AND_ENDOSCOPY.ASP")</f>
        <v>http://www.durham.va.gov/services/GASTROINTESTINAL_AND_ENDOSCOPY.ASP</v>
      </c>
      <c r="E1701" s="8" t="s">
        <v>392</v>
      </c>
    </row>
    <row r="1702" ht="14.25" hidden="1" customHeight="1">
      <c r="A1702" s="8" t="s">
        <v>1831</v>
      </c>
      <c r="B1702" s="8" t="s">
        <v>1759</v>
      </c>
      <c r="D1702" s="121" t="str">
        <f>HYPERLINK("http://www.durham.va.gov/services/GRECC.ASP")</f>
        <v>http://www.durham.va.gov/services/GRECC.ASP</v>
      </c>
      <c r="E1702" s="8" t="s">
        <v>392</v>
      </c>
    </row>
    <row r="1703" ht="14.25" hidden="1" customHeight="1">
      <c r="A1703" s="8" t="s">
        <v>1831</v>
      </c>
      <c r="B1703" s="8" t="s">
        <v>1834</v>
      </c>
      <c r="D1703" s="121" t="str">
        <f>HYPERLINK("http://www.durham.va.gov/services/GERIATRICS_AND_EXTENDED.ASP")</f>
        <v>http://www.durham.va.gov/services/GERIATRICS_AND_EXTENDED.ASP</v>
      </c>
      <c r="E1703" s="8" t="s">
        <v>392</v>
      </c>
    </row>
    <row r="1704" ht="14.25" hidden="1" customHeight="1">
      <c r="A1704" s="8" t="s">
        <v>1831</v>
      </c>
      <c r="B1704" s="8" t="s">
        <v>1154</v>
      </c>
      <c r="D1704" s="121" t="str">
        <f>HYPERLINK("http://www.durham.va.gov/services/HEALTH_PROMOTION_AND_DISEASE_PREVENTION.ASP")</f>
        <v>http://www.durham.va.gov/services/HEALTH_PROMOTION_AND_DISEASE_PREVENTION.ASP</v>
      </c>
      <c r="E1704" s="8" t="s">
        <v>392</v>
      </c>
    </row>
    <row r="1705" ht="14.25" hidden="1" customHeight="1">
      <c r="A1705" s="8" t="s">
        <v>1831</v>
      </c>
      <c r="B1705" s="8" t="s">
        <v>1016</v>
      </c>
      <c r="D1705" s="121" t="str">
        <f>HYPERLINK("http://www.durham.va.gov/services/MEDICAL_FOSTER_HOME_PROGRAM.ASP")</f>
        <v>http://www.durham.va.gov/services/MEDICAL_FOSTER_HOME_PROGRAM.ASP</v>
      </c>
      <c r="E1705" s="8" t="s">
        <v>392</v>
      </c>
    </row>
    <row r="1706" ht="14.25" hidden="1" customHeight="1">
      <c r="A1706" s="8" t="s">
        <v>1831</v>
      </c>
      <c r="B1706" s="8" t="s">
        <v>323</v>
      </c>
      <c r="D1706" s="121" t="str">
        <f>HYPERLINK("http://www.durham.va.gov/services/MENTAL_HEALTH.ASP")</f>
        <v>http://www.durham.va.gov/services/MENTAL_HEALTH.ASP</v>
      </c>
      <c r="E1706" s="8" t="s">
        <v>392</v>
      </c>
    </row>
    <row r="1707" ht="14.25" hidden="1" customHeight="1">
      <c r="A1707" s="8" t="s">
        <v>1831</v>
      </c>
      <c r="B1707" s="8" t="s">
        <v>326</v>
      </c>
      <c r="D1707" s="121" t="str">
        <f>HYPERLINK("http://www.durham.va.gov/services/MVP.ASP")</f>
        <v>http://www.durham.va.gov/services/MVP.ASP</v>
      </c>
      <c r="E1707" s="8" t="s">
        <v>392</v>
      </c>
    </row>
    <row r="1708" ht="14.25" hidden="1" customHeight="1">
      <c r="A1708" s="8" t="s">
        <v>1831</v>
      </c>
      <c r="B1708" s="8" t="s">
        <v>900</v>
      </c>
      <c r="D1708" s="121" t="str">
        <f>HYPERLINK("http://www.durham.va.gov/services/OCCUPATIONAL_THERAPY.ASP")</f>
        <v>http://www.durham.va.gov/services/OCCUPATIONAL_THERAPY.ASP</v>
      </c>
      <c r="E1708" s="8" t="s">
        <v>392</v>
      </c>
    </row>
    <row r="1709" ht="14.25" hidden="1" customHeight="1">
      <c r="A1709" s="8" t="s">
        <v>1831</v>
      </c>
      <c r="B1709" s="8" t="s">
        <v>1845</v>
      </c>
      <c r="D1709" s="121" t="str">
        <f>HYPERLINK("http://www.durham.va.gov/services/PHARMACY.ASP")</f>
        <v>http://www.durham.va.gov/services/PHARMACY.ASP</v>
      </c>
      <c r="E1709" s="8" t="s">
        <v>392</v>
      </c>
    </row>
    <row r="1710" ht="14.25" hidden="1" customHeight="1">
      <c r="A1710" s="8" t="s">
        <v>1831</v>
      </c>
      <c r="B1710" s="8" t="s">
        <v>961</v>
      </c>
      <c r="D1710" s="121" t="str">
        <f>HYPERLINK("http://www.durham.va.gov/services/PMRS.ASP")</f>
        <v>http://www.durham.va.gov/services/PMRS.ASP</v>
      </c>
      <c r="E1710" s="8" t="s">
        <v>392</v>
      </c>
    </row>
    <row r="1711" ht="14.25" hidden="1" customHeight="1">
      <c r="A1711" s="8" t="s">
        <v>1831</v>
      </c>
      <c r="B1711" s="8" t="s">
        <v>608</v>
      </c>
      <c r="D1711" s="121" t="str">
        <f>HYPERLINK("http://www.durham.va.gov/services/PHYSICAL_THERAPY.ASP")</f>
        <v>http://www.durham.va.gov/services/PHYSICAL_THERAPY.ASP</v>
      </c>
      <c r="E1711" s="8" t="s">
        <v>392</v>
      </c>
    </row>
    <row r="1712" ht="14.25" hidden="1" customHeight="1">
      <c r="A1712" s="8" t="s">
        <v>1831</v>
      </c>
      <c r="B1712" s="8" t="s">
        <v>1849</v>
      </c>
      <c r="D1712" s="121" t="str">
        <f>HYPERLINK("http://www.durham.va.gov/services/PHYSICAL_THERAPY_ORTHOPAEDIC_RESIDENCY_PROGRAM.ASP")</f>
        <v>http://www.durham.va.gov/services/PHYSICAL_THERAPY_ORTHOPAEDIC_RESIDENCY_PROGRAM.ASP</v>
      </c>
      <c r="E1712" s="8" t="s">
        <v>392</v>
      </c>
    </row>
    <row r="1713" ht="14.25" hidden="1" customHeight="1">
      <c r="A1713" s="8" t="s">
        <v>1831</v>
      </c>
      <c r="B1713" s="8" t="s">
        <v>1850</v>
      </c>
      <c r="D1713" s="121" t="str">
        <f>HYPERLINK("http://www.durham.va.gov/services/PRIMARY.ASP")</f>
        <v>http://www.durham.va.gov/services/PRIMARY.ASP</v>
      </c>
      <c r="E1713" s="8" t="s">
        <v>392</v>
      </c>
    </row>
    <row r="1714" ht="14.25" hidden="1" customHeight="1">
      <c r="A1714" s="8" t="s">
        <v>1831</v>
      </c>
      <c r="B1714" s="8" t="s">
        <v>1270</v>
      </c>
      <c r="D1714" s="121" t="str">
        <f>HYPERLINK("http://www.durham.va.gov/services/PSYCHOLOGY-INTERNSHIP.ASP")</f>
        <v>http://www.durham.va.gov/services/PSYCHOLOGY-INTERNSHIP.ASP</v>
      </c>
      <c r="E1714" s="8" t="s">
        <v>392</v>
      </c>
    </row>
    <row r="1715" ht="14.25" hidden="1" customHeight="1">
      <c r="A1715" s="8" t="s">
        <v>1831</v>
      </c>
      <c r="B1715" s="8" t="s">
        <v>1852</v>
      </c>
      <c r="D1715" s="121" t="str">
        <f>HYPERLINK("http://www.durham.va.gov/services/PSYCHOLOGY_TRAINING.ASP")</f>
        <v>http://www.durham.va.gov/services/PSYCHOLOGY_TRAINING.ASP</v>
      </c>
      <c r="E1715" s="8" t="s">
        <v>392</v>
      </c>
    </row>
    <row r="1716" ht="14.25" hidden="1" customHeight="1">
      <c r="A1716" s="8" t="s">
        <v>1831</v>
      </c>
      <c r="B1716" s="8" t="s">
        <v>505</v>
      </c>
      <c r="D1716" s="121" t="str">
        <f>HYPERLINK("http://www.durham.va.gov/services/RECREATION_THERAPY.ASP")</f>
        <v>http://www.durham.va.gov/services/RECREATION_THERAPY.ASP</v>
      </c>
      <c r="E1716" s="8" t="s">
        <v>392</v>
      </c>
    </row>
    <row r="1717" ht="14.25" hidden="1" customHeight="1">
      <c r="A1717" s="8" t="s">
        <v>1831</v>
      </c>
      <c r="B1717" s="8" t="s">
        <v>360</v>
      </c>
      <c r="D1717" s="121" t="str">
        <f>HYPERLINK("http://www.durham.va.gov/services/SOCIALWORK.ASP")</f>
        <v>http://www.durham.va.gov/services/SOCIALWORK.ASP</v>
      </c>
      <c r="E1717" s="8" t="s">
        <v>392</v>
      </c>
    </row>
    <row r="1718" ht="14.25" hidden="1" customHeight="1">
      <c r="A1718" s="8" t="s">
        <v>1831</v>
      </c>
      <c r="B1718" s="8" t="s">
        <v>1857</v>
      </c>
      <c r="D1718" s="121" t="str">
        <f>HYPERLINK("http://www.durham.va.gov/services/SCID.ASP")</f>
        <v>http://www.durham.va.gov/services/SCID.ASP</v>
      </c>
      <c r="E1718" s="8" t="s">
        <v>392</v>
      </c>
    </row>
    <row r="1719" ht="14.25" hidden="1" customHeight="1">
      <c r="A1719" s="8" t="s">
        <v>1831</v>
      </c>
      <c r="B1719" s="8" t="s">
        <v>1858</v>
      </c>
      <c r="D1719" s="121" t="str">
        <f>HYPERLINK("http://www.durham.va.gov/services/TRANSITIONAL_CARE_TLC_PARTNERS_PROGRAM.ASP")</f>
        <v>http://www.durham.va.gov/services/TRANSITIONAL_CARE_TLC_PARTNERS_PROGRAM.ASP</v>
      </c>
      <c r="E1719" s="8" t="s">
        <v>392</v>
      </c>
    </row>
    <row r="1720" ht="14.25" hidden="1" customHeight="1">
      <c r="A1720" s="8" t="s">
        <v>1831</v>
      </c>
      <c r="B1720" s="8" t="s">
        <v>1861</v>
      </c>
      <c r="D1720" s="121" t="str">
        <f>HYPERLINK("http://www.durham.va.gov/services/URGENT_CARE_QUESTIONS_ONLY.ASP")</f>
        <v>http://www.durham.va.gov/services/URGENT_CARE_QUESTIONS_ONLY.ASP</v>
      </c>
      <c r="E1720" s="8" t="s">
        <v>392</v>
      </c>
    </row>
    <row r="1721" ht="14.25" hidden="1" customHeight="1">
      <c r="A1721" s="8" t="s">
        <v>1831</v>
      </c>
      <c r="B1721" s="8" t="s">
        <v>1864</v>
      </c>
      <c r="D1721" s="121" t="str">
        <f>HYPERLINK("http://www.durham.va.gov/services/VA_BENEFICIARY_TRAVEL.ASP")</f>
        <v>http://www.durham.va.gov/services/VA_BENEFICIARY_TRAVEL.ASP</v>
      </c>
      <c r="E1721" s="8" t="s">
        <v>392</v>
      </c>
    </row>
    <row r="1722" ht="14.25" hidden="1" customHeight="1">
      <c r="A1722" s="8" t="s">
        <v>1831</v>
      </c>
      <c r="B1722" s="8" t="s">
        <v>973</v>
      </c>
      <c r="D1722" s="121" t="str">
        <f>HYPERLINK("http://www.durham.va.gov/services/WHOLE_HEALTH.ASP")</f>
        <v>http://www.durham.va.gov/services/WHOLE_HEALTH.ASP</v>
      </c>
      <c r="E1722" s="8" t="s">
        <v>392</v>
      </c>
    </row>
    <row r="1723" ht="14.25" hidden="1" customHeight="1">
      <c r="A1723" s="8" t="s">
        <v>1831</v>
      </c>
      <c r="B1723" s="8" t="s">
        <v>520</v>
      </c>
      <c r="D1723" s="121" t="str">
        <f>HYPERLINK("http://www.durham.va.gov/services/WOMEN_VETERANS_HEALTH_PROGRAM.ASP")</f>
        <v>http://www.durham.va.gov/services/WOMEN_VETERANS_HEALTH_PROGRAM.ASP</v>
      </c>
      <c r="E1723" s="8" t="s">
        <v>392</v>
      </c>
    </row>
    <row r="1724" ht="14.25" hidden="1" customHeight="1">
      <c r="A1724" s="8" t="s">
        <v>1868</v>
      </c>
      <c r="B1724" s="8" t="s">
        <v>475</v>
      </c>
      <c r="D1724" s="121" t="str">
        <f>HYPERLINK("http://www.elpaso.va.gov/services/ADMISSIONS.ASP")</f>
        <v>http://www.elpaso.va.gov/services/ADMISSIONS.ASP</v>
      </c>
      <c r="E1724" s="8" t="s">
        <v>392</v>
      </c>
    </row>
    <row r="1725" ht="14.25" hidden="1" customHeight="1">
      <c r="A1725" s="8" t="s">
        <v>1868</v>
      </c>
      <c r="B1725" s="8" t="s">
        <v>477</v>
      </c>
      <c r="D1725" s="121" t="str">
        <f>HYPERLINK("http://www.elpaso.va.gov/services/CAREGIVER_SUPPORT_COORDINATOR.ASP")</f>
        <v>http://www.elpaso.va.gov/services/CAREGIVER_SUPPORT_COORDINATOR.ASP</v>
      </c>
      <c r="E1725" s="8" t="s">
        <v>392</v>
      </c>
    </row>
    <row r="1726" ht="14.25" hidden="1" customHeight="1">
      <c r="A1726" s="8" t="s">
        <v>1868</v>
      </c>
      <c r="B1726" s="8" t="s">
        <v>480</v>
      </c>
      <c r="D1726" s="121" t="str">
        <f>HYPERLINK("http://www.elpaso.va.gov/services/COMPENSATION_PENSION.ASP")</f>
        <v>http://www.elpaso.va.gov/services/COMPENSATION_PENSION.ASP</v>
      </c>
      <c r="E1726" s="8" t="s">
        <v>392</v>
      </c>
    </row>
    <row r="1727" ht="14.25" hidden="1" customHeight="1">
      <c r="A1727" s="8" t="s">
        <v>1868</v>
      </c>
      <c r="B1727" s="8" t="s">
        <v>1870</v>
      </c>
      <c r="D1727" s="121" t="str">
        <f>HYPERLINK("http://www.elpaso.va.gov/services/PSYCHOLOGY.ASP")</f>
        <v>http://www.elpaso.va.gov/services/PSYCHOLOGY.ASP</v>
      </c>
      <c r="E1727" s="8" t="s">
        <v>392</v>
      </c>
    </row>
    <row r="1728" ht="14.25" hidden="1" customHeight="1">
      <c r="A1728" s="8" t="s">
        <v>1868</v>
      </c>
      <c r="B1728" s="8" t="s">
        <v>485</v>
      </c>
      <c r="D1728" s="121" t="str">
        <f>HYPERLINK("http://www.elpaso.va.gov/services/ENROLLMENT.ASP")</f>
        <v>http://www.elpaso.va.gov/services/ENROLLMENT.ASP</v>
      </c>
      <c r="E1728" s="8" t="s">
        <v>392</v>
      </c>
    </row>
    <row r="1729" ht="14.25" hidden="1" customHeight="1">
      <c r="A1729" s="8" t="s">
        <v>1868</v>
      </c>
      <c r="B1729" s="8" t="s">
        <v>489</v>
      </c>
      <c r="D1729" s="121" t="str">
        <f>HYPERLINK("http://www.elpaso.va.gov/services/HOMELESS_PROGRAM_COORDINATOR.ASP")</f>
        <v>http://www.elpaso.va.gov/services/HOMELESS_PROGRAM_COORDINATOR.ASP</v>
      </c>
      <c r="E1729" s="8" t="s">
        <v>392</v>
      </c>
    </row>
    <row r="1730" ht="14.25" hidden="1" customHeight="1">
      <c r="A1730" s="8" t="s">
        <v>1868</v>
      </c>
      <c r="B1730" s="8" t="s">
        <v>323</v>
      </c>
      <c r="D1730" s="121" t="str">
        <f>HYPERLINK("http://www.elpaso.va.gov/services/MENTAL_HEALTH_SERVICES.ASP")</f>
        <v>http://www.elpaso.va.gov/services/MENTAL_HEALTH_SERVICES.ASP</v>
      </c>
      <c r="E1730" s="8" t="s">
        <v>392</v>
      </c>
    </row>
    <row r="1731" ht="14.25" hidden="1" customHeight="1">
      <c r="A1731" s="8" t="s">
        <v>1868</v>
      </c>
      <c r="B1731" s="8" t="s">
        <v>324</v>
      </c>
      <c r="D1731" s="121" t="str">
        <f>HYPERLINK("http://www.elpaso.va.gov/services/MILITARY_SEXUAL_TRAUMA.ASP")</f>
        <v>http://www.elpaso.va.gov/services/MILITARY_SEXUAL_TRAUMA.ASP</v>
      </c>
      <c r="E1731" s="8" t="s">
        <v>392</v>
      </c>
    </row>
    <row r="1732" ht="14.25" hidden="1" customHeight="1">
      <c r="A1732" s="8" t="s">
        <v>1868</v>
      </c>
      <c r="B1732" s="8" t="s">
        <v>494</v>
      </c>
      <c r="D1732" s="121" t="str">
        <f>HYPERLINK("http://www.elpaso.va.gov/services/MY_HEALTHEVET.ASP")</f>
        <v>http://www.elpaso.va.gov/services/MY_HEALTHEVET.ASP</v>
      </c>
      <c r="E1732" s="8" t="s">
        <v>392</v>
      </c>
    </row>
    <row r="1733" ht="14.25" hidden="1" customHeight="1">
      <c r="A1733" s="8" t="s">
        <v>1868</v>
      </c>
      <c r="B1733" s="8" t="s">
        <v>343</v>
      </c>
      <c r="D1733" s="121" t="str">
        <f>HYPERLINK("http://www.elpaso.va.gov/services/PHARMACY.ASP")</f>
        <v>http://www.elpaso.va.gov/services/PHARMACY.ASP</v>
      </c>
      <c r="E1733" s="8" t="s">
        <v>392</v>
      </c>
    </row>
    <row r="1734" ht="14.25" hidden="1" customHeight="1">
      <c r="A1734" s="8" t="s">
        <v>1868</v>
      </c>
      <c r="B1734" s="8" t="s">
        <v>502</v>
      </c>
      <c r="D1734" s="121" t="str">
        <f>HYPERLINK("http://www.elpaso.va.gov/services/PRIVACY_OFFICE_AND_FREEDOM_OF_INFORMATION_ACT_FOIA.ASP")</f>
        <v>http://www.elpaso.va.gov/services/PRIVACY_OFFICE_AND_FREEDOM_OF_INFORMATION_ACT_FOIA.ASP</v>
      </c>
      <c r="E1734" s="8" t="s">
        <v>392</v>
      </c>
    </row>
    <row r="1735" ht="14.25" hidden="1" customHeight="1">
      <c r="A1735" s="8" t="s">
        <v>1868</v>
      </c>
      <c r="B1735" s="8" t="s">
        <v>504</v>
      </c>
      <c r="D1735" s="121" t="str">
        <f>HYPERLINK("http://www.elpaso.va.gov/services/PUBLIC_AFFAIRS.ASP")</f>
        <v>http://www.elpaso.va.gov/services/PUBLIC_AFFAIRS.ASP</v>
      </c>
      <c r="E1735" s="8" t="s">
        <v>392</v>
      </c>
    </row>
    <row r="1736" ht="14.25" hidden="1" customHeight="1">
      <c r="A1736" s="8" t="s">
        <v>1868</v>
      </c>
      <c r="B1736" s="8" t="s">
        <v>708</v>
      </c>
      <c r="D1736" s="121" t="str">
        <f>HYPERLINK("http://www.elpaso.va.gov/services/RELEASE_OF_INFORMATION.ASP")</f>
        <v>http://www.elpaso.va.gov/services/RELEASE_OF_INFORMATION.ASP</v>
      </c>
      <c r="E1736" s="8" t="s">
        <v>392</v>
      </c>
    </row>
    <row r="1737" ht="14.25" hidden="1" customHeight="1">
      <c r="A1737" s="8" t="s">
        <v>1868</v>
      </c>
      <c r="B1737" s="8" t="s">
        <v>355</v>
      </c>
      <c r="D1737" s="121" t="str">
        <f>HYPERLINK("http://www.elpaso.va.gov/services/RETURNING_SERVICE_MEMBERS.ASP")</f>
        <v>http://www.elpaso.va.gov/services/RETURNING_SERVICE_MEMBERS.ASP</v>
      </c>
      <c r="E1737" s="8" t="s">
        <v>392</v>
      </c>
    </row>
    <row r="1738" ht="14.25" hidden="1" customHeight="1">
      <c r="A1738" s="8" t="s">
        <v>1868</v>
      </c>
      <c r="B1738" s="8" t="s">
        <v>512</v>
      </c>
      <c r="D1738" s="121" t="str">
        <f>HYPERLINK("http://www.elpaso.va.gov/services/VETERAN_SERVICE_ORGANIZATIONS.ASP")</f>
        <v>http://www.elpaso.va.gov/services/VETERAN_SERVICE_ORGANIZATIONS.ASP</v>
      </c>
      <c r="E1738" s="8" t="s">
        <v>392</v>
      </c>
    </row>
    <row r="1739" ht="14.25" hidden="1" customHeight="1">
      <c r="A1739" s="8" t="s">
        <v>1868</v>
      </c>
      <c r="B1739" s="8" t="s">
        <v>516</v>
      </c>
      <c r="D1739" s="121" t="str">
        <f>HYPERLINK("http://www.elpaso.va.gov/services/VETERANS_JUSTICE_OUTREACH.ASP")</f>
        <v>http://www.elpaso.va.gov/services/VETERANS_JUSTICE_OUTREACH.ASP</v>
      </c>
      <c r="E1739" s="8" t="s">
        <v>392</v>
      </c>
    </row>
    <row r="1740" ht="14.25" hidden="1" customHeight="1">
      <c r="A1740" s="8" t="s">
        <v>1868</v>
      </c>
      <c r="B1740" s="8" t="s">
        <v>1876</v>
      </c>
      <c r="D1740" s="121" t="str">
        <f>HYPERLINK("http://www.elpaso.va.gov/services/VETERANS_TRANSPORTATION_SERVICES.ASP")</f>
        <v>http://www.elpaso.va.gov/services/VETERANS_TRANSPORTATION_SERVICES.ASP</v>
      </c>
      <c r="E1740" s="8" t="s">
        <v>392</v>
      </c>
    </row>
    <row r="1741" ht="14.25" hidden="1" customHeight="1">
      <c r="A1741" s="8" t="s">
        <v>1868</v>
      </c>
      <c r="B1741" s="8" t="s">
        <v>518</v>
      </c>
      <c r="D1741" s="121" t="str">
        <f>HYPERLINK("http://www.elpaso.va.gov/services/VOLUNTARY_SERVICE.ASP")</f>
        <v>http://www.elpaso.va.gov/services/VOLUNTARY_SERVICE.ASP</v>
      </c>
      <c r="E1741" s="8" t="s">
        <v>392</v>
      </c>
    </row>
    <row r="1742" ht="14.25" hidden="1" customHeight="1">
      <c r="A1742" s="8" t="s">
        <v>1868</v>
      </c>
      <c r="B1742" s="8" t="s">
        <v>520</v>
      </c>
      <c r="D1742" s="121" t="str">
        <f>HYPERLINK("http://www.elpaso.va.gov/services/WOMEN_VETERANS_HEALTH_PROGRAM.ASP")</f>
        <v>http://www.elpaso.va.gov/services/WOMEN_VETERANS_HEALTH_PROGRAM.ASP</v>
      </c>
      <c r="E1742" s="8" t="s">
        <v>392</v>
      </c>
    </row>
    <row r="1743" ht="14.25" hidden="1" customHeight="1">
      <c r="A1743" s="8" t="s">
        <v>1878</v>
      </c>
      <c r="B1743" s="8" t="s">
        <v>1879</v>
      </c>
      <c r="D1743" s="121" t="str">
        <f>HYPERLINK("http://www.erie.va.gov/services/AMBULATORY-SURGERY-CENTER.ASP")</f>
        <v>http://www.erie.va.gov/services/AMBULATORY-SURGERY-CENTER.ASP</v>
      </c>
      <c r="E1743" s="8" t="s">
        <v>392</v>
      </c>
    </row>
    <row r="1744" ht="14.25" hidden="1" customHeight="1">
      <c r="A1744" s="8" t="s">
        <v>1878</v>
      </c>
      <c r="B1744" s="8" t="s">
        <v>244</v>
      </c>
      <c r="D1744" s="121" t="str">
        <f>HYPERLINK("http://www.erie.va.gov/services/AUDIOLOGY.ASP")</f>
        <v>http://www.erie.va.gov/services/AUDIOLOGY.ASP</v>
      </c>
      <c r="E1744" s="8" t="s">
        <v>392</v>
      </c>
    </row>
    <row r="1745" ht="14.25" hidden="1" customHeight="1">
      <c r="A1745" s="8" t="s">
        <v>1878</v>
      </c>
      <c r="B1745" s="8" t="s">
        <v>446</v>
      </c>
      <c r="D1745" s="121" t="str">
        <f t="shared" ref="D1745:D1746" si="10">HYPERLINK("http://www.erie.va.gov/services/BEHAVIORALHEALTH.ASP")</f>
        <v>http://www.erie.va.gov/services/BEHAVIORALHEALTH.ASP</v>
      </c>
      <c r="E1745" s="8" t="s">
        <v>595</v>
      </c>
    </row>
    <row r="1746" ht="14.25" hidden="1" customHeight="1">
      <c r="A1746" s="8" t="s">
        <v>1878</v>
      </c>
      <c r="B1746" s="8" t="s">
        <v>460</v>
      </c>
      <c r="D1746" s="121" t="str">
        <f t="shared" si="10"/>
        <v>http://www.erie.va.gov/services/BEHAVIORALHEALTH.ASP</v>
      </c>
      <c r="E1746" s="8" t="s">
        <v>392</v>
      </c>
    </row>
    <row r="1747" ht="14.25" hidden="1" customHeight="1">
      <c r="A1747" s="8" t="s">
        <v>1878</v>
      </c>
      <c r="B1747" s="8" t="s">
        <v>372</v>
      </c>
      <c r="D1747" s="121" t="str">
        <f>HYPERLINK("http://www.erie.va.gov/services/BENETRAVEL.ASP")</f>
        <v>http://www.erie.va.gov/services/BENETRAVEL.ASP</v>
      </c>
      <c r="E1747" s="8" t="s">
        <v>392</v>
      </c>
    </row>
    <row r="1748" ht="14.25" hidden="1" customHeight="1">
      <c r="A1748" s="8" t="s">
        <v>1878</v>
      </c>
      <c r="B1748" s="8" t="s">
        <v>300</v>
      </c>
      <c r="D1748" s="121" t="str">
        <f>HYPERLINK("http://www.erie.va.gov/services/CAREGIVERSUPPORT.ASP")</f>
        <v>http://www.erie.va.gov/services/CAREGIVERSUPPORT.ASP</v>
      </c>
      <c r="E1748" s="8" t="s">
        <v>392</v>
      </c>
    </row>
    <row r="1749" ht="14.25" hidden="1" customHeight="1">
      <c r="A1749" s="8" t="s">
        <v>1878</v>
      </c>
      <c r="B1749" s="8" t="s">
        <v>468</v>
      </c>
      <c r="D1749" s="121" t="str">
        <f>HYPERLINK("http://www.erie.va.gov/services/CHAPLAIN_SERVICES.ASP")</f>
        <v>http://www.erie.va.gov/services/CHAPLAIN_SERVICES.ASP</v>
      </c>
      <c r="E1749" s="8" t="s">
        <v>392</v>
      </c>
    </row>
    <row r="1750" ht="14.25" hidden="1" customHeight="1">
      <c r="A1750" s="8" t="s">
        <v>1878</v>
      </c>
      <c r="B1750" s="8" t="s">
        <v>434</v>
      </c>
      <c r="D1750" s="121" t="str">
        <f>HYPERLINK("http://www.erie.va.gov/services/CLC.ASP")</f>
        <v>http://www.erie.va.gov/services/CLC.ASP</v>
      </c>
      <c r="E1750" s="8" t="s">
        <v>392</v>
      </c>
    </row>
    <row r="1751" ht="14.25" hidden="1" customHeight="1">
      <c r="A1751" s="8" t="s">
        <v>1878</v>
      </c>
      <c r="B1751" s="8" t="s">
        <v>497</v>
      </c>
      <c r="D1751" s="121" t="str">
        <f>HYPERLINK("http://www.erie.va.gov/services/COMPENSATED_WORK_THERAPY.ASP")</f>
        <v>http://www.erie.va.gov/services/COMPENSATED_WORK_THERAPY.ASP</v>
      </c>
      <c r="E1751" s="8" t="s">
        <v>392</v>
      </c>
    </row>
    <row r="1752" ht="14.25" hidden="1" customHeight="1">
      <c r="A1752" s="8" t="s">
        <v>1878</v>
      </c>
      <c r="B1752" s="8" t="s">
        <v>480</v>
      </c>
      <c r="D1752" s="121" t="str">
        <f>HYPERLINK("http://www.erie.va.gov/services/COMPPEN.ASP")</f>
        <v>http://www.erie.va.gov/services/COMPPEN.ASP</v>
      </c>
      <c r="E1752" s="8" t="s">
        <v>392</v>
      </c>
    </row>
    <row r="1753" ht="14.25" hidden="1" customHeight="1">
      <c r="A1753" s="8" t="s">
        <v>1878</v>
      </c>
      <c r="B1753" s="8" t="s">
        <v>371</v>
      </c>
      <c r="D1753" s="121" t="str">
        <f>HYPERLINK("http://www.erie.va.gov/services/CONNECTED-CARE.ASP")</f>
        <v>http://www.erie.va.gov/services/CONNECTED-CARE.ASP</v>
      </c>
      <c r="E1753" s="8" t="s">
        <v>392</v>
      </c>
    </row>
    <row r="1754" ht="14.25" hidden="1" customHeight="1">
      <c r="A1754" s="8" t="s">
        <v>1878</v>
      </c>
      <c r="B1754" s="8" t="s">
        <v>303</v>
      </c>
      <c r="D1754" s="121" t="str">
        <f>HYPERLINK("http://www.erie.va.gov/services/DENTAL.ASP")</f>
        <v>http://www.erie.va.gov/services/DENTAL.ASP</v>
      </c>
      <c r="E1754" s="8" t="s">
        <v>392</v>
      </c>
    </row>
    <row r="1755" ht="14.25" hidden="1" customHeight="1">
      <c r="A1755" s="8" t="s">
        <v>1878</v>
      </c>
      <c r="B1755" s="8" t="s">
        <v>521</v>
      </c>
      <c r="D1755" s="121" t="str">
        <f>HYPERLINK("http://www.erie.va.gov/services/ERIE_VET_CENTER.ASP")</f>
        <v>http://www.erie.va.gov/services/ERIE_VET_CENTER.ASP</v>
      </c>
      <c r="E1755" s="8" t="s">
        <v>392</v>
      </c>
    </row>
    <row r="1756" ht="14.25" hidden="1" customHeight="1">
      <c r="A1756" s="8" t="s">
        <v>1878</v>
      </c>
      <c r="B1756" s="8" t="s">
        <v>1056</v>
      </c>
      <c r="D1756" s="121" t="str">
        <f>HYPERLINK("http://www.erie.va.gov/services/HPDP.ASP")</f>
        <v>http://www.erie.va.gov/services/HPDP.ASP</v>
      </c>
      <c r="E1756" s="8" t="s">
        <v>392</v>
      </c>
    </row>
    <row r="1757" ht="14.25" hidden="1" customHeight="1">
      <c r="A1757" s="8" t="s">
        <v>1878</v>
      </c>
      <c r="B1757" s="8" t="s">
        <v>313</v>
      </c>
      <c r="D1757" s="121" t="str">
        <f>HYPERLINK("http://www.erie.va.gov/services/HCT.ASP")</f>
        <v>http://www.erie.va.gov/services/HCT.ASP</v>
      </c>
      <c r="E1757" s="8" t="s">
        <v>392</v>
      </c>
    </row>
    <row r="1758" ht="14.25" hidden="1" customHeight="1">
      <c r="A1758" s="8" t="s">
        <v>1878</v>
      </c>
      <c r="B1758" s="8" t="s">
        <v>341</v>
      </c>
      <c r="D1758" s="121" t="str">
        <f>HYPERLINK("http://www.erie.va.gov/services/HOSPICE.ASP")</f>
        <v>http://www.erie.va.gov/services/HOSPICE.ASP</v>
      </c>
      <c r="E1758" s="8" t="s">
        <v>392</v>
      </c>
    </row>
    <row r="1759" ht="14.25" hidden="1" customHeight="1">
      <c r="A1759" s="8" t="s">
        <v>1878</v>
      </c>
      <c r="B1759" s="8" t="s">
        <v>481</v>
      </c>
      <c r="D1759" s="121" t="str">
        <f>HYPERLINK("http://www.erie.va.gov/services/LIBRARY.ASP")</f>
        <v>http://www.erie.va.gov/services/LIBRARY.ASP</v>
      </c>
      <c r="E1759" s="8" t="s">
        <v>392</v>
      </c>
    </row>
    <row r="1760" ht="14.25" hidden="1" customHeight="1">
      <c r="A1760" s="8" t="s">
        <v>1878</v>
      </c>
      <c r="B1760" s="8" t="s">
        <v>540</v>
      </c>
      <c r="D1760" s="121" t="str">
        <f>HYPERLINK("http://www.erie.va.gov/services/NPO.ASP")</f>
        <v>http://www.erie.va.gov/services/NPO.ASP</v>
      </c>
      <c r="E1760" s="8" t="s">
        <v>392</v>
      </c>
    </row>
    <row r="1761" ht="14.25" hidden="1" customHeight="1">
      <c r="A1761" s="8" t="s">
        <v>1878</v>
      </c>
      <c r="B1761" s="8" t="s">
        <v>334</v>
      </c>
      <c r="D1761" s="121" t="str">
        <f>HYPERLINK("http://www.erie.va.gov/services/NUTRITION_CLINIC.ASP")</f>
        <v>http://www.erie.va.gov/services/NUTRITION_CLINIC.ASP</v>
      </c>
      <c r="E1761" s="8" t="s">
        <v>392</v>
      </c>
    </row>
    <row r="1762" ht="14.25" hidden="1" customHeight="1">
      <c r="A1762" s="8" t="s">
        <v>1878</v>
      </c>
      <c r="B1762" s="8" t="s">
        <v>356</v>
      </c>
      <c r="D1762" s="121" t="str">
        <f>HYPERLINK("http://www.erie.va.gov/services/RETURNINGVETERANS.ASP")</f>
        <v>http://www.erie.va.gov/services/RETURNINGVETERANS.ASP</v>
      </c>
      <c r="E1762" s="8" t="s">
        <v>392</v>
      </c>
    </row>
    <row r="1763" ht="14.25" hidden="1" customHeight="1">
      <c r="A1763" s="8" t="s">
        <v>1878</v>
      </c>
      <c r="B1763" s="8" t="s">
        <v>338</v>
      </c>
      <c r="D1763" s="121" t="str">
        <f>HYPERLINK("http://www.erie.va.gov/services/ORTHOPEDICS.ASP")</f>
        <v>http://www.erie.va.gov/services/ORTHOPEDICS.ASP</v>
      </c>
      <c r="E1763" s="8" t="s">
        <v>392</v>
      </c>
    </row>
    <row r="1764" ht="14.25" hidden="1" customHeight="1">
      <c r="A1764" s="8" t="s">
        <v>1878</v>
      </c>
      <c r="B1764" s="8" t="s">
        <v>316</v>
      </c>
      <c r="D1764" s="121" t="str">
        <f>HYPERLINK("http://www.erie.va.gov/services/PATHOLOGY_LABORATORY_MEDICINE_P_LM.ASP")</f>
        <v>http://www.erie.va.gov/services/PATHOLOGY_LABORATORY_MEDICINE_P_LM.ASP</v>
      </c>
      <c r="E1764" s="8" t="s">
        <v>392</v>
      </c>
    </row>
    <row r="1765" ht="14.25" hidden="1" customHeight="1">
      <c r="A1765" s="8" t="s">
        <v>1878</v>
      </c>
      <c r="B1765" s="8" t="s">
        <v>343</v>
      </c>
      <c r="D1765" s="121" t="str">
        <f>HYPERLINK("http://www.erie.va.gov/services/PHARMACY.ASP")</f>
        <v>http://www.erie.va.gov/services/PHARMACY.ASP</v>
      </c>
      <c r="E1765" s="8" t="s">
        <v>392</v>
      </c>
    </row>
    <row r="1766" ht="14.25" hidden="1" customHeight="1">
      <c r="A1766" s="8" t="s">
        <v>1878</v>
      </c>
      <c r="B1766" s="8" t="s">
        <v>344</v>
      </c>
      <c r="D1766" s="121" t="str">
        <f>HYPERLINK("http://www.erie.va.gov/services/PT.ASP")</f>
        <v>http://www.erie.va.gov/services/PT.ASP</v>
      </c>
      <c r="E1766" s="8" t="s">
        <v>392</v>
      </c>
    </row>
    <row r="1767" ht="14.25" hidden="1" customHeight="1">
      <c r="A1767" s="8" t="s">
        <v>1878</v>
      </c>
      <c r="B1767" s="8" t="s">
        <v>544</v>
      </c>
      <c r="D1767" s="121" t="str">
        <f>HYPERLINK("http://www.erie.va.gov/services/PRIMARYCARE.ASP")</f>
        <v>http://www.erie.va.gov/services/PRIMARYCARE.ASP</v>
      </c>
      <c r="E1767" s="8" t="s">
        <v>392</v>
      </c>
    </row>
    <row r="1768" ht="14.25" hidden="1" customHeight="1">
      <c r="A1768" s="8" t="s">
        <v>1878</v>
      </c>
      <c r="B1768" s="8" t="s">
        <v>354</v>
      </c>
      <c r="D1768" s="121" t="str">
        <f>HYPERLINK("http://www.erie.va.gov/services/PROSTHETICS.ASP")</f>
        <v>http://www.erie.va.gov/services/PROSTHETICS.ASP</v>
      </c>
      <c r="E1768" s="8" t="s">
        <v>392</v>
      </c>
    </row>
    <row r="1769" ht="14.25" hidden="1" customHeight="1">
      <c r="A1769" s="8" t="s">
        <v>1878</v>
      </c>
      <c r="B1769" s="8" t="s">
        <v>548</v>
      </c>
      <c r="D1769" s="121" t="str">
        <f>HYPERLINK("http://www.erie.va.gov/services/PSYCHOSOCIAL_RESIDENTIAL_REHABILITATION_TREATMENT_PROGRAM_PRRTP.ASP")</f>
        <v>http://www.erie.va.gov/services/PSYCHOSOCIAL_RESIDENTIAL_REHABILITATION_TREATMENT_PROGRAM_PRRTP.ASP</v>
      </c>
      <c r="E1769" s="8" t="s">
        <v>392</v>
      </c>
    </row>
    <row r="1770" ht="14.25" hidden="1" customHeight="1">
      <c r="A1770" s="8" t="s">
        <v>1878</v>
      </c>
      <c r="B1770" s="8" t="s">
        <v>350</v>
      </c>
      <c r="D1770" s="121" t="str">
        <f>HYPERLINK("http://www.erie.va.gov/services/IMAGING.ASP")</f>
        <v>http://www.erie.va.gov/services/IMAGING.ASP</v>
      </c>
      <c r="E1770" s="8" t="s">
        <v>392</v>
      </c>
    </row>
    <row r="1771" ht="14.25" hidden="1" customHeight="1">
      <c r="A1771" s="8" t="s">
        <v>1878</v>
      </c>
      <c r="B1771" s="8" t="s">
        <v>551</v>
      </c>
      <c r="D1771" s="121" t="str">
        <f>HYPERLINK("http://www.erie.va.gov/services/RESIDENCY_PROGRAM_OPTOMETRY_DEPARTMENT.ASP")</f>
        <v>http://www.erie.va.gov/services/RESIDENCY_PROGRAM_OPTOMETRY_DEPARTMENT.ASP</v>
      </c>
      <c r="E1771" s="8" t="s">
        <v>392</v>
      </c>
    </row>
    <row r="1772" ht="14.25" hidden="1" customHeight="1">
      <c r="A1772" s="8" t="s">
        <v>1878</v>
      </c>
      <c r="B1772" s="8" t="s">
        <v>349</v>
      </c>
      <c r="D1772" s="121" t="str">
        <f>HYPERLINK("http://www.erie.va.gov/services/RESPIRATORY_THERAPY.ASP")</f>
        <v>http://www.erie.va.gov/services/RESPIRATORY_THERAPY.ASP</v>
      </c>
      <c r="E1772" s="8" t="s">
        <v>392</v>
      </c>
    </row>
    <row r="1773" ht="14.25" hidden="1" customHeight="1">
      <c r="A1773" s="8" t="s">
        <v>1878</v>
      </c>
      <c r="B1773" s="8" t="s">
        <v>796</v>
      </c>
      <c r="D1773" s="121" t="str">
        <f>HYPERLINK("http://www.erie.va.gov/services/SUICIDE-PREVENTION.ASP")</f>
        <v>http://www.erie.va.gov/services/SUICIDE-PREVENTION.ASP</v>
      </c>
      <c r="E1773" s="8" t="s">
        <v>392</v>
      </c>
    </row>
    <row r="1774" ht="14.25" hidden="1" customHeight="1">
      <c r="A1774" s="8" t="s">
        <v>1878</v>
      </c>
      <c r="B1774" s="8" t="s">
        <v>559</v>
      </c>
      <c r="D1774" s="121" t="str">
        <f>HYPERLINK("http://www.erie.va.gov/services/TRAVELING_VETERAN_CARE.ASP")</f>
        <v>http://www.erie.va.gov/services/TRAVELING_VETERAN_CARE.ASP</v>
      </c>
      <c r="E1774" s="8" t="s">
        <v>392</v>
      </c>
    </row>
    <row r="1775" ht="14.25" hidden="1" customHeight="1">
      <c r="A1775" s="8" t="s">
        <v>1878</v>
      </c>
      <c r="B1775" s="8" t="s">
        <v>373</v>
      </c>
      <c r="D1775" s="121" t="str">
        <f>HYPERLINK("http://www.erie.va.gov/services/URGENT_CARE_CENTER.ASP")</f>
        <v>http://www.erie.va.gov/services/URGENT_CARE_CENTER.ASP</v>
      </c>
      <c r="E1775" s="8" t="s">
        <v>392</v>
      </c>
    </row>
    <row r="1776" ht="14.25" hidden="1" customHeight="1">
      <c r="A1776" s="8" t="s">
        <v>1878</v>
      </c>
      <c r="B1776" s="8" t="s">
        <v>569</v>
      </c>
      <c r="D1776" s="121" t="str">
        <f>HYPERLINK("http://www.erie.va.gov/services/VETERANS_CRISIS_LINE.ASP")</f>
        <v>http://www.erie.va.gov/services/VETERANS_CRISIS_LINE.ASP</v>
      </c>
      <c r="E1776" s="8" t="s">
        <v>392</v>
      </c>
    </row>
    <row r="1777" ht="14.25" hidden="1" customHeight="1">
      <c r="A1777" s="8" t="s">
        <v>1878</v>
      </c>
      <c r="B1777" s="8" t="s">
        <v>377</v>
      </c>
      <c r="D1777" s="121" t="str">
        <f>HYPERLINK("http://www.erie.va.gov/services/WHOLE-HEALTH-PROGRAM.ASP")</f>
        <v>http://www.erie.va.gov/services/WHOLE-HEALTH-PROGRAM.ASP</v>
      </c>
      <c r="E1777" s="8" t="s">
        <v>392</v>
      </c>
    </row>
    <row r="1778" ht="14.25" hidden="1" customHeight="1">
      <c r="A1778" s="8" t="s">
        <v>1878</v>
      </c>
      <c r="B1778" s="8" t="s">
        <v>378</v>
      </c>
      <c r="D1778" s="121" t="str">
        <f>HYPERLINK("http://www.erie.va.gov/services/WOMENSHEALTH.ASP")</f>
        <v>http://www.erie.va.gov/services/WOMENSHEALTH.ASP</v>
      </c>
      <c r="E1778" s="8" t="s">
        <v>392</v>
      </c>
    </row>
    <row r="1779" ht="14.25" hidden="1" customHeight="1">
      <c r="A1779" s="8" t="s">
        <v>1911</v>
      </c>
      <c r="B1779" s="8" t="s">
        <v>1913</v>
      </c>
      <c r="D1779" s="121" t="str">
        <f>HYPERLINK("http://www.fargo.va.gov/services/MINORITY_VETERANS_AMERICAN_INDIAN_OUTREACH_COORDINATOR.ASP")</f>
        <v>http://www.fargo.va.gov/services/MINORITY_VETERANS_AMERICAN_INDIAN_OUTREACH_COORDINATOR.ASP</v>
      </c>
      <c r="E1779" s="8" t="s">
        <v>392</v>
      </c>
    </row>
    <row r="1780" ht="14.25" hidden="1" customHeight="1">
      <c r="A1780" s="8" t="s">
        <v>1911</v>
      </c>
      <c r="B1780" s="8" t="s">
        <v>244</v>
      </c>
      <c r="D1780" s="121" t="str">
        <f>HYPERLINK("http://www.fargo.va.gov/services/AUDIOLOGY.ASP")</f>
        <v>http://www.fargo.va.gov/services/AUDIOLOGY.ASP</v>
      </c>
      <c r="E1780" s="8" t="s">
        <v>392</v>
      </c>
    </row>
    <row r="1781" ht="14.25" hidden="1" customHeight="1">
      <c r="A1781" s="8" t="s">
        <v>1911</v>
      </c>
      <c r="B1781" s="8" t="s">
        <v>1918</v>
      </c>
      <c r="D1781" s="121" t="str">
        <f>HYPERLINK("http://www.fargo.va.gov/services/CANCER_PROGRAM.ASP")</f>
        <v>http://www.fargo.va.gov/services/CANCER_PROGRAM.ASP</v>
      </c>
      <c r="E1781" s="8" t="s">
        <v>392</v>
      </c>
    </row>
    <row r="1782" ht="14.25" hidden="1" customHeight="1">
      <c r="A1782" s="8" t="s">
        <v>1911</v>
      </c>
      <c r="B1782" s="8" t="s">
        <v>1921</v>
      </c>
      <c r="D1782" s="121" t="str">
        <f>HYPERLINK("http://www.fargo.va.gov/services/CARE_IN_THE_COMMUNITY.ASP")</f>
        <v>http://www.fargo.va.gov/services/CARE_IN_THE_COMMUNITY.ASP</v>
      </c>
      <c r="E1782" s="8" t="s">
        <v>392</v>
      </c>
    </row>
    <row r="1783" ht="14.25" hidden="1" customHeight="1">
      <c r="A1783" s="8" t="s">
        <v>1911</v>
      </c>
      <c r="B1783" s="8" t="s">
        <v>484</v>
      </c>
      <c r="D1783" s="121" t="str">
        <f>HYPERLINK("http://www.fargo.va.gov/services/CAREGIVER_SUPPORT.ASP")</f>
        <v>http://www.fargo.va.gov/services/CAREGIVER_SUPPORT.ASP</v>
      </c>
      <c r="E1783" s="8" t="s">
        <v>392</v>
      </c>
    </row>
    <row r="1784" ht="14.25" hidden="1" customHeight="1">
      <c r="A1784" s="8" t="s">
        <v>1911</v>
      </c>
      <c r="B1784" s="8" t="s">
        <v>478</v>
      </c>
      <c r="D1784" s="121" t="str">
        <f>HYPERLINK("http://www.fargo.va.gov/services/CHAPLAIN_SERVICE.ASP")</f>
        <v>http://www.fargo.va.gov/services/CHAPLAIN_SERVICE.ASP</v>
      </c>
      <c r="E1784" s="8" t="s">
        <v>392</v>
      </c>
    </row>
    <row r="1785" ht="14.25" hidden="1" customHeight="1">
      <c r="A1785" s="8" t="s">
        <v>1911</v>
      </c>
      <c r="B1785" s="8" t="s">
        <v>1811</v>
      </c>
      <c r="D1785" s="121" t="str">
        <f>HYPERLINK("http://www.fargo.va.gov/services/CHIEF_OF_STAFF.ASP")</f>
        <v>http://www.fargo.va.gov/services/CHIEF_OF_STAFF.ASP</v>
      </c>
      <c r="E1785" s="8" t="s">
        <v>392</v>
      </c>
    </row>
    <row r="1786" ht="14.25" hidden="1" customHeight="1">
      <c r="A1786" s="8" t="s">
        <v>1911</v>
      </c>
      <c r="B1786" s="8" t="s">
        <v>482</v>
      </c>
      <c r="D1786" s="121" t="str">
        <f>HYPERLINK("http://www.fargo.va.gov/services/COMMUNITY_LIVING_CENTER.ASP")</f>
        <v>http://www.fargo.va.gov/services/COMMUNITY_LIVING_CENTER.ASP</v>
      </c>
      <c r="E1786" s="8" t="s">
        <v>392</v>
      </c>
    </row>
    <row r="1787" ht="14.25" hidden="1" customHeight="1">
      <c r="A1787" s="8" t="s">
        <v>1911</v>
      </c>
      <c r="B1787" s="8" t="s">
        <v>455</v>
      </c>
      <c r="D1787" s="121" t="str">
        <f>HYPERLINK("http://www.fargo.va.gov/services/COMPENSATION_AND_PENSION.ASP")</f>
        <v>http://www.fargo.va.gov/services/COMPENSATION_AND_PENSION.ASP</v>
      </c>
      <c r="E1787" s="8" t="s">
        <v>392</v>
      </c>
    </row>
    <row r="1788" ht="14.25" hidden="1" customHeight="1">
      <c r="A1788" s="8" t="s">
        <v>1911</v>
      </c>
      <c r="B1788" s="8" t="s">
        <v>1927</v>
      </c>
      <c r="D1788" s="121" t="str">
        <f>HYPERLINK("http://www.fargo.va.gov/services/COMPLIANCE_OFFICER.ASP")</f>
        <v>http://www.fargo.va.gov/services/COMPLIANCE_OFFICER.ASP</v>
      </c>
      <c r="E1788" s="8" t="s">
        <v>392</v>
      </c>
    </row>
    <row r="1789" ht="14.25" hidden="1" customHeight="1">
      <c r="A1789" s="8" t="s">
        <v>1911</v>
      </c>
      <c r="B1789" s="8" t="s">
        <v>1929</v>
      </c>
      <c r="D1789" s="121" t="str">
        <f>HYPERLINK("http://www.fargo.va.gov/services/DAISY_AWARD.ASP")</f>
        <v>http://www.fargo.va.gov/services/DAISY_AWARD.ASP</v>
      </c>
      <c r="E1789" s="8" t="s">
        <v>392</v>
      </c>
    </row>
    <row r="1790" ht="14.25" hidden="1" customHeight="1">
      <c r="A1790" s="8" t="s">
        <v>1911</v>
      </c>
      <c r="B1790" s="8" t="s">
        <v>1930</v>
      </c>
      <c r="D1790" s="121" t="str">
        <f>HYPERLINK("http://www.fargo.va.gov/services/DEMENTIA_CARE_CLINIC.ASP")</f>
        <v>http://www.fargo.va.gov/services/DEMENTIA_CARE_CLINIC.ASP</v>
      </c>
      <c r="E1790" s="8" t="s">
        <v>392</v>
      </c>
    </row>
    <row r="1791" ht="14.25" hidden="1" customHeight="1">
      <c r="A1791" s="8" t="s">
        <v>1911</v>
      </c>
      <c r="B1791" s="8" t="s">
        <v>424</v>
      </c>
      <c r="D1791" s="121" t="str">
        <f>HYPERLINK("http://www.fargo.va.gov/services/DIALYSIS.ASP")</f>
        <v>http://www.fargo.va.gov/services/DIALYSIS.ASP</v>
      </c>
      <c r="E1791" s="8" t="s">
        <v>392</v>
      </c>
    </row>
    <row r="1792" ht="14.25" hidden="1" customHeight="1">
      <c r="A1792" s="8" t="s">
        <v>1911</v>
      </c>
      <c r="B1792" s="8" t="s">
        <v>1933</v>
      </c>
      <c r="D1792" s="121" t="str">
        <f>HYPERLINK("http://www.fargo.va.gov/services/DOMESTIC_VIOLENCE.ASP")</f>
        <v>http://www.fargo.va.gov/services/DOMESTIC_VIOLENCE.ASP</v>
      </c>
      <c r="E1792" s="8" t="s">
        <v>392</v>
      </c>
    </row>
    <row r="1793" ht="14.25" hidden="1" customHeight="1">
      <c r="A1793" s="8" t="s">
        <v>1911</v>
      </c>
      <c r="B1793" s="8" t="s">
        <v>1456</v>
      </c>
      <c r="D1793" s="121" t="str">
        <f>HYPERLINK("http://www.fargo.va.gov/services/EAR_NOSE_AND_THROAT.ASP")</f>
        <v>http://www.fargo.va.gov/services/EAR_NOSE_AND_THROAT.ASP</v>
      </c>
      <c r="E1793" s="8" t="s">
        <v>392</v>
      </c>
    </row>
    <row r="1794" ht="14.25" hidden="1" customHeight="1">
      <c r="A1794" s="8" t="s">
        <v>1911</v>
      </c>
      <c r="B1794" s="8" t="s">
        <v>663</v>
      </c>
      <c r="D1794" s="121" t="str">
        <f>HYPERLINK("http://www.fargo.va.gov/services/ELIGIBILITY.ASP")</f>
        <v>http://www.fargo.va.gov/services/ELIGIBILITY.ASP</v>
      </c>
      <c r="E1794" s="8" t="s">
        <v>392</v>
      </c>
    </row>
    <row r="1795" ht="14.25" hidden="1" customHeight="1">
      <c r="A1795" s="8" t="s">
        <v>1911</v>
      </c>
      <c r="B1795" s="8" t="s">
        <v>308</v>
      </c>
      <c r="D1795" s="121" t="str">
        <f>HYPERLINK("http://www.fargo.va.gov/services/EMERGENCY_DEPARTMENT.ASP")</f>
        <v>http://www.fargo.va.gov/services/EMERGENCY_DEPARTMENT.ASP</v>
      </c>
      <c r="E1795" s="8" t="s">
        <v>392</v>
      </c>
    </row>
    <row r="1796" ht="14.25" hidden="1" customHeight="1">
      <c r="A1796" s="8" t="s">
        <v>1911</v>
      </c>
      <c r="B1796" s="8" t="s">
        <v>1936</v>
      </c>
      <c r="D1796" s="121" t="str">
        <f>HYPERLINK("http://www.fargo.va.gov/services/EDUCATION.ASP")</f>
        <v>http://www.fargo.va.gov/services/EDUCATION.ASP</v>
      </c>
      <c r="E1796" s="8" t="s">
        <v>392</v>
      </c>
    </row>
    <row r="1797" ht="14.25" hidden="1" customHeight="1">
      <c r="A1797" s="8" t="s">
        <v>1911</v>
      </c>
      <c r="B1797" s="8" t="s">
        <v>309</v>
      </c>
      <c r="D1797" s="121" t="str">
        <f>HYPERLINK("http://www.fargo.va.gov/services/ECRC.ASP")</f>
        <v>http://www.fargo.va.gov/services/ECRC.ASP</v>
      </c>
      <c r="E1797" s="8" t="s">
        <v>392</v>
      </c>
    </row>
    <row r="1798" ht="14.25" hidden="1" customHeight="1">
      <c r="A1798" s="8" t="s">
        <v>1911</v>
      </c>
      <c r="B1798" s="8" t="s">
        <v>309</v>
      </c>
      <c r="D1798" s="121" t="str">
        <f>HYPERLINK("http://www.fargo.va.gov/services/EXTENDED_CARE_AND_REHABILITATION.ASP")</f>
        <v>http://www.fargo.va.gov/services/EXTENDED_CARE_AND_REHABILITATION.ASP</v>
      </c>
      <c r="E1798" s="8" t="s">
        <v>392</v>
      </c>
    </row>
    <row r="1799" ht="14.25" hidden="1" customHeight="1">
      <c r="A1799" s="8" t="s">
        <v>1911</v>
      </c>
      <c r="B1799" s="8" t="s">
        <v>719</v>
      </c>
      <c r="D1799" s="121" t="str">
        <f>HYPERLINK("http://www.fargo.va.gov/services/EYE_CLINIC.ASP")</f>
        <v>http://www.fargo.va.gov/services/EYE_CLINIC.ASP</v>
      </c>
      <c r="E1799" s="8" t="s">
        <v>392</v>
      </c>
    </row>
    <row r="1800" ht="14.25" hidden="1" customHeight="1">
      <c r="A1800" s="8" t="s">
        <v>1911</v>
      </c>
      <c r="B1800" s="8" t="s">
        <v>1646</v>
      </c>
      <c r="D1800" s="121" t="str">
        <f>HYPERLINK("http://www.fargo.va.gov/services/FINANCE.ASP")</f>
        <v>http://www.fargo.va.gov/services/FINANCE.ASP</v>
      </c>
      <c r="E1800" s="8" t="s">
        <v>392</v>
      </c>
    </row>
    <row r="1801" ht="14.25" hidden="1" customHeight="1">
      <c r="A1801" s="8" t="s">
        <v>1911</v>
      </c>
      <c r="B1801" s="8" t="s">
        <v>1196</v>
      </c>
      <c r="D1801" s="121" t="str">
        <f>HYPERLINK("http://www.fargo.va.gov/services/HEALTH_PROMOTION_AND_DISEASE_PREVENTION_PROGRAM.ASP")</f>
        <v>http://www.fargo.va.gov/services/HEALTH_PROMOTION_AND_DISEASE_PREVENTION_PROGRAM.ASP</v>
      </c>
      <c r="E1801" s="8" t="s">
        <v>392</v>
      </c>
    </row>
    <row r="1802" ht="14.25" hidden="1" customHeight="1">
      <c r="A1802" s="8" t="s">
        <v>1911</v>
      </c>
      <c r="B1802" s="8" t="s">
        <v>431</v>
      </c>
      <c r="D1802" s="121" t="str">
        <f>HYPERLINK("http://www.fargo.va.gov/services/HOME_BASED_PRIMARY_CARE.ASP")</f>
        <v>http://www.fargo.va.gov/services/HOME_BASED_PRIMARY_CARE.ASP</v>
      </c>
      <c r="E1802" s="8" t="s">
        <v>392</v>
      </c>
    </row>
    <row r="1803" ht="14.25" hidden="1" customHeight="1">
      <c r="A1803" s="8" t="s">
        <v>1911</v>
      </c>
      <c r="B1803" s="8" t="s">
        <v>1939</v>
      </c>
      <c r="D1803" s="121" t="str">
        <f>HYPERLINK("http://www.fargo.va.gov/services/HONORS_ESCORT.ASP")</f>
        <v>http://www.fargo.va.gov/services/HONORS_ESCORT.ASP</v>
      </c>
      <c r="E1803" s="8" t="s">
        <v>392</v>
      </c>
    </row>
    <row r="1804" ht="14.25" hidden="1" customHeight="1">
      <c r="A1804" s="8" t="s">
        <v>1911</v>
      </c>
      <c r="B1804" s="8" t="s">
        <v>1941</v>
      </c>
      <c r="D1804" s="121" t="str">
        <f>HYPERLINK("http://www.fargo.va.gov/services/HOSPICE_AND_PALLIATIVE_CARE_PROGRAM.ASP")</f>
        <v>http://www.fargo.va.gov/services/HOSPICE_AND_PALLIATIVE_CARE_PROGRAM.ASP</v>
      </c>
      <c r="E1804" s="8" t="s">
        <v>392</v>
      </c>
    </row>
    <row r="1805" ht="14.25" hidden="1" customHeight="1">
      <c r="A1805" s="8" t="s">
        <v>1911</v>
      </c>
      <c r="B1805" s="8" t="s">
        <v>1943</v>
      </c>
      <c r="D1805" s="121" t="str">
        <f>HYPERLINK("http://www.fargo.va.gov/services/HOUSING_ASSISTANCE.ASP")</f>
        <v>http://www.fargo.va.gov/services/HOUSING_ASSISTANCE.ASP</v>
      </c>
      <c r="E1805" s="8" t="s">
        <v>392</v>
      </c>
    </row>
    <row r="1806" ht="14.25" hidden="1" customHeight="1">
      <c r="A1806" s="8" t="s">
        <v>1911</v>
      </c>
      <c r="B1806" s="8" t="s">
        <v>670</v>
      </c>
      <c r="D1806" s="121" t="str">
        <f>HYPERLINK("http://www.fargo.va.gov/services/HUMAN_RESOURCES.ASP")</f>
        <v>http://www.fargo.va.gov/services/HUMAN_RESOURCES.ASP</v>
      </c>
      <c r="E1806" s="8" t="s">
        <v>392</v>
      </c>
    </row>
    <row r="1807" ht="14.25" hidden="1" customHeight="1">
      <c r="A1807" s="8" t="s">
        <v>1911</v>
      </c>
      <c r="B1807" s="8" t="s">
        <v>1944</v>
      </c>
      <c r="D1807" s="121" t="str">
        <f>HYPERLINK("http://www.fargo.va.gov/services/RADIOLOGY.ASP")</f>
        <v>http://www.fargo.va.gov/services/RADIOLOGY.ASP</v>
      </c>
      <c r="E1807" s="8" t="s">
        <v>392</v>
      </c>
    </row>
    <row r="1808" ht="14.25" hidden="1" customHeight="1">
      <c r="A1808" s="8" t="s">
        <v>1911</v>
      </c>
      <c r="B1808" s="8" t="s">
        <v>1946</v>
      </c>
      <c r="D1808" s="121" t="str">
        <f>HYPERLINK("http://www.fargo.va.gov/services/INPATIENT_MEDICAL_SURGICAL_UNIT.ASP")</f>
        <v>http://www.fargo.va.gov/services/INPATIENT_MEDICAL_SURGICAL_UNIT.ASP</v>
      </c>
      <c r="E1808" s="8" t="s">
        <v>392</v>
      </c>
    </row>
    <row r="1809" ht="14.25" hidden="1" customHeight="1">
      <c r="A1809" s="8" t="s">
        <v>1911</v>
      </c>
      <c r="B1809" s="8" t="s">
        <v>1650</v>
      </c>
      <c r="D1809" s="121" t="str">
        <f>HYPERLINK("http://www.fargo.va.gov/services/ICU.ASP")</f>
        <v>http://www.fargo.va.gov/services/ICU.ASP</v>
      </c>
      <c r="E1809" s="8" t="s">
        <v>392</v>
      </c>
    </row>
    <row r="1810" ht="14.25" hidden="1" customHeight="1">
      <c r="A1810" s="8" t="s">
        <v>1911</v>
      </c>
      <c r="B1810" s="8" t="s">
        <v>441</v>
      </c>
      <c r="D1810" s="121" t="str">
        <f>HYPERLINK("http://www.fargo.va.gov/services/MOVE.ASP")</f>
        <v>http://www.fargo.va.gov/services/MOVE.ASP</v>
      </c>
      <c r="E1810" s="8" t="s">
        <v>392</v>
      </c>
    </row>
    <row r="1811" ht="14.25" hidden="1" customHeight="1">
      <c r="A1811" s="8" t="s">
        <v>1911</v>
      </c>
      <c r="B1811" s="8" t="s">
        <v>1949</v>
      </c>
      <c r="D1811" s="121" t="str">
        <f>HYPERLINK("http://www.fargo.va.gov/services/MFH_PROGRAM.ASP")</f>
        <v>http://www.fargo.va.gov/services/MFH_PROGRAM.ASP</v>
      </c>
      <c r="E1811" s="8" t="s">
        <v>392</v>
      </c>
    </row>
    <row r="1812" ht="14.25" hidden="1" customHeight="1">
      <c r="A1812" s="8" t="s">
        <v>1911</v>
      </c>
      <c r="B1812" s="8" t="s">
        <v>323</v>
      </c>
      <c r="D1812" s="121" t="str">
        <f>HYPERLINK("http://www.fargo.va.gov/services/MENTALHEALTH.ASP")</f>
        <v>http://www.fargo.va.gov/services/MENTALHEALTH.ASP</v>
      </c>
      <c r="E1812" s="8" t="s">
        <v>392</v>
      </c>
    </row>
    <row r="1813" ht="14.25" hidden="1" customHeight="1">
      <c r="A1813" s="8" t="s">
        <v>1911</v>
      </c>
      <c r="B1813" s="8" t="s">
        <v>324</v>
      </c>
      <c r="D1813" s="121" t="str">
        <f>HYPERLINK("http://www.fargo.va.gov/services/MILITARY_SEXUAL_TRAUMA.ASP")</f>
        <v>http://www.fargo.va.gov/services/MILITARY_SEXUAL_TRAUMA.ASP</v>
      </c>
      <c r="E1813" s="8" t="s">
        <v>392</v>
      </c>
    </row>
    <row r="1814" ht="14.25" hidden="1" customHeight="1">
      <c r="A1814" s="8" t="s">
        <v>1911</v>
      </c>
      <c r="B1814" s="8" t="s">
        <v>326</v>
      </c>
      <c r="D1814" s="121" t="str">
        <f>HYPERLINK("http://www.fargo.va.gov/services/MINORITY_VETERANS_PROGRAM.ASP")</f>
        <v>http://www.fargo.va.gov/services/MINORITY_VETERANS_PROGRAM.ASP</v>
      </c>
      <c r="E1814" s="8" t="s">
        <v>392</v>
      </c>
    </row>
    <row r="1815" ht="14.25" hidden="1" customHeight="1">
      <c r="A1815" s="8" t="s">
        <v>1911</v>
      </c>
      <c r="B1815" s="8" t="s">
        <v>1951</v>
      </c>
      <c r="D1815" s="121" t="str">
        <f>HYPERLINK("http://www.fargo.va.gov/services/MYHEALTHEVET_COORDINATOR.ASP")</f>
        <v>http://www.fargo.va.gov/services/MYHEALTHEVET_COORDINATOR.ASP</v>
      </c>
      <c r="E1815" s="8" t="s">
        <v>392</v>
      </c>
    </row>
    <row r="1816" ht="14.25" hidden="1" customHeight="1">
      <c r="A1816" s="8" t="s">
        <v>1911</v>
      </c>
      <c r="B1816" s="8" t="s">
        <v>1953</v>
      </c>
      <c r="D1816" s="121" t="str">
        <f>HYPERLINK("http://www.fargo.va.gov/services/NURSING_INTEGRATIVE_HEALING_THERAPIES.ASP")</f>
        <v>http://www.fargo.va.gov/services/NURSING_INTEGRATIVE_HEALING_THERAPIES.ASP</v>
      </c>
      <c r="E1816" s="8" t="s">
        <v>392</v>
      </c>
    </row>
    <row r="1817" ht="14.25" hidden="1" customHeight="1">
      <c r="A1817" s="8" t="s">
        <v>1911</v>
      </c>
      <c r="B1817" s="8" t="s">
        <v>1955</v>
      </c>
      <c r="D1817" s="121" t="str">
        <f>HYPERLINK("http://www.fargo.va.gov/services/NUTRITION_EDUCATION.ASP")</f>
        <v>http://www.fargo.va.gov/services/NUTRITION_EDUCATION.ASP</v>
      </c>
      <c r="E1817" s="8" t="s">
        <v>392</v>
      </c>
    </row>
    <row r="1818" ht="14.25" hidden="1" customHeight="1">
      <c r="A1818" s="8" t="s">
        <v>1911</v>
      </c>
      <c r="B1818" s="8" t="s">
        <v>335</v>
      </c>
      <c r="D1818" s="121" t="str">
        <f>HYPERLINK("http://www.fargo.va.gov/services/NUTRITION_AND_FOOD_SERVICE.ASP")</f>
        <v>http://www.fargo.va.gov/services/NUTRITION_AND_FOOD_SERVICE.ASP</v>
      </c>
      <c r="E1818" s="8" t="s">
        <v>392</v>
      </c>
    </row>
    <row r="1819" ht="14.25" hidden="1" customHeight="1">
      <c r="A1819" s="8" t="s">
        <v>1911</v>
      </c>
      <c r="B1819" s="8" t="s">
        <v>1956</v>
      </c>
      <c r="D1819" s="121" t="str">
        <f>HYPERLINK("http://www.fargo.va.gov/services/PATIENT_EDUCATION_CLASSES.ASP")</f>
        <v>http://www.fargo.va.gov/services/PATIENT_EDUCATION_CLASSES.ASP</v>
      </c>
      <c r="E1819" s="8" t="s">
        <v>392</v>
      </c>
    </row>
    <row r="1820" ht="14.25" hidden="1" customHeight="1">
      <c r="A1820" s="8" t="s">
        <v>1911</v>
      </c>
      <c r="B1820" s="8" t="s">
        <v>343</v>
      </c>
      <c r="D1820" s="121" t="str">
        <f>HYPERLINK("http://www.fargo.va.gov/services/PHARMACY.ASP")</f>
        <v>http://www.fargo.va.gov/services/PHARMACY.ASP</v>
      </c>
      <c r="E1820" s="8" t="s">
        <v>392</v>
      </c>
    </row>
    <row r="1821" ht="14.25" hidden="1" customHeight="1">
      <c r="A1821" s="8" t="s">
        <v>1911</v>
      </c>
      <c r="B1821" s="8" t="s">
        <v>1960</v>
      </c>
      <c r="D1821" s="121" t="str">
        <f>HYPERLINK("http://www.fargo.va.gov/services/SECURITY.ASP")</f>
        <v>http://www.fargo.va.gov/services/SECURITY.ASP</v>
      </c>
      <c r="E1821" s="8" t="s">
        <v>392</v>
      </c>
    </row>
    <row r="1822" ht="14.25" hidden="1" customHeight="1">
      <c r="A1822" s="8" t="s">
        <v>1911</v>
      </c>
      <c r="B1822" s="8" t="s">
        <v>348</v>
      </c>
      <c r="D1822" s="121" t="str">
        <f>HYPERLINK("http://www.fargo.va.gov/services/PRIMARY.ASP")</f>
        <v>http://www.fargo.va.gov/services/PRIMARY.ASP</v>
      </c>
      <c r="E1822" s="8" t="s">
        <v>392</v>
      </c>
    </row>
    <row r="1823" ht="14.25" hidden="1" customHeight="1">
      <c r="A1823" s="8" t="s">
        <v>1911</v>
      </c>
      <c r="B1823" s="8" t="s">
        <v>963</v>
      </c>
      <c r="D1823" s="121" t="str">
        <f>HYPERLINK("http://www.fargo.va.gov/services/PRIVACY_OFFICE.ASP")</f>
        <v>http://www.fargo.va.gov/services/PRIVACY_OFFICE.ASP</v>
      </c>
      <c r="E1823" s="8" t="s">
        <v>392</v>
      </c>
    </row>
    <row r="1824" ht="14.25" hidden="1" customHeight="1">
      <c r="A1824" s="8" t="s">
        <v>1911</v>
      </c>
      <c r="B1824" s="8" t="s">
        <v>1964</v>
      </c>
      <c r="D1824" s="121" t="str">
        <f>HYPERLINK("http://www.fargo.va.gov/services/PROSTHETICS.ASP")</f>
        <v>http://www.fargo.va.gov/services/PROSTHETICS.ASP</v>
      </c>
      <c r="E1824" s="8" t="s">
        <v>392</v>
      </c>
    </row>
    <row r="1825" ht="14.25" hidden="1" customHeight="1">
      <c r="A1825" s="8" t="s">
        <v>1911</v>
      </c>
      <c r="B1825" s="8" t="s">
        <v>684</v>
      </c>
      <c r="D1825" s="121" t="str">
        <f>HYPERLINK("http://www.fargo.va.gov/services/PUBLIC_AFFAIRS_OFFICE.ASP")</f>
        <v>http://www.fargo.va.gov/services/PUBLIC_AFFAIRS_OFFICE.ASP</v>
      </c>
      <c r="E1825" s="8" t="s">
        <v>392</v>
      </c>
    </row>
    <row r="1826" ht="14.25" hidden="1" customHeight="1">
      <c r="A1826" s="8" t="s">
        <v>1911</v>
      </c>
      <c r="B1826" s="8" t="s">
        <v>791</v>
      </c>
      <c r="D1826" s="121" t="str">
        <f>HYPERLINK("http://www.fargo.va.gov/services/PULMONARY.ASP")</f>
        <v>http://www.fargo.va.gov/services/PULMONARY.ASP</v>
      </c>
      <c r="E1826" s="8" t="s">
        <v>392</v>
      </c>
    </row>
    <row r="1827" ht="14.25" hidden="1" customHeight="1">
      <c r="A1827" s="8" t="s">
        <v>1911</v>
      </c>
      <c r="B1827" s="8" t="s">
        <v>708</v>
      </c>
      <c r="D1827" s="121" t="str">
        <f>HYPERLINK("http://www.fargo.va.gov/services/RELEASE_OF_INFORMATION.ASP")</f>
        <v>http://www.fargo.va.gov/services/RELEASE_OF_INFORMATION.ASP</v>
      </c>
      <c r="E1827" s="8" t="s">
        <v>392</v>
      </c>
    </row>
    <row r="1828" ht="14.25" hidden="1" customHeight="1">
      <c r="A1828" s="8" t="s">
        <v>1911</v>
      </c>
      <c r="B1828" s="8" t="s">
        <v>1966</v>
      </c>
      <c r="D1828" s="121" t="str">
        <f>HYPERLINK("http://www.fargo.va.gov/services/RENAL_TRANSPLANT_COORDINATION.ASP")</f>
        <v>http://www.fargo.va.gov/services/RENAL_TRANSPLANT_COORDINATION.ASP</v>
      </c>
      <c r="E1828" s="8" t="s">
        <v>392</v>
      </c>
    </row>
    <row r="1829" ht="14.25" hidden="1" customHeight="1">
      <c r="A1829" s="8" t="s">
        <v>1911</v>
      </c>
      <c r="B1829" s="8" t="s">
        <v>508</v>
      </c>
      <c r="D1829" s="121" t="str">
        <f>HYPERLINK("http://www.fargo.va.gov/services/RESEARCH.ASP")</f>
        <v>http://www.fargo.va.gov/services/RESEARCH.ASP</v>
      </c>
      <c r="E1829" s="8" t="s">
        <v>392</v>
      </c>
    </row>
    <row r="1830" ht="14.25" hidden="1" customHeight="1">
      <c r="A1830" s="8" t="s">
        <v>1911</v>
      </c>
      <c r="B1830" s="8" t="s">
        <v>1971</v>
      </c>
      <c r="D1830" s="121" t="str">
        <f>HYPERLINK("http://www.fargo.va.gov/services/SAFE_PATIENT_HANDLING_PROGRAM.ASP")</f>
        <v>http://www.fargo.va.gov/services/SAFE_PATIENT_HANDLING_PROGRAM.ASP</v>
      </c>
      <c r="E1830" s="8" t="s">
        <v>392</v>
      </c>
    </row>
    <row r="1831" ht="14.25" hidden="1" customHeight="1">
      <c r="A1831" s="8" t="s">
        <v>1911</v>
      </c>
      <c r="B1831" s="8" t="s">
        <v>360</v>
      </c>
      <c r="D1831" s="121" t="str">
        <f>HYPERLINK("http://www.fargo.va.gov/services/SOCIALWORK.ASP")</f>
        <v>http://www.fargo.va.gov/services/SOCIALWORK.ASP</v>
      </c>
      <c r="E1831" s="8" t="s">
        <v>392</v>
      </c>
    </row>
    <row r="1832" ht="14.25" hidden="1" customHeight="1">
      <c r="A1832" s="8" t="s">
        <v>1911</v>
      </c>
      <c r="B1832" s="8" t="s">
        <v>363</v>
      </c>
      <c r="D1832" s="121" t="str">
        <f>HYPERLINK("http://www.fargo.va.gov/services/SPECIALTY.ASP")</f>
        <v>http://www.fargo.va.gov/services/SPECIALTY.ASP</v>
      </c>
      <c r="E1832" s="8" t="s">
        <v>392</v>
      </c>
    </row>
    <row r="1833" ht="14.25" hidden="1" customHeight="1">
      <c r="A1833" s="8" t="s">
        <v>1911</v>
      </c>
      <c r="B1833" s="8" t="s">
        <v>1975</v>
      </c>
      <c r="D1833" s="121" t="str">
        <f>HYPERLINK("http://www.fargo.va.gov/services/SCI.ASP")</f>
        <v>http://www.fargo.va.gov/services/SCI.ASP</v>
      </c>
      <c r="E1833" s="8" t="s">
        <v>392</v>
      </c>
    </row>
    <row r="1834" ht="14.25" hidden="1" customHeight="1">
      <c r="A1834" s="8" t="s">
        <v>1911</v>
      </c>
      <c r="B1834" s="8" t="s">
        <v>1976</v>
      </c>
      <c r="D1834" s="121" t="str">
        <f>HYPERLINK("http://www.fargo.va.gov/services/STEPPING_ON_FALL_PREVENTION_PROGRAM.ASP")</f>
        <v>http://www.fargo.va.gov/services/STEPPING_ON_FALL_PREVENTION_PROGRAM.ASP</v>
      </c>
      <c r="E1834" s="8" t="s">
        <v>392</v>
      </c>
    </row>
    <row r="1835" ht="14.25" hidden="1" customHeight="1">
      <c r="A1835" s="8" t="s">
        <v>1911</v>
      </c>
      <c r="B1835" s="8" t="s">
        <v>617</v>
      </c>
      <c r="D1835" s="121" t="str">
        <f>HYPERLINK("http://www.fargo.va.gov/services/SUICIDE_PREVENTION_PROGRAM.ASP")</f>
        <v>http://www.fargo.va.gov/services/SUICIDE_PREVENTION_PROGRAM.ASP</v>
      </c>
      <c r="E1835" s="8" t="s">
        <v>392</v>
      </c>
    </row>
    <row r="1836" ht="14.25" hidden="1" customHeight="1">
      <c r="A1836" s="8" t="s">
        <v>1911</v>
      </c>
      <c r="B1836" s="8" t="s">
        <v>370</v>
      </c>
      <c r="D1836" s="121" t="str">
        <f>HYPERLINK("http://www.fargo.va.gov/services/TELEHEALTH.ASP")</f>
        <v>http://www.fargo.va.gov/services/TELEHEALTH.ASP</v>
      </c>
      <c r="E1836" s="8" t="s">
        <v>392</v>
      </c>
    </row>
    <row r="1837" ht="14.25" hidden="1" customHeight="1">
      <c r="A1837" s="8" t="s">
        <v>1911</v>
      </c>
      <c r="B1837" s="8" t="s">
        <v>1977</v>
      </c>
      <c r="D1837" s="121" t="str">
        <f>HYPERLINK("http://www.fargo.va.gov/services/THERAPY_SERVICES_PT_OT_SPEECH_AND_RECREATION.ASP")</f>
        <v>http://www.fargo.va.gov/services/THERAPY_SERVICES_PT_OT_SPEECH_AND_RECREATION.ASP</v>
      </c>
      <c r="E1837" s="8" t="s">
        <v>392</v>
      </c>
    </row>
    <row r="1838" ht="14.25" hidden="1" customHeight="1">
      <c r="A1838" s="8" t="s">
        <v>1911</v>
      </c>
      <c r="B1838" s="8" t="s">
        <v>1978</v>
      </c>
      <c r="D1838" s="121" t="str">
        <f>HYPERLINK("http://www.fargo.va.gov/services/TOBACCO_CESSATION_TREATMENT.ASP")</f>
        <v>http://www.fargo.va.gov/services/TOBACCO_CESSATION_TREATMENT.ASP</v>
      </c>
      <c r="E1838" s="8" t="s">
        <v>392</v>
      </c>
    </row>
    <row r="1839" ht="14.25" hidden="1" customHeight="1">
      <c r="A1839" s="8" t="s">
        <v>1911</v>
      </c>
      <c r="B1839" s="8" t="s">
        <v>1869</v>
      </c>
      <c r="D1839" s="121" t="str">
        <f>HYPERLINK("http://www.fargo.va.gov/services/TRAVEL.ASP")</f>
        <v>http://www.fargo.va.gov/services/TRAVEL.ASP</v>
      </c>
      <c r="E1839" s="8" t="s">
        <v>392</v>
      </c>
    </row>
    <row r="1840" ht="14.25" hidden="1" customHeight="1">
      <c r="A1840" s="8" t="s">
        <v>1911</v>
      </c>
      <c r="B1840" s="8" t="s">
        <v>1980</v>
      </c>
      <c r="D1840" s="121" t="str">
        <f>HYPERLINK("http://www.fargo.va.gov/services/VLER.ASP")</f>
        <v>http://www.fargo.va.gov/services/VLER.ASP</v>
      </c>
      <c r="E1840" s="8" t="s">
        <v>392</v>
      </c>
    </row>
    <row r="1841" ht="14.25" hidden="1" customHeight="1">
      <c r="A1841" s="8" t="s">
        <v>1911</v>
      </c>
      <c r="B1841" s="8" t="s">
        <v>1982</v>
      </c>
      <c r="D1841" s="121" t="str">
        <f>HYPERLINK("http://www.fargo.va.gov/services/VETERANS_DROP_IN_CENTER.ASP")</f>
        <v>http://www.fargo.va.gov/services/VETERANS_DROP_IN_CENTER.ASP</v>
      </c>
      <c r="E1841" s="8" t="s">
        <v>392</v>
      </c>
    </row>
    <row r="1842" ht="14.25" hidden="1" customHeight="1">
      <c r="A1842" s="8" t="s">
        <v>1911</v>
      </c>
      <c r="B1842" s="8" t="s">
        <v>318</v>
      </c>
      <c r="D1842" s="121" t="str">
        <f>HYPERLINK("http://www.fargo.va.gov/services/VISUAL_IMPAIRMENT_SERVICES.ASP")</f>
        <v>http://www.fargo.va.gov/services/VISUAL_IMPAIRMENT_SERVICES.ASP</v>
      </c>
      <c r="E1842" s="8" t="s">
        <v>392</v>
      </c>
    </row>
    <row r="1843" ht="14.25" hidden="1" customHeight="1">
      <c r="A1843" s="8" t="s">
        <v>1911</v>
      </c>
      <c r="B1843" s="8" t="s">
        <v>518</v>
      </c>
      <c r="D1843" s="121" t="str">
        <f>HYPERLINK("http://www.fargo.va.gov/services/VOLUNTARY_SERVICE.ASP")</f>
        <v>http://www.fargo.va.gov/services/VOLUNTARY_SERVICE.ASP</v>
      </c>
      <c r="E1843" s="8" t="s">
        <v>392</v>
      </c>
    </row>
    <row r="1844" ht="14.25" hidden="1" customHeight="1">
      <c r="A1844" s="8" t="s">
        <v>1911</v>
      </c>
      <c r="B1844" s="8" t="s">
        <v>377</v>
      </c>
      <c r="D1844" s="121" t="str">
        <f>HYPERLINK("http://www.fargo.va.gov/services/WHOLE_HEALTH.ASP")</f>
        <v>http://www.fargo.va.gov/services/WHOLE_HEALTH.ASP</v>
      </c>
      <c r="E1844" s="8" t="s">
        <v>392</v>
      </c>
    </row>
    <row r="1845" ht="14.25" hidden="1" customHeight="1">
      <c r="A1845" s="8" t="s">
        <v>1911</v>
      </c>
      <c r="B1845" s="8" t="s">
        <v>1987</v>
      </c>
      <c r="D1845" s="121" t="str">
        <f>HYPERLINK("http://www.fargo.va.gov/services/WOMEN_VETERAN_PROGRAM_MANAGER.ASP")</f>
        <v>http://www.fargo.va.gov/services/WOMEN_VETERAN_PROGRAM_MANAGER.ASP</v>
      </c>
      <c r="E1845" s="8" t="s">
        <v>392</v>
      </c>
    </row>
    <row r="1846" ht="14.25" hidden="1" customHeight="1">
      <c r="A1846" s="8" t="s">
        <v>1988</v>
      </c>
      <c r="B1846" s="8" t="s">
        <v>244</v>
      </c>
      <c r="D1846" s="121" t="str">
        <f>HYPERLINK("http://www.fayettevillear.va.gov/services/AUDIOLOGY.ASP")</f>
        <v>http://www.fayettevillear.va.gov/services/AUDIOLOGY.ASP</v>
      </c>
      <c r="E1846" s="8" t="s">
        <v>392</v>
      </c>
    </row>
    <row r="1847" ht="14.25" hidden="1" customHeight="1">
      <c r="A1847" s="8" t="s">
        <v>1988</v>
      </c>
      <c r="B1847" s="8" t="s">
        <v>636</v>
      </c>
      <c r="D1847" s="121" t="str">
        <f>HYPERLINK("http://www.fayettevillear.va.gov/services/BENE-TRAVEL.ASP")</f>
        <v>http://www.fayettevillear.va.gov/services/BENE-TRAVEL.ASP</v>
      </c>
      <c r="E1847" s="8" t="s">
        <v>392</v>
      </c>
    </row>
    <row r="1848" ht="14.25" hidden="1" customHeight="1">
      <c r="A1848" s="8" t="s">
        <v>1988</v>
      </c>
      <c r="B1848" s="8" t="s">
        <v>1749</v>
      </c>
      <c r="D1848" s="121" t="str">
        <f>HYPERLINK("http://www.fayettevillear.va.gov/services/CRC.ASP")</f>
        <v>http://www.fayettevillear.va.gov/services/CRC.ASP</v>
      </c>
      <c r="E1848" s="8" t="s">
        <v>392</v>
      </c>
    </row>
    <row r="1849" ht="14.25" hidden="1" customHeight="1">
      <c r="A1849" s="8" t="s">
        <v>1988</v>
      </c>
      <c r="B1849" s="8" t="s">
        <v>304</v>
      </c>
      <c r="D1849" s="121" t="str">
        <f>HYPERLINK("http://www.fayettevillear.va.gov/services/DENTAL.ASP")</f>
        <v>http://www.fayettevillear.va.gov/services/DENTAL.ASP</v>
      </c>
      <c r="E1849" s="8" t="s">
        <v>392</v>
      </c>
    </row>
    <row r="1850" ht="14.25" hidden="1" customHeight="1">
      <c r="A1850" s="8" t="s">
        <v>1988</v>
      </c>
      <c r="B1850" s="8" t="s">
        <v>1990</v>
      </c>
      <c r="D1850" s="121" t="str">
        <f>HYPERLINK("http://www.fayettevillear.va.gov/services/DENTALRESIDENCY.ASP")</f>
        <v>http://www.fayettevillear.va.gov/services/DENTALRESIDENCY.ASP</v>
      </c>
      <c r="E1850" s="8" t="s">
        <v>392</v>
      </c>
    </row>
    <row r="1851" ht="14.25" hidden="1" customHeight="1">
      <c r="A1851" s="8" t="s">
        <v>1988</v>
      </c>
      <c r="B1851" s="8" t="s">
        <v>1991</v>
      </c>
      <c r="D1851" s="121" t="str">
        <f>HYPERLINK("http://www.fayettevillear.va.gov/services/FAY-VETCENTER.ASP")</f>
        <v>http://www.fayettevillear.va.gov/services/FAY-VETCENTER.ASP</v>
      </c>
      <c r="E1851" s="8" t="s">
        <v>392</v>
      </c>
    </row>
    <row r="1852" ht="14.25" hidden="1" customHeight="1">
      <c r="A1852" s="8" t="s">
        <v>1988</v>
      </c>
      <c r="B1852" s="8" t="s">
        <v>1306</v>
      </c>
      <c r="D1852" s="121" t="str">
        <f>HYPERLINK("http://www.fayettevillear.va.gov/services/HPDP.ASP")</f>
        <v>http://www.fayettevillear.va.gov/services/HPDP.ASP</v>
      </c>
      <c r="E1852" s="8" t="s">
        <v>392</v>
      </c>
    </row>
    <row r="1853" ht="14.25" hidden="1" customHeight="1">
      <c r="A1853" s="8" t="s">
        <v>1988</v>
      </c>
      <c r="B1853" s="8" t="s">
        <v>431</v>
      </c>
      <c r="D1853" s="121" t="str">
        <f>HYPERLINK("http://www.fayettevillear.va.gov/services/HBPC.ASP")</f>
        <v>http://www.fayettevillear.va.gov/services/HBPC.ASP</v>
      </c>
      <c r="E1853" s="8" t="s">
        <v>392</v>
      </c>
    </row>
    <row r="1854" ht="14.25" hidden="1" customHeight="1">
      <c r="A1854" s="8" t="s">
        <v>1988</v>
      </c>
      <c r="B1854" s="8" t="s">
        <v>1995</v>
      </c>
      <c r="D1854" s="121" t="str">
        <f>HYPERLINK("http://www.fayettevillear.va.gov/services/ECRC.ASP")</f>
        <v>http://www.fayettevillear.va.gov/services/ECRC.ASP</v>
      </c>
      <c r="E1854" s="8" t="s">
        <v>392</v>
      </c>
    </row>
    <row r="1855" ht="14.25" hidden="1" customHeight="1">
      <c r="A1855" s="8" t="s">
        <v>1988</v>
      </c>
      <c r="B1855" s="8" t="s">
        <v>1997</v>
      </c>
      <c r="D1855" s="121" t="str">
        <f>HYPERLINK("http://www.fayettevillear.va.gov/services/LGBT_VETERANS.ASP")</f>
        <v>http://www.fayettevillear.va.gov/services/LGBT_VETERANS.ASP</v>
      </c>
      <c r="E1855" s="8" t="s">
        <v>392</v>
      </c>
    </row>
    <row r="1856" ht="14.25" hidden="1" customHeight="1">
      <c r="A1856" s="8" t="s">
        <v>1988</v>
      </c>
      <c r="B1856" s="8" t="s">
        <v>476</v>
      </c>
      <c r="D1856" s="121" t="str">
        <f>HYPERLINK("http://www.fayettevillear.va.gov/services/MEDICALFOSTERHOME.ASP")</f>
        <v>http://www.fayettevillear.va.gov/services/MEDICALFOSTERHOME.ASP</v>
      </c>
      <c r="E1856" s="8" t="s">
        <v>392</v>
      </c>
    </row>
    <row r="1857" ht="14.25" hidden="1" customHeight="1">
      <c r="A1857" s="8" t="s">
        <v>1988</v>
      </c>
      <c r="B1857" s="8" t="s">
        <v>2000</v>
      </c>
      <c r="D1857" s="121" t="str">
        <f>HYPERLINK("http://www.fayettevillear.va.gov/services/MED.ASP")</f>
        <v>http://www.fayettevillear.va.gov/services/MED.ASP</v>
      </c>
      <c r="E1857" s="8" t="s">
        <v>392</v>
      </c>
    </row>
    <row r="1858" ht="14.25" hidden="1" customHeight="1">
      <c r="A1858" s="8" t="s">
        <v>1988</v>
      </c>
      <c r="B1858" s="8" t="s">
        <v>323</v>
      </c>
      <c r="D1858" s="121" t="str">
        <f>HYPERLINK("http://www.fayettevillear.va.gov/services/MENTALHEALTH.ASP")</f>
        <v>http://www.fayettevillear.va.gov/services/MENTALHEALTH.ASP</v>
      </c>
      <c r="E1858" s="8" t="s">
        <v>392</v>
      </c>
    </row>
    <row r="1859" ht="14.25" hidden="1" customHeight="1">
      <c r="A1859" s="8" t="s">
        <v>1988</v>
      </c>
      <c r="B1859" s="8" t="s">
        <v>2001</v>
      </c>
      <c r="D1859" s="121" t="str">
        <f>HYPERLINK("http://www.fayettevillear.va.gov/services/MHICM.ASP")</f>
        <v>http://www.fayettevillear.va.gov/services/MHICM.ASP</v>
      </c>
      <c r="E1859" s="8" t="s">
        <v>392</v>
      </c>
    </row>
    <row r="1860" ht="14.25" hidden="1" customHeight="1">
      <c r="A1860" s="8" t="s">
        <v>1988</v>
      </c>
      <c r="B1860" s="8" t="s">
        <v>324</v>
      </c>
      <c r="D1860" s="121" t="str">
        <f>HYPERLINK("http://www.fayettevillear.va.gov/services/MST.ASP")</f>
        <v>http://www.fayettevillear.va.gov/services/MST.ASP</v>
      </c>
      <c r="E1860" s="8" t="s">
        <v>392</v>
      </c>
    </row>
    <row r="1861" ht="14.25" hidden="1" customHeight="1">
      <c r="A1861" s="8" t="s">
        <v>1988</v>
      </c>
      <c r="B1861" s="8" t="s">
        <v>2002</v>
      </c>
      <c r="D1861" s="121" t="str">
        <f>HYPERLINK("http://www.fayettevillear.va.gov/services/MINORITY.ASP")</f>
        <v>http://www.fayettevillear.va.gov/services/MINORITY.ASP</v>
      </c>
      <c r="E1861" s="8" t="s">
        <v>392</v>
      </c>
    </row>
    <row r="1862" ht="14.25" hidden="1" customHeight="1">
      <c r="A1862" s="8" t="s">
        <v>1988</v>
      </c>
      <c r="B1862" s="8" t="s">
        <v>658</v>
      </c>
      <c r="D1862" s="121" t="str">
        <f>HYPERLINK("http://www.fayettevillear.va.gov/services/MOVE.ASP")</f>
        <v>http://www.fayettevillear.va.gov/services/MOVE.ASP</v>
      </c>
      <c r="E1862" s="8" t="s">
        <v>392</v>
      </c>
    </row>
    <row r="1863" ht="14.25" hidden="1" customHeight="1">
      <c r="A1863" s="8" t="s">
        <v>1988</v>
      </c>
      <c r="B1863" s="8" t="s">
        <v>494</v>
      </c>
      <c r="D1863" s="121" t="str">
        <f>HYPERLINK("http://www.fayettevillear.va.gov/services/MYHEALTHEVET.ASP")</f>
        <v>http://www.fayettevillear.va.gov/services/MYHEALTHEVET.ASP</v>
      </c>
      <c r="E1863" s="8" t="s">
        <v>392</v>
      </c>
    </row>
    <row r="1864" ht="14.25" hidden="1" customHeight="1">
      <c r="A1864" s="8" t="s">
        <v>1988</v>
      </c>
      <c r="B1864" s="8" t="s">
        <v>1280</v>
      </c>
      <c r="D1864" s="121" t="str">
        <f>HYPERLINK("http://www.fayettevillear.va.gov/services/NUTRITIONANDFOOD.ASP")</f>
        <v>http://www.fayettevillear.va.gov/services/NUTRITIONANDFOOD.ASP</v>
      </c>
      <c r="E1864" s="8" t="s">
        <v>392</v>
      </c>
    </row>
    <row r="1865" ht="14.25" hidden="1" customHeight="1">
      <c r="A1865" s="8" t="s">
        <v>1988</v>
      </c>
      <c r="B1865" s="8" t="s">
        <v>651</v>
      </c>
      <c r="D1865" s="121" t="str">
        <f>HYPERLINK("http://www.fayettevillear.va.gov/services/PALLIATIVE.ASP")</f>
        <v>http://www.fayettevillear.va.gov/services/PALLIATIVE.ASP</v>
      </c>
      <c r="E1865" s="8" t="s">
        <v>392</v>
      </c>
    </row>
    <row r="1866" ht="14.25" hidden="1" customHeight="1">
      <c r="A1866" s="8" t="s">
        <v>1988</v>
      </c>
      <c r="B1866" s="8" t="s">
        <v>496</v>
      </c>
      <c r="D1866" s="121" t="str">
        <f>HYPERLINK("http://www.fayettevillear.va.gov/services/PATH_LAB.ASP")</f>
        <v>http://www.fayettevillear.va.gov/services/PATH_LAB.ASP</v>
      </c>
      <c r="E1866" s="8" t="s">
        <v>392</v>
      </c>
    </row>
    <row r="1867" ht="14.25" hidden="1" customHeight="1">
      <c r="A1867" s="8" t="s">
        <v>1988</v>
      </c>
      <c r="B1867" s="8" t="s">
        <v>907</v>
      </c>
      <c r="D1867" s="121" t="str">
        <f>HYPERLINK("http://www.fayettevillear.va.gov/services/PATIENT_ADVOCATES.ASP")</f>
        <v>http://www.fayettevillear.va.gov/services/PATIENT_ADVOCATES.ASP</v>
      </c>
      <c r="E1867" s="8" t="s">
        <v>392</v>
      </c>
    </row>
    <row r="1868" ht="14.25" hidden="1" customHeight="1">
      <c r="A1868" s="8" t="s">
        <v>1988</v>
      </c>
      <c r="B1868" s="8" t="s">
        <v>343</v>
      </c>
      <c r="D1868" s="121" t="str">
        <f>HYPERLINK("http://www.fayettevillear.va.gov/services/PHARMACY.ASP")</f>
        <v>http://www.fayettevillear.va.gov/services/PHARMACY.ASP</v>
      </c>
      <c r="E1868" s="8" t="s">
        <v>392</v>
      </c>
    </row>
    <row r="1869" ht="14.25" hidden="1" customHeight="1">
      <c r="A1869" s="8" t="s">
        <v>1988</v>
      </c>
      <c r="B1869" s="8" t="s">
        <v>1269</v>
      </c>
      <c r="D1869" s="121" t="str">
        <f>HYPERLINK("http://www.fayettevillear.va.gov/services/PHARMACYRESIDENCY.ASP")</f>
        <v>http://www.fayettevillear.va.gov/services/PHARMACYRESIDENCY.ASP</v>
      </c>
      <c r="E1869" s="8" t="s">
        <v>392</v>
      </c>
    </row>
    <row r="1870" ht="14.25" hidden="1" customHeight="1">
      <c r="A1870" s="8" t="s">
        <v>1988</v>
      </c>
      <c r="B1870" s="8" t="s">
        <v>348</v>
      </c>
      <c r="D1870" s="121" t="str">
        <f>HYPERLINK("http://www.fayettevillear.va.gov/services/PRIMARY.ASP")</f>
        <v>http://www.fayettevillear.va.gov/services/PRIMARY.ASP</v>
      </c>
      <c r="E1870" s="8" t="s">
        <v>392</v>
      </c>
    </row>
    <row r="1871" ht="14.25" hidden="1" customHeight="1">
      <c r="A1871" s="8" t="s">
        <v>1988</v>
      </c>
      <c r="B1871" s="8" t="s">
        <v>2012</v>
      </c>
      <c r="D1871" s="121" t="str">
        <f>HYPERLINK("http://www.fayettevillear.va.gov/services/PROSTHETICS.ASP")</f>
        <v>http://www.fayettevillear.va.gov/services/PROSTHETICS.ASP</v>
      </c>
      <c r="E1871" s="8" t="s">
        <v>392</v>
      </c>
    </row>
    <row r="1872" ht="14.25" hidden="1" customHeight="1">
      <c r="A1872" s="8" t="s">
        <v>1988</v>
      </c>
      <c r="B1872" s="8" t="s">
        <v>964</v>
      </c>
      <c r="D1872" s="121" t="str">
        <f>HYPERLINK("http://www.fayettevillear.va.gov/services/PRRC.ASP")</f>
        <v>http://www.fayettevillear.va.gov/services/PRRC.ASP</v>
      </c>
      <c r="E1872" s="8" t="s">
        <v>392</v>
      </c>
    </row>
    <row r="1873" ht="14.25" hidden="1" customHeight="1">
      <c r="A1873" s="8" t="s">
        <v>1988</v>
      </c>
      <c r="B1873" s="8" t="s">
        <v>360</v>
      </c>
      <c r="D1873" s="121" t="str">
        <f>HYPERLINK("http://www.fayettevillear.va.gov/services/SOCIALWORK.ASP")</f>
        <v>http://www.fayettevillear.va.gov/services/SOCIALWORK.ASP</v>
      </c>
      <c r="E1873" s="8" t="s">
        <v>392</v>
      </c>
    </row>
    <row r="1874" ht="14.25" hidden="1" customHeight="1">
      <c r="A1874" s="8" t="s">
        <v>1988</v>
      </c>
      <c r="B1874" s="8" t="s">
        <v>363</v>
      </c>
      <c r="D1874" s="121" t="str">
        <f>HYPERLINK("http://www.fayettevillear.va.gov/services/SPECIALTY.ASP")</f>
        <v>http://www.fayettevillear.va.gov/services/SPECIALTY.ASP</v>
      </c>
      <c r="E1874" s="8" t="s">
        <v>392</v>
      </c>
    </row>
    <row r="1875" ht="14.25" hidden="1" customHeight="1">
      <c r="A1875" s="8" t="s">
        <v>1988</v>
      </c>
      <c r="B1875" s="8" t="s">
        <v>722</v>
      </c>
      <c r="D1875" s="121" t="str">
        <f>HYPERLINK("http://www.fayettevillear.va.gov/services/SURGERY.ASP")</f>
        <v>http://www.fayettevillear.va.gov/services/SURGERY.ASP</v>
      </c>
      <c r="E1875" s="8" t="s">
        <v>392</v>
      </c>
    </row>
    <row r="1876" ht="14.25" hidden="1" customHeight="1">
      <c r="A1876" s="8" t="s">
        <v>1988</v>
      </c>
      <c r="B1876" s="8" t="s">
        <v>2019</v>
      </c>
      <c r="D1876" s="121" t="str">
        <f>HYPERLINK("http://www.fayettevillear.va.gov/services/VJOARKANSAS.ASP")</f>
        <v>http://www.fayettevillear.va.gov/services/VJOARKANSAS.ASP</v>
      </c>
      <c r="E1876" s="8" t="s">
        <v>392</v>
      </c>
    </row>
    <row r="1877" ht="14.25" hidden="1" customHeight="1">
      <c r="A1877" s="8" t="s">
        <v>1988</v>
      </c>
      <c r="B1877" s="8" t="s">
        <v>2023</v>
      </c>
      <c r="D1877" s="121" t="str">
        <f>HYPERLINK("http://www.fayettevillear.va.gov/services/VJOMISSOURI.ASP")</f>
        <v>http://www.fayettevillear.va.gov/services/VJOMISSOURI.ASP</v>
      </c>
      <c r="E1877" s="8" t="s">
        <v>392</v>
      </c>
    </row>
    <row r="1878" ht="14.25" hidden="1" customHeight="1">
      <c r="A1878" s="8" t="s">
        <v>1988</v>
      </c>
      <c r="B1878" s="8" t="s">
        <v>2027</v>
      </c>
      <c r="D1878" s="121" t="str">
        <f>HYPERLINK("http://www.fayettevillear.va.gov/services/HEALTHCOACHING.ASP")</f>
        <v>http://www.fayettevillear.va.gov/services/HEALTHCOACHING.ASP</v>
      </c>
      <c r="E1878" s="8" t="s">
        <v>392</v>
      </c>
    </row>
    <row r="1879" ht="14.25" hidden="1" customHeight="1">
      <c r="A1879" s="8" t="s">
        <v>2030</v>
      </c>
      <c r="B1879" s="8" t="s">
        <v>578</v>
      </c>
      <c r="D1879" s="121" t="str">
        <f>HYPERLINK("http://www.fayettevillenc.va.gov/services/CALL_CENTER.ASP")</f>
        <v>http://www.fayettevillenc.va.gov/services/CALL_CENTER.ASP</v>
      </c>
      <c r="E1879" s="8" t="s">
        <v>392</v>
      </c>
    </row>
    <row r="1880" ht="14.25" hidden="1" customHeight="1">
      <c r="A1880" s="8" t="s">
        <v>2030</v>
      </c>
      <c r="B1880" s="8" t="s">
        <v>455</v>
      </c>
      <c r="D1880" s="121" t="str">
        <f>HYPERLINK("http://www.fayettevillenc.va.gov/services/COMPENSATION_AND_PENSION.ASP")</f>
        <v>http://www.fayettevillenc.va.gov/services/COMPENSATION_AND_PENSION.ASP</v>
      </c>
      <c r="E1880" s="8" t="s">
        <v>392</v>
      </c>
    </row>
    <row r="1881" ht="14.25" hidden="1" customHeight="1">
      <c r="A1881" s="8" t="s">
        <v>2030</v>
      </c>
      <c r="B1881" s="8" t="s">
        <v>309</v>
      </c>
      <c r="D1881" s="121" t="str">
        <f>HYPERLINK("http://www.fayettevillenc.va.gov/services/ECRC.ASP")</f>
        <v>http://www.fayettevillenc.va.gov/services/ECRC.ASP</v>
      </c>
      <c r="E1881" s="8" t="s">
        <v>392</v>
      </c>
    </row>
    <row r="1882" ht="14.25" hidden="1" customHeight="1">
      <c r="A1882" s="8" t="s">
        <v>2030</v>
      </c>
      <c r="B1882" s="8" t="s">
        <v>2039</v>
      </c>
      <c r="D1882" s="121" t="str">
        <f>HYPERLINK("http://www.fayettevillenc.va.gov/services/HEALTH_PROMOTION.ASP")</f>
        <v>http://www.fayettevillenc.va.gov/services/HEALTH_PROMOTION.ASP</v>
      </c>
      <c r="E1882" s="8" t="s">
        <v>392</v>
      </c>
    </row>
    <row r="1883" ht="14.25" hidden="1" customHeight="1">
      <c r="A1883" s="8" t="s">
        <v>2030</v>
      </c>
      <c r="B1883" s="8" t="s">
        <v>323</v>
      </c>
      <c r="D1883" s="121" t="str">
        <f>HYPERLINK("http://www.fayettevillenc.va.gov/services/MENTALHEALTH.ASP")</f>
        <v>http://www.fayettevillenc.va.gov/services/MENTALHEALTH.ASP</v>
      </c>
      <c r="E1883" s="8" t="s">
        <v>392</v>
      </c>
    </row>
    <row r="1884" ht="14.25" hidden="1" customHeight="1">
      <c r="A1884" s="8" t="s">
        <v>2030</v>
      </c>
      <c r="B1884" s="8" t="s">
        <v>343</v>
      </c>
      <c r="D1884" s="121" t="str">
        <f>HYPERLINK("http://www.fayettevillenc.va.gov/services/PHARMACY.ASP")</f>
        <v>http://www.fayettevillenc.va.gov/services/PHARMACY.ASP</v>
      </c>
      <c r="E1884" s="8" t="s">
        <v>392</v>
      </c>
    </row>
    <row r="1885" ht="14.25" hidden="1" customHeight="1">
      <c r="A1885" s="8" t="s">
        <v>2030</v>
      </c>
      <c r="B1885" s="8" t="s">
        <v>348</v>
      </c>
      <c r="D1885" s="121" t="str">
        <f>HYPERLINK("http://www.fayettevillenc.va.gov/services/PRIMARY.ASP")</f>
        <v>http://www.fayettevillenc.va.gov/services/PRIMARY.ASP</v>
      </c>
      <c r="E1885" s="8" t="s">
        <v>392</v>
      </c>
    </row>
    <row r="1886" ht="14.25" hidden="1" customHeight="1">
      <c r="A1886" s="8" t="s">
        <v>2030</v>
      </c>
      <c r="B1886" s="8" t="s">
        <v>2050</v>
      </c>
      <c r="D1886" s="121" t="str">
        <f>HYPERLINK("http://www.fayettevillenc.va.gov/services/FLU_CLINIC.ASP")</f>
        <v>http://www.fayettevillenc.va.gov/services/FLU_CLINIC.ASP</v>
      </c>
      <c r="E1886" s="8" t="s">
        <v>392</v>
      </c>
    </row>
    <row r="1887" ht="14.25" hidden="1" customHeight="1">
      <c r="A1887" s="8" t="s">
        <v>2030</v>
      </c>
      <c r="B1887" s="8" t="s">
        <v>360</v>
      </c>
      <c r="D1887" s="121" t="str">
        <f>HYPERLINK("http://www.fayettevillenc.va.gov/services/SOCIALWORK.ASP")</f>
        <v>http://www.fayettevillenc.va.gov/services/SOCIALWORK.ASP</v>
      </c>
      <c r="E1887" s="8" t="s">
        <v>392</v>
      </c>
    </row>
    <row r="1888" ht="14.25" hidden="1" customHeight="1">
      <c r="A1888" s="8" t="s">
        <v>2030</v>
      </c>
      <c r="B1888" s="8" t="s">
        <v>363</v>
      </c>
      <c r="D1888" s="121" t="str">
        <f>HYPERLINK("http://www.fayettevillenc.va.gov/services/SPECIALTY.ASP")</f>
        <v>http://www.fayettevillenc.va.gov/services/SPECIALTY.ASP</v>
      </c>
      <c r="E1888" s="8" t="s">
        <v>392</v>
      </c>
    </row>
    <row r="1889" ht="14.25" hidden="1" customHeight="1">
      <c r="A1889" s="8" t="s">
        <v>2030</v>
      </c>
      <c r="B1889" s="8" t="s">
        <v>364</v>
      </c>
      <c r="D1889" s="121" t="str">
        <f>HYPERLINK("http://www.fayettevillenc.va.gov/services/SCI.ASP")</f>
        <v>http://www.fayettevillenc.va.gov/services/SCI.ASP</v>
      </c>
      <c r="E1889" s="8" t="s">
        <v>392</v>
      </c>
    </row>
    <row r="1890" ht="14.25" hidden="1" customHeight="1">
      <c r="A1890" s="8" t="s">
        <v>2030</v>
      </c>
      <c r="B1890" s="8" t="s">
        <v>2056</v>
      </c>
      <c r="D1890" s="121" t="str">
        <f>HYPERLINK("http://www.fayettevillenc.va.gov/services/URGENT_CARE_QUESTIONS.ASP")</f>
        <v>http://www.fayettevillenc.va.gov/services/URGENT_CARE_QUESTIONS.ASP</v>
      </c>
      <c r="E1890" s="8" t="s">
        <v>392</v>
      </c>
    </row>
    <row r="1891" ht="14.25" hidden="1" customHeight="1">
      <c r="A1891" s="8" t="s">
        <v>2030</v>
      </c>
      <c r="B1891" s="8" t="s">
        <v>520</v>
      </c>
      <c r="D1891" s="121" t="str">
        <f>HYPERLINK("http://www.fayettevillenc.va.gov/services/WOMEN_VETERANS_HEALTH_PROGRAM.ASP")</f>
        <v>http://www.fayettevillenc.va.gov/services/WOMEN_VETERANS_HEALTH_PROGRAM.ASP</v>
      </c>
      <c r="E1891" s="8" t="s">
        <v>392</v>
      </c>
    </row>
    <row r="1892" ht="14.25" hidden="1" customHeight="1">
      <c r="A1892" s="8" t="s">
        <v>2060</v>
      </c>
      <c r="B1892" s="8" t="s">
        <v>513</v>
      </c>
      <c r="D1892" s="121" t="str">
        <f>HYPERLINK("http://www.fresno.va.gov/services/DENTAL.ASP")</f>
        <v>http://www.fresno.va.gov/services/DENTAL.ASP</v>
      </c>
      <c r="E1892" s="8" t="s">
        <v>392</v>
      </c>
    </row>
    <row r="1893" ht="14.25" hidden="1" customHeight="1">
      <c r="A1893" s="8" t="s">
        <v>2060</v>
      </c>
      <c r="B1893" s="8" t="s">
        <v>2063</v>
      </c>
      <c r="D1893" s="121" t="str">
        <f>HYPERLINK("http://www.fresno.va.gov/services/GERIATRICS.ASP")</f>
        <v>http://www.fresno.va.gov/services/GERIATRICS.ASP</v>
      </c>
      <c r="E1893" s="8" t="s">
        <v>392</v>
      </c>
    </row>
    <row r="1894" ht="14.25" hidden="1" customHeight="1">
      <c r="A1894" s="8" t="s">
        <v>2060</v>
      </c>
      <c r="B1894" s="8" t="s">
        <v>1263</v>
      </c>
      <c r="D1894" s="121" t="str">
        <f>HYPERLINK("http://www.fresno.va.gov/services/IMAGING.ASP")</f>
        <v>http://www.fresno.va.gov/services/IMAGING.ASP</v>
      </c>
      <c r="E1894" s="8" t="s">
        <v>392</v>
      </c>
    </row>
    <row r="1895" ht="14.25" hidden="1" customHeight="1">
      <c r="A1895" s="8" t="s">
        <v>2060</v>
      </c>
      <c r="B1895" s="8" t="s">
        <v>599</v>
      </c>
      <c r="D1895" s="121" t="str">
        <f>HYPERLINK("http://www.fresno.va.gov/services/MEDICAL.ASP")</f>
        <v>http://www.fresno.va.gov/services/MEDICAL.ASP</v>
      </c>
      <c r="E1895" s="8" t="s">
        <v>392</v>
      </c>
    </row>
    <row r="1896" ht="14.25" hidden="1" customHeight="1">
      <c r="A1896" s="8" t="s">
        <v>2060</v>
      </c>
      <c r="B1896" s="8" t="s">
        <v>323</v>
      </c>
      <c r="D1896" s="121" t="str">
        <f>HYPERLINK("http://www.fresno.va.gov/services/MENTAL_HEALTH.ASP")</f>
        <v>http://www.fresno.va.gov/services/MENTAL_HEALTH.ASP</v>
      </c>
      <c r="E1896" s="8" t="s">
        <v>392</v>
      </c>
    </row>
    <row r="1897" ht="14.25" hidden="1" customHeight="1">
      <c r="A1897" s="8" t="s">
        <v>2060</v>
      </c>
      <c r="B1897" s="8" t="s">
        <v>2070</v>
      </c>
      <c r="D1897" s="121" t="str">
        <f>HYPERLINK("http://www.fresno.va.gov/services/NEUROLOGY.ASP")</f>
        <v>http://www.fresno.va.gov/services/NEUROLOGY.ASP</v>
      </c>
      <c r="E1897" s="8" t="s">
        <v>392</v>
      </c>
    </row>
    <row r="1898" ht="14.25" hidden="1" customHeight="1">
      <c r="A1898" s="8" t="s">
        <v>2060</v>
      </c>
      <c r="B1898" s="8" t="s">
        <v>1251</v>
      </c>
      <c r="D1898" s="121" t="str">
        <f>HYPERLINK("http://www.fresno.va.gov/services/NURSING.ASP")</f>
        <v>http://www.fresno.va.gov/services/NURSING.ASP</v>
      </c>
      <c r="E1898" s="8" t="s">
        <v>392</v>
      </c>
    </row>
    <row r="1899" ht="14.25" hidden="1" customHeight="1">
      <c r="A1899" s="8" t="s">
        <v>2060</v>
      </c>
      <c r="B1899" s="8" t="s">
        <v>2073</v>
      </c>
      <c r="D1899" s="121" t="str">
        <f>HYPERLINK("http://www.fresno.va.gov/services/NUTRITION.ASP")</f>
        <v>http://www.fresno.va.gov/services/NUTRITION.ASP</v>
      </c>
      <c r="E1899" s="8" t="s">
        <v>392</v>
      </c>
    </row>
    <row r="1900" ht="14.25" hidden="1" customHeight="1">
      <c r="A1900" s="8" t="s">
        <v>2060</v>
      </c>
      <c r="B1900" s="8" t="s">
        <v>2075</v>
      </c>
      <c r="D1900" s="121" t="str">
        <f>HYPERLINK("http://www.fresno.va.gov/services/PATHOLOGY_LAB_.ASP")</f>
        <v>http://www.fresno.va.gov/services/PATHOLOGY_LAB_.ASP</v>
      </c>
      <c r="E1900" s="8" t="s">
        <v>392</v>
      </c>
    </row>
    <row r="1901" ht="14.25" hidden="1" customHeight="1">
      <c r="A1901" s="8" t="s">
        <v>2060</v>
      </c>
      <c r="B1901" s="8" t="s">
        <v>1845</v>
      </c>
      <c r="D1901" s="121" t="str">
        <f>HYPERLINK("http://www.fresno.va.gov/services/PHARMACY.ASP")</f>
        <v>http://www.fresno.va.gov/services/PHARMACY.ASP</v>
      </c>
      <c r="E1901" s="8" t="s">
        <v>392</v>
      </c>
    </row>
    <row r="1902" ht="14.25" hidden="1" customHeight="1">
      <c r="A1902" s="8" t="s">
        <v>2060</v>
      </c>
      <c r="B1902" s="8" t="s">
        <v>1254</v>
      </c>
      <c r="D1902" s="121" t="str">
        <f>HYPERLINK("http://www.fresno.va.gov/services/PRIMARY_CARE.ASP")</f>
        <v>http://www.fresno.va.gov/services/PRIMARY_CARE.ASP</v>
      </c>
      <c r="E1902" s="8" t="s">
        <v>392</v>
      </c>
    </row>
    <row r="1903" ht="14.25" hidden="1" customHeight="1">
      <c r="A1903" s="8" t="s">
        <v>2060</v>
      </c>
      <c r="B1903" s="8" t="s">
        <v>916</v>
      </c>
      <c r="D1903" s="121" t="str">
        <f>HYPERLINK("http://www.fresno.va.gov/services/PROSTHETICS.ASP")</f>
        <v>http://www.fresno.va.gov/services/PROSTHETICS.ASP</v>
      </c>
      <c r="E1903" s="8" t="s">
        <v>392</v>
      </c>
    </row>
    <row r="1904" ht="14.25" hidden="1" customHeight="1">
      <c r="A1904" s="8" t="s">
        <v>2060</v>
      </c>
      <c r="B1904" s="8" t="s">
        <v>1312</v>
      </c>
      <c r="D1904" s="121" t="str">
        <f>HYPERLINK("http://www.fresno.va.gov/services/RESEARCH.ASP")</f>
        <v>http://www.fresno.va.gov/services/RESEARCH.ASP</v>
      </c>
      <c r="E1904" s="8" t="s">
        <v>392</v>
      </c>
    </row>
    <row r="1905" ht="14.25" hidden="1" customHeight="1">
      <c r="A1905" s="8" t="s">
        <v>2060</v>
      </c>
      <c r="B1905" s="8" t="s">
        <v>925</v>
      </c>
      <c r="D1905" s="121" t="str">
        <f>HYPERLINK("http://www.fresno.va.gov/services/SOCIAL_WORK.ASP")</f>
        <v>http://www.fresno.va.gov/services/SOCIAL_WORK.ASP</v>
      </c>
      <c r="E1905" s="8" t="s">
        <v>392</v>
      </c>
    </row>
    <row r="1906" ht="14.25" hidden="1" customHeight="1">
      <c r="A1906" s="8" t="s">
        <v>2060</v>
      </c>
      <c r="B1906" s="8" t="s">
        <v>1400</v>
      </c>
      <c r="D1906" s="121" t="str">
        <f>HYPERLINK("http://www.fresno.va.gov/services/SURGICAL.ASP")</f>
        <v>http://www.fresno.va.gov/services/SURGICAL.ASP</v>
      </c>
      <c r="E1906" s="8" t="s">
        <v>392</v>
      </c>
    </row>
    <row r="1907" ht="14.25" hidden="1" customHeight="1">
      <c r="A1907" s="8" t="s">
        <v>2060</v>
      </c>
      <c r="B1907" s="8" t="s">
        <v>2079</v>
      </c>
      <c r="D1907" s="121" t="str">
        <f>HYPERLINK("http://www.fresno.va.gov/services/WOMEN_CLINIC.ASP")</f>
        <v>http://www.fresno.va.gov/services/WOMEN_CLINIC.ASP</v>
      </c>
      <c r="E1907" s="8" t="s">
        <v>392</v>
      </c>
    </row>
    <row r="1908" ht="14.25" hidden="1" customHeight="1">
      <c r="A1908" s="8" t="s">
        <v>2080</v>
      </c>
      <c r="B1908" s="8" t="s">
        <v>2081</v>
      </c>
      <c r="D1908" s="121" t="str">
        <f>HYPERLINK("http://www.grandjunction.va.gov/services/ADDICTION_SERVICES.ASP")</f>
        <v>http://www.grandjunction.va.gov/services/ADDICTION_SERVICES.ASP</v>
      </c>
      <c r="E1908" s="8" t="s">
        <v>392</v>
      </c>
    </row>
    <row r="1909" ht="14.25" hidden="1" customHeight="1">
      <c r="A1909" s="8" t="s">
        <v>2080</v>
      </c>
      <c r="B1909" s="8" t="s">
        <v>244</v>
      </c>
      <c r="D1909" s="121" t="str">
        <f>HYPERLINK("http://www.grandjunction.va.gov/services/AUDIOLOGY_SPEECH_PATHOLOGY.ASP")</f>
        <v>http://www.grandjunction.va.gov/services/AUDIOLOGY_SPEECH_PATHOLOGY.ASP</v>
      </c>
      <c r="E1909" s="8" t="s">
        <v>392</v>
      </c>
    </row>
    <row r="1910" ht="14.25" hidden="1" customHeight="1">
      <c r="A1910" s="8" t="s">
        <v>2080</v>
      </c>
      <c r="B1910" s="8" t="s">
        <v>2082</v>
      </c>
      <c r="D1910" s="121" t="str">
        <f>HYPERLINK("http://www.grandjunction.va.gov/services/CARDIOPULMONARY.ASP")</f>
        <v>http://www.grandjunction.va.gov/services/CARDIOPULMONARY.ASP</v>
      </c>
      <c r="E1910" s="8" t="s">
        <v>392</v>
      </c>
    </row>
    <row r="1911" ht="14.25" hidden="1" customHeight="1">
      <c r="A1911" s="8" t="s">
        <v>2080</v>
      </c>
      <c r="B1911" s="8" t="s">
        <v>417</v>
      </c>
      <c r="D1911" s="121" t="str">
        <f>HYPERLINK("http://www.grandjunction.va.gov/services/CHAPLAIN.ASP")</f>
        <v>http://www.grandjunction.va.gov/services/CHAPLAIN.ASP</v>
      </c>
      <c r="E1911" s="8" t="s">
        <v>392</v>
      </c>
    </row>
    <row r="1912" ht="14.25" hidden="1" customHeight="1">
      <c r="A1912" s="8" t="s">
        <v>2080</v>
      </c>
      <c r="B1912" s="8" t="s">
        <v>482</v>
      </c>
      <c r="D1912" s="121" t="str">
        <f>HYPERLINK("http://www.grandjunction.va.gov/services/COMMUNITY_LIVING_CENTER.ASP")</f>
        <v>http://www.grandjunction.va.gov/services/COMMUNITY_LIVING_CENTER.ASP</v>
      </c>
      <c r="E1912" s="8" t="s">
        <v>392</v>
      </c>
    </row>
    <row r="1913" ht="14.25" hidden="1" customHeight="1">
      <c r="A1913" s="8" t="s">
        <v>2080</v>
      </c>
      <c r="B1913" s="8" t="s">
        <v>455</v>
      </c>
      <c r="D1913" s="121" t="str">
        <f>HYPERLINK("http://www.grandjunction.va.gov/services/COMPENSATION_AND_PENSION.ASP")</f>
        <v>http://www.grandjunction.va.gov/services/COMPENSATION_AND_PENSION.ASP</v>
      </c>
      <c r="E1913" s="8" t="s">
        <v>392</v>
      </c>
    </row>
    <row r="1914" ht="14.25" hidden="1" customHeight="1">
      <c r="A1914" s="8" t="s">
        <v>2080</v>
      </c>
      <c r="B1914" s="8" t="s">
        <v>2083</v>
      </c>
      <c r="D1914" s="121" t="str">
        <f>HYPERLINK("http://www.grandjunction.va.gov/services/COMPREHENSIVE_WELLNESS_CENTER.ASP")</f>
        <v>http://www.grandjunction.va.gov/services/COMPREHENSIVE_WELLNESS_CENTER.ASP</v>
      </c>
      <c r="E1914" s="8" t="s">
        <v>392</v>
      </c>
    </row>
    <row r="1915" ht="14.25" hidden="1" customHeight="1">
      <c r="A1915" s="8" t="s">
        <v>2080</v>
      </c>
      <c r="B1915" s="8" t="s">
        <v>483</v>
      </c>
      <c r="D1915" s="121" t="str">
        <f>HYPERLINK("http://www.grandjunction.va.gov/services/DECEDENT_AFFAIRS.ASP")</f>
        <v>http://www.grandjunction.va.gov/services/DECEDENT_AFFAIRS.ASP</v>
      </c>
      <c r="E1915" s="8" t="s">
        <v>392</v>
      </c>
    </row>
    <row r="1916" ht="14.25" hidden="1" customHeight="1">
      <c r="A1916" s="8" t="s">
        <v>2080</v>
      </c>
      <c r="B1916" s="8" t="s">
        <v>304</v>
      </c>
      <c r="D1916" s="121" t="str">
        <f>HYPERLINK("http://www.grandjunction.va.gov/services/DENTAL.ASP")</f>
        <v>http://www.grandjunction.va.gov/services/DENTAL.ASP</v>
      </c>
      <c r="E1916" s="8" t="s">
        <v>392</v>
      </c>
    </row>
    <row r="1917" ht="14.25" hidden="1" customHeight="1">
      <c r="A1917" s="8" t="s">
        <v>2080</v>
      </c>
      <c r="B1917" s="8" t="s">
        <v>2084</v>
      </c>
      <c r="D1917" s="121" t="str">
        <f>HYPERLINK("http://www.grandjunction.va.gov/services/DISCHARGE_PLANNER.ASP")</f>
        <v>http://www.grandjunction.va.gov/services/DISCHARGE_PLANNER.ASP</v>
      </c>
      <c r="E1917" s="8" t="s">
        <v>392</v>
      </c>
    </row>
    <row r="1918" ht="14.25" hidden="1" customHeight="1">
      <c r="A1918" s="8" t="s">
        <v>2080</v>
      </c>
      <c r="B1918" s="8" t="s">
        <v>1963</v>
      </c>
      <c r="D1918" s="121" t="str">
        <f>HYPERLINK("http://www.grandjunction.va.gov/services/ELIGIBILITY.ASP")</f>
        <v>http://www.grandjunction.va.gov/services/ELIGIBILITY.ASP</v>
      </c>
      <c r="E1918" s="8" t="s">
        <v>392</v>
      </c>
    </row>
    <row r="1919" ht="14.25" hidden="1" customHeight="1">
      <c r="A1919" s="8" t="s">
        <v>2080</v>
      </c>
      <c r="B1919" s="8" t="s">
        <v>308</v>
      </c>
      <c r="D1919" s="121" t="str">
        <f>HYPERLINK("http://www.grandjunction.va.gov/services/EMERGENCY_DEPARTMENT.ASP")</f>
        <v>http://www.grandjunction.va.gov/services/EMERGENCY_DEPARTMENT.ASP</v>
      </c>
      <c r="E1919" s="8" t="s">
        <v>392</v>
      </c>
    </row>
    <row r="1920" ht="14.25" hidden="1" customHeight="1">
      <c r="A1920" s="8" t="s">
        <v>2080</v>
      </c>
      <c r="B1920" s="8" t="s">
        <v>2085</v>
      </c>
      <c r="D1920" s="121" t="str">
        <f>HYPERLINK("http://www.grandjunction.va.gov/services/HOMELESS_PROGRAM.ASP")</f>
        <v>http://www.grandjunction.va.gov/services/HOMELESS_PROGRAM.ASP</v>
      </c>
      <c r="E1920" s="8" t="s">
        <v>392</v>
      </c>
    </row>
    <row r="1921" ht="14.25" hidden="1" customHeight="1">
      <c r="A1921" s="8" t="s">
        <v>2080</v>
      </c>
      <c r="B1921" s="8" t="s">
        <v>670</v>
      </c>
      <c r="D1921" s="121" t="str">
        <f>HYPERLINK("http://www.grandjunction.va.gov/services/HUMAN_RESOURCES.ASP")</f>
        <v>http://www.grandjunction.va.gov/services/HUMAN_RESOURCES.ASP</v>
      </c>
      <c r="E1921" s="8" t="s">
        <v>392</v>
      </c>
    </row>
    <row r="1922" ht="14.25" hidden="1" customHeight="1">
      <c r="A1922" s="8" t="s">
        <v>2080</v>
      </c>
      <c r="B1922" s="8" t="s">
        <v>584</v>
      </c>
      <c r="D1922" s="121" t="str">
        <f>HYPERLINK("http://www.grandjunction.va.gov/services/LABORATORY.ASP")</f>
        <v>http://www.grandjunction.va.gov/services/LABORATORY.ASP</v>
      </c>
      <c r="E1922" s="8" t="s">
        <v>392</v>
      </c>
    </row>
    <row r="1923" ht="14.25" hidden="1" customHeight="1">
      <c r="A1923" s="8" t="s">
        <v>2080</v>
      </c>
      <c r="B1923" s="8" t="s">
        <v>323</v>
      </c>
      <c r="D1923" s="121" t="str">
        <f>HYPERLINK("http://www.grandjunction.va.gov/services/MENTAL_HEALTH.ASP")</f>
        <v>http://www.grandjunction.va.gov/services/MENTAL_HEALTH.ASP</v>
      </c>
      <c r="E1923" s="8" t="s">
        <v>392</v>
      </c>
    </row>
    <row r="1924" ht="14.25" hidden="1" customHeight="1">
      <c r="A1924" s="8" t="s">
        <v>2080</v>
      </c>
      <c r="B1924" s="8" t="s">
        <v>324</v>
      </c>
      <c r="D1924" s="121" t="str">
        <f>HYPERLINK("http://www.grandjunction.va.gov/services/MST.ASP")</f>
        <v>http://www.grandjunction.va.gov/services/MST.ASP</v>
      </c>
      <c r="E1924" s="8" t="s">
        <v>392</v>
      </c>
    </row>
    <row r="1925" ht="14.25" hidden="1" customHeight="1">
      <c r="A1925" s="8" t="s">
        <v>2080</v>
      </c>
      <c r="B1925" s="8" t="s">
        <v>1172</v>
      </c>
      <c r="D1925" s="121" t="str">
        <f>HYPERLINK("http://www.grandjunction.va.gov/services/NEUROLOGY.ASP")</f>
        <v>http://www.grandjunction.va.gov/services/NEUROLOGY.ASP</v>
      </c>
      <c r="E1925" s="8" t="s">
        <v>392</v>
      </c>
    </row>
    <row r="1926" ht="14.25" hidden="1" customHeight="1">
      <c r="A1926" s="8" t="s">
        <v>2080</v>
      </c>
      <c r="B1926" s="8" t="s">
        <v>1719</v>
      </c>
      <c r="D1926" s="121" t="str">
        <f>HYPERLINK("http://www.grandjunction.va.gov/services/NUTRITION.ASP")</f>
        <v>http://www.grandjunction.va.gov/services/NUTRITION.ASP</v>
      </c>
      <c r="E1926" s="8" t="s">
        <v>392</v>
      </c>
    </row>
    <row r="1927" ht="14.25" hidden="1" customHeight="1">
      <c r="A1927" s="8" t="s">
        <v>2080</v>
      </c>
      <c r="B1927" s="8" t="s">
        <v>2089</v>
      </c>
      <c r="D1927" s="121" t="str">
        <f>HYPERLINK("http://www.grandjunction.va.gov/services/ONCOLOGY_CARE_COORDINATOR.ASP")</f>
        <v>http://www.grandjunction.va.gov/services/ONCOLOGY_CARE_COORDINATOR.ASP</v>
      </c>
      <c r="E1927" s="8" t="s">
        <v>392</v>
      </c>
    </row>
    <row r="1928" ht="14.25" hidden="1" customHeight="1">
      <c r="A1928" s="8" t="s">
        <v>2080</v>
      </c>
      <c r="B1928" s="8" t="s">
        <v>2091</v>
      </c>
      <c r="D1928" s="121" t="str">
        <f>HYPERLINK("http://www.grandjunction.va.gov/services/ORTHOTIC_PROSTHETIC_LAB.ASP")</f>
        <v>http://www.grandjunction.va.gov/services/ORTHOTIC_PROSTHETIC_LAB.ASP</v>
      </c>
      <c r="E1928" s="8" t="s">
        <v>392</v>
      </c>
    </row>
    <row r="1929" ht="14.25" hidden="1" customHeight="1">
      <c r="A1929" s="8" t="s">
        <v>2080</v>
      </c>
      <c r="B1929" s="8" t="s">
        <v>651</v>
      </c>
      <c r="D1929" s="121" t="str">
        <f>HYPERLINK("http://www.grandjunction.va.gov/services/PALLIATIVECARE.ASP")</f>
        <v>http://www.grandjunction.va.gov/services/PALLIATIVECARE.ASP</v>
      </c>
      <c r="E1929" s="8" t="s">
        <v>392</v>
      </c>
    </row>
    <row r="1930" ht="14.25" hidden="1" customHeight="1">
      <c r="A1930" s="8" t="s">
        <v>2080</v>
      </c>
      <c r="B1930" s="8" t="s">
        <v>694</v>
      </c>
      <c r="D1930" s="121" t="str">
        <f>HYPERLINK("http://www.grandjunction.va.gov/services/PATIENT_ADVOCATE.ASP")</f>
        <v>http://www.grandjunction.va.gov/services/PATIENT_ADVOCATE.ASP</v>
      </c>
      <c r="E1930" s="8" t="s">
        <v>392</v>
      </c>
    </row>
    <row r="1931" ht="14.25" hidden="1" customHeight="1">
      <c r="A1931" s="8" t="s">
        <v>2080</v>
      </c>
      <c r="B1931" s="8" t="s">
        <v>343</v>
      </c>
      <c r="D1931" s="121" t="str">
        <f>HYPERLINK("http://www.grandjunction.va.gov/services/PHARMACY.ASP")</f>
        <v>http://www.grandjunction.va.gov/services/PHARMACY.ASP</v>
      </c>
      <c r="E1931" s="8" t="s">
        <v>392</v>
      </c>
    </row>
    <row r="1932" ht="14.25" hidden="1" customHeight="1">
      <c r="A1932" s="8" t="s">
        <v>2080</v>
      </c>
      <c r="B1932" s="8" t="s">
        <v>344</v>
      </c>
      <c r="D1932" s="121" t="str">
        <f>HYPERLINK("http://www.grandjunction.va.gov/services/PHYSICAL_MEDICINE_AND_REHABILITATION.ASP")</f>
        <v>http://www.grandjunction.va.gov/services/PHYSICAL_MEDICINE_AND_REHABILITATION.ASP</v>
      </c>
      <c r="E1932" s="8" t="s">
        <v>392</v>
      </c>
    </row>
    <row r="1933" ht="14.25" hidden="1" customHeight="1">
      <c r="A1933" s="8" t="s">
        <v>2080</v>
      </c>
      <c r="B1933" s="8" t="s">
        <v>450</v>
      </c>
      <c r="D1933" s="121" t="str">
        <f>HYPERLINK("http://www.grandjunction.va.gov/services/PODIATRY.ASP")</f>
        <v>http://www.grandjunction.va.gov/services/PODIATRY.ASP</v>
      </c>
      <c r="E1933" s="8" t="s">
        <v>392</v>
      </c>
    </row>
    <row r="1934" ht="14.25" hidden="1" customHeight="1">
      <c r="A1934" s="8" t="s">
        <v>2080</v>
      </c>
      <c r="B1934" s="8" t="s">
        <v>713</v>
      </c>
      <c r="D1934" s="121" t="str">
        <f>HYPERLINK("http://www.grandjunction.va.gov/services/POLICE.ASP")</f>
        <v>http://www.grandjunction.va.gov/services/POLICE.ASP</v>
      </c>
      <c r="E1934" s="8" t="s">
        <v>392</v>
      </c>
    </row>
    <row r="1935" ht="14.25" hidden="1" customHeight="1">
      <c r="A1935" s="8" t="s">
        <v>2080</v>
      </c>
      <c r="B1935" s="8" t="s">
        <v>348</v>
      </c>
      <c r="D1935" s="121" t="str">
        <f>HYPERLINK("http://www.grandjunction.va.gov/services/PRIMARYCARE.ASP")</f>
        <v>http://www.grandjunction.va.gov/services/PRIMARYCARE.ASP</v>
      </c>
      <c r="E1935" s="8" t="s">
        <v>392</v>
      </c>
    </row>
    <row r="1936" ht="14.25" hidden="1" customHeight="1">
      <c r="A1936" s="8" t="s">
        <v>2080</v>
      </c>
      <c r="B1936" s="8" t="s">
        <v>778</v>
      </c>
      <c r="D1936" s="121" t="str">
        <f>HYPERLINK("http://www.grandjunction.va.gov/services/PRIVACY_OFFICER.ASP")</f>
        <v>http://www.grandjunction.va.gov/services/PRIVACY_OFFICER.ASP</v>
      </c>
      <c r="E1936" s="8" t="s">
        <v>392</v>
      </c>
    </row>
    <row r="1937" ht="14.25" hidden="1" customHeight="1">
      <c r="A1937" s="8" t="s">
        <v>2080</v>
      </c>
      <c r="B1937" s="8" t="s">
        <v>2098</v>
      </c>
      <c r="D1937" s="121" t="str">
        <f>HYPERLINK("http://www.grandjunction.va.gov/services/RADIOLOGY_IMAGING_X_RAY.ASP")</f>
        <v>http://www.grandjunction.va.gov/services/RADIOLOGY_IMAGING_X_RAY.ASP</v>
      </c>
      <c r="E1937" s="8" t="s">
        <v>392</v>
      </c>
    </row>
    <row r="1938" ht="14.25" hidden="1" customHeight="1">
      <c r="A1938" s="8" t="s">
        <v>2080</v>
      </c>
      <c r="B1938" s="8" t="s">
        <v>505</v>
      </c>
      <c r="D1938" s="121" t="str">
        <f>HYPERLINK("http://www.grandjunction.va.gov/services/RECREATION_THERAPY.ASP")</f>
        <v>http://www.grandjunction.va.gov/services/RECREATION_THERAPY.ASP</v>
      </c>
      <c r="E1938" s="8" t="s">
        <v>392</v>
      </c>
    </row>
    <row r="1939" ht="14.25" hidden="1" customHeight="1">
      <c r="A1939" s="8" t="s">
        <v>2080</v>
      </c>
      <c r="B1939" s="8" t="s">
        <v>708</v>
      </c>
      <c r="D1939" s="121" t="str">
        <f>HYPERLINK("http://www.grandjunction.va.gov/services/RELEASE_OF_INFORMATION.ASP")</f>
        <v>http://www.grandjunction.va.gov/services/RELEASE_OF_INFORMATION.ASP</v>
      </c>
      <c r="E1939" s="8" t="s">
        <v>392</v>
      </c>
    </row>
    <row r="1940" ht="14.25" hidden="1" customHeight="1">
      <c r="A1940" s="8" t="s">
        <v>2080</v>
      </c>
      <c r="B1940" s="8" t="s">
        <v>2100</v>
      </c>
      <c r="D1940" s="121" t="str">
        <f>HYPERLINK("http://www.grandjunction.va.gov/services/TRANSPORTATION_AND_CARE_MANAGEMENT_PROGRAM_OEF_OIF_OND_POST_DEPLOYMENT_CLINICS.ASP")</f>
        <v>http://www.grandjunction.va.gov/services/TRANSPORTATION_AND_CARE_MANAGEMENT_PROGRAM_OEF_OIF_OND_POST_DEPLOYMENT_CLINICS.ASP</v>
      </c>
      <c r="E1940" s="8" t="s">
        <v>392</v>
      </c>
    </row>
    <row r="1941" ht="14.25" hidden="1" customHeight="1">
      <c r="A1941" s="8" t="s">
        <v>2080</v>
      </c>
      <c r="B1941" s="8" t="s">
        <v>2103</v>
      </c>
      <c r="D1941" s="121" t="str">
        <f>HYPERLINK("http://www.grandjunction.va.gov/services/TRANSPORTATION.ASP")</f>
        <v>http://www.grandjunction.va.gov/services/TRANSPORTATION.ASP</v>
      </c>
      <c r="E1941" s="8" t="s">
        <v>392</v>
      </c>
    </row>
    <row r="1942" ht="14.25" hidden="1" customHeight="1">
      <c r="A1942" s="8" t="s">
        <v>2080</v>
      </c>
      <c r="B1942" s="8" t="s">
        <v>2105</v>
      </c>
      <c r="D1942" s="121" t="str">
        <f>HYPERLINK("http://www.grandjunction.va.gov/services/TRANSPORTATION_VETERAN_TRANSPORTATION_SERVICE.ASP")</f>
        <v>http://www.grandjunction.va.gov/services/TRANSPORTATION_VETERAN_TRANSPORTATION_SERVICE.ASP</v>
      </c>
      <c r="E1942" s="8" t="s">
        <v>392</v>
      </c>
    </row>
    <row r="1943" ht="14.25" hidden="1" customHeight="1">
      <c r="A1943" s="8" t="s">
        <v>2080</v>
      </c>
      <c r="B1943" s="8" t="s">
        <v>2109</v>
      </c>
      <c r="D1943" s="121" t="str">
        <f>HYPERLINK("http://www.grandjunction.va.gov/services/TRAVEL_OFFICE_BENEFICIARY_TRAVEL.ASP")</f>
        <v>http://www.grandjunction.va.gov/services/TRAVEL_OFFICE_BENEFICIARY_TRAVEL.ASP</v>
      </c>
      <c r="E1943" s="8" t="s">
        <v>392</v>
      </c>
    </row>
    <row r="1944" ht="14.25" hidden="1" customHeight="1">
      <c r="A1944" s="8" t="s">
        <v>2080</v>
      </c>
      <c r="B1944" s="8" t="s">
        <v>2111</v>
      </c>
      <c r="D1944" s="121" t="str">
        <f>HYPERLINK("http://www.grandjunction.va.gov/services/VA_COMMUNITY_CARE.ASP")</f>
        <v>http://www.grandjunction.va.gov/services/VA_COMMUNITY_CARE.ASP</v>
      </c>
      <c r="E1944" s="8" t="s">
        <v>392</v>
      </c>
    </row>
    <row r="1945" ht="14.25" hidden="1" customHeight="1">
      <c r="A1945" s="8" t="s">
        <v>2080</v>
      </c>
      <c r="B1945" s="8" t="s">
        <v>741</v>
      </c>
      <c r="D1945" s="121" t="str">
        <f>HYPERLINK("http://www.grandjunction.va.gov/services/VOLUNTARY_SERVICES.ASP")</f>
        <v>http://www.grandjunction.va.gov/services/VOLUNTARY_SERVICES.ASP</v>
      </c>
      <c r="E1945" s="8" t="s">
        <v>392</v>
      </c>
    </row>
    <row r="1946" ht="14.25" hidden="1" customHeight="1">
      <c r="A1946" s="8" t="s">
        <v>2080</v>
      </c>
      <c r="B1946" s="8" t="s">
        <v>2114</v>
      </c>
      <c r="D1946" s="121" t="str">
        <f>HYPERLINK("http://www.grandjunction.va.gov/services/WHOLE_HEALTH_CENTER_AND_LIBRARY.ASP")</f>
        <v>http://www.grandjunction.va.gov/services/WHOLE_HEALTH_CENTER_AND_LIBRARY.ASP</v>
      </c>
      <c r="E1946" s="8" t="s">
        <v>392</v>
      </c>
    </row>
    <row r="1947" ht="14.25" hidden="1" customHeight="1">
      <c r="A1947" s="8" t="s">
        <v>2080</v>
      </c>
      <c r="B1947" s="8" t="s">
        <v>378</v>
      </c>
      <c r="D1947" s="121" t="str">
        <f>HYPERLINK("http://www.grandjunction.va.gov/services/WOMEN_VETERANS_PROGRAM.ASP")</f>
        <v>http://www.grandjunction.va.gov/services/WOMEN_VETERANS_PROGRAM.ASP</v>
      </c>
      <c r="E1947" s="8" t="s">
        <v>392</v>
      </c>
    </row>
    <row r="1948" ht="14.25" hidden="1" customHeight="1">
      <c r="A1948" s="8" t="s">
        <v>2120</v>
      </c>
      <c r="B1948" s="8" t="s">
        <v>636</v>
      </c>
      <c r="D1948" s="121" t="str">
        <f>HYPERLINK("http://www.hampton.va.gov/services/BENEFICIARY_TRAVEL_PAYMENT.ASP")</f>
        <v>http://www.hampton.va.gov/services/BENEFICIARY_TRAVEL_PAYMENT.ASP</v>
      </c>
      <c r="E1948" s="8" t="s">
        <v>392</v>
      </c>
    </row>
    <row r="1949" ht="14.25" hidden="1" customHeight="1">
      <c r="A1949" s="8" t="s">
        <v>2120</v>
      </c>
      <c r="B1949" s="8" t="s">
        <v>659</v>
      </c>
      <c r="D1949" s="121" t="str">
        <f>HYPERLINK("http://www.hampton.va.gov/services/URGENT_CARE_NUMBER.ASP")</f>
        <v>http://www.hampton.va.gov/services/URGENT_CARE_NUMBER.ASP</v>
      </c>
      <c r="E1949" s="8" t="s">
        <v>392</v>
      </c>
    </row>
    <row r="1950" ht="14.25" hidden="1" customHeight="1">
      <c r="A1950" s="8" t="s">
        <v>2120</v>
      </c>
      <c r="B1950" s="8" t="s">
        <v>309</v>
      </c>
      <c r="D1950" s="121" t="str">
        <f>HYPERLINK("http://www.hampton.va.gov/services/ECRC.ASP")</f>
        <v>http://www.hampton.va.gov/services/ECRC.ASP</v>
      </c>
      <c r="E1950" s="8" t="s">
        <v>392</v>
      </c>
    </row>
    <row r="1951" ht="14.25" hidden="1" customHeight="1">
      <c r="A1951" s="8" t="s">
        <v>2120</v>
      </c>
      <c r="B1951" s="8" t="s">
        <v>952</v>
      </c>
      <c r="D1951" s="121" t="str">
        <f>HYPERLINK("http://www.hampton.va.gov/services/LESBIAN_GAY_BISEXUAL_AND_TRANSGENDER_VETERANS.ASP")</f>
        <v>http://www.hampton.va.gov/services/LESBIAN_GAY_BISEXUAL_AND_TRANSGENDER_VETERANS.ASP</v>
      </c>
      <c r="E1951" s="8" t="s">
        <v>392</v>
      </c>
    </row>
    <row r="1952" ht="14.25" hidden="1" customHeight="1">
      <c r="A1952" s="8" t="s">
        <v>2120</v>
      </c>
      <c r="B1952" s="8" t="s">
        <v>2130</v>
      </c>
      <c r="D1952" s="121" t="str">
        <f>HYPERLINK("http://www.hampton.va.gov/services/LOW_VISION_CLINIC.ASP")</f>
        <v>http://www.hampton.va.gov/services/LOW_VISION_CLINIC.ASP</v>
      </c>
      <c r="E1952" s="8" t="s">
        <v>392</v>
      </c>
    </row>
    <row r="1953" ht="14.25" hidden="1" customHeight="1">
      <c r="A1953" s="8" t="s">
        <v>2120</v>
      </c>
      <c r="B1953" s="8" t="s">
        <v>323</v>
      </c>
      <c r="D1953" s="121" t="str">
        <f>HYPERLINK("http://www.hampton.va.gov/services/MENTALHEALTH.ASP")</f>
        <v>http://www.hampton.va.gov/services/MENTALHEALTH.ASP</v>
      </c>
      <c r="E1953" s="8" t="s">
        <v>392</v>
      </c>
    </row>
    <row r="1954" ht="14.25" hidden="1" customHeight="1">
      <c r="A1954" s="8" t="s">
        <v>2120</v>
      </c>
      <c r="B1954" s="8" t="s">
        <v>343</v>
      </c>
      <c r="D1954" s="121" t="str">
        <f>HYPERLINK("http://www.hampton.va.gov/services/PHARMACY.ASP")</f>
        <v>http://www.hampton.va.gov/services/PHARMACY.ASP</v>
      </c>
      <c r="E1954" s="8" t="s">
        <v>392</v>
      </c>
    </row>
    <row r="1955" ht="14.25" hidden="1" customHeight="1">
      <c r="A1955" s="8" t="s">
        <v>2120</v>
      </c>
      <c r="B1955" s="8" t="s">
        <v>348</v>
      </c>
      <c r="D1955" s="121" t="str">
        <f>HYPERLINK("http://www.hampton.va.gov/services/PRIMARY.ASP")</f>
        <v>http://www.hampton.va.gov/services/PRIMARY.ASP</v>
      </c>
      <c r="E1955" s="8" t="s">
        <v>392</v>
      </c>
    </row>
    <row r="1956" ht="14.25" hidden="1" customHeight="1">
      <c r="A1956" s="8" t="s">
        <v>2120</v>
      </c>
      <c r="B1956" s="8" t="s">
        <v>721</v>
      </c>
      <c r="D1956" s="121" t="str">
        <f>HYPERLINK("http://www.hampton.va.gov/services/PSYCHOLOGY.ASP")</f>
        <v>http://www.hampton.va.gov/services/PSYCHOLOGY.ASP</v>
      </c>
      <c r="E1956" s="8" t="s">
        <v>392</v>
      </c>
    </row>
    <row r="1957" ht="14.25" hidden="1" customHeight="1">
      <c r="A1957" s="8" t="s">
        <v>2120</v>
      </c>
      <c r="B1957" s="8" t="s">
        <v>508</v>
      </c>
      <c r="D1957" s="121" t="str">
        <f>HYPERLINK("http://www.hampton.va.gov/services/RESEARCH.ASP")</f>
        <v>http://www.hampton.va.gov/services/RESEARCH.ASP</v>
      </c>
      <c r="E1957" s="8" t="s">
        <v>392</v>
      </c>
    </row>
    <row r="1958" ht="14.25" hidden="1" customHeight="1">
      <c r="A1958" s="8" t="s">
        <v>2120</v>
      </c>
      <c r="B1958" s="8" t="s">
        <v>360</v>
      </c>
      <c r="D1958" s="121" t="str">
        <f>HYPERLINK("http://www.hampton.va.gov/services/SOCIALWORK.ASP")</f>
        <v>http://www.hampton.va.gov/services/SOCIALWORK.ASP</v>
      </c>
      <c r="E1958" s="8" t="s">
        <v>392</v>
      </c>
    </row>
    <row r="1959" ht="14.25" hidden="1" customHeight="1">
      <c r="A1959" s="8" t="s">
        <v>2120</v>
      </c>
      <c r="B1959" s="8" t="s">
        <v>363</v>
      </c>
      <c r="D1959" s="121" t="str">
        <f>HYPERLINK("http://www.hampton.va.gov/services/SPECIALTY.ASP")</f>
        <v>http://www.hampton.va.gov/services/SPECIALTY.ASP</v>
      </c>
      <c r="E1959" s="8" t="s">
        <v>392</v>
      </c>
    </row>
    <row r="1960" ht="14.25" hidden="1" customHeight="1">
      <c r="A1960" s="8" t="s">
        <v>2120</v>
      </c>
      <c r="B1960" s="8" t="s">
        <v>364</v>
      </c>
      <c r="D1960" s="121" t="str">
        <f>HYPERLINK("http://www.hampton.va.gov/services/SCI.ASP")</f>
        <v>http://www.hampton.va.gov/services/SCI.ASP</v>
      </c>
      <c r="E1960" s="8" t="s">
        <v>392</v>
      </c>
    </row>
    <row r="1961" ht="14.25" hidden="1" customHeight="1">
      <c r="A1961" s="8" t="s">
        <v>2120</v>
      </c>
      <c r="B1961" s="8" t="s">
        <v>2139</v>
      </c>
      <c r="D1961" s="121" t="str">
        <f>HYPERLINK("http://www.hampton.va.gov/services/TELEHEALTH_PROGRAM.ASP")</f>
        <v>http://www.hampton.va.gov/services/TELEHEALTH_PROGRAM.ASP</v>
      </c>
      <c r="E1961" s="8" t="s">
        <v>392</v>
      </c>
    </row>
    <row r="1962" ht="14.25" hidden="1" customHeight="1">
      <c r="A1962" s="8" t="s">
        <v>2120</v>
      </c>
      <c r="B1962" s="8" t="s">
        <v>2140</v>
      </c>
      <c r="D1962" s="121" t="str">
        <f>HYPERLINK("http://www.hampton.va.gov/services/URGENT_CARE_LOCATER.ASP")</f>
        <v>http://www.hampton.va.gov/services/URGENT_CARE_LOCATER.ASP</v>
      </c>
      <c r="E1962" s="8" t="s">
        <v>392</v>
      </c>
    </row>
    <row r="1963" ht="14.25" hidden="1" customHeight="1">
      <c r="A1963" s="8" t="s">
        <v>2120</v>
      </c>
      <c r="B1963" s="8" t="s">
        <v>2143</v>
      </c>
      <c r="D1963" s="121" t="str">
        <f>HYPERLINK("http://www.hampton.va.gov/services/VIRTUAL_LIFETIME_ELECTRONIC_RECORD.ASP")</f>
        <v>http://www.hampton.va.gov/services/VIRTUAL_LIFETIME_ELECTRONIC_RECORD.ASP</v>
      </c>
      <c r="E1963" s="8" t="s">
        <v>392</v>
      </c>
    </row>
    <row r="1964" ht="14.25" hidden="1" customHeight="1">
      <c r="A1964" s="8" t="s">
        <v>2120</v>
      </c>
      <c r="B1964" s="8" t="s">
        <v>520</v>
      </c>
      <c r="D1964" s="121" t="str">
        <f>HYPERLINK("http://www.hampton.va.gov/services/WOMEN_VETERANS_HEALTH_PROGRAM.ASP")</f>
        <v>http://www.hampton.va.gov/services/WOMEN_VETERANS_HEALTH_PROGRAM.ASP</v>
      </c>
      <c r="E1964" s="8" t="s">
        <v>392</v>
      </c>
    </row>
    <row r="1965" ht="14.25" hidden="1" customHeight="1">
      <c r="A1965" s="8" t="s">
        <v>2147</v>
      </c>
      <c r="B1965" s="8" t="s">
        <v>300</v>
      </c>
      <c r="D1965" s="121" t="str">
        <f>HYPERLINK("http://www.hawaii.va.gov/services/CAREGIVER_PROGRAM.ASP")</f>
        <v>http://www.hawaii.va.gov/services/CAREGIVER_PROGRAM.ASP</v>
      </c>
      <c r="E1965" s="8" t="s">
        <v>392</v>
      </c>
    </row>
    <row r="1966" ht="14.25" hidden="1" customHeight="1">
      <c r="A1966" s="8" t="s">
        <v>2147</v>
      </c>
      <c r="B1966" s="8" t="s">
        <v>478</v>
      </c>
      <c r="D1966" s="121" t="str">
        <f>HYPERLINK("http://www.hawaii.va.gov/services/CHAPLAIN_SERVICE.ASP")</f>
        <v>http://www.hawaii.va.gov/services/CHAPLAIN_SERVICE.ASP</v>
      </c>
      <c r="E1966" s="8" t="s">
        <v>392</v>
      </c>
    </row>
    <row r="1967" ht="14.25" hidden="1" customHeight="1">
      <c r="A1967" s="8" t="s">
        <v>2147</v>
      </c>
      <c r="B1967" s="8" t="s">
        <v>2148</v>
      </c>
      <c r="D1967" s="121" t="str">
        <f>HYPERLINK("http://www.hawaii.va.gov/services/GERIATRICS_REHABILIATION_EXTENDED_CARE_CENTER.ASP")</f>
        <v>http://www.hawaii.va.gov/services/GERIATRICS_REHABILIATION_EXTENDED_CARE_CENTER.ASP</v>
      </c>
      <c r="E1967" s="8" t="s">
        <v>392</v>
      </c>
    </row>
    <row r="1968" ht="14.25" hidden="1" customHeight="1">
      <c r="A1968" s="8" t="s">
        <v>2147</v>
      </c>
      <c r="B1968" s="8" t="s">
        <v>312</v>
      </c>
      <c r="D1968" s="121" t="str">
        <f>HYPERLINK("http://www.hawaii.va.gov/services/HOMELESS_VETERANS.ASP")</f>
        <v>http://www.hawaii.va.gov/services/HOMELESS_VETERANS.ASP</v>
      </c>
      <c r="E1968" s="8" t="s">
        <v>392</v>
      </c>
    </row>
    <row r="1969" ht="14.25" hidden="1" customHeight="1">
      <c r="A1969" s="8" t="s">
        <v>2147</v>
      </c>
      <c r="B1969" s="8" t="s">
        <v>2150</v>
      </c>
      <c r="D1969" s="121" t="str">
        <f>HYPERLINK("http://www.hawaii.va.gov/services/SERVICES_FOR_LESBIAN_GAY_BISEXUAL_AND_TRANSGENDER_LGBT_VETERANS.ASP")</f>
        <v>http://www.hawaii.va.gov/services/SERVICES_FOR_LESBIAN_GAY_BISEXUAL_AND_TRANSGENDER_LGBT_VETERANS.ASP</v>
      </c>
      <c r="E1969" s="8" t="s">
        <v>392</v>
      </c>
    </row>
    <row r="1970" ht="14.25" hidden="1" customHeight="1">
      <c r="A1970" s="8" t="s">
        <v>2147</v>
      </c>
      <c r="B1970" s="8" t="s">
        <v>323</v>
      </c>
      <c r="D1970" s="121" t="str">
        <f>HYPERLINK("http://www.hawaii.va.gov/services/MENTAL_HEALTH.ASP")</f>
        <v>http://www.hawaii.va.gov/services/MENTAL_HEALTH.ASP</v>
      </c>
      <c r="E1970" s="8" t="s">
        <v>392</v>
      </c>
    </row>
    <row r="1971" ht="14.25" hidden="1" customHeight="1">
      <c r="A1971" s="8" t="s">
        <v>2147</v>
      </c>
      <c r="B1971" s="8" t="s">
        <v>2153</v>
      </c>
      <c r="D1971" s="121" t="str">
        <f>HYPERLINK("http://www.hawaii.va.gov/services/NATIONAL_CENTER_POST_TRAUMATIC_STRESS_DISORDER.ASP")</f>
        <v>http://www.hawaii.va.gov/services/NATIONAL_CENTER_POST_TRAUMATIC_STRESS_DISORDER.ASP</v>
      </c>
      <c r="E1971" s="8" t="s">
        <v>392</v>
      </c>
    </row>
    <row r="1972" ht="14.25" hidden="1" customHeight="1">
      <c r="A1972" s="8" t="s">
        <v>2147</v>
      </c>
      <c r="B1972" s="8" t="s">
        <v>343</v>
      </c>
      <c r="D1972" s="121" t="str">
        <f>HYPERLINK("http://www.hawaii.va.gov/services/PHARMACY.ASP")</f>
        <v>http://www.hawaii.va.gov/services/PHARMACY.ASP</v>
      </c>
      <c r="E1972" s="8" t="s">
        <v>392</v>
      </c>
    </row>
    <row r="1973" ht="14.25" hidden="1" customHeight="1">
      <c r="A1973" s="8" t="s">
        <v>2147</v>
      </c>
      <c r="B1973" s="8" t="s">
        <v>2156</v>
      </c>
      <c r="D1973" s="121" t="str">
        <f>HYPERLINK("http://www.hawaii.va.gov/services/POST_TRAUMATIC_STRESS_DISORDER_RECOVERY_REHABILITATION_PROGRAM.ASP")</f>
        <v>http://www.hawaii.va.gov/services/POST_TRAUMATIC_STRESS_DISORDER_RECOVERY_REHABILITATION_PROGRAM.ASP</v>
      </c>
      <c r="E1973" s="8" t="s">
        <v>392</v>
      </c>
    </row>
    <row r="1974" ht="14.25" hidden="1" customHeight="1">
      <c r="A1974" s="8" t="s">
        <v>2147</v>
      </c>
      <c r="B1974" s="8" t="s">
        <v>348</v>
      </c>
      <c r="D1974" s="121" t="str">
        <f>HYPERLINK("http://www.hawaii.va.gov/services/PRIMARY_CARE.ASP")</f>
        <v>http://www.hawaii.va.gov/services/PRIMARY_CARE.ASP</v>
      </c>
      <c r="E1974" s="8" t="s">
        <v>392</v>
      </c>
    </row>
    <row r="1975" ht="14.25" hidden="1" customHeight="1">
      <c r="A1975" s="8" t="s">
        <v>2147</v>
      </c>
      <c r="B1975" s="8" t="s">
        <v>508</v>
      </c>
      <c r="D1975" s="121" t="str">
        <f>HYPERLINK("http://www.hawaii.va.gov/services/RESEARCH.ASP")</f>
        <v>http://www.hawaii.va.gov/services/RESEARCH.ASP</v>
      </c>
      <c r="E1975" s="8" t="s">
        <v>392</v>
      </c>
    </row>
    <row r="1976" ht="14.25" hidden="1" customHeight="1">
      <c r="A1976" s="8" t="s">
        <v>2147</v>
      </c>
      <c r="B1976" s="8" t="s">
        <v>355</v>
      </c>
      <c r="D1976" s="121" t="str">
        <f>HYPERLINK("http://www.hawaii.va.gov/services/RETURNING_SERVICE_MEMBERS.ASP")</f>
        <v>http://www.hawaii.va.gov/services/RETURNING_SERVICE_MEMBERS.ASP</v>
      </c>
      <c r="E1976" s="8" t="s">
        <v>392</v>
      </c>
    </row>
    <row r="1977" ht="14.25" hidden="1" customHeight="1">
      <c r="A1977" s="8" t="s">
        <v>2147</v>
      </c>
      <c r="B1977" s="8" t="s">
        <v>370</v>
      </c>
      <c r="D1977" s="121" t="str">
        <f>HYPERLINK("http://www.hawaii.va.gov/services/TELEHEALTH.ASP")</f>
        <v>http://www.hawaii.va.gov/services/TELEHEALTH.ASP</v>
      </c>
      <c r="E1977" s="8" t="s">
        <v>392</v>
      </c>
    </row>
    <row r="1978" ht="14.25" hidden="1" customHeight="1">
      <c r="A1978" s="8" t="s">
        <v>2147</v>
      </c>
      <c r="B1978" s="8" t="s">
        <v>379</v>
      </c>
      <c r="D1978" s="121" t="str">
        <f>HYPERLINK("http://www.hawaii.va.gov/services/WOMEN_VETERANS.ASP")</f>
        <v>http://www.hawaii.va.gov/services/WOMEN_VETERANS.ASP</v>
      </c>
      <c r="E1978" s="8" t="s">
        <v>392</v>
      </c>
    </row>
    <row r="1979" ht="14.25" hidden="1" customHeight="1">
      <c r="A1979" s="8" t="s">
        <v>2159</v>
      </c>
      <c r="B1979" s="8" t="s">
        <v>2160</v>
      </c>
      <c r="D1979" s="121" t="str">
        <f>HYPERLINK("http://www.hines.va.gov/services/AMPSCA.ASP")</f>
        <v>http://www.hines.va.gov/services/AMPSCA.ASP</v>
      </c>
      <c r="E1979" s="8" t="s">
        <v>392</v>
      </c>
    </row>
    <row r="1980" ht="14.25" hidden="1" customHeight="1">
      <c r="A1980" s="8" t="s">
        <v>2159</v>
      </c>
      <c r="B1980" s="8" t="s">
        <v>2162</v>
      </c>
      <c r="D1980" s="121" t="str">
        <f>HYPERLINK("http://www.hines.va.gov/services/SP.ASP")</f>
        <v>http://www.hines.va.gov/services/SP.ASP</v>
      </c>
      <c r="E1980" s="8" t="s">
        <v>392</v>
      </c>
    </row>
    <row r="1981" ht="14.25" hidden="1" customHeight="1">
      <c r="A1981" s="8" t="s">
        <v>2159</v>
      </c>
      <c r="B1981" s="8" t="s">
        <v>2164</v>
      </c>
      <c r="D1981" s="121" t="str">
        <f>HYPERLINK("http://www.hines.va.gov/services/BLINDREHAB.ASP")</f>
        <v>http://www.hines.va.gov/services/BLINDREHAB.ASP</v>
      </c>
      <c r="E1981" s="8" t="s">
        <v>392</v>
      </c>
    </row>
    <row r="1982" ht="14.25" hidden="1" customHeight="1">
      <c r="A1982" s="8" t="s">
        <v>2159</v>
      </c>
      <c r="B1982" s="8" t="s">
        <v>2167</v>
      </c>
      <c r="D1982" s="121" t="str">
        <f>HYPERLINK("http://www.hines.va.gov/services/CARDIAC_REHABILITATION.ASP")</f>
        <v>http://www.hines.va.gov/services/CARDIAC_REHABILITATION.ASP</v>
      </c>
      <c r="E1982" s="8" t="s">
        <v>392</v>
      </c>
    </row>
    <row r="1983" ht="14.25" hidden="1" customHeight="1">
      <c r="A1983" s="8" t="s">
        <v>2159</v>
      </c>
      <c r="B1983" s="8" t="s">
        <v>478</v>
      </c>
      <c r="D1983" s="121" t="str">
        <f>HYPERLINK("http://www.hines.va.gov/services/CHAPLAIN.ASP")</f>
        <v>http://www.hines.va.gov/services/CHAPLAIN.ASP</v>
      </c>
      <c r="E1983" s="8" t="s">
        <v>392</v>
      </c>
    </row>
    <row r="1984" ht="14.25" hidden="1" customHeight="1">
      <c r="A1984" s="8" t="s">
        <v>2159</v>
      </c>
      <c r="B1984" s="8" t="s">
        <v>2172</v>
      </c>
      <c r="D1984" s="121" t="str">
        <f>HYPERLINK("http://www.hines.va.gov/services/CLINICAL_INFORMATICS.ASP")</f>
        <v>http://www.hines.va.gov/services/CLINICAL_INFORMATICS.ASP</v>
      </c>
      <c r="E1984" s="8" t="s">
        <v>392</v>
      </c>
    </row>
    <row r="1985" ht="14.25" hidden="1" customHeight="1">
      <c r="A1985" s="8" t="s">
        <v>2159</v>
      </c>
      <c r="B1985" s="8" t="s">
        <v>2174</v>
      </c>
      <c r="D1985" s="121" t="str">
        <f>HYPERLINK("http://www.hines.va.gov/services/MMU.ASP")</f>
        <v>http://www.hines.va.gov/services/MMU.ASP</v>
      </c>
      <c r="E1985" s="8" t="s">
        <v>392</v>
      </c>
    </row>
    <row r="1986" ht="14.25" hidden="1" customHeight="1">
      <c r="A1986" s="8" t="s">
        <v>2159</v>
      </c>
      <c r="B1986" s="8" t="s">
        <v>483</v>
      </c>
      <c r="D1986" s="121" t="str">
        <f>HYPERLINK("http://www.hines.va.gov/services/DECEDENT_AFFAIRS.ASP")</f>
        <v>http://www.hines.va.gov/services/DECEDENT_AFFAIRS.ASP</v>
      </c>
      <c r="E1986" s="8" t="s">
        <v>392</v>
      </c>
    </row>
    <row r="1987" ht="14.25" hidden="1" customHeight="1">
      <c r="A1987" s="8" t="s">
        <v>2159</v>
      </c>
      <c r="B1987" s="8" t="s">
        <v>513</v>
      </c>
      <c r="D1987" s="121" t="str">
        <f>HYPERLINK("http://www.hines.va.gov/services/DENTAL.ASP")</f>
        <v>http://www.hines.va.gov/services/DENTAL.ASP</v>
      </c>
      <c r="E1987" s="8" t="s">
        <v>392</v>
      </c>
    </row>
    <row r="1988" ht="14.25" hidden="1" customHeight="1">
      <c r="A1988" s="8" t="s">
        <v>2159</v>
      </c>
      <c r="B1988" s="8" t="s">
        <v>1698</v>
      </c>
      <c r="D1988" s="121" t="str">
        <f>HYPERLINK("http://www.hines.va.gov/services/DRIVER_REHABILITATION.ASP")</f>
        <v>http://www.hines.va.gov/services/DRIVER_REHABILITATION.ASP</v>
      </c>
      <c r="E1988" s="8" t="s">
        <v>392</v>
      </c>
    </row>
    <row r="1989" ht="14.25" hidden="1" customHeight="1">
      <c r="A1989" s="8" t="s">
        <v>2159</v>
      </c>
      <c r="B1989" s="8" t="s">
        <v>309</v>
      </c>
      <c r="D1989" s="121" t="str">
        <f>HYPERLINK("http://www.hines.va.gov/services/ECCR.ASP")</f>
        <v>http://www.hines.va.gov/services/ECCR.ASP</v>
      </c>
      <c r="E1989" s="8" t="s">
        <v>392</v>
      </c>
    </row>
    <row r="1990" ht="14.25" hidden="1" customHeight="1">
      <c r="A1990" s="8" t="s">
        <v>2159</v>
      </c>
      <c r="B1990" s="8" t="s">
        <v>1147</v>
      </c>
      <c r="D1990" s="121" t="str">
        <f>HYPERLINK("http://www.hines.va.gov/services/FORMER_PRISONERS_OF_WAR_ADVOCATE.ASP")</f>
        <v>http://www.hines.va.gov/services/FORMER_PRISONERS_OF_WAR_ADVOCATE.ASP</v>
      </c>
      <c r="E1990" s="8" t="s">
        <v>392</v>
      </c>
    </row>
    <row r="1991" ht="14.25" hidden="1" customHeight="1">
      <c r="A1991" s="8" t="s">
        <v>2159</v>
      </c>
      <c r="B1991" s="8" t="s">
        <v>1154</v>
      </c>
      <c r="D1991" s="121" t="str">
        <f>HYPERLINK("http://www.hines.va.gov/services/HPDP.ASP")</f>
        <v>http://www.hines.va.gov/services/HPDP.ASP</v>
      </c>
      <c r="E1991" s="8" t="s">
        <v>392</v>
      </c>
    </row>
    <row r="1992" ht="14.25" hidden="1" customHeight="1">
      <c r="A1992" s="8" t="s">
        <v>2159</v>
      </c>
      <c r="B1992" s="8" t="s">
        <v>1941</v>
      </c>
      <c r="D1992" s="121" t="str">
        <f>HYPERLINK("http://www.hines.va.gov/services/HOSPICE_AND_PALLIATIVE_CARE.ASP")</f>
        <v>http://www.hines.va.gov/services/HOSPICE_AND_PALLIATIVE_CARE.ASP</v>
      </c>
      <c r="E1992" s="8" t="s">
        <v>392</v>
      </c>
    </row>
    <row r="1993" ht="14.25" hidden="1" customHeight="1">
      <c r="A1993" s="8" t="s">
        <v>2159</v>
      </c>
      <c r="B1993" s="8" t="s">
        <v>2180</v>
      </c>
      <c r="D1993" s="121" t="str">
        <f>HYPERLINK("http://www.hines.va.gov/services/INPATIENT_REHABILITATION.ASP")</f>
        <v>http://www.hines.va.gov/services/INPATIENT_REHABILITATION.ASP</v>
      </c>
      <c r="E1993" s="8" t="s">
        <v>392</v>
      </c>
    </row>
    <row r="1994" ht="14.25" hidden="1" customHeight="1">
      <c r="A1994" s="8" t="s">
        <v>2159</v>
      </c>
      <c r="B1994" s="8" t="s">
        <v>2181</v>
      </c>
      <c r="D1994" s="121" t="str">
        <f>HYPERLINK("http://www.hines.va.gov/services/KT.ASP")</f>
        <v>http://www.hines.va.gov/services/KT.ASP</v>
      </c>
      <c r="E1994" s="8" t="s">
        <v>392</v>
      </c>
    </row>
    <row r="1995" ht="14.25" hidden="1" customHeight="1">
      <c r="A1995" s="8" t="s">
        <v>2159</v>
      </c>
      <c r="B1995" s="8" t="s">
        <v>2183</v>
      </c>
      <c r="D1995" s="121" t="str">
        <f>HYPERLINK("http://www.hines.va.gov/services/LGBTV.ASP")</f>
        <v>http://www.hines.va.gov/services/LGBTV.ASP</v>
      </c>
      <c r="E1995" s="8" t="s">
        <v>392</v>
      </c>
    </row>
    <row r="1996" ht="14.25" hidden="1" customHeight="1">
      <c r="A1996" s="8" t="s">
        <v>2159</v>
      </c>
      <c r="B1996" s="8" t="s">
        <v>1825</v>
      </c>
      <c r="D1996" s="121" t="str">
        <f>HYPERLINK("http://www.hines.va.gov/services/HPDP_MOVE.ASP")</f>
        <v>http://www.hines.va.gov/services/HPDP_MOVE.ASP</v>
      </c>
      <c r="E1996" s="8" t="s">
        <v>392</v>
      </c>
    </row>
    <row r="1997" ht="14.25" hidden="1" customHeight="1">
      <c r="A1997" s="8" t="s">
        <v>2159</v>
      </c>
      <c r="B1997" s="8" t="s">
        <v>1016</v>
      </c>
      <c r="D1997" s="121" t="str">
        <f>HYPERLINK("http://www.hines.va.gov/services/MFOSTER.ASP")</f>
        <v>http://www.hines.va.gov/services/MFOSTER.ASP</v>
      </c>
      <c r="E1997" s="8" t="s">
        <v>392</v>
      </c>
    </row>
    <row r="1998" ht="14.25" hidden="1" customHeight="1">
      <c r="A1998" s="8" t="s">
        <v>2159</v>
      </c>
      <c r="B1998" s="8" t="s">
        <v>323</v>
      </c>
      <c r="D1998" s="121" t="str">
        <f>HYPERLINK("http://www.hines.va.gov/services/MENTAL_HEALTH.ASP")</f>
        <v>http://www.hines.va.gov/services/MENTAL_HEALTH.ASP</v>
      </c>
      <c r="E1998" s="8" t="s">
        <v>392</v>
      </c>
    </row>
    <row r="1999" ht="14.25" hidden="1" customHeight="1">
      <c r="A1999" s="8" t="s">
        <v>2159</v>
      </c>
      <c r="B1999" s="8" t="s">
        <v>324</v>
      </c>
      <c r="D1999" s="121" t="str">
        <f>HYPERLINK("http://www.hines.va.gov/services/MST.ASP")</f>
        <v>http://www.hines.va.gov/services/MST.ASP</v>
      </c>
      <c r="E1999" s="8" t="s">
        <v>392</v>
      </c>
    </row>
    <row r="2000" ht="14.25" hidden="1" customHeight="1">
      <c r="A2000" s="8" t="s">
        <v>2159</v>
      </c>
      <c r="B2000" s="8" t="s">
        <v>2187</v>
      </c>
      <c r="D2000" s="121" t="str">
        <f>HYPERLINK("http://www.hines.va.gov/services/NO_VETERAN_DIES_ALONE_VOLUNTEER_PROGRAM.ASP")</f>
        <v>http://www.hines.va.gov/services/NO_VETERAN_DIES_ALONE_VOLUNTEER_PROGRAM.ASP</v>
      </c>
      <c r="E2000" s="8" t="s">
        <v>392</v>
      </c>
    </row>
    <row r="2001" ht="14.25" hidden="1" customHeight="1">
      <c r="A2001" s="8" t="s">
        <v>2159</v>
      </c>
      <c r="B2001" s="8" t="s">
        <v>2190</v>
      </c>
      <c r="D2001" s="121" t="str">
        <f>HYPERLINK("http://www.hines.va.gov/services/OEF_OIF_POST_DEPLOYMENT_CENTER.ASP")</f>
        <v>http://www.hines.va.gov/services/OEF_OIF_POST_DEPLOYMENT_CENTER.ASP</v>
      </c>
      <c r="E2001" s="8" t="s">
        <v>392</v>
      </c>
    </row>
    <row r="2002" ht="14.25" hidden="1" customHeight="1">
      <c r="A2002" s="8" t="s">
        <v>2159</v>
      </c>
      <c r="B2002" s="8" t="s">
        <v>900</v>
      </c>
      <c r="D2002" s="121" t="str">
        <f>HYPERLINK("http://www.hines.va.gov/services/OT.ASP")</f>
        <v>http://www.hines.va.gov/services/OT.ASP</v>
      </c>
      <c r="E2002" s="8" t="s">
        <v>392</v>
      </c>
    </row>
    <row r="2003" ht="14.25" hidden="1" customHeight="1">
      <c r="A2003" s="8" t="s">
        <v>2159</v>
      </c>
      <c r="B2003" s="8" t="s">
        <v>2192</v>
      </c>
      <c r="D2003" s="121" t="str">
        <f>HYPERLINK("http://www.hines.va.gov/services/ORTHOPEDICS.ASP")</f>
        <v>http://www.hines.va.gov/services/ORTHOPEDICS.ASP</v>
      </c>
      <c r="E2003" s="8" t="s">
        <v>392</v>
      </c>
    </row>
    <row r="2004" ht="14.25" hidden="1" customHeight="1">
      <c r="A2004" s="8" t="s">
        <v>2159</v>
      </c>
      <c r="B2004" s="8" t="s">
        <v>343</v>
      </c>
      <c r="D2004" s="121" t="str">
        <f>HYPERLINK("http://www.hines.va.gov/services/PHARMACY.ASP")</f>
        <v>http://www.hines.va.gov/services/PHARMACY.ASP</v>
      </c>
      <c r="E2004" s="8" t="s">
        <v>392</v>
      </c>
    </row>
    <row r="2005" ht="14.25" hidden="1" customHeight="1">
      <c r="A2005" s="8" t="s">
        <v>2159</v>
      </c>
      <c r="B2005" s="8" t="s">
        <v>344</v>
      </c>
      <c r="D2005" s="121" t="str">
        <f>HYPERLINK("http://www.hines.va.gov/services/PMR.ASP")</f>
        <v>http://www.hines.va.gov/services/PMR.ASP</v>
      </c>
      <c r="E2005" s="8" t="s">
        <v>392</v>
      </c>
    </row>
    <row r="2006" ht="14.25" hidden="1" customHeight="1">
      <c r="A2006" s="8" t="s">
        <v>2159</v>
      </c>
      <c r="B2006" s="8" t="s">
        <v>608</v>
      </c>
      <c r="D2006" s="121" t="str">
        <f>HYPERLINK("http://www.hines.va.gov/services/PT.ASP")</f>
        <v>http://www.hines.va.gov/services/PT.ASP</v>
      </c>
      <c r="E2006" s="8" t="s">
        <v>392</v>
      </c>
    </row>
    <row r="2007" ht="14.25" hidden="1" customHeight="1">
      <c r="A2007" s="8" t="s">
        <v>2159</v>
      </c>
      <c r="B2007" s="8" t="s">
        <v>1284</v>
      </c>
      <c r="D2007" s="121" t="str">
        <f>HYPERLINK("http://www.hines.va.gov/services/PTSD.ASP")</f>
        <v>http://www.hines.va.gov/services/PTSD.ASP</v>
      </c>
      <c r="E2007" s="8" t="s">
        <v>392</v>
      </c>
    </row>
    <row r="2008" ht="14.25" hidden="1" customHeight="1">
      <c r="A2008" s="8" t="s">
        <v>2159</v>
      </c>
      <c r="B2008" s="8" t="s">
        <v>505</v>
      </c>
      <c r="D2008" s="121" t="str">
        <f>HYPERLINK("http://www.hines.va.gov/services/RECREATION_THERAPY.ASP")</f>
        <v>http://www.hines.va.gov/services/RECREATION_THERAPY.ASP</v>
      </c>
      <c r="E2008" s="8" t="s">
        <v>392</v>
      </c>
    </row>
    <row r="2009" ht="14.25" hidden="1" customHeight="1">
      <c r="A2009" s="8" t="s">
        <v>2159</v>
      </c>
      <c r="B2009" s="8" t="s">
        <v>1338</v>
      </c>
      <c r="D2009" s="121" t="str">
        <f>HYPERLINK("http://www.hines.va.gov/services/REHAB_MAIN.ASP")</f>
        <v>http://www.hines.va.gov/services/REHAB_MAIN.ASP</v>
      </c>
      <c r="E2009" s="8" t="s">
        <v>392</v>
      </c>
    </row>
    <row r="2010" ht="14.25" hidden="1" customHeight="1">
      <c r="A2010" s="8" t="s">
        <v>2159</v>
      </c>
      <c r="B2010" s="8" t="s">
        <v>2204</v>
      </c>
      <c r="D2010" s="121" t="str">
        <f>HYPERLINK("http://www.hines.va.gov/services/SOCWORK.ASP")</f>
        <v>http://www.hines.va.gov/services/SOCWORK.ASP</v>
      </c>
      <c r="E2010" s="8" t="s">
        <v>392</v>
      </c>
    </row>
    <row r="2011" ht="14.25" hidden="1" customHeight="1">
      <c r="A2011" s="8" t="s">
        <v>2159</v>
      </c>
      <c r="B2011" s="8" t="s">
        <v>2207</v>
      </c>
      <c r="D2011" s="121" t="str">
        <f>HYPERLINK("http://www.hines.va.gov/services/SPEECH_PATHOLOGY_SPECIALTY_CLINICS.ASP")</f>
        <v>http://www.hines.va.gov/services/SPEECH_PATHOLOGY_SPECIALTY_CLINICS.ASP</v>
      </c>
      <c r="E2011" s="8" t="s">
        <v>392</v>
      </c>
    </row>
    <row r="2012" ht="14.25" hidden="1" customHeight="1">
      <c r="A2012" s="8" t="s">
        <v>2159</v>
      </c>
      <c r="B2012" s="8" t="s">
        <v>2208</v>
      </c>
      <c r="D2012" s="121" t="str">
        <f>HYPERLINK("http://www.hines.va.gov/services/SPINAL_CORD.ASP")</f>
        <v>http://www.hines.va.gov/services/SPINAL_CORD.ASP</v>
      </c>
      <c r="E2012" s="8" t="s">
        <v>392</v>
      </c>
    </row>
    <row r="2013" ht="14.25" hidden="1" customHeight="1">
      <c r="A2013" s="8" t="s">
        <v>2159</v>
      </c>
      <c r="B2013" s="8" t="s">
        <v>2209</v>
      </c>
      <c r="D2013" s="121" t="str">
        <f>HYPERLINK("http://www.hines.va.gov/services/SARRTP.ASP")</f>
        <v>http://www.hines.va.gov/services/SARRTP.ASP</v>
      </c>
      <c r="E2013" s="8" t="s">
        <v>392</v>
      </c>
    </row>
    <row r="2014" ht="14.25" hidden="1" customHeight="1">
      <c r="A2014" s="8" t="s">
        <v>2159</v>
      </c>
      <c r="B2014" s="8" t="s">
        <v>2210</v>
      </c>
      <c r="D2014" s="121" t="str">
        <f>HYPERLINK("http://www.hines.va.gov/services/TRAUMA_SERVICES_PROGRAM_TSP.ASP")</f>
        <v>http://www.hines.va.gov/services/TRAUMA_SERVICES_PROGRAM_TSP.ASP</v>
      </c>
      <c r="E2014" s="8" t="s">
        <v>392</v>
      </c>
    </row>
    <row r="2015" ht="14.25" hidden="1" customHeight="1">
      <c r="A2015" s="8" t="s">
        <v>2211</v>
      </c>
      <c r="B2015" s="8" t="s">
        <v>2212</v>
      </c>
      <c r="D2015" s="121" t="str">
        <f>HYPERLINK("http://www.houston.va.gov/services/AMPUTEE_SYSTEM_OF_CARE.ASP")</f>
        <v>http://www.houston.va.gov/services/AMPUTEE_SYSTEM_OF_CARE.ASP</v>
      </c>
      <c r="E2015" s="8" t="s">
        <v>392</v>
      </c>
    </row>
    <row r="2016" ht="14.25" hidden="1" customHeight="1">
      <c r="A2016" s="8" t="s">
        <v>2211</v>
      </c>
      <c r="B2016" s="8" t="s">
        <v>2214</v>
      </c>
      <c r="D2016" s="121" t="str">
        <f>HYPERLINK("http://www.houston.va.gov/services/CANCER_CENTER.ASP")</f>
        <v>http://www.houston.va.gov/services/CANCER_CENTER.ASP</v>
      </c>
      <c r="E2016" s="8" t="s">
        <v>392</v>
      </c>
    </row>
    <row r="2017" ht="14.25" hidden="1" customHeight="1">
      <c r="A2017" s="8" t="s">
        <v>2211</v>
      </c>
      <c r="B2017" s="8" t="s">
        <v>478</v>
      </c>
      <c r="D2017" s="121" t="str">
        <f>HYPERLINK("http://www.houston.va.gov/services/CHAPLAINSERVICE/CHAPLAIN_SERVICE.ASP")</f>
        <v>http://www.houston.va.gov/services/CHAPLAINSERVICE/CHAPLAIN_SERVICE.ASP</v>
      </c>
      <c r="E2017" s="8" t="s">
        <v>392</v>
      </c>
    </row>
    <row r="2018" ht="14.25" hidden="1" customHeight="1">
      <c r="A2018" s="8" t="s">
        <v>2211</v>
      </c>
      <c r="B2018" s="8" t="s">
        <v>2218</v>
      </c>
      <c r="D2018" s="121" t="str">
        <f>HYPERLINK("http://www.houston.va.gov/services/DIALECTICAL_BEHAVIOR_THERAPY_PROGRAM.ASP")</f>
        <v>http://www.houston.va.gov/services/DIALECTICAL_BEHAVIOR_THERAPY_PROGRAM.ASP</v>
      </c>
      <c r="E2018" s="8" t="s">
        <v>392</v>
      </c>
    </row>
    <row r="2019" ht="14.25" hidden="1" customHeight="1">
      <c r="A2019" s="8" t="s">
        <v>2211</v>
      </c>
      <c r="B2019" s="8" t="s">
        <v>719</v>
      </c>
      <c r="D2019" s="121" t="str">
        <f>HYPERLINK("http://www.houston.va.gov/services/EYECLINIC.ASP")</f>
        <v>http://www.houston.va.gov/services/EYECLINIC.ASP</v>
      </c>
      <c r="E2019" s="8" t="s">
        <v>392</v>
      </c>
    </row>
    <row r="2020" ht="14.25" hidden="1" customHeight="1">
      <c r="A2020" s="8" t="s">
        <v>2211</v>
      </c>
      <c r="B2020" s="8" t="s">
        <v>1344</v>
      </c>
      <c r="D2020" s="121" t="str">
        <f>HYPERLINK("http://www.houston.va.gov/services/FISHER_HOUSE.ASP")</f>
        <v>http://www.houston.va.gov/services/FISHER_HOUSE.ASP</v>
      </c>
      <c r="E2020" s="8" t="s">
        <v>392</v>
      </c>
    </row>
    <row r="2021" ht="14.25" hidden="1" customHeight="1">
      <c r="A2021" s="8" t="s">
        <v>2211</v>
      </c>
      <c r="B2021" s="8" t="s">
        <v>2220</v>
      </c>
      <c r="D2021" s="121" t="str">
        <f>HYPERLINK("http://www.houston.va.gov/services/MCL/HPDP/HPDP.ASP")</f>
        <v>http://www.houston.va.gov/services/MCL/HPDP/HPDP.ASP</v>
      </c>
      <c r="E2021" s="8" t="s">
        <v>392</v>
      </c>
    </row>
    <row r="2022" ht="14.25" hidden="1" customHeight="1">
      <c r="A2022" s="8" t="s">
        <v>2211</v>
      </c>
      <c r="B2022" s="8" t="s">
        <v>2223</v>
      </c>
      <c r="D2022" s="121" t="str">
        <f>HYPERLINK("http://www.houston.va.gov/services/LGBT_PROGRAM.ASP")</f>
        <v>http://www.houston.va.gov/services/LGBT_PROGRAM.ASP</v>
      </c>
      <c r="E2022" s="8" t="s">
        <v>392</v>
      </c>
    </row>
    <row r="2023" ht="14.25" hidden="1" customHeight="1">
      <c r="A2023" s="8" t="s">
        <v>2211</v>
      </c>
      <c r="B2023" s="8" t="s">
        <v>323</v>
      </c>
      <c r="D2023" s="121" t="str">
        <f>HYPERLINK("http://www.houston.va.gov/services/MENTAL_HEALTH.ASP")</f>
        <v>http://www.houston.va.gov/services/MENTAL_HEALTH.ASP</v>
      </c>
      <c r="E2023" s="8" t="s">
        <v>392</v>
      </c>
    </row>
    <row r="2024" ht="14.25" hidden="1" customHeight="1">
      <c r="A2024" s="8" t="s">
        <v>2211</v>
      </c>
      <c r="B2024" s="8" t="s">
        <v>2225</v>
      </c>
      <c r="D2024" s="121" t="str">
        <f>HYPERLINK("http://www.houston.va.gov/services/MILLIONVETERANPROGRAM.ASP")</f>
        <v>http://www.houston.va.gov/services/MILLIONVETERANPROGRAM.ASP</v>
      </c>
      <c r="E2024" s="8" t="s">
        <v>392</v>
      </c>
    </row>
    <row r="2025" ht="14.25" hidden="1" customHeight="1">
      <c r="A2025" s="8" t="s">
        <v>2211</v>
      </c>
      <c r="B2025" s="8" t="s">
        <v>603</v>
      </c>
      <c r="D2025" s="121" t="str">
        <f>HYPERLINK("http://www.houston.va.gov/services/NUCLEAR_MEDICINE.ASP")</f>
        <v>http://www.houston.va.gov/services/NUCLEAR_MEDICINE.ASP</v>
      </c>
      <c r="E2025" s="8" t="s">
        <v>392</v>
      </c>
    </row>
    <row r="2026" ht="14.25" hidden="1" customHeight="1">
      <c r="A2026" s="8" t="s">
        <v>2211</v>
      </c>
      <c r="B2026" s="8" t="s">
        <v>839</v>
      </c>
      <c r="D2026" s="121" t="str">
        <f>HYPERLINK("http://www.houston.va.gov/services/CANCER_CENTER.ASP")</f>
        <v>http://www.houston.va.gov/services/CANCER_CENTER.ASP</v>
      </c>
      <c r="E2026" s="8" t="s">
        <v>595</v>
      </c>
    </row>
    <row r="2027" ht="14.25" hidden="1" customHeight="1">
      <c r="A2027" s="8" t="s">
        <v>2211</v>
      </c>
      <c r="B2027" s="8" t="s">
        <v>2229</v>
      </c>
      <c r="D2027" s="121" t="str">
        <f>HYPERLINK("http://www.houston.va.gov/services/PRIMARYCARE.ASP")</f>
        <v>http://www.houston.va.gov/services/PRIMARYCARE.ASP</v>
      </c>
      <c r="E2027" s="8" t="s">
        <v>595</v>
      </c>
    </row>
    <row r="2028" ht="14.25" hidden="1" customHeight="1">
      <c r="A2028" s="8" t="s">
        <v>2211</v>
      </c>
      <c r="B2028" s="8" t="s">
        <v>343</v>
      </c>
      <c r="D2028" s="121" t="str">
        <f>HYPERLINK("http://www.houston.va.gov/services/PHARMACY.ASP")</f>
        <v>http://www.houston.va.gov/services/PHARMACY.ASP</v>
      </c>
      <c r="E2028" s="8" t="s">
        <v>392</v>
      </c>
    </row>
    <row r="2029" ht="14.25" hidden="1" customHeight="1">
      <c r="A2029" s="8" t="s">
        <v>2211</v>
      </c>
      <c r="B2029" s="8" t="s">
        <v>348</v>
      </c>
      <c r="D2029" s="121" t="str">
        <f>HYPERLINK("http://www.houston.va.gov/services/PRIMARYCARE.ASP")</f>
        <v>http://www.houston.va.gov/services/PRIMARYCARE.ASP</v>
      </c>
      <c r="E2029" s="8" t="s">
        <v>392</v>
      </c>
    </row>
    <row r="2030" ht="14.25" hidden="1" customHeight="1">
      <c r="A2030" s="8" t="s">
        <v>2211</v>
      </c>
      <c r="B2030" s="8" t="s">
        <v>2235</v>
      </c>
      <c r="D2030" s="121" t="str">
        <f>HYPERLINK("http://www.houston.va.gov/services/PROSTHETICSENSORYAIDSSERVICE.ASP")</f>
        <v>http://www.houston.va.gov/services/PROSTHETICSENSORYAIDSSERVICE.ASP</v>
      </c>
      <c r="E2030" s="8" t="s">
        <v>392</v>
      </c>
    </row>
    <row r="2031" ht="14.25" hidden="1" customHeight="1">
      <c r="A2031" s="8" t="s">
        <v>2211</v>
      </c>
      <c r="B2031" s="8" t="s">
        <v>505</v>
      </c>
      <c r="D2031" s="121" t="str">
        <f>HYPERLINK("http://www.houston.va.gov/services/RECREATION_THERAPY.ASP")</f>
        <v>http://www.houston.va.gov/services/RECREATION_THERAPY.ASP</v>
      </c>
      <c r="E2031" s="8" t="s">
        <v>392</v>
      </c>
    </row>
    <row r="2032" ht="14.25" hidden="1" customHeight="1">
      <c r="A2032" s="8" t="s">
        <v>2211</v>
      </c>
      <c r="B2032" s="8" t="s">
        <v>508</v>
      </c>
      <c r="D2032" s="121" t="str">
        <f>HYPERLINK("http://www.houston.va.gov/services/RESEARCH.ASP")</f>
        <v>http://www.houston.va.gov/services/RESEARCH.ASP</v>
      </c>
      <c r="E2032" s="8" t="s">
        <v>392</v>
      </c>
    </row>
    <row r="2033" ht="14.25" hidden="1" customHeight="1">
      <c r="A2033" s="8" t="s">
        <v>2211</v>
      </c>
      <c r="B2033" s="8" t="s">
        <v>2240</v>
      </c>
      <c r="D2033" s="121" t="str">
        <f>HYPERLINK("http://www.houston.va.gov/services/SPINAL_CORD_INJURY_CENTER.ASP")</f>
        <v>http://www.houston.va.gov/services/SPINAL_CORD_INJURY_CENTER.ASP</v>
      </c>
      <c r="E2033" s="8" t="s">
        <v>392</v>
      </c>
    </row>
    <row r="2034" ht="14.25" hidden="1" customHeight="1">
      <c r="A2034" s="8" t="s">
        <v>2211</v>
      </c>
      <c r="B2034" s="8" t="s">
        <v>2243</v>
      </c>
      <c r="D2034" s="121" t="str">
        <f>HYPERLINK("http://www.houston.va.gov/services/SUPPORT_GROUPS.ASP")</f>
        <v>http://www.houston.va.gov/services/SUPPORT_GROUPS.ASP</v>
      </c>
      <c r="E2034" s="8" t="s">
        <v>392</v>
      </c>
    </row>
    <row r="2035" ht="14.25" hidden="1" customHeight="1">
      <c r="A2035" s="8" t="s">
        <v>2211</v>
      </c>
      <c r="B2035" s="8" t="s">
        <v>2245</v>
      </c>
      <c r="D2035" s="121" t="str">
        <f>HYPERLINK("http://www.houston.va.gov/services/VISOR.ASP")</f>
        <v>http://www.houston.va.gov/services/VISOR.ASP</v>
      </c>
      <c r="E2035" s="8" t="s">
        <v>392</v>
      </c>
    </row>
    <row r="2036" ht="14.25" hidden="1" customHeight="1">
      <c r="A2036" s="8" t="s">
        <v>2211</v>
      </c>
      <c r="B2036" s="8" t="s">
        <v>375</v>
      </c>
      <c r="D2036" s="121" t="str">
        <f>HYPERLINK("http://www.houston.va.gov/services/VOCATIONAL_REHABILITATION.ASP")</f>
        <v>http://www.houston.va.gov/services/VOCATIONAL_REHABILITATION.ASP</v>
      </c>
      <c r="E2036" s="8" t="s">
        <v>392</v>
      </c>
    </row>
    <row r="2037" ht="14.25" hidden="1" customHeight="1">
      <c r="A2037" s="8" t="s">
        <v>2211</v>
      </c>
      <c r="B2037" s="8" t="s">
        <v>2248</v>
      </c>
      <c r="D2037" s="121" t="str">
        <f>HYPERLINK("http://www.houston.va.gov/services/WELLNESS_AND_FITNESS_CENTER.ASP")</f>
        <v>http://www.houston.va.gov/services/WELLNESS_AND_FITNESS_CENTER.ASP</v>
      </c>
      <c r="E2037" s="8" t="s">
        <v>392</v>
      </c>
    </row>
    <row r="2038" ht="14.25" hidden="1" customHeight="1">
      <c r="A2038" s="8" t="s">
        <v>2250</v>
      </c>
      <c r="B2038" s="8" t="s">
        <v>300</v>
      </c>
      <c r="D2038" s="121" t="str">
        <f>HYPERLINK("http://www.hudsonvalley.va.gov/services/CAREGIVER_PROGRAM.ASP")</f>
        <v>http://www.hudsonvalley.va.gov/services/CAREGIVER_PROGRAM.ASP</v>
      </c>
      <c r="E2038" s="8" t="s">
        <v>392</v>
      </c>
    </row>
    <row r="2039" ht="14.25" hidden="1" customHeight="1">
      <c r="A2039" s="8" t="s">
        <v>2250</v>
      </c>
      <c r="B2039" s="8" t="s">
        <v>2251</v>
      </c>
      <c r="D2039" s="121" t="str">
        <f>HYPERLINK("http://www.hudsonvalley.va.gov/services/CLINICAL_VIDEO_TELEHEALTH.ASP")</f>
        <v>http://www.hudsonvalley.va.gov/services/CLINICAL_VIDEO_TELEHEALTH.ASP</v>
      </c>
      <c r="E2039" s="8" t="s">
        <v>392</v>
      </c>
    </row>
    <row r="2040" ht="14.25" hidden="1" customHeight="1">
      <c r="A2040" s="8" t="s">
        <v>2250</v>
      </c>
      <c r="B2040" s="8" t="s">
        <v>1193</v>
      </c>
      <c r="D2040" s="121" t="str">
        <f>HYPERLINK("http://www.hudsonvalley.va.gov/services/EDUCATION.ASP")</f>
        <v>http://www.hudsonvalley.va.gov/services/EDUCATION.ASP</v>
      </c>
      <c r="E2040" s="8" t="s">
        <v>392</v>
      </c>
    </row>
    <row r="2041" ht="14.25" hidden="1" customHeight="1">
      <c r="A2041" s="8" t="s">
        <v>2250</v>
      </c>
      <c r="B2041" s="8" t="s">
        <v>2258</v>
      </c>
      <c r="D2041" s="121" t="str">
        <f>HYPERLINK("http://www.hudsonvalley.va.gov/services/EXTENDED_CARE_PROGRAM.ASP")</f>
        <v>http://www.hudsonvalley.va.gov/services/EXTENDED_CARE_PROGRAM.ASP</v>
      </c>
      <c r="E2041" s="8" t="s">
        <v>392</v>
      </c>
    </row>
    <row r="2042" ht="14.25" hidden="1" customHeight="1">
      <c r="A2042" s="8" t="s">
        <v>2250</v>
      </c>
      <c r="B2042" s="8" t="s">
        <v>1197</v>
      </c>
      <c r="D2042" s="121" t="str">
        <f>HYPERLINK("http://www.hudsonvalley.va.gov/services/HELPLINE.ASP")</f>
        <v>http://www.hudsonvalley.va.gov/services/HELPLINE.ASP</v>
      </c>
      <c r="E2042" s="8" t="s">
        <v>595</v>
      </c>
    </row>
    <row r="2043" ht="14.25" hidden="1" customHeight="1">
      <c r="A2043" s="8" t="s">
        <v>2250</v>
      </c>
      <c r="B2043" s="8" t="s">
        <v>312</v>
      </c>
      <c r="D2043" s="121" t="str">
        <f>HYPERLINK("http://www.hudsonvalley.va.gov/services/HOMELESS_VETERANS.ASP")</f>
        <v>http://www.hudsonvalley.va.gov/services/HOMELESS_VETERANS.ASP</v>
      </c>
      <c r="E2043" s="8" t="s">
        <v>392</v>
      </c>
    </row>
    <row r="2044" ht="14.25" hidden="1" customHeight="1">
      <c r="A2044" s="8" t="s">
        <v>2250</v>
      </c>
      <c r="B2044" s="8" t="s">
        <v>437</v>
      </c>
      <c r="D2044" s="121" t="str">
        <f>HYPERLINK("http://www.hudsonvalley.va.gov/services/HOSPICE_AND_PALLIATIVE_CARE.ASP")</f>
        <v>http://www.hudsonvalley.va.gov/services/HOSPICE_AND_PALLIATIVE_CARE.ASP</v>
      </c>
      <c r="E2044" s="8" t="s">
        <v>392</v>
      </c>
    </row>
    <row r="2045" ht="14.25" hidden="1" customHeight="1">
      <c r="A2045" s="8" t="s">
        <v>2250</v>
      </c>
      <c r="B2045" s="8" t="s">
        <v>1199</v>
      </c>
      <c r="D2045" s="121" t="str">
        <f>HYPERLINK("http://www.hudsonvalley.va.gov/services/EDUCATION.ASP")</f>
        <v>http://www.hudsonvalley.va.gov/services/EDUCATION.ASP</v>
      </c>
      <c r="E2045" s="8" t="s">
        <v>595</v>
      </c>
    </row>
    <row r="2046" ht="14.25" hidden="1" customHeight="1">
      <c r="A2046" s="8" t="s">
        <v>2250</v>
      </c>
      <c r="B2046" s="8" t="s">
        <v>2259</v>
      </c>
      <c r="D2046" s="121" t="str">
        <f>HYPERLINK("http://www.hudsonvalley.va.gov/services/LGBT.ASP")</f>
        <v>http://www.hudsonvalley.va.gov/services/LGBT.ASP</v>
      </c>
      <c r="E2046" s="8" t="s">
        <v>392</v>
      </c>
    </row>
    <row r="2047" ht="14.25" hidden="1" customHeight="1">
      <c r="A2047" s="8" t="s">
        <v>2250</v>
      </c>
      <c r="B2047" s="8" t="s">
        <v>441</v>
      </c>
      <c r="D2047" s="121" t="str">
        <f>HYPERLINK("http://www.hudsonvalley.va.gov/services/MOVE_WEIGHT_MANAGEMENT.ASP")</f>
        <v>http://www.hudsonvalley.va.gov/services/MOVE_WEIGHT_MANAGEMENT.ASP</v>
      </c>
      <c r="E2047" s="8" t="s">
        <v>392</v>
      </c>
    </row>
    <row r="2048" ht="14.25" hidden="1" customHeight="1">
      <c r="A2048" s="8" t="s">
        <v>2250</v>
      </c>
      <c r="B2048" s="8" t="s">
        <v>476</v>
      </c>
      <c r="D2048" s="121" t="str">
        <f>HYPERLINK("http://www.hudsonvalley.va.gov/services/MEDICALFOSTERHOME.ASP")</f>
        <v>http://www.hudsonvalley.va.gov/services/MEDICALFOSTERHOME.ASP</v>
      </c>
      <c r="E2048" s="8" t="s">
        <v>392</v>
      </c>
    </row>
    <row r="2049" ht="14.25" hidden="1" customHeight="1">
      <c r="A2049" s="8" t="s">
        <v>2250</v>
      </c>
      <c r="B2049" s="8" t="s">
        <v>323</v>
      </c>
      <c r="D2049" s="121" t="str">
        <f>HYPERLINK("http://www.hudsonvalley.va.gov/services/MENTAL_HEALTH.ASP")</f>
        <v>http://www.hudsonvalley.va.gov/services/MENTAL_HEALTH.ASP</v>
      </c>
      <c r="E2049" s="8" t="s">
        <v>392</v>
      </c>
    </row>
    <row r="2050" ht="14.25" hidden="1" customHeight="1">
      <c r="A2050" s="8" t="s">
        <v>2250</v>
      </c>
      <c r="B2050" s="8" t="s">
        <v>1203</v>
      </c>
      <c r="D2050" s="121" t="str">
        <f>HYPERLINK("http://www.hudsonvalley.va.gov/services/HELPLINE.ASP")</f>
        <v>http://www.hudsonvalley.va.gov/services/HELPLINE.ASP</v>
      </c>
      <c r="E2050" s="8" t="s">
        <v>595</v>
      </c>
    </row>
    <row r="2051" ht="14.25" hidden="1" customHeight="1">
      <c r="A2051" s="8" t="s">
        <v>2250</v>
      </c>
      <c r="B2051" s="8" t="s">
        <v>1205</v>
      </c>
      <c r="D2051" s="121" t="str">
        <f>HYPERLINK("http://www.hudsonvalley.va.gov/services/EDUCATION.ASP")</f>
        <v>http://www.hudsonvalley.va.gov/services/EDUCATION.ASP</v>
      </c>
      <c r="E2051" s="8" t="s">
        <v>595</v>
      </c>
    </row>
    <row r="2052" ht="14.25" hidden="1" customHeight="1">
      <c r="A2052" s="8" t="s">
        <v>2250</v>
      </c>
      <c r="B2052" s="8" t="s">
        <v>2260</v>
      </c>
      <c r="D2052" s="121" t="str">
        <f>HYPERLINK("http://www.hudsonvalley.va.gov/services/PHARMACY.ASP")</f>
        <v>http://www.hudsonvalley.va.gov/services/PHARMACY.ASP</v>
      </c>
      <c r="E2052" s="8" t="s">
        <v>392</v>
      </c>
    </row>
    <row r="2053" ht="14.25" hidden="1" customHeight="1">
      <c r="A2053" s="8" t="s">
        <v>2250</v>
      </c>
      <c r="B2053" s="8" t="s">
        <v>1066</v>
      </c>
      <c r="D2053" s="121" t="str">
        <f>HYPERLINK("http://www.hudsonvalley.va.gov/services/PTSD.ASP")</f>
        <v>http://www.hudsonvalley.va.gov/services/PTSD.ASP</v>
      </c>
      <c r="E2053" s="8" t="s">
        <v>392</v>
      </c>
    </row>
    <row r="2054" ht="14.25" hidden="1" customHeight="1">
      <c r="A2054" s="8" t="s">
        <v>2250</v>
      </c>
      <c r="B2054" s="8" t="s">
        <v>355</v>
      </c>
      <c r="D2054" s="121" t="str">
        <f>HYPERLINK("http://www.hudsonvalley.va.gov/services/RETURNING_SERVICE_MEMBERS.ASP")</f>
        <v>http://www.hudsonvalley.va.gov/services/RETURNING_SERVICE_MEMBERS.ASP</v>
      </c>
      <c r="E2054" s="8" t="s">
        <v>392</v>
      </c>
    </row>
    <row r="2055" ht="14.25" hidden="1" customHeight="1">
      <c r="A2055" s="8" t="s">
        <v>2250</v>
      </c>
      <c r="B2055" s="8" t="s">
        <v>1209</v>
      </c>
      <c r="D2055" s="121" t="str">
        <f>HYPERLINK("http://www.hudsonvalley.va.gov/services/SHUTTLE.ASP")</f>
        <v>http://www.hudsonvalley.va.gov/services/SHUTTLE.ASP</v>
      </c>
      <c r="E2055" s="8" t="s">
        <v>392</v>
      </c>
    </row>
    <row r="2056" ht="14.25" hidden="1" customHeight="1">
      <c r="A2056" s="8" t="s">
        <v>2250</v>
      </c>
      <c r="B2056" s="8" t="s">
        <v>2266</v>
      </c>
      <c r="D2056" s="121" t="str">
        <f>HYPERLINK("http://www.hudsonvalley.va.gov/services/SUPPORT_AND_FAMILY_EDUCATION_SAFE_PROGRAM.ASP")</f>
        <v>http://www.hudsonvalley.va.gov/services/SUPPORT_AND_FAMILY_EDUCATION_SAFE_PROGRAM.ASP</v>
      </c>
      <c r="E2056" s="8" t="s">
        <v>392</v>
      </c>
    </row>
    <row r="2057" ht="14.25" hidden="1" customHeight="1">
      <c r="A2057" s="8" t="s">
        <v>2250</v>
      </c>
      <c r="B2057" s="8" t="s">
        <v>1213</v>
      </c>
      <c r="D2057" s="121" t="str">
        <f>HYPERLINK("http://www.hudsonvalley.va.gov/services/EDUCATION.ASP")</f>
        <v>http://www.hudsonvalley.va.gov/services/EDUCATION.ASP</v>
      </c>
      <c r="E2057" s="8" t="s">
        <v>595</v>
      </c>
    </row>
    <row r="2058" ht="14.25" hidden="1" customHeight="1">
      <c r="A2058" s="8" t="s">
        <v>2250</v>
      </c>
      <c r="B2058" s="8" t="s">
        <v>2267</v>
      </c>
      <c r="D2058" s="121" t="str">
        <f>HYPERLINK("http://www.hudsonvalley.va.gov/services/URGENTCARESERVICESFDR.ASP")</f>
        <v>http://www.hudsonvalley.va.gov/services/URGENTCARESERVICESFDR.ASP</v>
      </c>
      <c r="E2058" s="8" t="s">
        <v>392</v>
      </c>
    </row>
    <row r="2059" ht="14.25" hidden="1" customHeight="1">
      <c r="A2059" s="8" t="s">
        <v>2250</v>
      </c>
      <c r="B2059" s="8" t="s">
        <v>1214</v>
      </c>
      <c r="D2059" s="121" t="str">
        <f>HYPERLINK("http://www.hudsonvalley.va.gov/services/HELPLINE.ASP")</f>
        <v>http://www.hudsonvalley.va.gov/services/HELPLINE.ASP</v>
      </c>
      <c r="E2059" s="8" t="s">
        <v>392</v>
      </c>
    </row>
    <row r="2060" ht="14.25" hidden="1" customHeight="1">
      <c r="A2060" s="8" t="s">
        <v>2250</v>
      </c>
      <c r="B2060" s="8" t="s">
        <v>470</v>
      </c>
      <c r="D2060" s="121" t="str">
        <f>HYPERLINK("http://www.hudsonvalley.va.gov/services/VA_NURSE_HELPLINE.ASP")</f>
        <v>http://www.hudsonvalley.va.gov/services/VA_NURSE_HELPLINE.ASP</v>
      </c>
      <c r="E2060" s="8" t="s">
        <v>392</v>
      </c>
    </row>
    <row r="2061" ht="14.25" hidden="1" customHeight="1">
      <c r="A2061" s="8" t="s">
        <v>2250</v>
      </c>
      <c r="B2061" s="8" t="s">
        <v>2270</v>
      </c>
      <c r="D2061" s="121" t="str">
        <f>HYPERLINK("http://www.hudsonvalley.va.gov/services/VETERANS_JUSTICE_OUTREACH_PROGRAM_VJO.ASP")</f>
        <v>http://www.hudsonvalley.va.gov/services/VETERANS_JUSTICE_OUTREACH_PROGRAM_VJO.ASP</v>
      </c>
      <c r="E2061" s="8" t="s">
        <v>392</v>
      </c>
    </row>
    <row r="2062" ht="14.25" hidden="1" customHeight="1">
      <c r="A2062" s="8" t="s">
        <v>2250</v>
      </c>
      <c r="B2062" s="8" t="s">
        <v>379</v>
      </c>
      <c r="D2062" s="121" t="str">
        <f>HYPERLINK("http://www.hudsonvalley.va.gov/services/WOMEN_VETERANS.ASP")</f>
        <v>http://www.hudsonvalley.va.gov/services/WOMEN_VETERANS.ASP</v>
      </c>
      <c r="E2062" s="8" t="s">
        <v>392</v>
      </c>
    </row>
    <row r="2063" ht="14.25" hidden="1" customHeight="1">
      <c r="A2063" s="8" t="s">
        <v>2273</v>
      </c>
      <c r="B2063" s="8" t="s">
        <v>1124</v>
      </c>
      <c r="D2063" s="121" t="str">
        <f>HYPERLINK("http://www.huntington.va.gov/services/BARIATRIC_SURGERY.ASP")</f>
        <v>http://www.huntington.va.gov/services/BARIATRIC_SURGERY.ASP</v>
      </c>
      <c r="E2063" s="8" t="s">
        <v>392</v>
      </c>
    </row>
    <row r="2064" ht="14.25" hidden="1" customHeight="1">
      <c r="A2064" s="8" t="s">
        <v>2273</v>
      </c>
      <c r="B2064" s="8" t="s">
        <v>2274</v>
      </c>
      <c r="D2064" s="121" t="str">
        <f>HYPERLINK("http://www.huntington.va.gov/services/BLUE_TEAM_PRIMARY_CARE.ASP")</f>
        <v>http://www.huntington.va.gov/services/BLUE_TEAM_PRIMARY_CARE.ASP</v>
      </c>
      <c r="E2064" s="8" t="s">
        <v>392</v>
      </c>
    </row>
    <row r="2065" ht="14.25" hidden="1" customHeight="1">
      <c r="A2065" s="8" t="s">
        <v>2273</v>
      </c>
      <c r="B2065" s="8" t="s">
        <v>2276</v>
      </c>
      <c r="D2065" s="121" t="str">
        <f>HYPERLINK("http://www.huntington.va.gov/services/FORMER_PRISONERS_OF_WAR_PROGRAM.ASP")</f>
        <v>http://www.huntington.va.gov/services/FORMER_PRISONERS_OF_WAR_PROGRAM.ASP</v>
      </c>
      <c r="E2065" s="8" t="s">
        <v>392</v>
      </c>
    </row>
    <row r="2066" ht="14.25" hidden="1" customHeight="1">
      <c r="A2066" s="8" t="s">
        <v>2273</v>
      </c>
      <c r="B2066" s="8" t="s">
        <v>2277</v>
      </c>
      <c r="D2066" s="121" t="str">
        <f>HYPERLINK("http://www.huntington.va.gov/services/GREEN_TEAM_PRIMARY_CARE.ASP")</f>
        <v>http://www.huntington.va.gov/services/GREEN_TEAM_PRIMARY_CARE.ASP</v>
      </c>
      <c r="E2066" s="8" t="s">
        <v>392</v>
      </c>
    </row>
    <row r="2067" ht="14.25" hidden="1" customHeight="1">
      <c r="A2067" s="8" t="s">
        <v>2273</v>
      </c>
      <c r="B2067" s="8" t="s">
        <v>1949</v>
      </c>
      <c r="D2067" s="121" t="str">
        <f>HYPERLINK("http://www.huntington.va.gov/services/MFHP.ASP")</f>
        <v>http://www.huntington.va.gov/services/MFHP.ASP</v>
      </c>
      <c r="E2067" s="8" t="s">
        <v>392</v>
      </c>
    </row>
    <row r="2068" ht="14.25" hidden="1" customHeight="1">
      <c r="A2068" s="8" t="s">
        <v>2273</v>
      </c>
      <c r="B2068" s="8" t="s">
        <v>2278</v>
      </c>
      <c r="D2068" s="121" t="str">
        <f>HYPERLINK("http://www.huntington.va.gov/services/SPECIALTY_CARE.ASP")</f>
        <v>http://www.huntington.va.gov/services/SPECIALTY_CARE.ASP</v>
      </c>
      <c r="E2068" s="8" t="s">
        <v>392</v>
      </c>
    </row>
    <row r="2069" ht="14.25" hidden="1" customHeight="1">
      <c r="A2069" s="8" t="s">
        <v>2273</v>
      </c>
      <c r="B2069" s="8" t="s">
        <v>323</v>
      </c>
      <c r="D2069" s="121" t="str">
        <f>HYPERLINK("http://www.huntington.va.gov/services/MENTAL_HEALTH.ASP")</f>
        <v>http://www.huntington.va.gov/services/MENTAL_HEALTH.ASP</v>
      </c>
      <c r="E2069" s="8" t="s">
        <v>392</v>
      </c>
    </row>
    <row r="2070" ht="14.25" hidden="1" customHeight="1">
      <c r="A2070" s="8" t="s">
        <v>2273</v>
      </c>
      <c r="B2070" s="8" t="s">
        <v>326</v>
      </c>
      <c r="D2070" s="121" t="str">
        <f>HYPERLINK("http://www.huntington.va.gov/services/MINORITY_VETERANS_PROGRAM.ASP")</f>
        <v>http://www.huntington.va.gov/services/MINORITY_VETERANS_PROGRAM.ASP</v>
      </c>
      <c r="E2070" s="8" t="s">
        <v>392</v>
      </c>
    </row>
    <row r="2071" ht="14.25" hidden="1" customHeight="1">
      <c r="A2071" s="8" t="s">
        <v>2273</v>
      </c>
      <c r="B2071" s="8" t="s">
        <v>651</v>
      </c>
      <c r="D2071" s="121" t="str">
        <f>HYPERLINK("http://www.huntington.va.gov/services/PALLIATIVE_CARE.ASP")</f>
        <v>http://www.huntington.va.gov/services/PALLIATIVE_CARE.ASP</v>
      </c>
      <c r="E2071" s="8" t="s">
        <v>392</v>
      </c>
    </row>
    <row r="2072" ht="14.25" hidden="1" customHeight="1">
      <c r="A2072" s="8" t="s">
        <v>2273</v>
      </c>
      <c r="B2072" s="8" t="s">
        <v>343</v>
      </c>
      <c r="D2072" s="121" t="str">
        <f>HYPERLINK("http://www.huntington.va.gov/services/PHARMACY.ASP")</f>
        <v>http://www.huntington.va.gov/services/PHARMACY.ASP</v>
      </c>
      <c r="E2072" s="8" t="s">
        <v>392</v>
      </c>
    </row>
    <row r="2073" ht="14.25" hidden="1" customHeight="1">
      <c r="A2073" s="8" t="s">
        <v>2273</v>
      </c>
      <c r="B2073" s="8" t="s">
        <v>348</v>
      </c>
      <c r="D2073" s="121" t="str">
        <f>HYPERLINK("http://www.huntington.va.gov/services/PRIMARY_CARE.ASP")</f>
        <v>http://www.huntington.va.gov/services/PRIMARY_CARE.ASP</v>
      </c>
      <c r="E2073" s="8" t="s">
        <v>392</v>
      </c>
    </row>
    <row r="2074" ht="14.25" hidden="1" customHeight="1">
      <c r="A2074" s="8" t="s">
        <v>2273</v>
      </c>
      <c r="B2074" s="8" t="s">
        <v>2280</v>
      </c>
      <c r="D2074" s="121" t="str">
        <f>HYPERLINK("http://www.huntington.va.gov/services/ECRC.ASP")</f>
        <v>http://www.huntington.va.gov/services/ECRC.ASP</v>
      </c>
      <c r="E2074" s="8" t="s">
        <v>392</v>
      </c>
    </row>
    <row r="2075" ht="14.25" hidden="1" customHeight="1">
      <c r="A2075" s="8" t="s">
        <v>2273</v>
      </c>
      <c r="B2075" s="8" t="s">
        <v>508</v>
      </c>
      <c r="D2075" s="121" t="str">
        <f>HYPERLINK("http://www.huntington.va.gov/services/RESEARCH.ASP")</f>
        <v>http://www.huntington.va.gov/services/RESEARCH.ASP</v>
      </c>
      <c r="E2075" s="8" t="s">
        <v>392</v>
      </c>
    </row>
    <row r="2076" ht="14.25" hidden="1" customHeight="1">
      <c r="A2076" s="8" t="s">
        <v>2273</v>
      </c>
      <c r="B2076" s="8" t="s">
        <v>360</v>
      </c>
      <c r="D2076" s="121" t="str">
        <f>HYPERLINK("http://www.huntington.va.gov/services/SOCIAL_WORK.ASP")</f>
        <v>http://www.huntington.va.gov/services/SOCIAL_WORK.ASP</v>
      </c>
      <c r="E2076" s="8" t="s">
        <v>392</v>
      </c>
    </row>
    <row r="2077" ht="14.25" hidden="1" customHeight="1">
      <c r="A2077" s="8" t="s">
        <v>2273</v>
      </c>
      <c r="B2077" s="8" t="s">
        <v>2282</v>
      </c>
      <c r="D2077" s="121" t="str">
        <f>HYPERLINK("http://www.huntington.va.gov/services/VISUAL_IMPAIRMENT_PROGRAM.ASP")</f>
        <v>http://www.huntington.va.gov/services/VISUAL_IMPAIRMENT_PROGRAM.ASP</v>
      </c>
      <c r="E2077" s="8" t="s">
        <v>392</v>
      </c>
    </row>
    <row r="2078" ht="14.25" hidden="1" customHeight="1">
      <c r="A2078" s="8" t="s">
        <v>2284</v>
      </c>
      <c r="B2078" s="8" t="s">
        <v>1383</v>
      </c>
      <c r="D2078" s="121" t="str">
        <f>HYPERLINK("http://www.indianapolis.va.gov/services/AMPUTEE_CLINIC.ASP")</f>
        <v>http://www.indianapolis.va.gov/services/AMPUTEE_CLINIC.ASP</v>
      </c>
      <c r="E2078" s="8" t="s">
        <v>392</v>
      </c>
    </row>
    <row r="2079" ht="14.25" hidden="1" customHeight="1">
      <c r="A2079" s="8" t="s">
        <v>2284</v>
      </c>
      <c r="B2079" s="8" t="s">
        <v>1526</v>
      </c>
      <c r="D2079" s="121" t="str">
        <f>HYPERLINK("http://www.indianapolis.va.gov/services/ANTICOAGULATION_CLINIC.ASP")</f>
        <v>http://www.indianapolis.va.gov/services/ANTICOAGULATION_CLINIC.ASP</v>
      </c>
      <c r="E2079" s="8" t="s">
        <v>392</v>
      </c>
    </row>
    <row r="2080" ht="14.25" hidden="1" customHeight="1">
      <c r="A2080" s="8" t="s">
        <v>2284</v>
      </c>
      <c r="B2080" s="8" t="s">
        <v>624</v>
      </c>
      <c r="D2080" s="121" t="str">
        <f>HYPERLINK("http://www.indianapolis.va.gov/services/APPOINTMENTS.ASP")</f>
        <v>http://www.indianapolis.va.gov/services/APPOINTMENTS.ASP</v>
      </c>
      <c r="E2080" s="8" t="s">
        <v>392</v>
      </c>
    </row>
    <row r="2081" ht="14.25" hidden="1" customHeight="1">
      <c r="A2081" s="8" t="s">
        <v>2284</v>
      </c>
      <c r="B2081" s="8" t="s">
        <v>631</v>
      </c>
      <c r="D2081" s="121" t="str">
        <f>HYPERLINK("http://www.indianapolis.va.gov/services/BILLING_AND_INSURANCE.ASP")</f>
        <v>http://www.indianapolis.va.gov/services/BILLING_AND_INSURANCE.ASP</v>
      </c>
      <c r="E2081" s="8" t="s">
        <v>392</v>
      </c>
    </row>
    <row r="2082" ht="14.25" hidden="1" customHeight="1">
      <c r="A2082" s="8" t="s">
        <v>2284</v>
      </c>
      <c r="B2082" s="8" t="s">
        <v>2289</v>
      </c>
      <c r="D2082" s="121" t="str">
        <f>HYPERLINK("http://www.indianapolis.va.gov/services/BLOOD_DRAW.ASP")</f>
        <v>http://www.indianapolis.va.gov/services/BLOOD_DRAW.ASP</v>
      </c>
      <c r="E2082" s="8" t="s">
        <v>392</v>
      </c>
    </row>
    <row r="2083" ht="14.25" hidden="1" customHeight="1">
      <c r="A2083" s="8" t="s">
        <v>2284</v>
      </c>
      <c r="B2083" s="8" t="s">
        <v>2290</v>
      </c>
      <c r="D2083" s="121" t="str">
        <f>HYPERLINK("http://www.indianapolis.va.gov/services/BLOOMINGTON_CBOC.ASP")</f>
        <v>http://www.indianapolis.va.gov/services/BLOOMINGTON_CBOC.ASP</v>
      </c>
      <c r="E2083" s="8" t="s">
        <v>392</v>
      </c>
    </row>
    <row r="2084" ht="14.25" hidden="1" customHeight="1">
      <c r="A2084" s="8" t="s">
        <v>2284</v>
      </c>
      <c r="B2084" s="8" t="s">
        <v>2292</v>
      </c>
      <c r="D2084" s="121" t="str">
        <f>HYPERLINK("http://www.indianapolis.va.gov/services/CANCER/CANCER.ASP")</f>
        <v>http://www.indianapolis.va.gov/services/CANCER/CANCER.ASP</v>
      </c>
      <c r="E2084" s="8" t="s">
        <v>392</v>
      </c>
    </row>
    <row r="2085" ht="14.25" hidden="1" customHeight="1">
      <c r="A2085" s="8" t="s">
        <v>2284</v>
      </c>
      <c r="B2085" s="8" t="s">
        <v>2293</v>
      </c>
      <c r="D2085" s="121" t="str">
        <f>HYPERLINK("http://www.indianapolis.va.gov/services/CLINICS.ASP")</f>
        <v>http://www.indianapolis.va.gov/services/CLINICS.ASP</v>
      </c>
      <c r="E2085" s="8" t="s">
        <v>392</v>
      </c>
    </row>
    <row r="2086" ht="14.25" hidden="1" customHeight="1">
      <c r="A2086" s="8" t="s">
        <v>2284</v>
      </c>
      <c r="B2086" s="8" t="s">
        <v>2288</v>
      </c>
      <c r="D2086" s="121" t="str">
        <f>HYPERLINK("http://www.indianapolis.va.gov/services/COMPENSATION_AND_PENSION_C_P.ASP")</f>
        <v>http://www.indianapolis.va.gov/services/COMPENSATION_AND_PENSION_C_P.ASP</v>
      </c>
      <c r="E2086" s="8" t="s">
        <v>392</v>
      </c>
    </row>
    <row r="2087" ht="14.25" hidden="1" customHeight="1">
      <c r="A2087" s="8" t="s">
        <v>2284</v>
      </c>
      <c r="B2087" s="8" t="s">
        <v>1827</v>
      </c>
      <c r="D2087" s="121" t="str">
        <f>HYPERLINK("http://www.indianapolis.va.gov/services/CONTACT.ASP")</f>
        <v>http://www.indianapolis.va.gov/services/CONTACT.ASP</v>
      </c>
      <c r="E2087" s="8" t="s">
        <v>392</v>
      </c>
    </row>
    <row r="2088" ht="14.25" hidden="1" customHeight="1">
      <c r="A2088" s="8" t="s">
        <v>2284</v>
      </c>
      <c r="B2088" s="8" t="s">
        <v>304</v>
      </c>
      <c r="D2088" s="121" t="str">
        <f>HYPERLINK("http://www.indianapolis.va.gov/services/DENTAL.ASP")</f>
        <v>http://www.indianapolis.va.gov/services/DENTAL.ASP</v>
      </c>
      <c r="E2088" s="8" t="s">
        <v>392</v>
      </c>
    </row>
    <row r="2089" ht="14.25" hidden="1" customHeight="1">
      <c r="A2089" s="8" t="s">
        <v>2284</v>
      </c>
      <c r="B2089" s="8" t="s">
        <v>663</v>
      </c>
      <c r="D2089" s="121" t="str">
        <f>HYPERLINK("http://www.indianapolis.va.gov/services/ELIGIBILITY.ASP")</f>
        <v>http://www.indianapolis.va.gov/services/ELIGIBILITY.ASP</v>
      </c>
      <c r="E2089" s="8" t="s">
        <v>392</v>
      </c>
    </row>
    <row r="2090" ht="14.25" hidden="1" customHeight="1">
      <c r="A2090" s="8" t="s">
        <v>2284</v>
      </c>
      <c r="B2090" s="8" t="s">
        <v>2296</v>
      </c>
      <c r="D2090" s="121" t="str">
        <f>HYPERLINK("http://www.indianapolis.va.gov/services/EMERGENCY.ASP")</f>
        <v>http://www.indianapolis.va.gov/services/EMERGENCY.ASP</v>
      </c>
      <c r="E2090" s="8" t="s">
        <v>392</v>
      </c>
    </row>
    <row r="2091" ht="14.25" hidden="1" customHeight="1">
      <c r="A2091" s="8" t="s">
        <v>2284</v>
      </c>
      <c r="B2091" s="8" t="s">
        <v>2298</v>
      </c>
      <c r="D2091" s="121" t="str">
        <f>HYPERLINK("http://www.indianapolis.va.gov/services/FAMILY_SUPPORT_CENTER.ASP")</f>
        <v>http://www.indianapolis.va.gov/services/FAMILY_SUPPORT_CENTER.ASP</v>
      </c>
      <c r="E2091" s="8" t="s">
        <v>392</v>
      </c>
    </row>
    <row r="2092" ht="14.25" hidden="1" customHeight="1">
      <c r="A2092" s="8" t="s">
        <v>2284</v>
      </c>
      <c r="B2092" s="8" t="s">
        <v>2300</v>
      </c>
      <c r="D2092" s="121" t="str">
        <f>HYPERLINK("http://www.indianapolis.va.gov/services/FORMER_POW.ASP")</f>
        <v>http://www.indianapolis.va.gov/services/FORMER_POW.ASP</v>
      </c>
      <c r="E2092" s="8" t="s">
        <v>392</v>
      </c>
    </row>
    <row r="2093" ht="14.25" hidden="1" customHeight="1">
      <c r="A2093" s="8" t="s">
        <v>2284</v>
      </c>
      <c r="B2093" s="8" t="s">
        <v>2301</v>
      </c>
      <c r="D2093" s="121" t="str">
        <f>HYPERLINK("http://www.indianapolis.va.gov/services/GRACE.ASP")</f>
        <v>http://www.indianapolis.va.gov/services/GRACE.ASP</v>
      </c>
      <c r="E2093" s="8" t="s">
        <v>392</v>
      </c>
    </row>
    <row r="2094" ht="14.25" hidden="1" customHeight="1">
      <c r="A2094" s="8" t="s">
        <v>2284</v>
      </c>
      <c r="B2094" s="8" t="s">
        <v>2302</v>
      </c>
      <c r="D2094" s="121" t="str">
        <f>HYPERLINK("http://www.indianapolis.va.gov/services/GERIATRICS_AND_EXTENDED_CARE.ASP")</f>
        <v>http://www.indianapolis.va.gov/services/GERIATRICS_AND_EXTENDED_CARE.ASP</v>
      </c>
      <c r="E2094" s="8" t="s">
        <v>392</v>
      </c>
    </row>
    <row r="2095" ht="14.25" hidden="1" customHeight="1">
      <c r="A2095" s="8" t="s">
        <v>2284</v>
      </c>
      <c r="B2095" s="8" t="s">
        <v>2303</v>
      </c>
      <c r="D2095" s="121" t="str">
        <f>HYPERLINK("http://www.indianapolis.va.gov/services/HEALTH_BENEFITS_UNIT.ASP")</f>
        <v>http://www.indianapolis.va.gov/services/HEALTH_BENEFITS_UNIT.ASP</v>
      </c>
      <c r="E2095" s="8" t="s">
        <v>392</v>
      </c>
    </row>
    <row r="2096" ht="14.25" hidden="1" customHeight="1">
      <c r="A2096" s="8" t="s">
        <v>2284</v>
      </c>
      <c r="B2096" s="8" t="s">
        <v>312</v>
      </c>
      <c r="D2096" s="121" t="str">
        <f>HYPERLINK("http://www.indianapolis.va.gov/services/HOMELESS_VETERANS.ASP")</f>
        <v>http://www.indianapolis.va.gov/services/HOMELESS_VETERANS.ASP</v>
      </c>
      <c r="E2096" s="8" t="s">
        <v>392</v>
      </c>
    </row>
    <row r="2097" ht="14.25" hidden="1" customHeight="1">
      <c r="A2097" s="8" t="s">
        <v>2284</v>
      </c>
      <c r="B2097" s="8" t="s">
        <v>2304</v>
      </c>
      <c r="D2097" s="121" t="str">
        <f>HYPERLINK("http://www.indianapolis.va.gov/services/HOPTEL.ASP")</f>
        <v>http://www.indianapolis.va.gov/services/HOPTEL.ASP</v>
      </c>
      <c r="E2097" s="8" t="s">
        <v>392</v>
      </c>
    </row>
    <row r="2098" ht="14.25" hidden="1" customHeight="1">
      <c r="A2098" s="8" t="s">
        <v>2284</v>
      </c>
      <c r="B2098" s="8" t="s">
        <v>2306</v>
      </c>
      <c r="D2098" s="121" t="str">
        <f>HYPERLINK("http://www.indianapolis.va.gov/services/INDY_WEST.ASP")</f>
        <v>http://www.indianapolis.va.gov/services/INDY_WEST.ASP</v>
      </c>
      <c r="E2098" s="8" t="s">
        <v>392</v>
      </c>
    </row>
    <row r="2099" ht="14.25" hidden="1" customHeight="1">
      <c r="A2099" s="8" t="s">
        <v>2284</v>
      </c>
      <c r="B2099" s="8" t="s">
        <v>2307</v>
      </c>
      <c r="D2099" s="121" t="str">
        <f>HYPERLINK("http://www.indianapolis.va.gov/services/LGBT.ASP")</f>
        <v>http://www.indianapolis.va.gov/services/LGBT.ASP</v>
      </c>
      <c r="E2099" s="8" t="s">
        <v>392</v>
      </c>
    </row>
    <row r="2100" ht="14.25" hidden="1" customHeight="1">
      <c r="A2100" s="8" t="s">
        <v>2284</v>
      </c>
      <c r="B2100" s="8" t="s">
        <v>2308</v>
      </c>
      <c r="D2100" s="121" t="str">
        <f>HYPERLINK("http://www.indianapolis.va.gov/services/MOVE.ASP")</f>
        <v>http://www.indianapolis.va.gov/services/MOVE.ASP</v>
      </c>
      <c r="E2100" s="8" t="s">
        <v>392</v>
      </c>
    </row>
    <row r="2101" ht="14.25" hidden="1" customHeight="1">
      <c r="A2101" s="8" t="s">
        <v>2284</v>
      </c>
      <c r="B2101" s="8" t="s">
        <v>2309</v>
      </c>
      <c r="D2101" s="121" t="str">
        <f>HYPERLINK("http://www.indianapolis.va.gov/services/MARTINSVILLE_CBOC.ASP")</f>
        <v>http://www.indianapolis.va.gov/services/MARTINSVILLE_CBOC.ASP</v>
      </c>
      <c r="E2101" s="8" t="s">
        <v>392</v>
      </c>
    </row>
    <row r="2102" ht="14.25" hidden="1" customHeight="1">
      <c r="A2102" s="8" t="s">
        <v>2284</v>
      </c>
      <c r="B2102" s="8" t="s">
        <v>323</v>
      </c>
      <c r="D2102" s="121" t="str">
        <f>HYPERLINK("http://www.indianapolis.va.gov/services/MENTAL_HEALTH_SERVICES.ASP")</f>
        <v>http://www.indianapolis.va.gov/services/MENTAL_HEALTH_SERVICES.ASP</v>
      </c>
      <c r="E2102" s="8" t="s">
        <v>392</v>
      </c>
    </row>
    <row r="2103" ht="14.25" hidden="1" customHeight="1">
      <c r="A2103" s="8" t="s">
        <v>2284</v>
      </c>
      <c r="B2103" s="8" t="s">
        <v>1231</v>
      </c>
      <c r="D2103" s="121" t="str">
        <f>HYPERLINK("http://www.indianapolis.va.gov/services/MST.ASP")</f>
        <v>http://www.indianapolis.va.gov/services/MST.ASP</v>
      </c>
      <c r="E2103" s="8" t="s">
        <v>392</v>
      </c>
    </row>
    <row r="2104" ht="14.25" hidden="1" customHeight="1">
      <c r="A2104" s="8" t="s">
        <v>2284</v>
      </c>
      <c r="B2104" s="8" t="s">
        <v>326</v>
      </c>
      <c r="D2104" s="121" t="str">
        <f>HYPERLINK("http://www.indianapolis.va.gov/services/MINORITY_VETERANS.ASP")</f>
        <v>http://www.indianapolis.va.gov/services/MINORITY_VETERANS.ASP</v>
      </c>
      <c r="E2104" s="8" t="s">
        <v>392</v>
      </c>
    </row>
    <row r="2105" ht="14.25" hidden="1" customHeight="1">
      <c r="A2105" s="8" t="s">
        <v>2284</v>
      </c>
      <c r="B2105" s="8" t="s">
        <v>494</v>
      </c>
      <c r="D2105" s="121" t="str">
        <f>HYPERLINK("http://www.indianapolis.va.gov/services/MY_HEALTHEVET.ASP")</f>
        <v>http://www.indianapolis.va.gov/services/MY_HEALTHEVET.ASP</v>
      </c>
      <c r="E2105" s="8" t="s">
        <v>392</v>
      </c>
    </row>
    <row r="2106" ht="14.25" hidden="1" customHeight="1">
      <c r="A2106" s="8" t="s">
        <v>2284</v>
      </c>
      <c r="B2106" s="8" t="s">
        <v>1108</v>
      </c>
      <c r="D2106" s="121" t="str">
        <f>HYPERLINK("http://www.indianapolis.va.gov/services/NON_VA_CARE.ASP")</f>
        <v>http://www.indianapolis.va.gov/services/NON_VA_CARE.ASP</v>
      </c>
      <c r="E2106" s="8" t="s">
        <v>392</v>
      </c>
    </row>
    <row r="2107" ht="14.25" hidden="1" customHeight="1">
      <c r="A2107" s="8" t="s">
        <v>2284</v>
      </c>
      <c r="B2107" s="8" t="s">
        <v>1626</v>
      </c>
      <c r="D2107" s="121" t="str">
        <f>HYPERLINK("http://www.indianapolis.va.gov/services/NEWS.ASP")</f>
        <v>http://www.indianapolis.va.gov/services/NEWS.ASP</v>
      </c>
      <c r="E2107" s="8" t="s">
        <v>392</v>
      </c>
    </row>
    <row r="2108" ht="14.25" hidden="1" customHeight="1">
      <c r="A2108" s="8" t="s">
        <v>2284</v>
      </c>
      <c r="B2108" s="8" t="s">
        <v>2319</v>
      </c>
      <c r="D2108" s="121" t="str">
        <f>HYPERLINK("http://www.indianapolis.va.gov/services/OPEN_ACCESS_SCHEDULING.ASP")</f>
        <v>http://www.indianapolis.va.gov/services/OPEN_ACCESS_SCHEDULING.ASP</v>
      </c>
      <c r="E2108" s="8" t="s">
        <v>392</v>
      </c>
    </row>
    <row r="2109" ht="14.25" hidden="1" customHeight="1">
      <c r="A2109" s="8" t="s">
        <v>2284</v>
      </c>
      <c r="B2109" s="8" t="s">
        <v>651</v>
      </c>
      <c r="D2109" s="121" t="str">
        <f>HYPERLINK("http://www.indianapolis.va.gov/services/PALLIATIVE_CARE.ASP")</f>
        <v>http://www.indianapolis.va.gov/services/PALLIATIVE_CARE.ASP</v>
      </c>
      <c r="E2109" s="8" t="s">
        <v>392</v>
      </c>
    </row>
    <row r="2110" ht="14.25" hidden="1" customHeight="1">
      <c r="A2110" s="8" t="s">
        <v>2284</v>
      </c>
      <c r="B2110" s="8" t="s">
        <v>694</v>
      </c>
      <c r="D2110" s="121" t="str">
        <f>HYPERLINK("http://www.indianapolis.va.gov/services/PATIENT_ADVOCATE.ASP")</f>
        <v>http://www.indianapolis.va.gov/services/PATIENT_ADVOCATE.ASP</v>
      </c>
      <c r="E2110" s="8" t="s">
        <v>392</v>
      </c>
    </row>
    <row r="2111" ht="14.25" hidden="1" customHeight="1">
      <c r="A2111" s="8" t="s">
        <v>2284</v>
      </c>
      <c r="B2111" s="8" t="s">
        <v>2324</v>
      </c>
      <c r="D2111" s="121" t="str">
        <f>HYPERLINK("http://www.indianapolis.va.gov/services/PRC.ASP")</f>
        <v>http://www.indianapolis.va.gov/services/PRC.ASP</v>
      </c>
      <c r="E2111" s="8" t="s">
        <v>392</v>
      </c>
    </row>
    <row r="2112" ht="14.25" hidden="1" customHeight="1">
      <c r="A2112" s="8" t="s">
        <v>2284</v>
      </c>
      <c r="B2112" s="8" t="s">
        <v>2327</v>
      </c>
      <c r="D2112" s="121" t="str">
        <f>HYPERLINK("http://www.indianapolis.va.gov/services/PHARMACY_RESIDENCY_PROGRAMS.ASP")</f>
        <v>http://www.indianapolis.va.gov/services/PHARMACY_RESIDENCY_PROGRAMS.ASP</v>
      </c>
      <c r="E2112" s="8" t="s">
        <v>392</v>
      </c>
    </row>
    <row r="2113" ht="14.25" hidden="1" customHeight="1">
      <c r="A2113" s="8" t="s">
        <v>2284</v>
      </c>
      <c r="B2113" s="8" t="s">
        <v>2328</v>
      </c>
      <c r="D2113" s="121" t="str">
        <f>HYPERLINK("http://www.indianapolis.va.gov/services/PHARMACY.ASP")</f>
        <v>http://www.indianapolis.va.gov/services/PHARMACY.ASP</v>
      </c>
      <c r="E2113" s="8" t="s">
        <v>392</v>
      </c>
    </row>
    <row r="2114" ht="14.25" hidden="1" customHeight="1">
      <c r="A2114" s="8" t="s">
        <v>2284</v>
      </c>
      <c r="B2114" s="8" t="s">
        <v>713</v>
      </c>
      <c r="D2114" s="121" t="str">
        <f>HYPERLINK("http://www.indianapolis.va.gov/services/POLICE.ASP")</f>
        <v>http://www.indianapolis.va.gov/services/POLICE.ASP</v>
      </c>
      <c r="E2114" s="8" t="s">
        <v>392</v>
      </c>
    </row>
    <row r="2115" ht="14.25" hidden="1" customHeight="1">
      <c r="A2115" s="8" t="s">
        <v>2284</v>
      </c>
      <c r="B2115" s="8" t="s">
        <v>2331</v>
      </c>
      <c r="D2115" s="121" t="str">
        <f>HYPERLINK("http://www.indianapolis.va.gov/services/PSYCHIATRIC_MENTAL_HEALTH_NP_RESIDENCY.ASP")</f>
        <v>http://www.indianapolis.va.gov/services/PSYCHIATRIC_MENTAL_HEALTH_NP_RESIDENCY.ASP</v>
      </c>
      <c r="E2115" s="8" t="s">
        <v>392</v>
      </c>
    </row>
    <row r="2116" ht="14.25" hidden="1" customHeight="1">
      <c r="A2116" s="8" t="s">
        <v>2284</v>
      </c>
      <c r="B2116" s="8" t="s">
        <v>1852</v>
      </c>
      <c r="D2116" s="121" t="str">
        <f>HYPERLINK("http://www.indianapolis.va.gov/services/PSYCHOLOGY_TRAINING.ASP")</f>
        <v>http://www.indianapolis.va.gov/services/PSYCHOLOGY_TRAINING.ASP</v>
      </c>
      <c r="E2116" s="8" t="s">
        <v>392</v>
      </c>
    </row>
    <row r="2117" ht="14.25" hidden="1" customHeight="1">
      <c r="A2117" s="8" t="s">
        <v>2284</v>
      </c>
      <c r="B2117" s="8" t="s">
        <v>610</v>
      </c>
      <c r="D2117" s="121" t="str">
        <f>HYPERLINK("http://www.indianapolis.va.gov/services/REHABILITATION.ASP")</f>
        <v>http://www.indianapolis.va.gov/services/REHABILITATION.ASP</v>
      </c>
      <c r="E2117" s="8" t="s">
        <v>392</v>
      </c>
    </row>
    <row r="2118" ht="14.25" hidden="1" customHeight="1">
      <c r="A2118" s="8" t="s">
        <v>2284</v>
      </c>
      <c r="B2118" s="8" t="s">
        <v>508</v>
      </c>
      <c r="D2118" s="121" t="str">
        <f>HYPERLINK("http://www.indianapolis.va.gov/services/RESEARCH.ASP")</f>
        <v>http://www.indianapolis.va.gov/services/RESEARCH.ASP</v>
      </c>
      <c r="E2118" s="8" t="s">
        <v>392</v>
      </c>
    </row>
    <row r="2119" ht="14.25" hidden="1" customHeight="1">
      <c r="A2119" s="8" t="s">
        <v>2284</v>
      </c>
      <c r="B2119" s="8" t="s">
        <v>2336</v>
      </c>
      <c r="D2119" s="121" t="str">
        <f>HYPERLINK("http://www.indianapolis.va.gov/services/SURGERY.ASP")</f>
        <v>http://www.indianapolis.va.gov/services/SURGERY.ASP</v>
      </c>
      <c r="E2119" s="8" t="s">
        <v>392</v>
      </c>
    </row>
    <row r="2120" ht="14.25" hidden="1" customHeight="1">
      <c r="A2120" s="8" t="s">
        <v>2284</v>
      </c>
      <c r="B2120" s="8" t="s">
        <v>360</v>
      </c>
      <c r="D2120" s="121" t="str">
        <f>HYPERLINK("http://www.indianapolis.va.gov/services/SOCIAL_WORK.ASP")</f>
        <v>http://www.indianapolis.va.gov/services/SOCIAL_WORK.ASP</v>
      </c>
      <c r="E2120" s="8" t="s">
        <v>392</v>
      </c>
    </row>
    <row r="2121" ht="14.25" hidden="1" customHeight="1">
      <c r="A2121" s="8" t="s">
        <v>2284</v>
      </c>
      <c r="B2121" s="8" t="s">
        <v>1232</v>
      </c>
      <c r="D2121" s="121" t="str">
        <f>HYPERLINK("http://www.indianapolis.va.gov/services/CRISIS_PREVENTION.ASP")</f>
        <v>http://www.indianapolis.va.gov/services/CRISIS_PREVENTION.ASP</v>
      </c>
      <c r="E2121" s="8" t="s">
        <v>392</v>
      </c>
    </row>
    <row r="2122" ht="14.25" hidden="1" customHeight="1">
      <c r="A2122" s="8" t="s">
        <v>2284</v>
      </c>
      <c r="B2122" s="8" t="s">
        <v>370</v>
      </c>
      <c r="D2122" s="121" t="str">
        <f>HYPERLINK("http://www.indianapolis.va.gov/services/TELEHEALTH.ASP")</f>
        <v>http://www.indianapolis.va.gov/services/TELEHEALTH.ASP</v>
      </c>
      <c r="E2122" s="8" t="s">
        <v>392</v>
      </c>
    </row>
    <row r="2123" ht="14.25" hidden="1" customHeight="1">
      <c r="A2123" s="8" t="s">
        <v>2284</v>
      </c>
      <c r="B2123" s="8" t="s">
        <v>2339</v>
      </c>
      <c r="D2123" s="121" t="str">
        <f>HYPERLINK("http://www.indianapolis.va.gov/services/TERRE_HAUTE_CBOC.ASP")</f>
        <v>http://www.indianapolis.va.gov/services/TERRE_HAUTE_CBOC.ASP</v>
      </c>
      <c r="E2123" s="8" t="s">
        <v>392</v>
      </c>
    </row>
    <row r="2124" ht="14.25" hidden="1" customHeight="1">
      <c r="A2124" s="8" t="s">
        <v>2284</v>
      </c>
      <c r="B2124" s="8" t="s">
        <v>625</v>
      </c>
      <c r="D2124" s="121" t="str">
        <f>HYPERLINK("http://www.indianapolis.va.gov/services/VET_CENTER.ASP")</f>
        <v>http://www.indianapolis.va.gov/services/VET_CENTER.ASP</v>
      </c>
      <c r="E2124" s="8" t="s">
        <v>392</v>
      </c>
    </row>
    <row r="2125" ht="14.25" hidden="1" customHeight="1">
      <c r="A2125" s="8" t="s">
        <v>2284</v>
      </c>
      <c r="B2125" s="8" t="s">
        <v>2343</v>
      </c>
      <c r="D2125" s="121" t="str">
        <f>HYPERLINK("http://www.indianapolis.va.gov/services/VET_TO_VET.ASP")</f>
        <v>http://www.indianapolis.va.gov/services/VET_TO_VET.ASP</v>
      </c>
      <c r="E2125" s="8" t="s">
        <v>392</v>
      </c>
    </row>
    <row r="2126" ht="14.25" hidden="1" customHeight="1">
      <c r="A2126" s="8" t="s">
        <v>2284</v>
      </c>
      <c r="B2126" s="8" t="s">
        <v>566</v>
      </c>
      <c r="D2126" s="121" t="str">
        <f>HYPERLINK("http://www.indianapolis.va.gov/services/VETERAN_JUSTICE_OUTREACH.ASP")</f>
        <v>http://www.indianapolis.va.gov/services/VETERAN_JUSTICE_OUTREACH.ASP</v>
      </c>
      <c r="E2126" s="8" t="s">
        <v>392</v>
      </c>
    </row>
    <row r="2127" ht="14.25" hidden="1" customHeight="1">
      <c r="A2127" s="8" t="s">
        <v>2284</v>
      </c>
      <c r="B2127" s="8" t="s">
        <v>814</v>
      </c>
      <c r="D2127" s="121" t="str">
        <f>HYPERLINK("http://www.indianapolis.va.gov/services/CANTEEN.ASP")</f>
        <v>http://www.indianapolis.va.gov/services/CANTEEN.ASP</v>
      </c>
      <c r="E2127" s="8" t="s">
        <v>392</v>
      </c>
    </row>
    <row r="2128" ht="14.25" hidden="1" customHeight="1">
      <c r="A2128" s="8" t="s">
        <v>2284</v>
      </c>
      <c r="B2128" s="8" t="s">
        <v>2349</v>
      </c>
      <c r="D2128" s="121" t="str">
        <f>HYPERLINK("http://www.indianapolis.va.gov/services/VETERANS_HOUSE.ASP")</f>
        <v>http://www.indianapolis.va.gov/services/VETERANS_HOUSE.ASP</v>
      </c>
      <c r="E2128" s="8" t="s">
        <v>392</v>
      </c>
    </row>
    <row r="2129" ht="14.25" hidden="1" customHeight="1">
      <c r="A2129" s="8" t="s">
        <v>2284</v>
      </c>
      <c r="B2129" s="8" t="s">
        <v>742</v>
      </c>
      <c r="D2129" s="121" t="str">
        <f>HYPERLINK("http://www.indianapolis.va.gov/services/VETERANS_TRANSPORTATION_SERVICE.ASP")</f>
        <v>http://www.indianapolis.va.gov/services/VETERANS_TRANSPORTATION_SERVICE.ASP</v>
      </c>
      <c r="E2129" s="8" t="s">
        <v>392</v>
      </c>
    </row>
    <row r="2130" ht="14.25" hidden="1" customHeight="1">
      <c r="A2130" s="8" t="s">
        <v>2284</v>
      </c>
      <c r="B2130" s="8" t="s">
        <v>1365</v>
      </c>
      <c r="D2130" s="121" t="str">
        <f>HYPERLINK("http://www.indianapolis.va.gov/services/VIRTUAL_LIFETIME_ELECTRONIC_RECORD_VLER.ASP")</f>
        <v>http://www.indianapolis.va.gov/services/VIRTUAL_LIFETIME_ELECTRONIC_RECORD_VLER.ASP</v>
      </c>
      <c r="E2130" s="8" t="s">
        <v>392</v>
      </c>
    </row>
    <row r="2131" ht="14.25" hidden="1" customHeight="1">
      <c r="A2131" s="8" t="s">
        <v>2284</v>
      </c>
      <c r="B2131" s="8" t="s">
        <v>2354</v>
      </c>
      <c r="D2131" s="121" t="str">
        <f>HYPERLINK("http://www.indianapolis.va.gov/services/VIST.ASP")</f>
        <v>http://www.indianapolis.va.gov/services/VIST.ASP</v>
      </c>
      <c r="E2131" s="8" t="s">
        <v>392</v>
      </c>
    </row>
    <row r="2132" ht="14.25" hidden="1" customHeight="1">
      <c r="A2132" s="8" t="s">
        <v>2284</v>
      </c>
      <c r="B2132" s="8" t="s">
        <v>1473</v>
      </c>
      <c r="D2132" s="121" t="str">
        <f>HYPERLINK("http://www.indianapolis.va.gov/services/WOMEN_S_CLINIC.ASP")</f>
        <v>http://www.indianapolis.va.gov/services/WOMEN_S_CLINIC.ASP</v>
      </c>
      <c r="E2132" s="8" t="s">
        <v>392</v>
      </c>
    </row>
    <row r="2133" ht="14.25" hidden="1" customHeight="1">
      <c r="A2133" s="8" t="s">
        <v>2357</v>
      </c>
      <c r="B2133" s="8" t="s">
        <v>636</v>
      </c>
      <c r="D2133" s="121" t="str">
        <f>HYPERLINK("http://www.iowacity.va.gov/services/BENEFICIARY_TRAVEL.ASP")</f>
        <v>http://www.iowacity.va.gov/services/BENEFICIARY_TRAVEL.ASP</v>
      </c>
      <c r="E2133" s="8" t="s">
        <v>392</v>
      </c>
    </row>
    <row r="2134" ht="14.25" hidden="1" customHeight="1">
      <c r="A2134" s="8" t="s">
        <v>2357</v>
      </c>
      <c r="B2134" s="8" t="s">
        <v>2360</v>
      </c>
      <c r="D2134" s="121" t="str">
        <f>HYPERLINK("http://www.iowacity.va.gov/services/CPAP_CLINIC.ASP")</f>
        <v>http://www.iowacity.va.gov/services/CPAP_CLINIC.ASP</v>
      </c>
      <c r="E2134" s="8" t="s">
        <v>392</v>
      </c>
    </row>
    <row r="2135" ht="14.25" hidden="1" customHeight="1">
      <c r="A2135" s="8" t="s">
        <v>2357</v>
      </c>
      <c r="B2135" s="8" t="s">
        <v>2362</v>
      </c>
      <c r="D2135" s="121" t="str">
        <f>HYPERLINK("http://www.iowacity.va.gov/services/EQUAL_EMPLOYMENT_OPPORTUNITY_EEO.ASP")</f>
        <v>http://www.iowacity.va.gov/services/EQUAL_EMPLOYMENT_OPPORTUNITY_EEO.ASP</v>
      </c>
      <c r="E2135" s="8" t="s">
        <v>392</v>
      </c>
    </row>
    <row r="2136" ht="14.25" hidden="1" customHeight="1">
      <c r="A2136" s="8" t="s">
        <v>2357</v>
      </c>
      <c r="B2136" s="8" t="s">
        <v>309</v>
      </c>
      <c r="D2136" s="121" t="str">
        <f>HYPERLINK("http://www.iowacity.va.gov/services/EXTENDED_CARE.ASP")</f>
        <v>http://www.iowacity.va.gov/services/EXTENDED_CARE.ASP</v>
      </c>
      <c r="E2136" s="8" t="s">
        <v>392</v>
      </c>
    </row>
    <row r="2137" ht="14.25" hidden="1" customHeight="1">
      <c r="A2137" s="8" t="s">
        <v>2357</v>
      </c>
      <c r="B2137" s="8" t="s">
        <v>2367</v>
      </c>
      <c r="D2137" s="121" t="str">
        <f>HYPERLINK("http://www.iowacity.va.gov/services/INTIMATE_PARTNER_VIOLENCE.ASP")</f>
        <v>http://www.iowacity.va.gov/services/INTIMATE_PARTNER_VIOLENCE.ASP</v>
      </c>
      <c r="E2137" s="8" t="s">
        <v>392</v>
      </c>
    </row>
    <row r="2138" ht="14.25" hidden="1" customHeight="1">
      <c r="A2138" s="8" t="s">
        <v>2357</v>
      </c>
      <c r="B2138" s="8" t="s">
        <v>1265</v>
      </c>
      <c r="D2138" s="121" t="str">
        <f>HYPERLINK("http://www.iowacity.va.gov/services/LESBIAN_GAY_BISEXUAL_TRANSGENDER_LGBT_PROGRAM.ASP")</f>
        <v>http://www.iowacity.va.gov/services/LESBIAN_GAY_BISEXUAL_TRANSGENDER_LGBT_PROGRAM.ASP</v>
      </c>
      <c r="E2138" s="8" t="s">
        <v>392</v>
      </c>
    </row>
    <row r="2139" ht="14.25" hidden="1" customHeight="1">
      <c r="A2139" s="8" t="s">
        <v>2357</v>
      </c>
      <c r="B2139" s="8" t="s">
        <v>1016</v>
      </c>
      <c r="D2139" s="121" t="str">
        <f>HYPERLINK("http://www.iowacity.va.gov/services/MEDICAL_FOSTER_HOME_PROGRAM.ASP")</f>
        <v>http://www.iowacity.va.gov/services/MEDICAL_FOSTER_HOME_PROGRAM.ASP</v>
      </c>
      <c r="E2139" s="8" t="s">
        <v>392</v>
      </c>
    </row>
    <row r="2140" ht="14.25" hidden="1" customHeight="1">
      <c r="A2140" s="8" t="s">
        <v>2357</v>
      </c>
      <c r="B2140" s="8" t="s">
        <v>323</v>
      </c>
      <c r="D2140" s="121" t="str">
        <f>HYPERLINK("http://www.iowacity.va.gov/services/MENTAL_HEALTH.ASP")</f>
        <v>http://www.iowacity.va.gov/services/MENTAL_HEALTH.ASP</v>
      </c>
      <c r="E2140" s="8" t="s">
        <v>392</v>
      </c>
    </row>
    <row r="2141" ht="14.25" hidden="1" customHeight="1">
      <c r="A2141" s="8" t="s">
        <v>2357</v>
      </c>
      <c r="B2141" s="8" t="s">
        <v>324</v>
      </c>
      <c r="D2141" s="121" t="str">
        <f>HYPERLINK("http://www.iowacity.va.gov/services/MILITARY_SEXUAL_TRAUMA.ASP")</f>
        <v>http://www.iowacity.va.gov/services/MILITARY_SEXUAL_TRAUMA.ASP</v>
      </c>
      <c r="E2141" s="8" t="s">
        <v>392</v>
      </c>
    </row>
    <row r="2142" ht="14.25" hidden="1" customHeight="1">
      <c r="A2142" s="8" t="s">
        <v>2357</v>
      </c>
      <c r="B2142" s="8" t="s">
        <v>326</v>
      </c>
      <c r="D2142" s="121" t="str">
        <f>HYPERLINK("http://www.iowacity.va.gov/services/MINORITY_VETERANS.ASP")</f>
        <v>http://www.iowacity.va.gov/services/MINORITY_VETERANS.ASP</v>
      </c>
      <c r="E2142" s="8" t="s">
        <v>392</v>
      </c>
    </row>
    <row r="2143" ht="14.25" hidden="1" customHeight="1">
      <c r="A2143" s="8" t="s">
        <v>2357</v>
      </c>
      <c r="B2143" s="8" t="s">
        <v>343</v>
      </c>
      <c r="D2143" s="121" t="str">
        <f>HYPERLINK("http://www.iowacity.va.gov/services/PHARMACY.ASP")</f>
        <v>http://www.iowacity.va.gov/services/PHARMACY.ASP</v>
      </c>
      <c r="E2143" s="8" t="s">
        <v>392</v>
      </c>
    </row>
    <row r="2144" ht="14.25" hidden="1" customHeight="1">
      <c r="A2144" s="8" t="s">
        <v>2357</v>
      </c>
      <c r="B2144" s="8" t="s">
        <v>348</v>
      </c>
      <c r="D2144" s="121" t="str">
        <f>HYPERLINK("http://www.iowacity.va.gov/services/PRIMARY_CARE.ASP")</f>
        <v>http://www.iowacity.va.gov/services/PRIMARY_CARE.ASP</v>
      </c>
      <c r="E2144" s="8" t="s">
        <v>392</v>
      </c>
    </row>
    <row r="2145" ht="14.25" hidden="1" customHeight="1">
      <c r="A2145" s="8" t="s">
        <v>2357</v>
      </c>
      <c r="B2145" s="8" t="s">
        <v>2377</v>
      </c>
      <c r="D2145" s="121" t="str">
        <f>HYPERLINK("http://www.iowacity.va.gov/services/PROSTHETICS.ASP")</f>
        <v>http://www.iowacity.va.gov/services/PROSTHETICS.ASP</v>
      </c>
      <c r="E2145" s="8" t="s">
        <v>392</v>
      </c>
    </row>
    <row r="2146" ht="14.25" hidden="1" customHeight="1">
      <c r="A2146" s="8" t="s">
        <v>2357</v>
      </c>
      <c r="B2146" s="8" t="s">
        <v>508</v>
      </c>
      <c r="D2146" s="121" t="str">
        <f>HYPERLINK("http://www.iowacity.va.gov/services/RESEARCH.ASP")</f>
        <v>http://www.iowacity.va.gov/services/RESEARCH.ASP</v>
      </c>
      <c r="E2146" s="8" t="s">
        <v>392</v>
      </c>
    </row>
    <row r="2147" ht="14.25" hidden="1" customHeight="1">
      <c r="A2147" s="8" t="s">
        <v>2357</v>
      </c>
      <c r="B2147" s="8" t="s">
        <v>363</v>
      </c>
      <c r="D2147" s="121" t="str">
        <f>HYPERLINK("http://www.iowacity.va.gov/services/SPECIALTY_CARE.ASP")</f>
        <v>http://www.iowacity.va.gov/services/SPECIALTY_CARE.ASP</v>
      </c>
      <c r="E2147" s="8" t="s">
        <v>392</v>
      </c>
    </row>
    <row r="2148" ht="14.25" hidden="1" customHeight="1">
      <c r="A2148" s="8" t="s">
        <v>2357</v>
      </c>
      <c r="B2148" s="8" t="s">
        <v>364</v>
      </c>
      <c r="D2148" s="121" t="str">
        <f>HYPERLINK("http://www.iowacity.va.gov/services/SPINAL_CORD.ASP")</f>
        <v>http://www.iowacity.va.gov/services/SPINAL_CORD.ASP</v>
      </c>
      <c r="E2148" s="8" t="s">
        <v>392</v>
      </c>
    </row>
    <row r="2149" ht="14.25" hidden="1" customHeight="1">
      <c r="A2149" s="8" t="s">
        <v>2357</v>
      </c>
      <c r="B2149" s="8" t="s">
        <v>2382</v>
      </c>
      <c r="D2149" s="121" t="str">
        <f>HYPERLINK("http://www.iowacity.va.gov/services/STAKEHOLDERS_POC_LISTING.ASP")</f>
        <v>http://www.iowacity.va.gov/services/STAKEHOLDERS_POC_LISTING.ASP</v>
      </c>
      <c r="E2149" s="8" t="s">
        <v>392</v>
      </c>
    </row>
    <row r="2150" ht="14.25" hidden="1" customHeight="1">
      <c r="A2150" s="8" t="s">
        <v>2357</v>
      </c>
      <c r="B2150" s="8" t="s">
        <v>472</v>
      </c>
      <c r="D2150" s="121" t="str">
        <f>HYPERLINK("http://www.iowacity.va.gov/services/WOMENS_HEALTH.ASP")</f>
        <v>http://www.iowacity.va.gov/services/WOMENS_HEALTH.ASP</v>
      </c>
      <c r="E2150" s="8" t="s">
        <v>392</v>
      </c>
    </row>
    <row r="2151" ht="14.25" hidden="1" customHeight="1">
      <c r="A2151" s="8" t="s">
        <v>2386</v>
      </c>
      <c r="B2151" s="8" t="s">
        <v>2231</v>
      </c>
      <c r="D2151" s="121" t="str">
        <f>HYPERLINK("http://www.ironmountain.va.gov/services/AUDIOLOGY.ASP")</f>
        <v>http://www.ironmountain.va.gov/services/AUDIOLOGY.ASP</v>
      </c>
      <c r="E2151" s="8" t="s">
        <v>392</v>
      </c>
    </row>
    <row r="2152" ht="14.25" hidden="1" customHeight="1">
      <c r="A2152" s="8" t="s">
        <v>2386</v>
      </c>
      <c r="B2152" s="8" t="s">
        <v>2388</v>
      </c>
      <c r="D2152" s="121" t="str">
        <f>HYPERLINK("http://www.ironmountain.va.gov/services/BILLING.ASP")</f>
        <v>http://www.ironmountain.va.gov/services/BILLING.ASP</v>
      </c>
      <c r="E2152" s="8" t="s">
        <v>392</v>
      </c>
    </row>
    <row r="2153" ht="14.25" hidden="1" customHeight="1">
      <c r="A2153" s="8" t="s">
        <v>2386</v>
      </c>
      <c r="B2153" s="8" t="s">
        <v>1137</v>
      </c>
      <c r="D2153" s="121" t="str">
        <f>HYPERLINK("http://www.ironmountain.va.gov/services/CANTEEN.ASP")</f>
        <v>http://www.ironmountain.va.gov/services/CANTEEN.ASP</v>
      </c>
      <c r="E2153" s="8" t="s">
        <v>392</v>
      </c>
    </row>
    <row r="2154" ht="14.25" hidden="1" customHeight="1">
      <c r="A2154" s="8" t="s">
        <v>2386</v>
      </c>
      <c r="B2154" s="8" t="s">
        <v>484</v>
      </c>
      <c r="D2154" s="121" t="str">
        <f>HYPERLINK("http://www.ironmountain.va.gov/services/CAREGIVER_SUPPORT.ASP")</f>
        <v>http://www.ironmountain.va.gov/services/CAREGIVER_SUPPORT.ASP</v>
      </c>
      <c r="E2154" s="8" t="s">
        <v>392</v>
      </c>
    </row>
    <row r="2155" ht="14.25" hidden="1" customHeight="1">
      <c r="A2155" s="8" t="s">
        <v>2386</v>
      </c>
      <c r="B2155" s="8" t="s">
        <v>478</v>
      </c>
      <c r="D2155" s="121" t="str">
        <f>HYPERLINK("http://www.ironmountain.va.gov/services/CHAPLAIN_SERVICE.ASP")</f>
        <v>http://www.ironmountain.va.gov/services/CHAPLAIN_SERVICE.ASP</v>
      </c>
      <c r="E2155" s="8" t="s">
        <v>392</v>
      </c>
    </row>
    <row r="2156" ht="14.25" hidden="1" customHeight="1">
      <c r="A2156" s="8" t="s">
        <v>2386</v>
      </c>
      <c r="B2156" s="8" t="s">
        <v>2288</v>
      </c>
      <c r="D2156" s="121" t="str">
        <f>HYPERLINK("http://www.ironmountain.va.gov/services/COMPENSATION_AND_PENSION_C_P.ASP")</f>
        <v>http://www.ironmountain.va.gov/services/COMPENSATION_AND_PENSION_C_P.ASP</v>
      </c>
      <c r="E2156" s="8" t="s">
        <v>392</v>
      </c>
    </row>
    <row r="2157" ht="14.25" hidden="1" customHeight="1">
      <c r="A2157" s="8" t="s">
        <v>2386</v>
      </c>
      <c r="B2157" s="8" t="s">
        <v>2392</v>
      </c>
      <c r="D2157" s="121" t="str">
        <f>HYPERLINK("http://www.ironmountain.va.gov/services/ECRP.ASP")</f>
        <v>http://www.ironmountain.va.gov/services/ECRP.ASP</v>
      </c>
      <c r="E2157" s="8" t="s">
        <v>392</v>
      </c>
    </row>
    <row r="2158" ht="14.25" hidden="1" customHeight="1">
      <c r="A2158" s="8" t="s">
        <v>2386</v>
      </c>
      <c r="B2158" s="8" t="s">
        <v>719</v>
      </c>
      <c r="D2158" s="121" t="str">
        <f>HYPERLINK("http://www.ironmountain.va.gov/services/OPTOMETRY.ASP")</f>
        <v>http://www.ironmountain.va.gov/services/OPTOMETRY.ASP</v>
      </c>
      <c r="E2158" s="8" t="s">
        <v>392</v>
      </c>
    </row>
    <row r="2159" ht="14.25" hidden="1" customHeight="1">
      <c r="A2159" s="8" t="s">
        <v>2386</v>
      </c>
      <c r="B2159" s="8" t="s">
        <v>1332</v>
      </c>
      <c r="D2159" s="121" t="str">
        <f>HYPERLINK("http://www.ironmountain.va.gov/services/FORMER_PRISONER_OF_WAR_FPOW_ADVOCATE_PROGRAM.ASP")</f>
        <v>http://www.ironmountain.va.gov/services/FORMER_PRISONER_OF_WAR_FPOW_ADVOCATE_PROGRAM.ASP</v>
      </c>
      <c r="E2159" s="8" t="s">
        <v>392</v>
      </c>
    </row>
    <row r="2160" ht="14.25" hidden="1" customHeight="1">
      <c r="A2160" s="8" t="s">
        <v>2386</v>
      </c>
      <c r="B2160" s="8" t="s">
        <v>323</v>
      </c>
      <c r="D2160" s="121" t="str">
        <f>HYPERLINK("http://www.ironmountain.va.gov/services/MENTALHEALTH.ASP")</f>
        <v>http://www.ironmountain.va.gov/services/MENTALHEALTH.ASP</v>
      </c>
      <c r="E2160" s="8" t="s">
        <v>392</v>
      </c>
    </row>
    <row r="2161" ht="14.25" hidden="1" customHeight="1">
      <c r="A2161" s="8" t="s">
        <v>2386</v>
      </c>
      <c r="B2161" s="8" t="s">
        <v>2398</v>
      </c>
      <c r="D2161" s="121" t="str">
        <f>HYPERLINK("http://www.ironmountain.va.gov/services/MILITARY_SEXUAL_TRAUMA_MST_PROGRAM.ASP")</f>
        <v>http://www.ironmountain.va.gov/services/MILITARY_SEXUAL_TRAUMA_MST_PROGRAM.ASP</v>
      </c>
      <c r="E2161" s="8" t="s">
        <v>392</v>
      </c>
    </row>
    <row r="2162" ht="14.25" hidden="1" customHeight="1">
      <c r="A2162" s="8" t="s">
        <v>2386</v>
      </c>
      <c r="B2162" s="8" t="s">
        <v>326</v>
      </c>
      <c r="D2162" s="121" t="str">
        <f>HYPERLINK("http://www.ironmountain.va.gov/services/MINORITY.ASP")</f>
        <v>http://www.ironmountain.va.gov/services/MINORITY.ASP</v>
      </c>
      <c r="E2162" s="8" t="s">
        <v>392</v>
      </c>
    </row>
    <row r="2163" ht="14.25" hidden="1" customHeight="1">
      <c r="A2163" s="8" t="s">
        <v>2386</v>
      </c>
      <c r="B2163" s="8" t="s">
        <v>2401</v>
      </c>
      <c r="D2163" s="121" t="str">
        <f>HYPERLINK("http://www.ironmountain.va.gov/services/NON_VA_CARE_COORDINATION_NVCC.ASP")</f>
        <v>http://www.ironmountain.va.gov/services/NON_VA_CARE_COORDINATION_NVCC.ASP</v>
      </c>
      <c r="E2163" s="8" t="s">
        <v>392</v>
      </c>
    </row>
    <row r="2164" ht="14.25" hidden="1" customHeight="1">
      <c r="A2164" s="8" t="s">
        <v>2386</v>
      </c>
      <c r="B2164" s="8" t="s">
        <v>2405</v>
      </c>
      <c r="D2164" s="121" t="str">
        <f>HYPERLINK("http://www.ironmountain.va.gov/services/NUTRITION_PROGRAMS.ASP")</f>
        <v>http://www.ironmountain.va.gov/services/NUTRITION_PROGRAMS.ASP</v>
      </c>
      <c r="E2164" s="8" t="s">
        <v>392</v>
      </c>
    </row>
    <row r="2165" ht="14.25" hidden="1" customHeight="1">
      <c r="A2165" s="8" t="s">
        <v>2386</v>
      </c>
      <c r="B2165" s="8" t="s">
        <v>2406</v>
      </c>
      <c r="D2165" s="121" t="str">
        <f>HYPERLINK("http://www.ironmountain.va.gov/services/PALLIATIVECARE.ASP")</f>
        <v>http://www.ironmountain.va.gov/services/PALLIATIVECARE.ASP</v>
      </c>
      <c r="E2165" s="8" t="s">
        <v>392</v>
      </c>
    </row>
    <row r="2166" ht="14.25" hidden="1" customHeight="1">
      <c r="A2166" s="8" t="s">
        <v>2386</v>
      </c>
      <c r="B2166" s="8" t="s">
        <v>694</v>
      </c>
      <c r="D2166" s="121" t="str">
        <f>HYPERLINK("http://www.ironmountain.va.gov/services/PATIENT_ADVOCATE.ASP")</f>
        <v>http://www.ironmountain.va.gov/services/PATIENT_ADVOCATE.ASP</v>
      </c>
      <c r="E2166" s="8" t="s">
        <v>392</v>
      </c>
    </row>
    <row r="2167" ht="14.25" hidden="1" customHeight="1">
      <c r="A2167" s="8" t="s">
        <v>2386</v>
      </c>
      <c r="B2167" s="8" t="s">
        <v>343</v>
      </c>
      <c r="D2167" s="121" t="str">
        <f>HYPERLINK("http://www.ironmountain.va.gov/services/PHARMACY.ASP")</f>
        <v>http://www.ironmountain.va.gov/services/PHARMACY.ASP</v>
      </c>
      <c r="E2167" s="8" t="s">
        <v>392</v>
      </c>
    </row>
    <row r="2168" ht="14.25" hidden="1" customHeight="1">
      <c r="A2168" s="8" t="s">
        <v>2386</v>
      </c>
      <c r="B2168" s="8" t="s">
        <v>348</v>
      </c>
      <c r="D2168" s="121" t="str">
        <f>HYPERLINK("http://www.ironmountain.va.gov/services/PRIMARYCARE.ASP")</f>
        <v>http://www.ironmountain.va.gov/services/PRIMARYCARE.ASP</v>
      </c>
      <c r="E2168" s="8" t="s">
        <v>392</v>
      </c>
    </row>
    <row r="2169" ht="14.25" hidden="1" customHeight="1">
      <c r="A2169" s="8" t="s">
        <v>2386</v>
      </c>
      <c r="B2169" s="8" t="s">
        <v>363</v>
      </c>
      <c r="D2169" s="121" t="str">
        <f>HYPERLINK("http://www.ironmountain.va.gov/services/SPECIALTYCARE.ASP")</f>
        <v>http://www.ironmountain.va.gov/services/SPECIALTYCARE.ASP</v>
      </c>
      <c r="E2169" s="8" t="s">
        <v>392</v>
      </c>
    </row>
    <row r="2170" ht="14.25" hidden="1" customHeight="1">
      <c r="A2170" s="8" t="s">
        <v>2386</v>
      </c>
      <c r="B2170" s="8" t="s">
        <v>2409</v>
      </c>
      <c r="D2170" s="121" t="str">
        <f>HYPERLINK("http://www.ironmountain.va.gov/services/TRANSPORTATION_VETERANS_TRANSPORTATION_NETWORK.ASP")</f>
        <v>http://www.ironmountain.va.gov/services/TRANSPORTATION_VETERANS_TRANSPORTATION_NETWORK.ASP</v>
      </c>
      <c r="E2170" s="8" t="s">
        <v>392</v>
      </c>
    </row>
    <row r="2171" ht="14.25" hidden="1" customHeight="1">
      <c r="A2171" s="8" t="s">
        <v>2386</v>
      </c>
      <c r="B2171" s="8" t="s">
        <v>2411</v>
      </c>
      <c r="D2171" s="121" t="str">
        <f>HYPERLINK("http://www.ironmountain.va.gov/services/VETERAN_HEALTH_INFORMATION_VLER_COORDINATOR.ASP")</f>
        <v>http://www.ironmountain.va.gov/services/VETERAN_HEALTH_INFORMATION_VLER_COORDINATOR.ASP</v>
      </c>
      <c r="E2171" s="8" t="s">
        <v>392</v>
      </c>
    </row>
    <row r="2172" ht="14.25" hidden="1" customHeight="1">
      <c r="A2172" s="8" t="s">
        <v>2386</v>
      </c>
      <c r="B2172" s="8" t="s">
        <v>2412</v>
      </c>
      <c r="D2172" s="121" t="str">
        <f>HYPERLINK("http://www.ironmountain.va.gov/services/WOMEN_VETERANS_HEALTH.ASP")</f>
        <v>http://www.ironmountain.va.gov/services/WOMEN_VETERANS_HEALTH.ASP</v>
      </c>
      <c r="E2172" s="8" t="s">
        <v>392</v>
      </c>
    </row>
    <row r="2173" ht="14.25" hidden="1" customHeight="1">
      <c r="A2173" s="8" t="s">
        <v>2414</v>
      </c>
      <c r="B2173" s="8" t="s">
        <v>244</v>
      </c>
      <c r="D2173" s="121" t="str">
        <f>HYPERLINK("http://www.jackson.va.gov/services/AUDIOLOGY.ASP")</f>
        <v>http://www.jackson.va.gov/services/AUDIOLOGY.ASP</v>
      </c>
      <c r="E2173" s="8" t="s">
        <v>392</v>
      </c>
    </row>
    <row r="2174" ht="14.25" hidden="1" customHeight="1">
      <c r="A2174" s="8" t="s">
        <v>2414</v>
      </c>
      <c r="B2174" s="8" t="s">
        <v>2417</v>
      </c>
      <c r="D2174" s="121" t="str">
        <f>HYPERLINK("http://www.jackson.va.gov/services/CARE_IN_THE_COMMUNITY_CUSTOMER_SERVICE_REPRESENTATIVE.ASP")</f>
        <v>http://www.jackson.va.gov/services/CARE_IN_THE_COMMUNITY_CUSTOMER_SERVICE_REPRESENTATIVE.ASP</v>
      </c>
      <c r="E2174" s="8" t="s">
        <v>392</v>
      </c>
    </row>
    <row r="2175" ht="14.25" hidden="1" customHeight="1">
      <c r="A2175" s="8" t="s">
        <v>2414</v>
      </c>
      <c r="B2175" s="8" t="s">
        <v>2418</v>
      </c>
      <c r="D2175" s="121" t="str">
        <f>HYPERLINK("http://www.jackson.va.gov/services/CHIROPRACTIC.ASP")</f>
        <v>http://www.jackson.va.gov/services/CHIROPRACTIC.ASP</v>
      </c>
      <c r="E2175" s="8" t="s">
        <v>392</v>
      </c>
    </row>
    <row r="2176" ht="14.25" hidden="1" customHeight="1">
      <c r="A2176" s="8" t="s">
        <v>2414</v>
      </c>
      <c r="B2176" s="8" t="s">
        <v>523</v>
      </c>
      <c r="D2176" s="121" t="str">
        <f>HYPERLINK("http://www.jackson.va.gov/services/LGBT.ASP")</f>
        <v>http://www.jackson.va.gov/services/LGBT.ASP</v>
      </c>
      <c r="E2176" s="8" t="s">
        <v>392</v>
      </c>
    </row>
    <row r="2177" ht="14.25" hidden="1" customHeight="1">
      <c r="A2177" s="8" t="s">
        <v>2414</v>
      </c>
      <c r="B2177" s="8" t="s">
        <v>476</v>
      </c>
      <c r="D2177" s="121" t="str">
        <f>HYPERLINK("http://www.jackson.va.gov/services/MEDFOSTERHOME.ASP")</f>
        <v>http://www.jackson.va.gov/services/MEDFOSTERHOME.ASP</v>
      </c>
      <c r="E2177" s="8" t="s">
        <v>392</v>
      </c>
    </row>
    <row r="2178" ht="14.25" hidden="1" customHeight="1">
      <c r="A2178" s="8" t="s">
        <v>2414</v>
      </c>
      <c r="B2178" s="8" t="s">
        <v>323</v>
      </c>
      <c r="D2178" s="121" t="str">
        <f>HYPERLINK("http://www.jackson.va.gov/services/MENTAL_HEALTH.ASP")</f>
        <v>http://www.jackson.va.gov/services/MENTAL_HEALTH.ASP</v>
      </c>
      <c r="E2178" s="8" t="s">
        <v>392</v>
      </c>
    </row>
    <row r="2179" ht="14.25" hidden="1" customHeight="1">
      <c r="A2179" s="8" t="s">
        <v>2414</v>
      </c>
      <c r="B2179" s="8" t="s">
        <v>900</v>
      </c>
      <c r="D2179" s="121" t="str">
        <f>HYPERLINK("http://www.jackson.va.gov/services/OCCUPATIONALTHERAPY.ASP")</f>
        <v>http://www.jackson.va.gov/services/OCCUPATIONALTHERAPY.ASP</v>
      </c>
      <c r="E2179" s="8" t="s">
        <v>392</v>
      </c>
    </row>
    <row r="2180" ht="14.25" hidden="1" customHeight="1">
      <c r="A2180" s="8" t="s">
        <v>2414</v>
      </c>
      <c r="B2180" s="8" t="s">
        <v>449</v>
      </c>
      <c r="D2180" s="121" t="str">
        <f>HYPERLINK("http://www.jackson.va.gov/services/PAINMANAGEMENT.ASP")</f>
        <v>http://www.jackson.va.gov/services/PAINMANAGEMENT.ASP</v>
      </c>
      <c r="E2180" s="8" t="s">
        <v>392</v>
      </c>
    </row>
    <row r="2181" ht="14.25" hidden="1" customHeight="1">
      <c r="A2181" s="8" t="s">
        <v>2414</v>
      </c>
      <c r="B2181" s="8" t="s">
        <v>343</v>
      </c>
      <c r="D2181" s="121" t="str">
        <f>HYPERLINK("http://www.jackson.va.gov/services/PHARMACY_OUTPATIENT.ASP")</f>
        <v>http://www.jackson.va.gov/services/PHARMACY_OUTPATIENT.ASP</v>
      </c>
      <c r="E2181" s="8" t="s">
        <v>392</v>
      </c>
    </row>
    <row r="2182" ht="14.25" hidden="1" customHeight="1">
      <c r="A2182" s="8" t="s">
        <v>2414</v>
      </c>
      <c r="B2182" s="8" t="s">
        <v>343</v>
      </c>
      <c r="D2182" s="121" t="str">
        <f>HYPERLINK("http://www.jackson.va.gov/services/PHARMACY.ASP")</f>
        <v>http://www.jackson.va.gov/services/PHARMACY.ASP</v>
      </c>
      <c r="E2182" s="8" t="s">
        <v>392</v>
      </c>
    </row>
    <row r="2183" ht="14.25" hidden="1" customHeight="1">
      <c r="A2183" s="8" t="s">
        <v>2414</v>
      </c>
      <c r="B2183" s="8" t="s">
        <v>608</v>
      </c>
      <c r="D2183" s="121" t="str">
        <f>HYPERLINK("http://www.jackson.va.gov/services/PHYSICALTHERAPY.ASP")</f>
        <v>http://www.jackson.va.gov/services/PHYSICALTHERAPY.ASP</v>
      </c>
      <c r="E2183" s="8" t="s">
        <v>392</v>
      </c>
    </row>
    <row r="2184" ht="14.25" hidden="1" customHeight="1">
      <c r="A2184" s="8" t="s">
        <v>2414</v>
      </c>
      <c r="B2184" s="8" t="s">
        <v>1169</v>
      </c>
      <c r="D2184" s="121" t="str">
        <f>HYPERLINK("http://www.jackson.va.gov/services/RADIATION_THERAPY.ASP")</f>
        <v>http://www.jackson.va.gov/services/RADIATION_THERAPY.ASP</v>
      </c>
      <c r="E2184" s="8" t="s">
        <v>392</v>
      </c>
    </row>
    <row r="2185" ht="14.25" hidden="1" customHeight="1">
      <c r="A2185" s="8" t="s">
        <v>2414</v>
      </c>
      <c r="B2185" s="8" t="s">
        <v>1429</v>
      </c>
      <c r="D2185" s="121" t="str">
        <f>HYPERLINK("http://www.jackson.va.gov/services/SLEEP_LAB.ASP")</f>
        <v>http://www.jackson.va.gov/services/SLEEP_LAB.ASP</v>
      </c>
      <c r="E2185" s="8" t="s">
        <v>392</v>
      </c>
    </row>
    <row r="2186" ht="14.25" hidden="1" customHeight="1">
      <c r="A2186" s="8" t="s">
        <v>2414</v>
      </c>
      <c r="B2186" s="8" t="s">
        <v>1211</v>
      </c>
      <c r="D2186" s="121" t="str">
        <f>HYPERLINK("http://www.jackson.va.gov/services/SPEECH_LANGUAGE_PATHOLOGY.ASP")</f>
        <v>http://www.jackson.va.gov/services/SPEECH_LANGUAGE_PATHOLOGY.ASP</v>
      </c>
      <c r="E2186" s="8" t="s">
        <v>392</v>
      </c>
    </row>
    <row r="2187" ht="14.25" hidden="1" customHeight="1">
      <c r="A2187" s="8" t="s">
        <v>2435</v>
      </c>
      <c r="B2187" s="8" t="s">
        <v>631</v>
      </c>
      <c r="D2187" s="121" t="str">
        <f>HYPERLINK("http://www.kansascity.va.gov/services/BILLING_AND_INSURANCE.ASP")</f>
        <v>http://www.kansascity.va.gov/services/BILLING_AND_INSURANCE.ASP</v>
      </c>
      <c r="E2187" s="8" t="s">
        <v>392</v>
      </c>
    </row>
    <row r="2188" ht="14.25" hidden="1" customHeight="1">
      <c r="A2188" s="8" t="s">
        <v>2435</v>
      </c>
      <c r="B2188" s="8" t="s">
        <v>414</v>
      </c>
      <c r="D2188" s="121" t="str">
        <f>HYPERLINK("http://www.kansascity.va.gov/services/CARDIOLOGY.ASP")</f>
        <v>http://www.kansascity.va.gov/services/CARDIOLOGY.ASP</v>
      </c>
      <c r="E2188" s="8" t="s">
        <v>392</v>
      </c>
    </row>
    <row r="2189" ht="14.25" hidden="1" customHeight="1">
      <c r="A2189" s="8" t="s">
        <v>2435</v>
      </c>
      <c r="B2189" s="8" t="s">
        <v>417</v>
      </c>
      <c r="D2189" s="121" t="str">
        <f>HYPERLINK("http://www.kansascity.va.gov/services/CHAPLAIN.ASP")</f>
        <v>http://www.kansascity.va.gov/services/CHAPLAIN.ASP</v>
      </c>
      <c r="E2189" s="8" t="s">
        <v>392</v>
      </c>
    </row>
    <row r="2190" ht="14.25" hidden="1" customHeight="1">
      <c r="A2190" s="8" t="s">
        <v>2435</v>
      </c>
      <c r="B2190" s="8" t="s">
        <v>497</v>
      </c>
      <c r="D2190" s="121" t="str">
        <f>HYPERLINK("http://www.kansascity.va.gov/services/COMPENSATED_WORK_THERAPY.ASP")</f>
        <v>http://www.kansascity.va.gov/services/COMPENSATED_WORK_THERAPY.ASP</v>
      </c>
      <c r="E2190" s="8" t="s">
        <v>392</v>
      </c>
    </row>
    <row r="2191" ht="14.25" hidden="1" customHeight="1">
      <c r="A2191" s="8" t="s">
        <v>2435</v>
      </c>
      <c r="B2191" s="8" t="s">
        <v>304</v>
      </c>
      <c r="D2191" s="121" t="str">
        <f>HYPERLINK("http://www.kansascity.va.gov/services/DENTAL.ASP")</f>
        <v>http://www.kansascity.va.gov/services/DENTAL.ASP</v>
      </c>
      <c r="E2191" s="8" t="s">
        <v>392</v>
      </c>
    </row>
    <row r="2192" ht="14.25" hidden="1" customHeight="1">
      <c r="A2192" s="8" t="s">
        <v>2435</v>
      </c>
      <c r="B2192" s="8" t="s">
        <v>424</v>
      </c>
      <c r="D2192" s="121" t="str">
        <f>HYPERLINK("http://www.kansascity.va.gov/services/DIALYSIS.ASP")</f>
        <v>http://www.kansascity.va.gov/services/DIALYSIS.ASP</v>
      </c>
      <c r="E2192" s="8" t="s">
        <v>392</v>
      </c>
    </row>
    <row r="2193" ht="14.25" hidden="1" customHeight="1">
      <c r="A2193" s="8" t="s">
        <v>2435</v>
      </c>
      <c r="B2193" s="8" t="s">
        <v>990</v>
      </c>
      <c r="D2193" s="121" t="str">
        <f>HYPERLINK("http://www.kansascity.va.gov/services/HEALTH_PROMOTION_DISEASE_PREVENTION.ASP")</f>
        <v>http://www.kansascity.va.gov/services/HEALTH_PROMOTION_DISEASE_PREVENTION.ASP</v>
      </c>
      <c r="E2193" s="8" t="s">
        <v>392</v>
      </c>
    </row>
    <row r="2194" ht="14.25" hidden="1" customHeight="1">
      <c r="A2194" s="8" t="s">
        <v>2435</v>
      </c>
      <c r="B2194" s="8" t="s">
        <v>431</v>
      </c>
      <c r="D2194" s="121" t="str">
        <f>HYPERLINK("http://www.kansascity.va.gov/services/HOME_BASED_PRIMARY_CARE.ASP")</f>
        <v>http://www.kansascity.va.gov/services/HOME_BASED_PRIMARY_CARE.ASP</v>
      </c>
      <c r="E2194" s="8" t="s">
        <v>392</v>
      </c>
    </row>
    <row r="2195" ht="14.25" hidden="1" customHeight="1">
      <c r="A2195" s="8" t="s">
        <v>2435</v>
      </c>
      <c r="B2195" s="8" t="s">
        <v>2448</v>
      </c>
      <c r="D2195" s="121" t="str">
        <f>HYPERLINK("http://www.kansascity.va.gov/services/IMAGING_SCHEDULING.ASP")</f>
        <v>http://www.kansascity.va.gov/services/IMAGING_SCHEDULING.ASP</v>
      </c>
      <c r="E2195" s="8" t="s">
        <v>392</v>
      </c>
    </row>
    <row r="2196" ht="14.25" hidden="1" customHeight="1">
      <c r="A2196" s="8" t="s">
        <v>2435</v>
      </c>
      <c r="B2196" s="8" t="s">
        <v>1265</v>
      </c>
      <c r="D2196" s="121" t="str">
        <f>HYPERLINK("http://www.kansascity.va.gov/services/LESBIAN_GAY_BISEXUAL_TRANSGENDER_LGBT_PROGRAM.ASP")</f>
        <v>http://www.kansascity.va.gov/services/LESBIAN_GAY_BISEXUAL_TRANSGENDER_LGBT_PROGRAM.ASP</v>
      </c>
      <c r="E2196" s="8" t="s">
        <v>392</v>
      </c>
    </row>
    <row r="2197" ht="14.25" hidden="1" customHeight="1">
      <c r="A2197" s="8" t="s">
        <v>2435</v>
      </c>
      <c r="B2197" s="8" t="s">
        <v>598</v>
      </c>
      <c r="D2197" s="121" t="str">
        <f>HYPERLINK("http://www.kansascity.va.gov/services/HEALTH_PROMOTION_DISEASE_PREVENTION.ASP")</f>
        <v>http://www.kansascity.va.gov/services/HEALTH_PROMOTION_DISEASE_PREVENTION.ASP</v>
      </c>
      <c r="E2197" s="8" t="s">
        <v>595</v>
      </c>
    </row>
    <row r="2198" ht="14.25" hidden="1" customHeight="1">
      <c r="A2198" s="8" t="s">
        <v>2435</v>
      </c>
      <c r="B2198" s="8" t="s">
        <v>1016</v>
      </c>
      <c r="D2198" s="121" t="str">
        <f>HYPERLINK("http://www.kansascity.va.gov/services/MEDICAL_FOSTER_HOME.ASP")</f>
        <v>http://www.kansascity.va.gov/services/MEDICAL_FOSTER_HOME.ASP</v>
      </c>
      <c r="E2198" s="8" t="s">
        <v>392</v>
      </c>
    </row>
    <row r="2199" ht="14.25" hidden="1" customHeight="1">
      <c r="A2199" s="8" t="s">
        <v>2435</v>
      </c>
      <c r="B2199" s="8" t="s">
        <v>323</v>
      </c>
      <c r="D2199" s="121" t="str">
        <f>HYPERLINK("http://www.kansascity.va.gov/services/MENTALHEALTH.ASP")</f>
        <v>http://www.kansascity.va.gov/services/MENTALHEALTH.ASP</v>
      </c>
      <c r="E2199" s="8" t="s">
        <v>392</v>
      </c>
    </row>
    <row r="2200" ht="14.25" hidden="1" customHeight="1">
      <c r="A2200" s="8" t="s">
        <v>2435</v>
      </c>
      <c r="B2200" s="8" t="s">
        <v>494</v>
      </c>
      <c r="D2200" s="121" t="str">
        <f>HYPERLINK("http://www.kansascity.va.gov/services/MYHEALTHEVET.ASP")</f>
        <v>http://www.kansascity.va.gov/services/MYHEALTHEVET.ASP</v>
      </c>
      <c r="E2200" s="8" t="s">
        <v>392</v>
      </c>
    </row>
    <row r="2201" ht="14.25" hidden="1" customHeight="1">
      <c r="A2201" s="8" t="s">
        <v>2435</v>
      </c>
      <c r="B2201" s="8" t="s">
        <v>1172</v>
      </c>
      <c r="D2201" s="121" t="str">
        <f>HYPERLINK("http://www.kansascity.va.gov/services/NEUROLOGY.ASP")</f>
        <v>http://www.kansascity.va.gov/services/NEUROLOGY.ASP</v>
      </c>
      <c r="E2201" s="8" t="s">
        <v>392</v>
      </c>
    </row>
    <row r="2202" ht="14.25" hidden="1" customHeight="1">
      <c r="A2202" s="8" t="s">
        <v>2435</v>
      </c>
      <c r="B2202" s="8" t="s">
        <v>337</v>
      </c>
      <c r="D2202" s="121" t="str">
        <f>HYPERLINK("http://www.kansascity.va.gov/services/OPTOMETRY.ASP")</f>
        <v>http://www.kansascity.va.gov/services/OPTOMETRY.ASP</v>
      </c>
      <c r="E2202" s="8" t="s">
        <v>392</v>
      </c>
    </row>
    <row r="2203" ht="14.25" hidden="1" customHeight="1">
      <c r="A2203" s="8" t="s">
        <v>2435</v>
      </c>
      <c r="B2203" s="8" t="s">
        <v>343</v>
      </c>
      <c r="D2203" s="121" t="str">
        <f>HYPERLINK("http://www.kansascity.va.gov/services/PHARMACY.ASP")</f>
        <v>http://www.kansascity.va.gov/services/PHARMACY.ASP</v>
      </c>
      <c r="E2203" s="8" t="s">
        <v>392</v>
      </c>
    </row>
    <row r="2204" ht="14.25" hidden="1" customHeight="1">
      <c r="A2204" s="8" t="s">
        <v>2435</v>
      </c>
      <c r="B2204" s="8" t="s">
        <v>1283</v>
      </c>
      <c r="D2204" s="121" t="str">
        <f>HYPERLINK("http://www.kansascity.va.gov/services/ECRC.ASP")</f>
        <v>http://www.kansascity.va.gov/services/ECRC.ASP</v>
      </c>
      <c r="E2204" s="8" t="s">
        <v>392</v>
      </c>
    </row>
    <row r="2205" ht="14.25" hidden="1" customHeight="1">
      <c r="A2205" s="8" t="s">
        <v>2435</v>
      </c>
      <c r="B2205" s="8" t="s">
        <v>450</v>
      </c>
      <c r="D2205" s="121" t="str">
        <f>HYPERLINK("http://www.kansascity.va.gov/services/PODIATRY.ASP")</f>
        <v>http://www.kansascity.va.gov/services/PODIATRY.ASP</v>
      </c>
      <c r="E2205" s="8" t="s">
        <v>392</v>
      </c>
    </row>
    <row r="2206" ht="14.25" hidden="1" customHeight="1">
      <c r="A2206" s="8" t="s">
        <v>2435</v>
      </c>
      <c r="B2206" s="8" t="s">
        <v>348</v>
      </c>
      <c r="D2206" s="121" t="str">
        <f>HYPERLINK("http://www.kansascity.va.gov/services/PRIMARY.ASP")</f>
        <v>http://www.kansascity.va.gov/services/PRIMARY.ASP</v>
      </c>
      <c r="E2206" s="8" t="s">
        <v>392</v>
      </c>
    </row>
    <row r="2207" ht="14.25" hidden="1" customHeight="1">
      <c r="A2207" s="8" t="s">
        <v>2435</v>
      </c>
      <c r="B2207" s="8" t="s">
        <v>2458</v>
      </c>
      <c r="D2207" s="121" t="str">
        <f>HYPERLINK("http://www.kansascity.va.gov/services/HEALTH_PROMOTION_DISEASE_PREVENTION.ASP")</f>
        <v>http://www.kansascity.va.gov/services/HEALTH_PROMOTION_DISEASE_PREVENTION.ASP</v>
      </c>
      <c r="E2207" s="8" t="s">
        <v>595</v>
      </c>
    </row>
    <row r="2208" ht="14.25" hidden="1" customHeight="1">
      <c r="A2208" s="8" t="s">
        <v>2435</v>
      </c>
      <c r="B2208" s="8" t="s">
        <v>708</v>
      </c>
      <c r="D2208" s="121" t="str">
        <f>HYPERLINK("http://www.kansascity.va.gov/services/RELEASE_OF_INFORMATION.ASP")</f>
        <v>http://www.kansascity.va.gov/services/RELEASE_OF_INFORMATION.ASP</v>
      </c>
      <c r="E2208" s="8" t="s">
        <v>392</v>
      </c>
    </row>
    <row r="2209" ht="14.25" hidden="1" customHeight="1">
      <c r="A2209" s="8" t="s">
        <v>2435</v>
      </c>
      <c r="B2209" s="8" t="s">
        <v>508</v>
      </c>
      <c r="D2209" s="121" t="str">
        <f>HYPERLINK("http://www.kansascity.va.gov/services/RESEARCH.ASP")</f>
        <v>http://www.kansascity.va.gov/services/RESEARCH.ASP</v>
      </c>
      <c r="E2209" s="8" t="s">
        <v>392</v>
      </c>
    </row>
    <row r="2210" ht="14.25" hidden="1" customHeight="1">
      <c r="A2210" s="8" t="s">
        <v>2435</v>
      </c>
      <c r="B2210" s="8" t="s">
        <v>360</v>
      </c>
      <c r="D2210" s="121" t="str">
        <f>HYPERLINK("http://www.kansascity.va.gov/services/SOCIALWORK.ASP")</f>
        <v>http://www.kansascity.va.gov/services/SOCIALWORK.ASP</v>
      </c>
      <c r="E2210" s="8" t="s">
        <v>392</v>
      </c>
    </row>
    <row r="2211" ht="14.25" hidden="1" customHeight="1">
      <c r="A2211" s="8" t="s">
        <v>2435</v>
      </c>
      <c r="B2211" s="8" t="s">
        <v>364</v>
      </c>
      <c r="D2211" s="121" t="str">
        <f>HYPERLINK("http://www.kansascity.va.gov/services/SCI.ASP")</f>
        <v>http://www.kansascity.va.gov/services/SCI.ASP</v>
      </c>
      <c r="E2211" s="8" t="s">
        <v>392</v>
      </c>
    </row>
    <row r="2212" ht="14.25" hidden="1" customHeight="1">
      <c r="A2212" s="8" t="s">
        <v>2435</v>
      </c>
      <c r="B2212" s="8" t="s">
        <v>2466</v>
      </c>
      <c r="D2212" s="121" t="str">
        <f>HYPERLINK("http://www.kansascity.va.gov/services/VISION_IMPAIRMENT_REHABILITATION.ASP")</f>
        <v>http://www.kansascity.va.gov/services/VISION_IMPAIRMENT_REHABILITATION.ASP</v>
      </c>
      <c r="E2212" s="8" t="s">
        <v>392</v>
      </c>
    </row>
    <row r="2213" ht="14.25" hidden="1" customHeight="1">
      <c r="A2213" s="8" t="s">
        <v>2435</v>
      </c>
      <c r="B2213" s="8" t="s">
        <v>472</v>
      </c>
      <c r="D2213" s="121" t="str">
        <f>HYPERLINK("http://www.kansascity.va.gov/services/WOMENSHEALTH.ASP")</f>
        <v>http://www.kansascity.va.gov/services/WOMENSHEALTH.ASP</v>
      </c>
      <c r="E2213" s="8" t="s">
        <v>392</v>
      </c>
    </row>
    <row r="2214" ht="14.25" hidden="1" customHeight="1">
      <c r="A2214" s="8" t="s">
        <v>2469</v>
      </c>
      <c r="B2214" s="8" t="s">
        <v>415</v>
      </c>
      <c r="D2214" s="121" t="str">
        <f>HYPERLINK("http://www.lasvegas.va.gov/services/ACUPUNCTURE.ASP")</f>
        <v>http://www.lasvegas.va.gov/services/ACUPUNCTURE.ASP</v>
      </c>
      <c r="E2214" s="8" t="s">
        <v>392</v>
      </c>
    </row>
    <row r="2215" ht="14.25" hidden="1" customHeight="1">
      <c r="A2215" s="8" t="s">
        <v>2469</v>
      </c>
      <c r="B2215" s="8" t="s">
        <v>244</v>
      </c>
      <c r="D2215" s="121" t="str">
        <f>HYPERLINK("http://www.lasvegas.va.gov/services/AUDIOLOGY.ASP")</f>
        <v>http://www.lasvegas.va.gov/services/AUDIOLOGY.ASP</v>
      </c>
      <c r="E2215" s="8" t="s">
        <v>392</v>
      </c>
    </row>
    <row r="2216" ht="14.25" hidden="1" customHeight="1">
      <c r="A2216" s="8" t="s">
        <v>2469</v>
      </c>
      <c r="B2216" s="8" t="s">
        <v>632</v>
      </c>
      <c r="D2216" s="121" t="str">
        <f>HYPERLINK("http://www.lasvegas.va.gov/services/BARIATRIC_SURGERY.ASP")</f>
        <v>http://www.lasvegas.va.gov/services/BARIATRIC_SURGERY.ASP</v>
      </c>
      <c r="E2216" s="8" t="s">
        <v>392</v>
      </c>
    </row>
    <row r="2217" ht="14.25" hidden="1" customHeight="1">
      <c r="A2217" s="8" t="s">
        <v>2469</v>
      </c>
      <c r="B2217" s="8" t="s">
        <v>446</v>
      </c>
      <c r="D2217" s="121" t="str">
        <f t="shared" ref="D2217:D2218" si="11">HYPERLINK("http://www.lasvegas.va.gov/services/BEHAVIORAL_HEALTH.ASP")</f>
        <v>http://www.lasvegas.va.gov/services/BEHAVIORAL_HEALTH.ASP</v>
      </c>
      <c r="E2217" s="8" t="s">
        <v>595</v>
      </c>
    </row>
    <row r="2218" ht="14.25" hidden="1" customHeight="1">
      <c r="A2218" s="8" t="s">
        <v>2469</v>
      </c>
      <c r="B2218" s="8" t="s">
        <v>2475</v>
      </c>
      <c r="D2218" s="121" t="str">
        <f t="shared" si="11"/>
        <v>http://www.lasvegas.va.gov/services/BEHAVIORAL_HEALTH.ASP</v>
      </c>
      <c r="E2218" s="8" t="s">
        <v>392</v>
      </c>
    </row>
    <row r="2219" ht="14.25" hidden="1" customHeight="1">
      <c r="A2219" s="8" t="s">
        <v>2469</v>
      </c>
      <c r="B2219" s="8" t="s">
        <v>414</v>
      </c>
      <c r="D2219" s="121" t="str">
        <f>HYPERLINK("http://www.lasvegas.va.gov/services/CARDIOLOGY.ASP")</f>
        <v>http://www.lasvegas.va.gov/services/CARDIOLOGY.ASP</v>
      </c>
      <c r="E2219" s="8" t="s">
        <v>392</v>
      </c>
    </row>
    <row r="2220" ht="14.25" hidden="1" customHeight="1">
      <c r="A2220" s="8" t="s">
        <v>2469</v>
      </c>
      <c r="B2220" s="8" t="s">
        <v>2478</v>
      </c>
      <c r="D2220" s="121" t="str">
        <f>HYPERLINK("http://www.lasvegas.va.gov/services/CHIROPRACTOR_CLINIC.ASP")</f>
        <v>http://www.lasvegas.va.gov/services/CHIROPRACTOR_CLINIC.ASP</v>
      </c>
      <c r="E2220" s="8" t="s">
        <v>392</v>
      </c>
    </row>
    <row r="2221" ht="14.25" hidden="1" customHeight="1">
      <c r="A2221" s="8" t="s">
        <v>2469</v>
      </c>
      <c r="B2221" s="8" t="s">
        <v>2482</v>
      </c>
      <c r="D2221" s="121" t="str">
        <f>HYPERLINK("http://www.lasvegas.va.gov/services/COMMUNITY_RESOURCE_AND_REFERRAL_CENTER.ASP")</f>
        <v>http://www.lasvegas.va.gov/services/COMMUNITY_RESOURCE_AND_REFERRAL_CENTER.ASP</v>
      </c>
      <c r="E2221" s="8" t="s">
        <v>392</v>
      </c>
    </row>
    <row r="2222" ht="14.25" hidden="1" customHeight="1">
      <c r="A2222" s="8" t="s">
        <v>2469</v>
      </c>
      <c r="B2222" s="8" t="s">
        <v>303</v>
      </c>
      <c r="D2222" s="121" t="str">
        <f>HYPERLINK("http://www.lasvegas.va.gov/services/DENTAL_CLINIC.ASP")</f>
        <v>http://www.lasvegas.va.gov/services/DENTAL_CLINIC.ASP</v>
      </c>
      <c r="E2222" s="8" t="s">
        <v>392</v>
      </c>
    </row>
    <row r="2223" ht="14.25" hidden="1" customHeight="1">
      <c r="A2223" s="8" t="s">
        <v>2469</v>
      </c>
      <c r="B2223" s="8" t="s">
        <v>517</v>
      </c>
      <c r="D2223" s="121" t="str">
        <f>HYPERLINK("http://www.lasvegas.va.gov/services/DERMATOLOGY.ASP")</f>
        <v>http://www.lasvegas.va.gov/services/DERMATOLOGY.ASP</v>
      </c>
      <c r="E2223" s="8" t="s">
        <v>392</v>
      </c>
    </row>
    <row r="2224" ht="14.25" hidden="1" customHeight="1">
      <c r="A2224" s="8" t="s">
        <v>2469</v>
      </c>
      <c r="B2224" s="8" t="s">
        <v>2488</v>
      </c>
      <c r="D2224" s="121" t="str">
        <f>HYPERLINK("http://www.lasvegas.va.gov/services/DERMATOLOGY_CLINIC.ASP")</f>
        <v>http://www.lasvegas.va.gov/services/DERMATOLOGY_CLINIC.ASP</v>
      </c>
      <c r="E2224" s="8" t="s">
        <v>392</v>
      </c>
    </row>
    <row r="2225" ht="14.25" hidden="1" customHeight="1">
      <c r="A2225" s="8" t="s">
        <v>2469</v>
      </c>
      <c r="B2225" s="8" t="s">
        <v>2236</v>
      </c>
      <c r="D2225" s="121" t="str">
        <f>HYPERLINK("http://www.lasvegas.va.gov/services/DIABETIC_CLINIC.ASP")</f>
        <v>http://www.lasvegas.va.gov/services/DIABETIC_CLINIC.ASP</v>
      </c>
      <c r="E2225" s="8" t="s">
        <v>392</v>
      </c>
    </row>
    <row r="2226" ht="14.25" hidden="1" customHeight="1">
      <c r="A2226" s="8" t="s">
        <v>2469</v>
      </c>
      <c r="B2226" s="8" t="s">
        <v>2489</v>
      </c>
      <c r="D2226" s="121" t="str">
        <f>HYPERLINK("http://www.lasvegas.va.gov/services/ENT_CLINIC.ASP")</f>
        <v>http://www.lasvegas.va.gov/services/ENT_CLINIC.ASP</v>
      </c>
      <c r="E2226" s="8" t="s">
        <v>392</v>
      </c>
    </row>
    <row r="2227" ht="14.25" hidden="1" customHeight="1">
      <c r="A2227" s="8" t="s">
        <v>2469</v>
      </c>
      <c r="B2227" s="8" t="s">
        <v>2491</v>
      </c>
      <c r="D2227" s="121" t="str">
        <f>HYPERLINK("http://www.lasvegas.va.gov/services/ENDOCRINE_CLINIC.ASP")</f>
        <v>http://www.lasvegas.va.gov/services/ENDOCRINE_CLINIC.ASP</v>
      </c>
      <c r="E2227" s="8" t="s">
        <v>392</v>
      </c>
    </row>
    <row r="2228" ht="14.25" hidden="1" customHeight="1">
      <c r="A2228" s="8" t="s">
        <v>2469</v>
      </c>
      <c r="B2228" s="8" t="s">
        <v>2492</v>
      </c>
      <c r="D2228" s="121" t="str">
        <f>HYPERLINK("http://www.lasvegas.va.gov/services/BARIATRIC_SURGERY.ASP")</f>
        <v>http://www.lasvegas.va.gov/services/BARIATRIC_SURGERY.ASP</v>
      </c>
      <c r="E2228" s="8" t="s">
        <v>595</v>
      </c>
    </row>
    <row r="2229" ht="14.25" hidden="1" customHeight="1">
      <c r="A2229" s="8" t="s">
        <v>2469</v>
      </c>
      <c r="B2229" s="8" t="s">
        <v>719</v>
      </c>
      <c r="D2229" s="121" t="str">
        <f>HYPERLINK("http://www.lasvegas.va.gov/services/EYE_CLINIC.ASP")</f>
        <v>http://www.lasvegas.va.gov/services/EYE_CLINIC.ASP</v>
      </c>
      <c r="E2229" s="8" t="s">
        <v>392</v>
      </c>
    </row>
    <row r="2230" ht="14.25" hidden="1" customHeight="1">
      <c r="A2230" s="8" t="s">
        <v>2469</v>
      </c>
      <c r="B2230" s="8" t="s">
        <v>2494</v>
      </c>
      <c r="D2230" s="121" t="str">
        <f>HYPERLINK("http://www.lasvegas.va.gov/services/GI_CLINIC.ASP")</f>
        <v>http://www.lasvegas.va.gov/services/GI_CLINIC.ASP</v>
      </c>
      <c r="E2230" s="8" t="s">
        <v>392</v>
      </c>
    </row>
    <row r="2231" ht="14.25" hidden="1" customHeight="1">
      <c r="A2231" s="8" t="s">
        <v>2469</v>
      </c>
      <c r="B2231" s="8" t="s">
        <v>2194</v>
      </c>
      <c r="D2231" s="121" t="str">
        <f>HYPERLINK("http://www.lasvegas.va.gov/services/GENERAL_SURGERY_CLINIC.ASP")</f>
        <v>http://www.lasvegas.va.gov/services/GENERAL_SURGERY_CLINIC.ASP</v>
      </c>
      <c r="E2231" s="8" t="s">
        <v>392</v>
      </c>
    </row>
    <row r="2232" ht="14.25" hidden="1" customHeight="1">
      <c r="A2232" s="8" t="s">
        <v>2469</v>
      </c>
      <c r="B2232" s="8" t="s">
        <v>1154</v>
      </c>
      <c r="D2232" s="121" t="str">
        <f>HYPERLINK("http://www.lasvegas.va.gov/services/HEALTH_PROMOTION_AND_DISEASE_PREVENTION.ASP")</f>
        <v>http://www.lasvegas.va.gov/services/HEALTH_PROMOTION_AND_DISEASE_PREVENTION.ASP</v>
      </c>
      <c r="E2232" s="8" t="s">
        <v>392</v>
      </c>
    </row>
    <row r="2233" ht="14.25" hidden="1" customHeight="1">
      <c r="A2233" s="8" t="s">
        <v>2469</v>
      </c>
      <c r="B2233" s="8" t="s">
        <v>2495</v>
      </c>
      <c r="D2233" s="121" t="str">
        <f>HYPERLINK("http://www.lasvegas.va.gov/services/HEMATOLOGY_ONCOLOGY.ASP")</f>
        <v>http://www.lasvegas.va.gov/services/HEMATOLOGY_ONCOLOGY.ASP</v>
      </c>
      <c r="E2233" s="8" t="s">
        <v>392</v>
      </c>
    </row>
    <row r="2234" ht="14.25" hidden="1" customHeight="1">
      <c r="A2234" s="8" t="s">
        <v>2469</v>
      </c>
      <c r="B2234" s="8" t="s">
        <v>2496</v>
      </c>
      <c r="D2234" s="121" t="str">
        <f>HYPERLINK("http://www.lasvegas.va.gov/services/HOME_AND_COMMUNITY_BASED_CARE.ASP")</f>
        <v>http://www.lasvegas.va.gov/services/HOME_AND_COMMUNITY_BASED_CARE.ASP</v>
      </c>
      <c r="E2234" s="8" t="s">
        <v>392</v>
      </c>
    </row>
    <row r="2235" ht="14.25" hidden="1" customHeight="1">
      <c r="A2235" s="8" t="s">
        <v>2469</v>
      </c>
      <c r="B2235" s="8" t="s">
        <v>2500</v>
      </c>
      <c r="D2235" s="121" t="str">
        <f>HYPERLINK("http://www.lasvegas.va.gov/services/HOMELESS_PATIENT_ALIGNED_CARE_TEAM.ASP")</f>
        <v>http://www.lasvegas.va.gov/services/HOMELESS_PATIENT_ALIGNED_CARE_TEAM.ASP</v>
      </c>
      <c r="E2235" s="8" t="s">
        <v>392</v>
      </c>
    </row>
    <row r="2236" ht="14.25" hidden="1" customHeight="1">
      <c r="A2236" s="8" t="s">
        <v>2469</v>
      </c>
      <c r="B2236" s="8" t="s">
        <v>2197</v>
      </c>
      <c r="D2236" s="121" t="str">
        <f>HYPERLINK("http://www.lasvegas.va.gov/services/INFECTEOUS_DISEASE.ASP")</f>
        <v>http://www.lasvegas.va.gov/services/INFECTEOUS_DISEASE.ASP</v>
      </c>
      <c r="E2236" s="8" t="s">
        <v>392</v>
      </c>
    </row>
    <row r="2237" ht="14.25" hidden="1" customHeight="1">
      <c r="A2237" s="8" t="s">
        <v>2469</v>
      </c>
      <c r="B2237" s="8" t="s">
        <v>2501</v>
      </c>
      <c r="D2237" s="121" t="str">
        <f>HYPERLINK("http://www.lasvegas.va.gov/services/INFUSION_CLINIC.ASP")</f>
        <v>http://www.lasvegas.va.gov/services/INFUSION_CLINIC.ASP</v>
      </c>
      <c r="E2237" s="8" t="s">
        <v>392</v>
      </c>
    </row>
    <row r="2238" ht="14.25" hidden="1" customHeight="1">
      <c r="A2238" s="8" t="s">
        <v>2469</v>
      </c>
      <c r="B2238" s="8" t="s">
        <v>2502</v>
      </c>
      <c r="D2238" s="121" t="str">
        <f>HYPERLINK("http://www.lasvegas.va.gov/services/INTERVENTIONAL_PAIN_CLINIC.ASP")</f>
        <v>http://www.lasvegas.va.gov/services/INTERVENTIONAL_PAIN_CLINIC.ASP</v>
      </c>
      <c r="E2238" s="8" t="s">
        <v>392</v>
      </c>
    </row>
    <row r="2239" ht="14.25" hidden="1" customHeight="1">
      <c r="A2239" s="8" t="s">
        <v>2469</v>
      </c>
      <c r="B2239" s="8" t="s">
        <v>1578</v>
      </c>
      <c r="D2239" s="121" t="str">
        <f>HYPERLINK("http://www.lasvegas.va.gov/services/KINESIOTHERAPY_CLINIC.ASP")</f>
        <v>http://www.lasvegas.va.gov/services/KINESIOTHERAPY_CLINIC.ASP</v>
      </c>
      <c r="E2239" s="8" t="s">
        <v>392</v>
      </c>
    </row>
    <row r="2240" ht="14.25" hidden="1" customHeight="1">
      <c r="A2240" s="8" t="s">
        <v>2469</v>
      </c>
      <c r="B2240" s="8" t="s">
        <v>324</v>
      </c>
      <c r="D2240" s="121" t="str">
        <f>HYPERLINK("http://www.lasvegas.va.gov/services/MILITARY_SEXUAL_TRAUMA.ASP")</f>
        <v>http://www.lasvegas.va.gov/services/MILITARY_SEXUAL_TRAUMA.ASP</v>
      </c>
      <c r="E2240" s="8" t="s">
        <v>392</v>
      </c>
    </row>
    <row r="2241" ht="14.25" hidden="1" customHeight="1">
      <c r="A2241" s="8" t="s">
        <v>2469</v>
      </c>
      <c r="B2241" s="8" t="s">
        <v>1825</v>
      </c>
      <c r="D2241" s="121" t="str">
        <f>HYPERLINK("http://www.lasvegas.va.gov/services/MOVE_PROGRAM.ASP")</f>
        <v>http://www.lasvegas.va.gov/services/MOVE_PROGRAM.ASP</v>
      </c>
      <c r="E2241" s="8" t="s">
        <v>392</v>
      </c>
    </row>
    <row r="2242" ht="14.25" hidden="1" customHeight="1">
      <c r="A2242" s="8" t="s">
        <v>2469</v>
      </c>
      <c r="B2242" s="8" t="s">
        <v>1615</v>
      </c>
      <c r="D2242" s="121" t="str">
        <f>HYPERLINK("http://www.lasvegas.va.gov/services/NEUROLOGY_CLINIC.ASP")</f>
        <v>http://www.lasvegas.va.gov/services/NEUROLOGY_CLINIC.ASP</v>
      </c>
      <c r="E2242" s="8" t="s">
        <v>392</v>
      </c>
    </row>
    <row r="2243" ht="14.25" hidden="1" customHeight="1">
      <c r="A2243" s="8" t="s">
        <v>2469</v>
      </c>
      <c r="B2243" s="8" t="s">
        <v>2507</v>
      </c>
      <c r="D2243" s="121" t="str">
        <f>HYPERLINK("http://www.lasvegas.va.gov/services/NEW_VETERAN_ORIENTATION.ASP")</f>
        <v>http://www.lasvegas.va.gov/services/NEW_VETERAN_ORIENTATION.ASP</v>
      </c>
      <c r="E2243" s="8" t="s">
        <v>392</v>
      </c>
    </row>
    <row r="2244" ht="14.25" hidden="1" customHeight="1">
      <c r="A2244" s="8" t="s">
        <v>2469</v>
      </c>
      <c r="B2244" s="8" t="s">
        <v>2510</v>
      </c>
      <c r="D2244" s="121" t="str">
        <f>HYPERLINK("http://www.lasvegas.va.gov/services/OMT_CLINIC.ASP")</f>
        <v>http://www.lasvegas.va.gov/services/OMT_CLINIC.ASP</v>
      </c>
      <c r="E2244" s="8" t="s">
        <v>392</v>
      </c>
    </row>
    <row r="2245" ht="14.25" hidden="1" customHeight="1">
      <c r="A2245" s="8" t="s">
        <v>2469</v>
      </c>
      <c r="B2245" s="8" t="s">
        <v>2511</v>
      </c>
      <c r="D2245" s="121" t="str">
        <f>HYPERLINK("http://www.lasvegas.va.gov/services/OCCUPATIONAL_THERAPY_CLINIC.ASP")</f>
        <v>http://www.lasvegas.va.gov/services/OCCUPATIONAL_THERAPY_CLINIC.ASP</v>
      </c>
      <c r="E2245" s="8" t="s">
        <v>392</v>
      </c>
    </row>
    <row r="2246" ht="14.25" hidden="1" customHeight="1">
      <c r="A2246" s="8" t="s">
        <v>2469</v>
      </c>
      <c r="B2246" s="8" t="s">
        <v>2513</v>
      </c>
      <c r="D2246" s="121" t="str">
        <f>HYPERLINK("http://www.lasvegas.va.gov/services/OPHTHALMOLOGY_CLINIC.ASP")</f>
        <v>http://www.lasvegas.va.gov/services/OPHTHALMOLOGY_CLINIC.ASP</v>
      </c>
      <c r="E2246" s="8" t="s">
        <v>392</v>
      </c>
    </row>
    <row r="2247" ht="14.25" hidden="1" customHeight="1">
      <c r="A2247" s="8" t="s">
        <v>2469</v>
      </c>
      <c r="B2247" s="8" t="s">
        <v>705</v>
      </c>
      <c r="D2247" s="121" t="str">
        <f>HYPERLINK("http://www.lasvegas.va.gov/services/OPTOMETRY_CLINIC.ASP")</f>
        <v>http://www.lasvegas.va.gov/services/OPTOMETRY_CLINIC.ASP</v>
      </c>
      <c r="E2247" s="8" t="s">
        <v>392</v>
      </c>
    </row>
    <row r="2248" ht="14.25" hidden="1" customHeight="1">
      <c r="A2248" s="8" t="s">
        <v>2469</v>
      </c>
      <c r="B2248" s="8" t="s">
        <v>2192</v>
      </c>
      <c r="D2248" s="121" t="str">
        <f>HYPERLINK("http://www.lasvegas.va.gov/services/ORTHOPEDIC_CLINIC.ASP")</f>
        <v>http://www.lasvegas.va.gov/services/ORTHOPEDIC_CLINIC.ASP</v>
      </c>
      <c r="E2248" s="8" t="s">
        <v>392</v>
      </c>
    </row>
    <row r="2249" ht="14.25" hidden="1" customHeight="1">
      <c r="A2249" s="8" t="s">
        <v>2469</v>
      </c>
      <c r="B2249" s="8" t="s">
        <v>2516</v>
      </c>
      <c r="D2249" s="121" t="str">
        <f>HYPERLINK("http://www.lasvegas.va.gov/services/PACT.ASP")</f>
        <v>http://www.lasvegas.va.gov/services/PACT.ASP</v>
      </c>
      <c r="E2249" s="8" t="s">
        <v>392</v>
      </c>
    </row>
    <row r="2250" ht="14.25" hidden="1" customHeight="1">
      <c r="A2250" s="8" t="s">
        <v>2469</v>
      </c>
      <c r="B2250" s="8" t="s">
        <v>2517</v>
      </c>
      <c r="D2250" s="121" t="str">
        <f>HYPERLINK("http://www.lasvegas.va.gov/services/PAVE_CLINIC.ASP")</f>
        <v>http://www.lasvegas.va.gov/services/PAVE_CLINIC.ASP</v>
      </c>
      <c r="E2250" s="8" t="s">
        <v>392</v>
      </c>
    </row>
    <row r="2251" ht="14.25" hidden="1" customHeight="1">
      <c r="A2251" s="8" t="s">
        <v>2469</v>
      </c>
      <c r="B2251" s="8" t="s">
        <v>2519</v>
      </c>
      <c r="D2251" s="121" t="str">
        <f>HYPERLINK("http://www.lasvegas.va.gov/services/PAIN.ASP")</f>
        <v>http://www.lasvegas.va.gov/services/PAIN.ASP</v>
      </c>
      <c r="E2251" s="8" t="s">
        <v>392</v>
      </c>
    </row>
    <row r="2252" ht="14.25" hidden="1" customHeight="1">
      <c r="A2252" s="8" t="s">
        <v>2469</v>
      </c>
      <c r="B2252" s="8" t="s">
        <v>2065</v>
      </c>
      <c r="D2252" s="121" t="str">
        <f>HYPERLINK("http://www.lasvegas.va.gov/services/PAIN_CLINIC.ASP")</f>
        <v>http://www.lasvegas.va.gov/services/PAIN_CLINIC.ASP</v>
      </c>
      <c r="E2252" s="8" t="s">
        <v>392</v>
      </c>
    </row>
    <row r="2253" ht="14.25" hidden="1" customHeight="1">
      <c r="A2253" s="8" t="s">
        <v>2469</v>
      </c>
      <c r="B2253" s="8" t="s">
        <v>343</v>
      </c>
      <c r="D2253" s="121" t="str">
        <f>HYPERLINK("http://www.lasvegas.va.gov/services/PHARMACY.ASP")</f>
        <v>http://www.lasvegas.va.gov/services/PHARMACY.ASP</v>
      </c>
      <c r="E2253" s="8" t="s">
        <v>392</v>
      </c>
    </row>
    <row r="2254" ht="14.25" hidden="1" customHeight="1">
      <c r="A2254" s="8" t="s">
        <v>2469</v>
      </c>
      <c r="B2254" s="8" t="s">
        <v>2520</v>
      </c>
      <c r="D2254" s="121" t="str">
        <f>HYPERLINK("http://www.lasvegas.va.gov/services/PHYSICAL_THERAPY_CLINIC.ASP")</f>
        <v>http://www.lasvegas.va.gov/services/PHYSICAL_THERAPY_CLINIC.ASP</v>
      </c>
      <c r="E2254" s="8" t="s">
        <v>392</v>
      </c>
    </row>
    <row r="2255" ht="14.25" hidden="1" customHeight="1">
      <c r="A2255" s="8" t="s">
        <v>2469</v>
      </c>
      <c r="B2255" s="8" t="s">
        <v>1445</v>
      </c>
      <c r="D2255" s="121" t="str">
        <f>HYPERLINK("http://www.lasvegas.va.gov/services/PLASTIC_SURGERY_CLINIC.ASP")</f>
        <v>http://www.lasvegas.va.gov/services/PLASTIC_SURGERY_CLINIC.ASP</v>
      </c>
      <c r="E2255" s="8" t="s">
        <v>392</v>
      </c>
    </row>
    <row r="2256" ht="14.25" hidden="1" customHeight="1">
      <c r="A2256" s="8" t="s">
        <v>2469</v>
      </c>
      <c r="B2256" s="8" t="s">
        <v>1446</v>
      </c>
      <c r="D2256" s="121" t="str">
        <f>HYPERLINK("http://www.lasvegas.va.gov/services/PODIATRY_CLINIC.ASP")</f>
        <v>http://www.lasvegas.va.gov/services/PODIATRY_CLINIC.ASP</v>
      </c>
      <c r="E2256" s="8" t="s">
        <v>392</v>
      </c>
    </row>
    <row r="2257" ht="14.25" hidden="1" customHeight="1">
      <c r="A2257" s="8" t="s">
        <v>2469</v>
      </c>
      <c r="B2257" s="8" t="s">
        <v>2521</v>
      </c>
      <c r="D2257" s="121" t="str">
        <f>HYPERLINK("http://www.lasvegas.va.gov/services/PREOP_CLINIC.ASP")</f>
        <v>http://www.lasvegas.va.gov/services/PREOP_CLINIC.ASP</v>
      </c>
      <c r="E2257" s="8" t="s">
        <v>392</v>
      </c>
    </row>
    <row r="2258" ht="14.25" hidden="1" customHeight="1">
      <c r="A2258" s="8" t="s">
        <v>2469</v>
      </c>
      <c r="B2258" s="8" t="s">
        <v>2522</v>
      </c>
      <c r="D2258" s="121" t="str">
        <f>HYPERLINK("http://www.lasvegas.va.gov/services/PROSTHETICS.ASP")</f>
        <v>http://www.lasvegas.va.gov/services/PROSTHETICS.ASP</v>
      </c>
      <c r="E2258" s="8" t="s">
        <v>392</v>
      </c>
    </row>
    <row r="2259" ht="14.25" hidden="1" customHeight="1">
      <c r="A2259" s="8" t="s">
        <v>2469</v>
      </c>
      <c r="B2259" s="8" t="s">
        <v>1497</v>
      </c>
      <c r="D2259" s="121" t="str">
        <f>HYPERLINK("http://www.lasvegas.va.gov/services/PULMONARY_CLINIC.ASP")</f>
        <v>http://www.lasvegas.va.gov/services/PULMONARY_CLINIC.ASP</v>
      </c>
      <c r="E2259" s="8" t="s">
        <v>392</v>
      </c>
    </row>
    <row r="2260" ht="14.25" hidden="1" customHeight="1">
      <c r="A2260" s="8" t="s">
        <v>2469</v>
      </c>
      <c r="B2260" s="8" t="s">
        <v>2524</v>
      </c>
      <c r="D2260" s="121" t="str">
        <f>HYPERLINK("http://www.lasvegas.va.gov/services/RADIOLOGY_SCHEDULING.ASP")</f>
        <v>http://www.lasvegas.va.gov/services/RADIOLOGY_SCHEDULING.ASP</v>
      </c>
      <c r="E2260" s="8" t="s">
        <v>392</v>
      </c>
    </row>
    <row r="2261" ht="14.25" hidden="1" customHeight="1">
      <c r="A2261" s="8" t="s">
        <v>2469</v>
      </c>
      <c r="B2261" s="8" t="s">
        <v>505</v>
      </c>
      <c r="D2261" s="121" t="str">
        <f>HYPERLINK("http://www.lasvegas.va.gov/services/RECREATION_THERAPY.ASP")</f>
        <v>http://www.lasvegas.va.gov/services/RECREATION_THERAPY.ASP</v>
      </c>
      <c r="E2261" s="8" t="s">
        <v>392</v>
      </c>
    </row>
    <row r="2262" ht="14.25" hidden="1" customHeight="1">
      <c r="A2262" s="8" t="s">
        <v>2469</v>
      </c>
      <c r="B2262" s="8" t="s">
        <v>2526</v>
      </c>
      <c r="D2262" s="121" t="str">
        <f>HYPERLINK("http://www.lasvegas.va.gov/services/REHAB_CLINIC.ASP")</f>
        <v>http://www.lasvegas.va.gov/services/REHAB_CLINIC.ASP</v>
      </c>
      <c r="E2262" s="8" t="s">
        <v>392</v>
      </c>
    </row>
    <row r="2263" ht="14.25" hidden="1" customHeight="1">
      <c r="A2263" s="8" t="s">
        <v>2469</v>
      </c>
      <c r="B2263" s="8" t="s">
        <v>1675</v>
      </c>
      <c r="D2263" s="121" t="str">
        <f>HYPERLINK("http://www.lasvegas.va.gov/services/RENAL_CLINIC.ASP")</f>
        <v>http://www.lasvegas.va.gov/services/RENAL_CLINIC.ASP</v>
      </c>
      <c r="E2263" s="8" t="s">
        <v>392</v>
      </c>
    </row>
    <row r="2264" ht="14.25" hidden="1" customHeight="1">
      <c r="A2264" s="8" t="s">
        <v>2469</v>
      </c>
      <c r="B2264" s="8" t="s">
        <v>2523</v>
      </c>
      <c r="D2264" s="121" t="str">
        <f>HYPERLINK("http://www.lasvegas.va.gov/services/RHEUMATOLOGY_CLINIC.ASP")</f>
        <v>http://www.lasvegas.va.gov/services/RHEUMATOLOGY_CLINIC.ASP</v>
      </c>
      <c r="E2264" s="8" t="s">
        <v>392</v>
      </c>
    </row>
    <row r="2265" ht="14.25" hidden="1" customHeight="1">
      <c r="A2265" s="8" t="s">
        <v>2469</v>
      </c>
      <c r="B2265" s="8" t="s">
        <v>2529</v>
      </c>
      <c r="D2265" s="121" t="str">
        <f>HYPERLINK("http://www.lasvegas.va.gov/services/SLEEP_MEDICINE_CARE.ASP")</f>
        <v>http://www.lasvegas.va.gov/services/SLEEP_MEDICINE_CARE.ASP</v>
      </c>
      <c r="E2265" s="8" t="s">
        <v>392</v>
      </c>
    </row>
    <row r="2266" ht="14.25" hidden="1" customHeight="1">
      <c r="A2266" s="8" t="s">
        <v>2469</v>
      </c>
      <c r="B2266" s="8" t="s">
        <v>1379</v>
      </c>
      <c r="D2266" s="121" t="str">
        <f>HYPERLINK("http://www.lasvegas.va.gov/services/SPEECH_PATHOLOGY_CLINIC.ASP")</f>
        <v>http://www.lasvegas.va.gov/services/SPEECH_PATHOLOGY_CLINIC.ASP</v>
      </c>
      <c r="E2266" s="8" t="s">
        <v>392</v>
      </c>
    </row>
    <row r="2267" ht="14.25" hidden="1" customHeight="1">
      <c r="A2267" s="8" t="s">
        <v>2469</v>
      </c>
      <c r="B2267" s="8" t="s">
        <v>2530</v>
      </c>
      <c r="D2267" s="121" t="str">
        <f>HYPERLINK("http://www.lasvegas.va.gov/services/SPINAL_CORD_INJURY_CLINIC.ASP")</f>
        <v>http://www.lasvegas.va.gov/services/SPINAL_CORD_INJURY_CLINIC.ASP</v>
      </c>
      <c r="E2267" s="8" t="s">
        <v>392</v>
      </c>
    </row>
    <row r="2268" ht="14.25" hidden="1" customHeight="1">
      <c r="A2268" s="8" t="s">
        <v>2469</v>
      </c>
      <c r="B2268" s="8" t="s">
        <v>2532</v>
      </c>
      <c r="D2268" s="121" t="str">
        <f>HYPERLINK("http://www.lasvegas.va.gov/services/SPINAL_STIMULATOR_CLINIC.ASP")</f>
        <v>http://www.lasvegas.va.gov/services/SPINAL_STIMULATOR_CLINIC.ASP</v>
      </c>
      <c r="E2268" s="8" t="s">
        <v>392</v>
      </c>
    </row>
    <row r="2269" ht="14.25" hidden="1" customHeight="1">
      <c r="A2269" s="8" t="s">
        <v>2469</v>
      </c>
      <c r="B2269" s="8" t="s">
        <v>2534</v>
      </c>
      <c r="D2269" s="121" t="str">
        <f>HYPERLINK("http://www.lasvegas.va.gov/services/TRAUMA_BRAIN_INJURY_CLINIC.ASP")</f>
        <v>http://www.lasvegas.va.gov/services/TRAUMA_BRAIN_INJURY_CLINIC.ASP</v>
      </c>
      <c r="E2269" s="8" t="s">
        <v>392</v>
      </c>
    </row>
    <row r="2270" ht="14.25" hidden="1" customHeight="1">
      <c r="A2270" s="8" t="s">
        <v>2469</v>
      </c>
      <c r="B2270" s="8" t="s">
        <v>2536</v>
      </c>
      <c r="D2270" s="121" t="str">
        <f>HYPERLINK("http://www.lasvegas.va.gov/services/TRAVELING_VETERANS_PROGRAM_SERVICES.ASP")</f>
        <v>http://www.lasvegas.va.gov/services/TRAVELING_VETERANS_PROGRAM_SERVICES.ASP</v>
      </c>
      <c r="E2270" s="8" t="s">
        <v>392</v>
      </c>
    </row>
    <row r="2271" ht="14.25" hidden="1" customHeight="1">
      <c r="A2271" s="8" t="s">
        <v>2469</v>
      </c>
      <c r="B2271" s="8" t="s">
        <v>1452</v>
      </c>
      <c r="D2271" s="121" t="str">
        <f>HYPERLINK("http://www.lasvegas.va.gov/services/UROLOGY_CLINIC.ASP")</f>
        <v>http://www.lasvegas.va.gov/services/UROLOGY_CLINIC.ASP</v>
      </c>
      <c r="E2271" s="8" t="s">
        <v>392</v>
      </c>
    </row>
    <row r="2272" ht="14.25" hidden="1" customHeight="1">
      <c r="A2272" s="8" t="s">
        <v>2469</v>
      </c>
      <c r="B2272" s="8" t="s">
        <v>2540</v>
      </c>
      <c r="D2272" s="121" t="str">
        <f>HYPERLINK("http://www.lasvegas.va.gov/services/VASCULAR_CLINIC.ASP")</f>
        <v>http://www.lasvegas.va.gov/services/VASCULAR_CLINIC.ASP</v>
      </c>
      <c r="E2272" s="8" t="s">
        <v>392</v>
      </c>
    </row>
    <row r="2273" ht="14.25" hidden="1" customHeight="1">
      <c r="A2273" s="8" t="s">
        <v>2469</v>
      </c>
      <c r="B2273" s="8" t="s">
        <v>1876</v>
      </c>
      <c r="D2273" s="121" t="str">
        <f>HYPERLINK("http://www.lasvegas.va.gov/services/VETERANS_TRANSPORTATION_SERVICES.ASP")</f>
        <v>http://www.lasvegas.va.gov/services/VETERANS_TRANSPORTATION_SERVICES.ASP</v>
      </c>
      <c r="E2273" s="8" t="s">
        <v>392</v>
      </c>
    </row>
    <row r="2274" ht="14.25" hidden="1" customHeight="1">
      <c r="A2274" s="8" t="s">
        <v>2469</v>
      </c>
      <c r="B2274" s="8" t="s">
        <v>2546</v>
      </c>
      <c r="D2274" s="121" t="str">
        <f>HYPERLINK("http://www.lasvegas.va.gov/services/VISUAL_IMPAIRMENT_SERVICE_TEAM_BLIND_REHABILITATION.ASP")</f>
        <v>http://www.lasvegas.va.gov/services/VISUAL_IMPAIRMENT_SERVICE_TEAM_BLIND_REHABILITATION.ASP</v>
      </c>
      <c r="E2274" s="8" t="s">
        <v>392</v>
      </c>
    </row>
    <row r="2275" ht="14.25" hidden="1" customHeight="1">
      <c r="A2275" s="8" t="s">
        <v>2469</v>
      </c>
      <c r="B2275" s="8" t="s">
        <v>2547</v>
      </c>
      <c r="D2275" s="121" t="str">
        <f>HYPERLINK("http://www.lasvegas.va.gov/services/WOMEN_HEALTH_CENTER.ASP")</f>
        <v>http://www.lasvegas.va.gov/services/WOMEN_HEALTH_CENTER.ASP</v>
      </c>
      <c r="E2275" s="8" t="s">
        <v>392</v>
      </c>
    </row>
    <row r="2276" ht="14.25" hidden="1" customHeight="1">
      <c r="A2276" s="8" t="s">
        <v>2469</v>
      </c>
      <c r="B2276" s="8" t="s">
        <v>1751</v>
      </c>
      <c r="D2276" s="121" t="str">
        <f>HYPERLINK("http://www.lasvegas.va.gov/services/WOUND_CLINIC.ASP")</f>
        <v>http://www.lasvegas.va.gov/services/WOUND_CLINIC.ASP</v>
      </c>
      <c r="E2276" s="8" t="s">
        <v>392</v>
      </c>
    </row>
    <row r="2277" ht="14.25" hidden="1" customHeight="1">
      <c r="A2277" s="8" t="s">
        <v>2499</v>
      </c>
      <c r="B2277" s="8" t="s">
        <v>446</v>
      </c>
      <c r="D2277" s="121" t="str">
        <f>HYPERLINK("http://www.leavenworth.va.gov/services/BEHAVIORAL_HEALTH.ASP")</f>
        <v>http://www.leavenworth.va.gov/services/BEHAVIORAL_HEALTH.ASP</v>
      </c>
      <c r="E2277" s="8" t="s">
        <v>595</v>
      </c>
    </row>
    <row r="2278" ht="14.25" hidden="1" customHeight="1">
      <c r="A2278" s="8" t="s">
        <v>2499</v>
      </c>
      <c r="B2278" s="8" t="s">
        <v>2553</v>
      </c>
      <c r="D2278" s="121" t="str">
        <f>HYPERLINK("http://www.leavenworth.va.gov/services/DOMICILLIARY_CARE_SERVICES_LEAVENWORTH.ASP")</f>
        <v>http://www.leavenworth.va.gov/services/DOMICILLIARY_CARE_SERVICES_LEAVENWORTH.ASP</v>
      </c>
      <c r="E2278" s="8" t="s">
        <v>392</v>
      </c>
    </row>
    <row r="2279" ht="14.25" hidden="1" customHeight="1">
      <c r="A2279" s="8" t="s">
        <v>2499</v>
      </c>
      <c r="B2279" s="8" t="s">
        <v>556</v>
      </c>
      <c r="D2279" s="121" t="str">
        <f>HYPERLINK("http://www.leavenworth.va.gov/services/GERIATRICS_AND_EXTENDED_CARE.ASP")</f>
        <v>http://www.leavenworth.va.gov/services/GERIATRICS_AND_EXTENDED_CARE.ASP</v>
      </c>
      <c r="E2279" s="8" t="s">
        <v>392</v>
      </c>
    </row>
    <row r="2280" ht="14.25" hidden="1" customHeight="1">
      <c r="A2280" s="8" t="s">
        <v>2499</v>
      </c>
      <c r="B2280" s="8" t="s">
        <v>323</v>
      </c>
      <c r="D2280" s="121" t="str">
        <f>HYPERLINK("http://www.leavenworth.va.gov/services/BEHAVIORAL_HEALTH.ASP")</f>
        <v>http://www.leavenworth.va.gov/services/BEHAVIORAL_HEALTH.ASP</v>
      </c>
      <c r="E2280" s="8" t="s">
        <v>392</v>
      </c>
    </row>
    <row r="2281" ht="14.25" hidden="1" customHeight="1">
      <c r="A2281" s="8" t="s">
        <v>2499</v>
      </c>
      <c r="B2281" s="8" t="s">
        <v>343</v>
      </c>
      <c r="D2281" s="121" t="str">
        <f>HYPERLINK("http://www.leavenworth.va.gov/services/PHARMACY.ASP")</f>
        <v>http://www.leavenworth.va.gov/services/PHARMACY.ASP</v>
      </c>
      <c r="E2281" s="8" t="s">
        <v>392</v>
      </c>
    </row>
    <row r="2282" ht="14.25" hidden="1" customHeight="1">
      <c r="A2282" s="8" t="s">
        <v>2499</v>
      </c>
      <c r="B2282" s="8" t="s">
        <v>508</v>
      </c>
      <c r="D2282" s="121" t="str">
        <f>HYPERLINK("http://www.leavenworth.va.gov/services/RESEARCH.ASP")</f>
        <v>http://www.leavenworth.va.gov/services/RESEARCH.ASP</v>
      </c>
      <c r="E2282" s="8" t="s">
        <v>392</v>
      </c>
    </row>
    <row r="2283" ht="14.25" hidden="1" customHeight="1">
      <c r="A2283" s="8" t="s">
        <v>2499</v>
      </c>
      <c r="B2283" s="8" t="s">
        <v>360</v>
      </c>
      <c r="D2283" s="121" t="str">
        <f>HYPERLINK("http://www.leavenworth.va.gov/services/SOCIAL_WORK.ASP")</f>
        <v>http://www.leavenworth.va.gov/services/SOCIAL_WORK.ASP</v>
      </c>
      <c r="E2283" s="8" t="s">
        <v>392</v>
      </c>
    </row>
    <row r="2284" ht="14.25" hidden="1" customHeight="1">
      <c r="A2284" s="8" t="s">
        <v>2499</v>
      </c>
      <c r="B2284" s="8" t="s">
        <v>363</v>
      </c>
      <c r="D2284" s="121" t="str">
        <f>HYPERLINK("http://www.leavenworth.va.gov/services/SPECIALTY_CARE.ASP")</f>
        <v>http://www.leavenworth.va.gov/services/SPECIALTY_CARE.ASP</v>
      </c>
      <c r="E2284" s="8" t="s">
        <v>392</v>
      </c>
    </row>
    <row r="2285" ht="14.25" hidden="1" customHeight="1">
      <c r="A2285" s="8" t="s">
        <v>2499</v>
      </c>
      <c r="B2285" s="8" t="s">
        <v>2562</v>
      </c>
      <c r="D2285" s="121" t="str">
        <f>HYPERLINK("http://www.leavenworth.va.gov/services/SUBSTANCE_USE_DISORDER_TREATMENT.ASP")</f>
        <v>http://www.leavenworth.va.gov/services/SUBSTANCE_USE_DISORDER_TREATMENT.ASP</v>
      </c>
      <c r="E2285" s="8" t="s">
        <v>392</v>
      </c>
    </row>
    <row r="2286" ht="14.25" hidden="1" customHeight="1">
      <c r="A2286" s="8" t="s">
        <v>2499</v>
      </c>
      <c r="B2286" s="8" t="s">
        <v>370</v>
      </c>
      <c r="D2286" s="121" t="str">
        <f>HYPERLINK("http://www.leavenworth.va.gov/services/TELEHEALTH.ASP")</f>
        <v>http://www.leavenworth.va.gov/services/TELEHEALTH.ASP</v>
      </c>
      <c r="E2286" s="8" t="s">
        <v>392</v>
      </c>
    </row>
    <row r="2287" ht="14.25" hidden="1" customHeight="1">
      <c r="A2287" s="8" t="s">
        <v>2499</v>
      </c>
      <c r="B2287" s="8" t="s">
        <v>822</v>
      </c>
      <c r="D2287" s="121" t="str">
        <f>HYPERLINK("http://www.leavenworth.va.gov/services/VOCATIONAL_SERVICES.ASP")</f>
        <v>http://www.leavenworth.va.gov/services/VOCATIONAL_SERVICES.ASP</v>
      </c>
      <c r="E2287" s="8" t="s">
        <v>392</v>
      </c>
    </row>
    <row r="2288" ht="14.25" hidden="1" customHeight="1">
      <c r="A2288" s="272" t="s">
        <v>2566</v>
      </c>
      <c r="B2288" s="8" t="s">
        <v>618</v>
      </c>
      <c r="D2288" s="121" t="str">
        <f>HYPERLINK("http://www.lebanon.va.gov/services/AGENTCASHIER.ASP")</f>
        <v>http://www.lebanon.va.gov/services/AGENTCASHIER.ASP</v>
      </c>
      <c r="E2288" s="8" t="s">
        <v>392</v>
      </c>
    </row>
    <row r="2289" ht="14.25" hidden="1" customHeight="1">
      <c r="A2289" s="272" t="s">
        <v>2566</v>
      </c>
      <c r="B2289" s="8" t="s">
        <v>2574</v>
      </c>
      <c r="D2289" s="121" t="str">
        <f>HYPERLINK("http://www.lebanon.va.gov/services/AGENT_ORANGE_CLINIC.ASP")</f>
        <v>http://www.lebanon.va.gov/services/AGENT_ORANGE_CLINIC.ASP</v>
      </c>
      <c r="E2289" s="8" t="s">
        <v>392</v>
      </c>
    </row>
    <row r="2290" ht="14.25" hidden="1" customHeight="1">
      <c r="A2290" s="272" t="s">
        <v>2566</v>
      </c>
      <c r="B2290" s="8" t="s">
        <v>828</v>
      </c>
      <c r="D2290" s="121" t="str">
        <f>HYPERLINK("http://www.lebanon.va.gov/services/AUDIOLOGY_AND_SPEECH_PATHOLOGY.ASP")</f>
        <v>http://www.lebanon.va.gov/services/AUDIOLOGY_AND_SPEECH_PATHOLOGY.ASP</v>
      </c>
      <c r="E2290" s="8" t="s">
        <v>392</v>
      </c>
    </row>
    <row r="2291" ht="14.25" hidden="1" customHeight="1">
      <c r="A2291" s="272" t="s">
        <v>2566</v>
      </c>
      <c r="B2291" s="8" t="s">
        <v>993</v>
      </c>
      <c r="D2291" s="121" t="str">
        <f>HYPERLINK("http://www.lebanon.va.gov/services/BARBER.ASP")</f>
        <v>http://www.lebanon.va.gov/services/BARBER.ASP</v>
      </c>
      <c r="E2291" s="8" t="s">
        <v>392</v>
      </c>
    </row>
    <row r="2292" ht="14.25" hidden="1" customHeight="1">
      <c r="A2292" s="272" t="s">
        <v>2566</v>
      </c>
      <c r="B2292" s="8" t="s">
        <v>998</v>
      </c>
      <c r="D2292" s="121" t="str">
        <f>HYPERLINK("http://www.lebanon.va.gov/services/BILLING.ASP")</f>
        <v>http://www.lebanon.va.gov/services/BILLING.ASP</v>
      </c>
      <c r="E2292" s="8" t="s">
        <v>392</v>
      </c>
    </row>
    <row r="2293" ht="14.25" hidden="1" customHeight="1">
      <c r="A2293" s="272" t="s">
        <v>2566</v>
      </c>
      <c r="B2293" s="8" t="s">
        <v>864</v>
      </c>
      <c r="D2293" s="121" t="str">
        <f>HYPERLINK("http://www.lebanon.va.gov/services/CANTEEN.ASP")</f>
        <v>http://www.lebanon.va.gov/services/CANTEEN.ASP</v>
      </c>
      <c r="E2293" s="8" t="s">
        <v>392</v>
      </c>
    </row>
    <row r="2294" ht="14.25" hidden="1" customHeight="1">
      <c r="A2294" s="272" t="s">
        <v>2566</v>
      </c>
      <c r="B2294" s="8" t="s">
        <v>414</v>
      </c>
      <c r="D2294" s="121" t="str">
        <f>HYPERLINK("http://www.lebanon.va.gov/services/CARDIOLOGY.ASP")</f>
        <v>http://www.lebanon.va.gov/services/CARDIOLOGY.ASP</v>
      </c>
      <c r="E2294" s="8" t="s">
        <v>392</v>
      </c>
    </row>
    <row r="2295" ht="14.25" hidden="1" customHeight="1">
      <c r="A2295" s="272" t="s">
        <v>2566</v>
      </c>
      <c r="B2295" s="8" t="s">
        <v>1010</v>
      </c>
      <c r="D2295" s="121" t="str">
        <f>HYPERLINK("http://www.lebanon.va.gov/services/CARECOORDINATION.ASP")</f>
        <v>http://www.lebanon.va.gov/services/CARECOORDINATION.ASP</v>
      </c>
      <c r="E2295" s="8" t="s">
        <v>392</v>
      </c>
    </row>
    <row r="2296" ht="14.25" hidden="1" customHeight="1">
      <c r="A2296" s="272" t="s">
        <v>2566</v>
      </c>
      <c r="B2296" s="8" t="s">
        <v>484</v>
      </c>
      <c r="D2296" s="121" t="str">
        <f>HYPERLINK("http://www.lebanon.va.gov/services/CAREGIVERSUPPORT.ASP")</f>
        <v>http://www.lebanon.va.gov/services/CAREGIVERSUPPORT.ASP</v>
      </c>
      <c r="E2296" s="8" t="s">
        <v>392</v>
      </c>
    </row>
    <row r="2297" ht="14.25" hidden="1" customHeight="1">
      <c r="A2297" s="272" t="s">
        <v>2566</v>
      </c>
      <c r="B2297" s="8" t="s">
        <v>978</v>
      </c>
      <c r="D2297" s="121" t="str">
        <f>HYPERLINK("http://www.lebanon.va.gov/services/CHAPLAIN_SERVICE.ASP")</f>
        <v>http://www.lebanon.va.gov/services/CHAPLAIN_SERVICE.ASP</v>
      </c>
      <c r="E2297" s="8" t="s">
        <v>392</v>
      </c>
    </row>
    <row r="2298" ht="14.25" hidden="1" customHeight="1">
      <c r="A2298" s="272" t="s">
        <v>2566</v>
      </c>
      <c r="B2298" s="8" t="s">
        <v>2421</v>
      </c>
      <c r="D2298" s="121" t="str">
        <f>HYPERLINK("http://www.lebanon.va.gov/services/CHEMOTHERAPY.ASP")</f>
        <v>http://www.lebanon.va.gov/services/CHEMOTHERAPY.ASP</v>
      </c>
      <c r="E2298" s="8" t="s">
        <v>392</v>
      </c>
    </row>
    <row r="2299" ht="14.25" hidden="1" customHeight="1">
      <c r="A2299" s="272" t="s">
        <v>2566</v>
      </c>
      <c r="B2299" s="8" t="s">
        <v>1018</v>
      </c>
      <c r="D2299" s="121" t="str">
        <f>HYPERLINK("http://www.lebanon.va.gov/services/DAYCARE.ASP")</f>
        <v>http://www.lebanon.va.gov/services/DAYCARE.ASP</v>
      </c>
      <c r="E2299" s="8" t="s">
        <v>392</v>
      </c>
    </row>
    <row r="2300" ht="14.25" hidden="1" customHeight="1">
      <c r="A2300" s="272" t="s">
        <v>2566</v>
      </c>
      <c r="B2300" s="8" t="s">
        <v>543</v>
      </c>
      <c r="D2300" s="121" t="str">
        <f>HYPERLINK("http://www.lebanon.va.gov/services/COMMUNITYNURSINGHOMECARE.ASP")</f>
        <v>http://www.lebanon.va.gov/services/COMMUNITYNURSINGHOMECARE.ASP</v>
      </c>
      <c r="E2300" s="8" t="s">
        <v>392</v>
      </c>
    </row>
    <row r="2301" ht="14.25" hidden="1" customHeight="1">
      <c r="A2301" s="272" t="s">
        <v>2566</v>
      </c>
      <c r="B2301" s="8" t="s">
        <v>455</v>
      </c>
      <c r="D2301" s="121" t="str">
        <f>HYPERLINK("http://www.lebanon.va.gov/services/COMPENSATIONANDPENSION.ASP")</f>
        <v>http://www.lebanon.va.gov/services/COMPENSATIONANDPENSION.ASP</v>
      </c>
      <c r="E2301" s="8" t="s">
        <v>392</v>
      </c>
    </row>
    <row r="2302" ht="14.25" hidden="1" customHeight="1">
      <c r="A2302" s="272" t="s">
        <v>2566</v>
      </c>
      <c r="B2302" s="8" t="s">
        <v>304</v>
      </c>
      <c r="D2302" s="121" t="str">
        <f>HYPERLINK("http://www.lebanon.va.gov/services/DENTAL.ASP")</f>
        <v>http://www.lebanon.va.gov/services/DENTAL.ASP</v>
      </c>
      <c r="E2302" s="8" t="s">
        <v>392</v>
      </c>
    </row>
    <row r="2303" ht="14.25" hidden="1" customHeight="1">
      <c r="A2303" s="272" t="s">
        <v>2566</v>
      </c>
      <c r="B2303" s="8" t="s">
        <v>517</v>
      </c>
      <c r="D2303" s="121" t="str">
        <f>HYPERLINK("http://www.lebanon.va.gov/services/DERMATOLOGY.ASP")</f>
        <v>http://www.lebanon.va.gov/services/DERMATOLOGY.ASP</v>
      </c>
      <c r="E2303" s="8" t="s">
        <v>392</v>
      </c>
    </row>
    <row r="2304" ht="14.25" hidden="1" customHeight="1">
      <c r="A2304" s="272" t="s">
        <v>2566</v>
      </c>
      <c r="B2304" s="8" t="s">
        <v>532</v>
      </c>
      <c r="D2304" s="121" t="str">
        <f>HYPERLINK("http://www.lebanon.va.gov/services/EMERGENCYROOM.ASP")</f>
        <v>http://www.lebanon.va.gov/services/EMERGENCYROOM.ASP</v>
      </c>
      <c r="E2304" s="8" t="s">
        <v>392</v>
      </c>
    </row>
    <row r="2305" ht="14.25" hidden="1" customHeight="1">
      <c r="A2305" s="272" t="s">
        <v>2566</v>
      </c>
      <c r="B2305" s="8" t="s">
        <v>485</v>
      </c>
      <c r="D2305" s="121" t="str">
        <f>HYPERLINK("http://www.lebanon.va.gov/services/ENROLLMENT.ASP")</f>
        <v>http://www.lebanon.va.gov/services/ENROLLMENT.ASP</v>
      </c>
      <c r="E2305" s="8" t="s">
        <v>392</v>
      </c>
    </row>
    <row r="2306" ht="14.25" hidden="1" customHeight="1">
      <c r="A2306" s="272" t="s">
        <v>2566</v>
      </c>
      <c r="B2306" s="8" t="s">
        <v>549</v>
      </c>
      <c r="D2306" s="121" t="str">
        <f>HYPERLINK("http://www.lebanon.va.gov/services/GASTROENTEROLOGY.ASP")</f>
        <v>http://www.lebanon.va.gov/services/GASTROENTEROLOGY.ASP</v>
      </c>
      <c r="E2306" s="8" t="s">
        <v>392</v>
      </c>
    </row>
    <row r="2307" ht="14.25" hidden="1" customHeight="1">
      <c r="A2307" s="272" t="s">
        <v>2566</v>
      </c>
      <c r="B2307" s="8" t="s">
        <v>2600</v>
      </c>
      <c r="D2307" s="121" t="str">
        <f>HYPERLINK("http://www.lebanon.va.gov/services/GULFWAREXAM.ASP")</f>
        <v>http://www.lebanon.va.gov/services/GULFWAREXAM.ASP</v>
      </c>
      <c r="E2307" s="8" t="s">
        <v>392</v>
      </c>
    </row>
    <row r="2308" ht="14.25" hidden="1" customHeight="1">
      <c r="A2308" s="272" t="s">
        <v>2566</v>
      </c>
      <c r="B2308" s="8" t="s">
        <v>2602</v>
      </c>
      <c r="D2308" s="121" t="str">
        <f>HYPERLINK("http://www.lebanon.va.gov/services/HIVPROGRAM.ASP")</f>
        <v>http://www.lebanon.va.gov/services/HIVPROGRAM.ASP</v>
      </c>
      <c r="E2308" s="8" t="s">
        <v>392</v>
      </c>
    </row>
    <row r="2309" ht="14.25" hidden="1" customHeight="1">
      <c r="A2309" s="272" t="s">
        <v>2566</v>
      </c>
      <c r="B2309" s="8" t="s">
        <v>560</v>
      </c>
      <c r="D2309" s="121" t="str">
        <f>HYPERLINK("http://www.lebanon.va.gov/services/HEMATOLOGY.ASP")</f>
        <v>http://www.lebanon.va.gov/services/HEMATOLOGY.ASP</v>
      </c>
      <c r="E2309" s="8" t="s">
        <v>392</v>
      </c>
    </row>
    <row r="2310" ht="14.25" hidden="1" customHeight="1">
      <c r="A2310" s="272" t="s">
        <v>2566</v>
      </c>
      <c r="B2310" s="8" t="s">
        <v>2608</v>
      </c>
      <c r="D2310" s="121" t="str">
        <f>HYPERLINK("http://www.lebanon.va.gov/services/HEPATITISCSCREENING.ASP")</f>
        <v>http://www.lebanon.va.gov/services/HEPATITISCSCREENING.ASP</v>
      </c>
      <c r="E2310" s="8" t="s">
        <v>392</v>
      </c>
    </row>
    <row r="2311" ht="14.25" hidden="1" customHeight="1">
      <c r="A2311" s="272" t="s">
        <v>2566</v>
      </c>
      <c r="B2311" s="8" t="s">
        <v>571</v>
      </c>
      <c r="D2311" s="121" t="str">
        <f>HYPERLINK("http://www.lebanon.va.gov/services/HOMELESSVETERANPROGRAM.ASP")</f>
        <v>http://www.lebanon.va.gov/services/HOMELESSVETERANPROGRAM.ASP</v>
      </c>
      <c r="E2311" s="8" t="s">
        <v>392</v>
      </c>
    </row>
    <row r="2312" ht="14.25" hidden="1" customHeight="1">
      <c r="A2312" s="272" t="s">
        <v>2566</v>
      </c>
      <c r="B2312" s="8" t="s">
        <v>755</v>
      </c>
      <c r="D2312" s="121" t="str">
        <f>HYPERLINK("http://www.lebanon.va.gov/services/HOSPICE.ASP")</f>
        <v>http://www.lebanon.va.gov/services/HOSPICE.ASP</v>
      </c>
      <c r="E2312" s="8" t="s">
        <v>392</v>
      </c>
    </row>
    <row r="2313" ht="14.25" hidden="1" customHeight="1">
      <c r="A2313" s="272" t="s">
        <v>2566</v>
      </c>
      <c r="B2313" s="8" t="s">
        <v>579</v>
      </c>
      <c r="D2313" s="121" t="str">
        <f>HYPERLINK("http://www.lebanon.va.gov/services/INFECTIOUSDISEASE.ASP")</f>
        <v>http://www.lebanon.va.gov/services/INFECTIOUSDISEASE.ASP</v>
      </c>
      <c r="E2313" s="8" t="s">
        <v>392</v>
      </c>
    </row>
    <row r="2314" ht="14.25" hidden="1" customHeight="1">
      <c r="A2314" s="272" t="s">
        <v>2566</v>
      </c>
      <c r="B2314" s="8" t="s">
        <v>1030</v>
      </c>
      <c r="D2314" s="121" t="str">
        <f>HYPERLINK("http://www.lebanon.va.gov/services/JUSTICEOUTREACHPROGRAM.ASP")</f>
        <v>http://www.lebanon.va.gov/services/JUSTICEOUTREACHPROGRAM.ASP</v>
      </c>
      <c r="E2314" s="8" t="s">
        <v>392</v>
      </c>
    </row>
    <row r="2315" ht="14.25" hidden="1" customHeight="1">
      <c r="A2315" s="272" t="s">
        <v>2566</v>
      </c>
      <c r="B2315" s="8" t="s">
        <v>584</v>
      </c>
      <c r="D2315" s="121" t="str">
        <f>HYPERLINK("http://www.lebanon.va.gov/services/LABORATORY.ASP")</f>
        <v>http://www.lebanon.va.gov/services/LABORATORY.ASP</v>
      </c>
      <c r="E2315" s="8" t="s">
        <v>392</v>
      </c>
    </row>
    <row r="2316" ht="14.25" hidden="1" customHeight="1">
      <c r="A2316" s="272" t="s">
        <v>2566</v>
      </c>
      <c r="B2316" s="8" t="s">
        <v>598</v>
      </c>
      <c r="D2316" s="121" t="str">
        <f>HYPERLINK("http://www.lebanon.va.gov/services/MOVE.ASP")</f>
        <v>http://www.lebanon.va.gov/services/MOVE.ASP</v>
      </c>
      <c r="E2316" s="8" t="s">
        <v>392</v>
      </c>
    </row>
    <row r="2317" ht="14.25" hidden="1" customHeight="1">
      <c r="A2317" s="272" t="s">
        <v>2566</v>
      </c>
      <c r="B2317" s="8" t="s">
        <v>2614</v>
      </c>
      <c r="D2317" s="121" t="str">
        <f>HYPERLINK("http://www.lebanon.va.gov/services/MEANSTEST.ASP")</f>
        <v>http://www.lebanon.va.gov/services/MEANSTEST.ASP</v>
      </c>
      <c r="E2317" s="8" t="s">
        <v>392</v>
      </c>
    </row>
    <row r="2318" ht="14.25" hidden="1" customHeight="1">
      <c r="A2318" s="272" t="s">
        <v>2566</v>
      </c>
      <c r="B2318" s="8" t="s">
        <v>476</v>
      </c>
      <c r="D2318" s="121" t="str">
        <f>HYPERLINK("http://www.lebanon.va.gov/services/MEDICALFOSTERHOME.ASP")</f>
        <v>http://www.lebanon.va.gov/services/MEDICALFOSTERHOME.ASP</v>
      </c>
      <c r="E2318" s="8" t="s">
        <v>392</v>
      </c>
    </row>
    <row r="2319" ht="14.25" hidden="1" customHeight="1">
      <c r="A2319" s="272" t="s">
        <v>2566</v>
      </c>
      <c r="B2319" s="8" t="s">
        <v>323</v>
      </c>
      <c r="D2319" s="121" t="str">
        <f>HYPERLINK("http://www.lebanon.va.gov/services/PSYCHIATRYOUTPATIENT.ASP")</f>
        <v>http://www.lebanon.va.gov/services/PSYCHIATRYOUTPATIENT.ASP</v>
      </c>
      <c r="E2319" s="8" t="s">
        <v>392</v>
      </c>
    </row>
    <row r="2320" ht="14.25" hidden="1" customHeight="1">
      <c r="A2320" s="272" t="s">
        <v>2566</v>
      </c>
      <c r="B2320" s="8" t="s">
        <v>2001</v>
      </c>
      <c r="D2320" s="121" t="str">
        <f>HYPERLINK("http://www.lebanon.va.gov/services/MHICM.ASP")</f>
        <v>http://www.lebanon.va.gov/services/MHICM.ASP</v>
      </c>
      <c r="E2320" s="8" t="s">
        <v>392</v>
      </c>
    </row>
    <row r="2321" ht="14.25" hidden="1" customHeight="1">
      <c r="A2321" s="272" t="s">
        <v>2566</v>
      </c>
      <c r="B2321" s="8" t="s">
        <v>324</v>
      </c>
      <c r="D2321" s="121" t="str">
        <f>HYPERLINK("http://www.lebanon.va.gov/services/MILITARYSEXUALTRAUMA.ASP")</f>
        <v>http://www.lebanon.va.gov/services/MILITARYSEXUALTRAUMA.ASP</v>
      </c>
      <c r="E2321" s="8" t="s">
        <v>392</v>
      </c>
    </row>
    <row r="2322" ht="14.25" hidden="1" customHeight="1">
      <c r="A2322" s="272" t="s">
        <v>2566</v>
      </c>
      <c r="B2322" s="8" t="s">
        <v>325</v>
      </c>
      <c r="D2322" s="121" t="str">
        <f>HYPERLINK("http://www.lebanon.va.gov/services/MINORITYVETERANSPROGRAMCOORDINATOR.ASP")</f>
        <v>http://www.lebanon.va.gov/services/MINORITYVETERANSPROGRAMCOORDINATOR.ASP</v>
      </c>
      <c r="E2322" s="8" t="s">
        <v>392</v>
      </c>
    </row>
    <row r="2323" ht="14.25" hidden="1" customHeight="1">
      <c r="A2323" s="272" t="s">
        <v>2566</v>
      </c>
      <c r="B2323" s="8" t="s">
        <v>494</v>
      </c>
      <c r="D2323" s="121" t="str">
        <f>HYPERLINK("http://www.lebanon.va.gov/services/MYHEALTHEVET.ASP")</f>
        <v>http://www.lebanon.va.gov/services/MYHEALTHEVET.ASP</v>
      </c>
      <c r="E2323" s="8" t="s">
        <v>392</v>
      </c>
    </row>
    <row r="2324" ht="14.25" hidden="1" customHeight="1">
      <c r="A2324" s="272" t="s">
        <v>2566</v>
      </c>
      <c r="B2324" s="8" t="s">
        <v>671</v>
      </c>
      <c r="D2324" s="121" t="str">
        <f>HYPERLINK("http://www.lebanon.va.gov/services/NATIONAL_CRISIS_LINE.ASP")</f>
        <v>http://www.lebanon.va.gov/services/NATIONAL_CRISIS_LINE.ASP</v>
      </c>
      <c r="E2324" s="8" t="s">
        <v>392</v>
      </c>
    </row>
    <row r="2325" ht="14.25" hidden="1" customHeight="1">
      <c r="A2325" s="272" t="s">
        <v>2566</v>
      </c>
      <c r="B2325" s="8" t="s">
        <v>653</v>
      </c>
      <c r="D2325" s="121" t="str">
        <f>HYPERLINK("http://www.lebanon.va.gov/services/NEPHROLOGY.ASP")</f>
        <v>http://www.lebanon.va.gov/services/NEPHROLOGY.ASP</v>
      </c>
      <c r="E2325" s="8" t="s">
        <v>392</v>
      </c>
    </row>
    <row r="2326" ht="14.25" hidden="1" customHeight="1">
      <c r="A2326" s="272" t="s">
        <v>2566</v>
      </c>
      <c r="B2326" s="8" t="s">
        <v>661</v>
      </c>
      <c r="D2326" s="121" t="str">
        <f>HYPERLINK("http://www.lebanon.va.gov/services/NEUROLOGYSERVICE.ASP")</f>
        <v>http://www.lebanon.va.gov/services/NEUROLOGYSERVICE.ASP</v>
      </c>
      <c r="E2326" s="8" t="s">
        <v>392</v>
      </c>
    </row>
    <row r="2327" ht="14.25" hidden="1" customHeight="1">
      <c r="A2327" s="272" t="s">
        <v>2566</v>
      </c>
      <c r="B2327" s="8" t="s">
        <v>900</v>
      </c>
      <c r="D2327" s="121" t="str">
        <f>HYPERLINK("http://www.lebanon.va.gov/services/OCCUPATIONAL_THERAPY.ASP")</f>
        <v>http://www.lebanon.va.gov/services/OCCUPATIONAL_THERAPY.ASP</v>
      </c>
      <c r="E2327" s="8" t="s">
        <v>392</v>
      </c>
    </row>
    <row r="2328" ht="14.25" hidden="1" customHeight="1">
      <c r="A2328" s="272" t="s">
        <v>2566</v>
      </c>
      <c r="B2328" s="8" t="s">
        <v>839</v>
      </c>
      <c r="D2328" s="121" t="str">
        <f>HYPERLINK("http://www.lebanon.va.gov/services/ONCOLOGY.ASP")</f>
        <v>http://www.lebanon.va.gov/services/ONCOLOGY.ASP</v>
      </c>
      <c r="E2328" s="8" t="s">
        <v>392</v>
      </c>
    </row>
    <row r="2329" ht="14.25" hidden="1" customHeight="1">
      <c r="A2329" s="272" t="s">
        <v>2566</v>
      </c>
      <c r="B2329" s="8" t="s">
        <v>709</v>
      </c>
      <c r="D2329" s="121" t="str">
        <f>HYPERLINK("http://www.lebanon.va.gov/services/OPTOMETRYOPHTHALMOLOGY.ASP")</f>
        <v>http://www.lebanon.va.gov/services/OPTOMETRYOPHTHALMOLOGY.ASP</v>
      </c>
      <c r="E2329" s="8" t="s">
        <v>392</v>
      </c>
    </row>
    <row r="2330" ht="14.25" hidden="1" customHeight="1">
      <c r="A2330" s="272" t="s">
        <v>2566</v>
      </c>
      <c r="B2330" s="8" t="s">
        <v>694</v>
      </c>
      <c r="D2330" s="121" t="str">
        <f>HYPERLINK("http://www.lebanon.va.gov/services/PATIENTADVOCATE.ASP")</f>
        <v>http://www.lebanon.va.gov/services/PATIENTADVOCATE.ASP</v>
      </c>
      <c r="E2330" s="8" t="s">
        <v>392</v>
      </c>
    </row>
    <row r="2331" ht="14.25" hidden="1" customHeight="1">
      <c r="A2331" s="272" t="s">
        <v>2566</v>
      </c>
      <c r="B2331" s="8" t="s">
        <v>343</v>
      </c>
      <c r="D2331" s="121" t="str">
        <f>HYPERLINK("http://www.lebanon.va.gov/services/PHARMACY.ASP")</f>
        <v>http://www.lebanon.va.gov/services/PHARMACY.ASP</v>
      </c>
      <c r="E2331" s="8" t="s">
        <v>392</v>
      </c>
    </row>
    <row r="2332" ht="14.25" hidden="1" customHeight="1">
      <c r="A2332" s="272" t="s">
        <v>2566</v>
      </c>
      <c r="B2332" s="8" t="s">
        <v>1035</v>
      </c>
      <c r="D2332" s="121" t="str">
        <f>HYPERLINK("http://www.lebanon.va.gov/services/PHOTOIDENTIFICATION.ASP")</f>
        <v>http://www.lebanon.va.gov/services/PHOTOIDENTIFICATION.ASP</v>
      </c>
      <c r="E2332" s="8" t="s">
        <v>392</v>
      </c>
    </row>
    <row r="2333" ht="14.25" hidden="1" customHeight="1">
      <c r="A2333" s="272" t="s">
        <v>2566</v>
      </c>
      <c r="B2333" s="8" t="s">
        <v>2630</v>
      </c>
      <c r="D2333" s="121" t="str">
        <f>HYPERLINK("http://www.lebanon.va.gov/services/PHYSICALTHERAPY.ASP")</f>
        <v>http://www.lebanon.va.gov/services/PHYSICALTHERAPY.ASP</v>
      </c>
      <c r="E2333" s="8" t="s">
        <v>392</v>
      </c>
    </row>
    <row r="2334" ht="14.25" hidden="1" customHeight="1">
      <c r="A2334" s="272" t="s">
        <v>2566</v>
      </c>
      <c r="B2334" s="8" t="s">
        <v>713</v>
      </c>
      <c r="D2334" s="121" t="str">
        <f>HYPERLINK("http://www.lebanon.va.gov/services/POLICEDEPT.ASP")</f>
        <v>http://www.lebanon.va.gov/services/POLICEDEPT.ASP</v>
      </c>
      <c r="E2334" s="8" t="s">
        <v>392</v>
      </c>
    </row>
    <row r="2335" ht="14.25" hidden="1" customHeight="1">
      <c r="A2335" s="272" t="s">
        <v>2566</v>
      </c>
      <c r="B2335" s="8" t="s">
        <v>793</v>
      </c>
      <c r="D2335" s="121" t="str">
        <f>HYPERLINK("http://www.lebanon.va.gov/services/PRIMARYCARECLINICS.ASP")</f>
        <v>http://www.lebanon.va.gov/services/PRIMARYCARECLINICS.ASP</v>
      </c>
      <c r="E2335" s="8" t="s">
        <v>392</v>
      </c>
    </row>
    <row r="2336" ht="14.25" hidden="1" customHeight="1">
      <c r="A2336" s="272" t="s">
        <v>2566</v>
      </c>
      <c r="B2336" s="8" t="s">
        <v>1044</v>
      </c>
      <c r="D2336" s="121" t="str">
        <f>HYPERLINK("http://www.lebanon.va.gov/services/PRISONEROFWARADVOCATE.ASP")</f>
        <v>http://www.lebanon.va.gov/services/PRISONEROFWARADVOCATE.ASP</v>
      </c>
      <c r="E2336" s="8" t="s">
        <v>392</v>
      </c>
    </row>
    <row r="2337" ht="14.25" hidden="1" customHeight="1">
      <c r="A2337" s="272" t="s">
        <v>2566</v>
      </c>
      <c r="B2337" s="8" t="s">
        <v>2631</v>
      </c>
      <c r="D2337" s="121" t="str">
        <f>HYPERLINK("http://www.lebanon.va.gov/services/PSYCHIATRYINPATIENT.ASP")</f>
        <v>http://www.lebanon.va.gov/services/PSYCHIATRYINPATIENT.ASP</v>
      </c>
      <c r="E2337" s="8" t="s">
        <v>392</v>
      </c>
    </row>
    <row r="2338" ht="14.25" hidden="1" customHeight="1">
      <c r="A2338" s="272" t="s">
        <v>2566</v>
      </c>
      <c r="B2338" s="8" t="s">
        <v>2632</v>
      </c>
      <c r="D2338" s="121" t="str">
        <f>HYPERLINK("http://www.lebanon.va.gov/services/PSYCHIATRYOUTPATIENT.ASP")</f>
        <v>http://www.lebanon.va.gov/services/PSYCHIATRYOUTPATIENT.ASP</v>
      </c>
      <c r="E2338" s="8" t="s">
        <v>595</v>
      </c>
    </row>
    <row r="2339" ht="14.25" hidden="1" customHeight="1">
      <c r="A2339" s="272" t="s">
        <v>2566</v>
      </c>
      <c r="B2339" s="8" t="s">
        <v>825</v>
      </c>
      <c r="D2339" s="121" t="str">
        <f>HYPERLINK("http://www.lebanon.va.gov/services/PSYCHOSOCIAL_REHABILITATION_AND_RECOVERY_CENTER_PRRC.ASP")</f>
        <v>http://www.lebanon.va.gov/services/PSYCHOSOCIAL_REHABILITATION_AND_RECOVERY_CENTER_PRRC.ASP</v>
      </c>
      <c r="E2339" s="8" t="s">
        <v>392</v>
      </c>
    </row>
    <row r="2340" ht="14.25" hidden="1" customHeight="1">
      <c r="A2340" s="272" t="s">
        <v>2566</v>
      </c>
      <c r="B2340" s="8" t="s">
        <v>504</v>
      </c>
      <c r="D2340" s="121" t="str">
        <f>HYPERLINK("http://www.lebanon.va.gov/services/PUBLICAFFAIRS.ASP")</f>
        <v>http://www.lebanon.va.gov/services/PUBLICAFFAIRS.ASP</v>
      </c>
      <c r="E2340" s="8" t="s">
        <v>392</v>
      </c>
    </row>
    <row r="2341" ht="14.25" hidden="1" customHeight="1">
      <c r="A2341" s="272" t="s">
        <v>2566</v>
      </c>
      <c r="B2341" s="8" t="s">
        <v>2633</v>
      </c>
      <c r="D2341" s="121" t="str">
        <f>HYPERLINK("http://www.lebanon.va.gov/services/PULMONARYREHABILITATION.ASP")</f>
        <v>http://www.lebanon.va.gov/services/PULMONARYREHABILITATION.ASP</v>
      </c>
      <c r="E2341" s="8" t="s">
        <v>392</v>
      </c>
    </row>
    <row r="2342" ht="14.25" hidden="1" customHeight="1">
      <c r="A2342" s="272" t="s">
        <v>2566</v>
      </c>
      <c r="B2342" s="8" t="s">
        <v>717</v>
      </c>
      <c r="D2342" s="121" t="str">
        <f>HYPERLINK("http://www.lebanon.va.gov/services/RADIOLOGY.ASP")</f>
        <v>http://www.lebanon.va.gov/services/RADIOLOGY.ASP</v>
      </c>
      <c r="E2342" s="8" t="s">
        <v>392</v>
      </c>
    </row>
    <row r="2343" ht="14.25" hidden="1" customHeight="1">
      <c r="A2343" s="272" t="s">
        <v>2566</v>
      </c>
      <c r="B2343" s="8" t="s">
        <v>1052</v>
      </c>
      <c r="D2343" s="121" t="str">
        <f>HYPERLINK("http://www.lebanon.va.gov/services/RELEASEOFMEDICALRECORDS.ASP")</f>
        <v>http://www.lebanon.va.gov/services/RELEASEOFMEDICALRECORDS.ASP</v>
      </c>
      <c r="E2343" s="8" t="s">
        <v>392</v>
      </c>
    </row>
    <row r="2344" ht="14.25" hidden="1" customHeight="1">
      <c r="A2344" s="272" t="s">
        <v>2566</v>
      </c>
      <c r="B2344" s="8" t="s">
        <v>2634</v>
      </c>
      <c r="D2344" s="121" t="str">
        <f>HYPERLINK("http://www.lebanon.va.gov/services/RESIDENTIAL_RECOVERY_CENTER_RRC.ASP")</f>
        <v>http://www.lebanon.va.gov/services/RESIDENTIAL_RECOVERY_CENTER_RRC.ASP</v>
      </c>
      <c r="E2344" s="8" t="s">
        <v>392</v>
      </c>
    </row>
    <row r="2345" ht="14.25" hidden="1" customHeight="1">
      <c r="A2345" s="272" t="s">
        <v>2566</v>
      </c>
      <c r="B2345" s="8" t="s">
        <v>1428</v>
      </c>
      <c r="D2345" s="121" t="str">
        <f>HYPERLINK("http://www.lebanon.va.gov/services/RESPIRATORYCARE.ASP")</f>
        <v>http://www.lebanon.va.gov/services/RESPIRATORYCARE.ASP</v>
      </c>
      <c r="E2345" s="8" t="s">
        <v>392</v>
      </c>
    </row>
    <row r="2346" ht="14.25" hidden="1" customHeight="1">
      <c r="A2346" s="272" t="s">
        <v>2566</v>
      </c>
      <c r="B2346" s="8" t="s">
        <v>1054</v>
      </c>
      <c r="D2346" s="121" t="str">
        <f>HYPERLINK("http://www.lebanon.va.gov/services/RETAILSTORE.ASP")</f>
        <v>http://www.lebanon.va.gov/services/RETAILSTORE.ASP</v>
      </c>
      <c r="E2346" s="8" t="s">
        <v>392</v>
      </c>
    </row>
    <row r="2347" ht="14.25" hidden="1" customHeight="1">
      <c r="A2347" s="272" t="s">
        <v>2566</v>
      </c>
      <c r="B2347" s="8" t="s">
        <v>1210</v>
      </c>
      <c r="D2347" s="121" t="str">
        <f>HYPERLINK("http://www.lebanon.va.gov/services/SMOKINGCESSATION.ASP")</f>
        <v>http://www.lebanon.va.gov/services/SMOKINGCESSATION.ASP</v>
      </c>
      <c r="E2347" s="8" t="s">
        <v>392</v>
      </c>
    </row>
    <row r="2348" ht="14.25" hidden="1" customHeight="1">
      <c r="A2348" s="272" t="s">
        <v>2566</v>
      </c>
      <c r="B2348" s="8" t="s">
        <v>866</v>
      </c>
      <c r="D2348" s="121" t="str">
        <f>HYPERLINK("http://www.lebanon.va.gov/services/SOCIALWORKSERVICES.ASP")</f>
        <v>http://www.lebanon.va.gov/services/SOCIALWORKSERVICES.ASP</v>
      </c>
      <c r="E2348" s="8" t="s">
        <v>392</v>
      </c>
    </row>
    <row r="2349" ht="14.25" hidden="1" customHeight="1">
      <c r="A2349" s="272" t="s">
        <v>2566</v>
      </c>
      <c r="B2349" s="8" t="s">
        <v>804</v>
      </c>
      <c r="D2349" s="121" t="str">
        <f>HYPERLINK("http://www.lebanon.va.gov/services/SPEECHPATHOLOGY.ASP")</f>
        <v>http://www.lebanon.va.gov/services/SPEECHPATHOLOGY.ASP</v>
      </c>
      <c r="E2349" s="8" t="s">
        <v>392</v>
      </c>
    </row>
    <row r="2350" ht="14.25" hidden="1" customHeight="1">
      <c r="A2350" s="272" t="s">
        <v>2566</v>
      </c>
      <c r="B2350" s="8" t="s">
        <v>877</v>
      </c>
      <c r="D2350" s="121" t="str">
        <f>HYPERLINK("http://www.lebanon.va.gov/services/SPINALCORDINJURY.ASP")</f>
        <v>http://www.lebanon.va.gov/services/SPINALCORDINJURY.ASP</v>
      </c>
      <c r="E2350" s="8" t="s">
        <v>392</v>
      </c>
    </row>
    <row r="2351" ht="14.25" hidden="1" customHeight="1">
      <c r="A2351" s="272" t="s">
        <v>2566</v>
      </c>
      <c r="B2351" s="8" t="s">
        <v>564</v>
      </c>
      <c r="D2351" s="121" t="str">
        <f>HYPERLINK("http://www.lebanon.va.gov/services/SUICIDE-PREVENTION.ASP")</f>
        <v>http://www.lebanon.va.gov/services/SUICIDE-PREVENTION.ASP</v>
      </c>
      <c r="E2351" s="8" t="s">
        <v>392</v>
      </c>
    </row>
    <row r="2352" ht="14.25" hidden="1" customHeight="1">
      <c r="A2352" s="272" t="s">
        <v>2566</v>
      </c>
      <c r="B2352" s="8" t="s">
        <v>888</v>
      </c>
      <c r="D2352" s="121" t="str">
        <f>HYPERLINK("http://www.lebanon.va.gov/services/SURGICALSERVICES.ASP")</f>
        <v>http://www.lebanon.va.gov/services/SURGICALSERVICES.ASP</v>
      </c>
      <c r="E2352" s="8" t="s">
        <v>392</v>
      </c>
    </row>
    <row r="2353" ht="14.25" hidden="1" customHeight="1">
      <c r="A2353" s="272" t="s">
        <v>2566</v>
      </c>
      <c r="B2353" s="8" t="s">
        <v>370</v>
      </c>
      <c r="D2353" s="121" t="str">
        <f>HYPERLINK("http://www.lebanon.va.gov/services/TELEHEALTH.ASP")</f>
        <v>http://www.lebanon.va.gov/services/TELEHEALTH.ASP</v>
      </c>
      <c r="E2353" s="8" t="s">
        <v>392</v>
      </c>
    </row>
    <row r="2354" ht="14.25" hidden="1" customHeight="1">
      <c r="A2354" s="272" t="s">
        <v>2566</v>
      </c>
      <c r="B2354" s="8" t="s">
        <v>910</v>
      </c>
      <c r="D2354" s="121" t="str">
        <f>HYPERLINK("http://www.lebanon.va.gov/services/TRAVELBENEFITS.ASP")</f>
        <v>http://www.lebanon.va.gov/services/TRAVELBENEFITS.ASP</v>
      </c>
      <c r="E2354" s="8" t="s">
        <v>392</v>
      </c>
    </row>
    <row r="2355" ht="14.25" hidden="1" customHeight="1">
      <c r="A2355" s="272" t="s">
        <v>2566</v>
      </c>
      <c r="B2355" s="8" t="s">
        <v>1057</v>
      </c>
      <c r="D2355" s="121" t="str">
        <f>HYPERLINK("http://www.lebanon.va.gov/services/VAEA.ASP")</f>
        <v>http://www.lebanon.va.gov/services/VAEA.ASP</v>
      </c>
      <c r="E2355" s="8" t="s">
        <v>392</v>
      </c>
    </row>
    <row r="2356" ht="14.25" hidden="1" customHeight="1">
      <c r="A2356" s="272" t="s">
        <v>2566</v>
      </c>
      <c r="B2356" s="8" t="s">
        <v>592</v>
      </c>
      <c r="D2356" s="121" t="str">
        <f>HYPERLINK("http://www.lebanon.va.gov/services/VISOR.ASP")</f>
        <v>http://www.lebanon.va.gov/services/VISOR.ASP</v>
      </c>
      <c r="E2356" s="8" t="s">
        <v>392</v>
      </c>
    </row>
    <row r="2357" ht="14.25" hidden="1" customHeight="1">
      <c r="A2357" s="272" t="s">
        <v>2566</v>
      </c>
      <c r="B2357" s="8" t="s">
        <v>863</v>
      </c>
      <c r="D2357" s="121" t="str">
        <f>HYPERLINK("http://www.lebanon.va.gov/services/VETERANSACTIVITYCENTER.ASP")</f>
        <v>http://www.lebanon.va.gov/services/VETERANSACTIVITYCENTER.ASP</v>
      </c>
      <c r="E2357" s="8" t="s">
        <v>392</v>
      </c>
    </row>
    <row r="2358" ht="14.25" hidden="1" customHeight="1">
      <c r="A2358" s="272" t="s">
        <v>2566</v>
      </c>
      <c r="B2358" s="8" t="s">
        <v>1060</v>
      </c>
      <c r="D2358" s="121" t="str">
        <f>HYPERLINK("http://www.lebanon.va.gov/services/VETERANSBENEFITCOUNSELOR.ASP")</f>
        <v>http://www.lebanon.va.gov/services/VETERANSBENEFITCOUNSELOR.ASP</v>
      </c>
      <c r="E2358" s="8" t="s">
        <v>392</v>
      </c>
    </row>
    <row r="2359" ht="14.25" hidden="1" customHeight="1">
      <c r="A2359" s="272" t="s">
        <v>2566</v>
      </c>
      <c r="B2359" s="8" t="s">
        <v>927</v>
      </c>
      <c r="D2359" s="121" t="str">
        <f>HYPERLINK("http://www.lebanon.va.gov/services/VOCATIONALREHABILITATION.ASP")</f>
        <v>http://www.lebanon.va.gov/services/VOCATIONALREHABILITATION.ASP</v>
      </c>
      <c r="E2359" s="8" t="s">
        <v>392</v>
      </c>
      <c r="F2359" s="8">
        <f>COUNTA(B2288:B2360)</f>
        <v>73</v>
      </c>
    </row>
    <row r="2360" ht="14.25" hidden="1" customHeight="1">
      <c r="A2360" s="272" t="s">
        <v>2566</v>
      </c>
      <c r="B2360" s="8" t="s">
        <v>379</v>
      </c>
      <c r="D2360" s="121" t="str">
        <f>HYPERLINK("http://www.lebanon.va.gov/services/WOMENVETERANS.ASP")</f>
        <v>http://www.lebanon.va.gov/services/WOMENVETERANS.ASP</v>
      </c>
      <c r="E2360" s="8" t="s">
        <v>392</v>
      </c>
    </row>
    <row r="2361" ht="14.25" hidden="1" customHeight="1">
      <c r="A2361" s="8" t="s">
        <v>2505</v>
      </c>
      <c r="B2361" s="8" t="s">
        <v>478</v>
      </c>
      <c r="D2361" s="121" t="str">
        <f>HYPERLINK("http://www.lexington.va.gov/services/CHAPLAIN_SERVICE.ASP")</f>
        <v>http://www.lexington.va.gov/services/CHAPLAIN_SERVICE.ASP</v>
      </c>
      <c r="E2361" s="8" t="s">
        <v>392</v>
      </c>
    </row>
    <row r="2362" ht="14.25" hidden="1" customHeight="1">
      <c r="A2362" s="8" t="s">
        <v>2505</v>
      </c>
      <c r="B2362" s="8" t="s">
        <v>2651</v>
      </c>
      <c r="D2362" s="121" t="str">
        <f>HYPERLINK("http://www.lexington.va.gov/services/CLINICAL_PASTORAL_EDUCATION.ASP")</f>
        <v>http://www.lexington.va.gov/services/CLINICAL_PASTORAL_EDUCATION.ASP</v>
      </c>
      <c r="E2362" s="8" t="s">
        <v>392</v>
      </c>
    </row>
    <row r="2363" ht="14.25" hidden="1" customHeight="1">
      <c r="A2363" s="8" t="s">
        <v>2505</v>
      </c>
      <c r="B2363" s="8" t="s">
        <v>497</v>
      </c>
      <c r="D2363" s="121" t="str">
        <f>HYPERLINK("http://www.lexington.va.gov/services/COMPENSATED_WORK_THERAPY.ASP")</f>
        <v>http://www.lexington.va.gov/services/COMPENSATED_WORK_THERAPY.ASP</v>
      </c>
      <c r="E2363" s="8" t="s">
        <v>392</v>
      </c>
    </row>
    <row r="2364" ht="14.25" hidden="1" customHeight="1">
      <c r="A2364" s="8" t="s">
        <v>2505</v>
      </c>
      <c r="B2364" s="8" t="s">
        <v>2652</v>
      </c>
      <c r="D2364" s="121" t="str">
        <f>HYPERLINK("http://www.lexington.va.gov/services/ENHANCED_RANGE_PROGRAM.ASP")</f>
        <v>http://www.lexington.va.gov/services/ENHANCED_RANGE_PROGRAM.ASP</v>
      </c>
      <c r="E2364" s="8" t="s">
        <v>392</v>
      </c>
    </row>
    <row r="2365" ht="14.25" hidden="1" customHeight="1">
      <c r="A2365" s="8" t="s">
        <v>2505</v>
      </c>
      <c r="B2365" s="8" t="s">
        <v>2276</v>
      </c>
      <c r="D2365" s="121" t="str">
        <f>HYPERLINK("http://www.lexington.va.gov/services/FORMER_PRISONERS_OF_WAR_PROGRAM.ASP")</f>
        <v>http://www.lexington.va.gov/services/FORMER_PRISONERS_OF_WAR_PROGRAM.ASP</v>
      </c>
      <c r="E2365" s="8" t="s">
        <v>392</v>
      </c>
    </row>
    <row r="2366" ht="14.25" hidden="1" customHeight="1">
      <c r="A2366" s="8" t="s">
        <v>2505</v>
      </c>
      <c r="B2366" s="8" t="s">
        <v>437</v>
      </c>
      <c r="D2366" s="121" t="str">
        <f>HYPERLINK("http://www.lexington.va.gov/services/HOSPICE_AND_PALLIATIVE_CARE.ASP")</f>
        <v>http://www.lexington.va.gov/services/HOSPICE_AND_PALLIATIVE_CARE.ASP</v>
      </c>
      <c r="E2366" s="8" t="s">
        <v>392</v>
      </c>
    </row>
    <row r="2367" ht="14.25" hidden="1" customHeight="1">
      <c r="A2367" s="8" t="s">
        <v>2505</v>
      </c>
      <c r="B2367" s="8" t="s">
        <v>323</v>
      </c>
      <c r="D2367" s="121" t="str">
        <f>HYPERLINK("http://www.lexington.va.gov/services/MENTAL_HEALTH.ASP")</f>
        <v>http://www.lexington.va.gov/services/MENTAL_HEALTH.ASP</v>
      </c>
      <c r="E2367" s="8" t="s">
        <v>392</v>
      </c>
    </row>
    <row r="2368" ht="14.25" hidden="1" customHeight="1">
      <c r="A2368" s="8" t="s">
        <v>2505</v>
      </c>
      <c r="B2368" s="8" t="s">
        <v>343</v>
      </c>
      <c r="D2368" s="121" t="str">
        <f>HYPERLINK("http://www.lexington.va.gov/services/PHARMACY.ASP")</f>
        <v>http://www.lexington.va.gov/services/PHARMACY.ASP</v>
      </c>
      <c r="E2368" s="8" t="s">
        <v>392</v>
      </c>
    </row>
    <row r="2369" ht="14.25" hidden="1" customHeight="1">
      <c r="A2369" s="8" t="s">
        <v>2505</v>
      </c>
      <c r="B2369" s="8" t="s">
        <v>2659</v>
      </c>
      <c r="D2369" s="121" t="str">
        <f>HYPERLINK("http://www.lexington.va.gov/services/POLYTRAUMA_CARE.ASP")</f>
        <v>http://www.lexington.va.gov/services/POLYTRAUMA_CARE.ASP</v>
      </c>
      <c r="E2369" s="8" t="s">
        <v>392</v>
      </c>
    </row>
    <row r="2370" ht="14.25" hidden="1" customHeight="1">
      <c r="A2370" s="8" t="s">
        <v>2505</v>
      </c>
      <c r="B2370" s="8" t="s">
        <v>1428</v>
      </c>
      <c r="D2370" s="121" t="str">
        <f>HYPERLINK("http://www.lexington.va.gov/services/RESPIRATORY_CARE.ASP")</f>
        <v>http://www.lexington.va.gov/services/RESPIRATORY_CARE.ASP</v>
      </c>
      <c r="E2370" s="8" t="s">
        <v>392</v>
      </c>
    </row>
    <row r="2371" ht="14.25" hidden="1" customHeight="1">
      <c r="A2371" s="8" t="s">
        <v>2505</v>
      </c>
      <c r="B2371" s="8" t="s">
        <v>2662</v>
      </c>
      <c r="D2371" s="121" t="str">
        <f t="shared" ref="D2371:D2372" si="12">HYPERLINK("http://www.lexington.va.gov/services/TRANSPORTATION.ASP")</f>
        <v>http://www.lexington.va.gov/services/TRANSPORTATION.ASP</v>
      </c>
      <c r="E2371" s="8" t="s">
        <v>392</v>
      </c>
    </row>
    <row r="2372" ht="14.25" hidden="1" customHeight="1">
      <c r="A2372" s="8" t="s">
        <v>2505</v>
      </c>
      <c r="B2372" s="8" t="s">
        <v>742</v>
      </c>
      <c r="D2372" s="121" t="str">
        <f t="shared" si="12"/>
        <v>http://www.lexington.va.gov/services/TRANSPORTATION.ASP</v>
      </c>
      <c r="E2372" s="8" t="s">
        <v>595</v>
      </c>
    </row>
    <row r="2373" ht="14.25" hidden="1" customHeight="1">
      <c r="A2373" s="8" t="s">
        <v>2505</v>
      </c>
      <c r="B2373" s="8" t="s">
        <v>2664</v>
      </c>
      <c r="D2373" s="121" t="str">
        <f>HYPERLINK("http://www.lexington.va.gov/services/CUSTOM_WHEELCHAIR_CLINIC.ASP")</f>
        <v>http://www.lexington.va.gov/services/CUSTOM_WHEELCHAIR_CLINIC.ASP</v>
      </c>
      <c r="E2373" s="8" t="s">
        <v>392</v>
      </c>
    </row>
    <row r="2374" ht="14.25" hidden="1" customHeight="1">
      <c r="A2374" s="8" t="s">
        <v>2515</v>
      </c>
      <c r="B2374" s="8" t="s">
        <v>2666</v>
      </c>
      <c r="D2374" s="121" t="str">
        <f>HYPERLINK("http://www.littlerock.va.gov/services/PHYSICAL_MEDICINE/3C_REHABILITATION.ASP")</f>
        <v>http://www.littlerock.va.gov/services/PHYSICAL_MEDICINE/3C_REHABILITATION.ASP</v>
      </c>
      <c r="E2374" s="8" t="s">
        <v>392</v>
      </c>
    </row>
    <row r="2375" ht="14.25" hidden="1" customHeight="1">
      <c r="A2375" s="8" t="s">
        <v>2515</v>
      </c>
      <c r="B2375" s="8" t="s">
        <v>828</v>
      </c>
      <c r="D2375" s="121" t="str">
        <f>HYPERLINK("http://www.littlerock.va.gov/services/ABOUT_AUDIOLOGY_AND_SPEECH_PATHOLOGY.ASP")</f>
        <v>http://www.littlerock.va.gov/services/ABOUT_AUDIOLOGY_AND_SPEECH_PATHOLOGY.ASP</v>
      </c>
      <c r="E2375" s="8" t="s">
        <v>392</v>
      </c>
    </row>
    <row r="2376" ht="14.25" hidden="1" customHeight="1">
      <c r="A2376" s="8" t="s">
        <v>2515</v>
      </c>
      <c r="B2376" s="8" t="s">
        <v>484</v>
      </c>
      <c r="D2376" s="121" t="str">
        <f>HYPERLINK("http://www.littlerock.va.gov/services/CAREGIVER_SUPPORT.ASP")</f>
        <v>http://www.littlerock.va.gov/services/CAREGIVER_SUPPORT.ASP</v>
      </c>
      <c r="E2376" s="8" t="s">
        <v>392</v>
      </c>
    </row>
    <row r="2377" ht="14.25" hidden="1" customHeight="1">
      <c r="A2377" s="8" t="s">
        <v>2515</v>
      </c>
      <c r="B2377" s="8" t="s">
        <v>1154</v>
      </c>
      <c r="D2377" s="121" t="str">
        <f>HYPERLINK("http://www.littlerock.va.gov/services/HEALTH_PROMOTION_AND_DISEASE_PREVENTION.ASP")</f>
        <v>http://www.littlerock.va.gov/services/HEALTH_PROMOTION_AND_DISEASE_PREVENTION.ASP</v>
      </c>
      <c r="E2377" s="8" t="s">
        <v>392</v>
      </c>
    </row>
    <row r="2378" ht="14.25" hidden="1" customHeight="1">
      <c r="A2378" s="8" t="s">
        <v>2515</v>
      </c>
      <c r="B2378" s="8" t="s">
        <v>317</v>
      </c>
      <c r="D2378" s="121" t="str">
        <f>HYPERLINK("http://www.littlerock.va.gov/services/LGBT_VETERANS.ASP")</f>
        <v>http://www.littlerock.va.gov/services/LGBT_VETERANS.ASP</v>
      </c>
      <c r="E2378" s="8" t="s">
        <v>392</v>
      </c>
    </row>
    <row r="2379" ht="14.25" hidden="1" customHeight="1">
      <c r="A2379" s="8" t="s">
        <v>2515</v>
      </c>
      <c r="B2379" s="8" t="s">
        <v>2674</v>
      </c>
      <c r="D2379" s="121" t="str">
        <f>HYPERLINK("http://www.littlerock.va.gov/services/LITTLE_ROCK_GRECC_GERIATRIC_RESEARCH_EDUCATION_AND_CLINICAL_CENTER.ASP")</f>
        <v>http://www.littlerock.va.gov/services/LITTLE_ROCK_GRECC_GERIATRIC_RESEARCH_EDUCATION_AND_CLINICAL_CENTER.ASP</v>
      </c>
      <c r="E2379" s="8" t="s">
        <v>392</v>
      </c>
    </row>
    <row r="2380" ht="14.25" hidden="1" customHeight="1">
      <c r="A2380" s="8" t="s">
        <v>2515</v>
      </c>
      <c r="B2380" s="8" t="s">
        <v>323</v>
      </c>
      <c r="D2380" s="121" t="str">
        <f>HYPERLINK("http://www.littlerock.va.gov/services/MENTAL_HEALTH.ASP")</f>
        <v>http://www.littlerock.va.gov/services/MENTAL_HEALTH.ASP</v>
      </c>
      <c r="E2380" s="8" t="s">
        <v>392</v>
      </c>
    </row>
    <row r="2381" ht="14.25" hidden="1" customHeight="1">
      <c r="A2381" s="8" t="s">
        <v>2515</v>
      </c>
      <c r="B2381" s="8" t="s">
        <v>326</v>
      </c>
      <c r="D2381" s="121" t="str">
        <f>HYPERLINK("http://www.littlerock.va.gov/services/MINORITY_VETERANS_PROGRAM.ASP")</f>
        <v>http://www.littlerock.va.gov/services/MINORITY_VETERANS_PROGRAM.ASP</v>
      </c>
      <c r="E2381" s="8" t="s">
        <v>392</v>
      </c>
    </row>
    <row r="2382" ht="14.25" hidden="1" customHeight="1">
      <c r="A2382" s="8" t="s">
        <v>2515</v>
      </c>
      <c r="B2382" s="8" t="s">
        <v>2677</v>
      </c>
      <c r="D2382" s="121" t="str">
        <f>HYPERLINK("http://www.littlerock.va.gov/services/PHYSICAL_MEDICINE/PHYSICAL_MEDICINE_AND_REHABILITATION_SERVICE.ASP")</f>
        <v>http://www.littlerock.va.gov/services/PHYSICAL_MEDICINE/PHYSICAL_MEDICINE_AND_REHABILITATION_SERVICE.ASP</v>
      </c>
      <c r="E2382" s="8" t="s">
        <v>595</v>
      </c>
    </row>
    <row r="2383" ht="14.25" hidden="1" customHeight="1">
      <c r="A2383" s="8" t="s">
        <v>2515</v>
      </c>
      <c r="B2383" s="8" t="s">
        <v>907</v>
      </c>
      <c r="D2383" s="121" t="str">
        <f>HYPERLINK("http://www.littlerock.va.gov/services/PATIENT_SERVICE.ASP")</f>
        <v>http://www.littlerock.va.gov/services/PATIENT_SERVICE.ASP</v>
      </c>
      <c r="E2383" s="8" t="s">
        <v>392</v>
      </c>
    </row>
    <row r="2384" ht="14.25" hidden="1" customHeight="1">
      <c r="A2384" s="8" t="s">
        <v>2515</v>
      </c>
      <c r="B2384" s="8" t="s">
        <v>343</v>
      </c>
      <c r="D2384" s="121" t="str">
        <f>HYPERLINK("http://www.littlerock.va.gov/services/PHARMACY.ASP")</f>
        <v>http://www.littlerock.va.gov/services/PHARMACY.ASP</v>
      </c>
      <c r="E2384" s="8" t="s">
        <v>392</v>
      </c>
    </row>
    <row r="2385" ht="14.25" hidden="1" customHeight="1">
      <c r="A2385" s="8" t="s">
        <v>2515</v>
      </c>
      <c r="B2385" s="8" t="s">
        <v>1063</v>
      </c>
      <c r="D2385" s="121" t="str">
        <f>HYPERLINK("http://www.littlerock.va.gov/services/PHYSICAL_MEDICINE/PHYSICAL_MEDICINE_AND_REHABILITATION_SERVICE.ASP")</f>
        <v>http://www.littlerock.va.gov/services/PHYSICAL_MEDICINE/PHYSICAL_MEDICINE_AND_REHABILITATION_SERVICE.ASP</v>
      </c>
      <c r="E2385" s="8" t="s">
        <v>392</v>
      </c>
    </row>
    <row r="2386" ht="14.25" hidden="1" customHeight="1">
      <c r="A2386" s="8" t="s">
        <v>2515</v>
      </c>
      <c r="B2386" s="8" t="s">
        <v>2684</v>
      </c>
      <c r="D2386" s="121" t="str">
        <f t="shared" ref="D2386:D2387" si="13">HYPERLINK("http://www.littlerock.va.gov/services/PROSTHETIC.ASP")</f>
        <v>http://www.littlerock.va.gov/services/PROSTHETIC.ASP</v>
      </c>
      <c r="E2386" s="8" t="s">
        <v>392</v>
      </c>
    </row>
    <row r="2387" ht="14.25" hidden="1" customHeight="1">
      <c r="A2387" s="8" t="s">
        <v>2515</v>
      </c>
      <c r="B2387" s="8" t="s">
        <v>2685</v>
      </c>
      <c r="D2387" s="121" t="str">
        <f t="shared" si="13"/>
        <v>http://www.littlerock.va.gov/services/PROSTHETIC.ASP</v>
      </c>
      <c r="E2387" s="8" t="s">
        <v>595</v>
      </c>
    </row>
    <row r="2388" ht="14.25" hidden="1" customHeight="1">
      <c r="A2388" s="8" t="s">
        <v>2515</v>
      </c>
      <c r="B2388" s="8" t="s">
        <v>2687</v>
      </c>
      <c r="D2388" s="121" t="str">
        <f>HYPERLINK("http://www.littlerock.va.gov/services/VISUAL_IMPAIRMENT_SERVICE_TEAM_VIST_PROGRAM.ASP")</f>
        <v>http://www.littlerock.va.gov/services/VISUAL_IMPAIRMENT_SERVICE_TEAM_VIST_PROGRAM.ASP</v>
      </c>
      <c r="E2388" s="8" t="s">
        <v>392</v>
      </c>
    </row>
    <row r="2389" ht="14.25" hidden="1" customHeight="1">
      <c r="A2389" s="8" t="s">
        <v>2515</v>
      </c>
      <c r="B2389" s="8" t="s">
        <v>2688</v>
      </c>
      <c r="D2389" s="121" t="str">
        <f>HYPERLINK("http://www.littlerock.va.gov/services/VOCATIONAL_REHABILITATION_COUNSELING_SERVICE_PROGRAMS.ASP")</f>
        <v>http://www.littlerock.va.gov/services/VOCATIONAL_REHABILITATION_COUNSELING_SERVICE_PROGRAMS.ASP</v>
      </c>
      <c r="E2389" s="8" t="s">
        <v>392</v>
      </c>
    </row>
    <row r="2390" ht="14.25" hidden="1" customHeight="1">
      <c r="A2390" s="8" t="s">
        <v>2515</v>
      </c>
      <c r="B2390" s="8" t="s">
        <v>379</v>
      </c>
      <c r="D2390" s="121" t="str">
        <f t="shared" ref="D2390:D2391" si="14">HYPERLINK("http://www.littlerock.va.gov/services/WOMEN_VETERANS.ASP")</f>
        <v>http://www.littlerock.va.gov/services/WOMEN_VETERANS.ASP</v>
      </c>
      <c r="E2390" s="8" t="s">
        <v>392</v>
      </c>
    </row>
    <row r="2391" ht="14.25" hidden="1" customHeight="1">
      <c r="A2391" s="8" t="s">
        <v>2515</v>
      </c>
      <c r="B2391" s="8" t="s">
        <v>379</v>
      </c>
      <c r="D2391" s="121" t="str">
        <f t="shared" si="14"/>
        <v>http://www.littlerock.va.gov/services/WOMEN_VETERANS.ASP</v>
      </c>
      <c r="E2391" s="8" t="s">
        <v>392</v>
      </c>
    </row>
    <row r="2392" ht="14.25" hidden="1" customHeight="1">
      <c r="A2392" s="8" t="s">
        <v>2518</v>
      </c>
      <c r="B2392" s="8" t="s">
        <v>2691</v>
      </c>
      <c r="D2392" s="121" t="str">
        <f>HYPERLINK("http://www.lomalinda.va.gov/services/ATU.ASP")</f>
        <v>http://www.lomalinda.va.gov/services/ATU.ASP</v>
      </c>
      <c r="E2392" s="8" t="s">
        <v>392</v>
      </c>
    </row>
    <row r="2393" ht="14.25" hidden="1" customHeight="1">
      <c r="A2393" s="8" t="s">
        <v>2518</v>
      </c>
      <c r="B2393" s="8" t="s">
        <v>244</v>
      </c>
      <c r="D2393" s="121" t="str">
        <f>HYPERLINK("http://www.lomalinda.va.gov/services/AUDIOLOGY.ASP")</f>
        <v>http://www.lomalinda.va.gov/services/AUDIOLOGY.ASP</v>
      </c>
      <c r="E2393" s="8" t="s">
        <v>392</v>
      </c>
    </row>
    <row r="2394" ht="14.25" hidden="1" customHeight="1">
      <c r="A2394" s="8" t="s">
        <v>2518</v>
      </c>
      <c r="B2394" s="8" t="s">
        <v>2214</v>
      </c>
      <c r="D2394" s="121" t="str">
        <f>HYPERLINK("http://www.lomalinda.va.gov/services/CANCER_CENTER.ASP")</f>
        <v>http://www.lomalinda.va.gov/services/CANCER_CENTER.ASP</v>
      </c>
      <c r="E2394" s="8" t="s">
        <v>392</v>
      </c>
    </row>
    <row r="2395" ht="14.25" hidden="1" customHeight="1">
      <c r="A2395" s="8" t="s">
        <v>2518</v>
      </c>
      <c r="B2395" s="8" t="s">
        <v>478</v>
      </c>
      <c r="D2395" s="121" t="str">
        <f>HYPERLINK("http://www.lomalinda.va.gov/services/CHAPLAIN.ASP")</f>
        <v>http://www.lomalinda.va.gov/services/CHAPLAIN.ASP</v>
      </c>
      <c r="E2395" s="8" t="s">
        <v>392</v>
      </c>
    </row>
    <row r="2396" ht="14.25" hidden="1" customHeight="1">
      <c r="A2396" s="8" t="s">
        <v>2518</v>
      </c>
      <c r="B2396" s="8" t="s">
        <v>513</v>
      </c>
      <c r="D2396" s="121" t="str">
        <f>HYPERLINK("http://www.lomalinda.va.gov/services/DENTAL.ASP")</f>
        <v>http://www.lomalinda.va.gov/services/DENTAL.ASP</v>
      </c>
      <c r="E2396" s="8" t="s">
        <v>392</v>
      </c>
    </row>
    <row r="2397" ht="14.25" hidden="1" customHeight="1">
      <c r="A2397" s="8" t="s">
        <v>2518</v>
      </c>
      <c r="B2397" s="8" t="s">
        <v>2702</v>
      </c>
      <c r="D2397" s="121" t="str">
        <f>HYPERLINK("http://www.lomalinda.va.gov/services/GERIATRIC_CLINIC.ASP")</f>
        <v>http://www.lomalinda.va.gov/services/GERIATRIC_CLINIC.ASP</v>
      </c>
      <c r="E2397" s="8" t="s">
        <v>392</v>
      </c>
    </row>
    <row r="2398" ht="14.25" hidden="1" customHeight="1">
      <c r="A2398" s="8" t="s">
        <v>2518</v>
      </c>
      <c r="B2398" s="8" t="s">
        <v>2704</v>
      </c>
      <c r="D2398" s="121" t="str">
        <f>HYPERLINK("http://www.lomalinda.va.gov/services/HEALTH_PROMOTION.ASP")</f>
        <v>http://www.lomalinda.va.gov/services/HEALTH_PROMOTION.ASP</v>
      </c>
      <c r="E2398" s="8" t="s">
        <v>392</v>
      </c>
    </row>
    <row r="2399" ht="14.25" hidden="1" customHeight="1">
      <c r="A2399" s="8" t="s">
        <v>2518</v>
      </c>
      <c r="B2399" s="8" t="s">
        <v>952</v>
      </c>
      <c r="D2399" s="121" t="str">
        <f>HYPERLINK("http://www.lomalinda.va.gov/services/LGBT.ASP")</f>
        <v>http://www.lomalinda.va.gov/services/LGBT.ASP</v>
      </c>
      <c r="E2399" s="8" t="s">
        <v>392</v>
      </c>
    </row>
    <row r="2400" ht="14.25" hidden="1" customHeight="1">
      <c r="A2400" s="8" t="s">
        <v>2518</v>
      </c>
      <c r="B2400" s="8" t="s">
        <v>323</v>
      </c>
      <c r="D2400" s="121" t="str">
        <f>HYPERLINK("http://www.lomalinda.va.gov/services/MENTALHEALTH.ASP")</f>
        <v>http://www.lomalinda.va.gov/services/MENTALHEALTH.ASP</v>
      </c>
      <c r="E2400" s="8" t="s">
        <v>392</v>
      </c>
    </row>
    <row r="2401" ht="14.25" hidden="1" customHeight="1">
      <c r="A2401" s="8" t="s">
        <v>2518</v>
      </c>
      <c r="B2401" s="8" t="s">
        <v>324</v>
      </c>
      <c r="D2401" s="121" t="str">
        <f>HYPERLINK("http://www.lomalinda.va.gov/services/TRAUMA.ASP")</f>
        <v>http://www.lomalinda.va.gov/services/TRAUMA.ASP</v>
      </c>
      <c r="E2401" s="8" t="s">
        <v>392</v>
      </c>
    </row>
    <row r="2402" ht="14.25" hidden="1" customHeight="1">
      <c r="A2402" s="8" t="s">
        <v>2518</v>
      </c>
      <c r="B2402" s="8" t="s">
        <v>1607</v>
      </c>
      <c r="D2402" s="121" t="str">
        <f>HYPERLINK("http://www.lomalinda.va.gov/services/MINORITY_VETERANS.ASP")</f>
        <v>http://www.lomalinda.va.gov/services/MINORITY_VETERANS.ASP</v>
      </c>
      <c r="E2402" s="8" t="s">
        <v>392</v>
      </c>
    </row>
    <row r="2403" ht="14.25" hidden="1" customHeight="1">
      <c r="A2403" s="8" t="s">
        <v>2518</v>
      </c>
      <c r="B2403" s="8" t="s">
        <v>2718</v>
      </c>
      <c r="D2403" s="121" t="str">
        <f>HYPERLINK("http://www.lomalinda.va.gov/services/POW.ASP")</f>
        <v>http://www.lomalinda.va.gov/services/POW.ASP</v>
      </c>
      <c r="E2403" s="8" t="s">
        <v>392</v>
      </c>
    </row>
    <row r="2404" ht="14.25" hidden="1" customHeight="1">
      <c r="A2404" s="8" t="s">
        <v>2518</v>
      </c>
      <c r="B2404" s="8" t="s">
        <v>343</v>
      </c>
      <c r="D2404" s="121" t="str">
        <f>HYPERLINK("http://www.lomalinda.va.gov/services/PHARMACY.ASP")</f>
        <v>http://www.lomalinda.va.gov/services/PHARMACY.ASP</v>
      </c>
      <c r="E2404" s="8" t="s">
        <v>392</v>
      </c>
    </row>
    <row r="2405" ht="14.25" hidden="1" customHeight="1">
      <c r="A2405" s="8" t="s">
        <v>2518</v>
      </c>
      <c r="B2405" s="8" t="s">
        <v>2726</v>
      </c>
      <c r="D2405" s="121" t="str">
        <f>HYPERLINK("http://www.lomalinda.va.gov/services/PROSTHETIC.ASP")</f>
        <v>http://www.lomalinda.va.gov/services/PROSTHETIC.ASP</v>
      </c>
      <c r="E2405" s="8" t="s">
        <v>392</v>
      </c>
    </row>
    <row r="2406" ht="14.25" hidden="1" customHeight="1">
      <c r="A2406" s="8" t="s">
        <v>2518</v>
      </c>
      <c r="B2406" s="8" t="s">
        <v>925</v>
      </c>
      <c r="D2406" s="121" t="str">
        <f>HYPERLINK("http://www.lomalinda.va.gov/services/SOCIALWORK.ASP")</f>
        <v>http://www.lomalinda.va.gov/services/SOCIALWORK.ASP</v>
      </c>
      <c r="E2406" s="8" t="s">
        <v>392</v>
      </c>
    </row>
    <row r="2407" ht="14.25" hidden="1" customHeight="1">
      <c r="A2407" s="8" t="s">
        <v>2518</v>
      </c>
      <c r="B2407" s="8" t="s">
        <v>804</v>
      </c>
      <c r="D2407" s="121" t="str">
        <f>HYPERLINK("http://www.lomalinda.va.gov/services/AUDIOLOGY.ASP")</f>
        <v>http://www.lomalinda.va.gov/services/AUDIOLOGY.ASP</v>
      </c>
      <c r="E2407" s="8" t="s">
        <v>595</v>
      </c>
    </row>
    <row r="2408" ht="14.25" hidden="1" customHeight="1">
      <c r="A2408" s="8" t="s">
        <v>2518</v>
      </c>
      <c r="B2408" s="8" t="s">
        <v>2728</v>
      </c>
      <c r="D2408" s="121" t="str">
        <f>HYPERLINK("http://www.lomalinda.va.gov/services/SMOKING.ASP")</f>
        <v>http://www.lomalinda.va.gov/services/SMOKING.ASP</v>
      </c>
      <c r="E2408" s="8" t="s">
        <v>392</v>
      </c>
    </row>
    <row r="2409" ht="14.25" hidden="1" customHeight="1">
      <c r="A2409" s="8" t="s">
        <v>2518</v>
      </c>
      <c r="B2409" s="8" t="s">
        <v>2730</v>
      </c>
      <c r="D2409" s="121" t="str">
        <f>HYPERLINK("http://www.lomalinda.va.gov/services/VETTOVET.ASP")</f>
        <v>http://www.lomalinda.va.gov/services/VETTOVET.ASP</v>
      </c>
      <c r="E2409" s="8" t="s">
        <v>392</v>
      </c>
    </row>
    <row r="2410" ht="14.25" hidden="1" customHeight="1">
      <c r="A2410" s="8" t="s">
        <v>2518</v>
      </c>
      <c r="B2410" s="8" t="s">
        <v>2733</v>
      </c>
      <c r="D2410" s="121" t="str">
        <f>HYPERLINK("http://www.lomalinda.va.gov/services/VETERAN_TRANSPORTATION.ASP")</f>
        <v>http://www.lomalinda.va.gov/services/VETERAN_TRANSPORTATION.ASP</v>
      </c>
      <c r="E2410" s="8" t="s">
        <v>392</v>
      </c>
    </row>
    <row r="2411" ht="14.25" hidden="1" customHeight="1">
      <c r="A2411" s="8" t="s">
        <v>2518</v>
      </c>
      <c r="B2411" s="8" t="s">
        <v>516</v>
      </c>
      <c r="D2411" s="121" t="str">
        <f>HYPERLINK("http://www.lomalinda.va.gov/services/JUSTICE.ASP")</f>
        <v>http://www.lomalinda.va.gov/services/JUSTICE.ASP</v>
      </c>
      <c r="E2411" s="8" t="s">
        <v>392</v>
      </c>
    </row>
    <row r="2412" ht="14.25" hidden="1" customHeight="1">
      <c r="A2412" s="8" t="s">
        <v>2518</v>
      </c>
      <c r="B2412" s="8" t="s">
        <v>1341</v>
      </c>
      <c r="D2412" s="121" t="str">
        <f>HYPERLINK("http://www.lomalinda.va.gov/services/VLER.ASP")</f>
        <v>http://www.lomalinda.va.gov/services/VLER.ASP</v>
      </c>
      <c r="E2412" s="8" t="s">
        <v>392</v>
      </c>
    </row>
    <row r="2413" ht="14.25" hidden="1" customHeight="1">
      <c r="A2413" s="8" t="s">
        <v>2518</v>
      </c>
      <c r="B2413" s="8" t="s">
        <v>518</v>
      </c>
      <c r="D2413" s="121" t="str">
        <f>HYPERLINK("http://www.lomalinda.va.gov/services/VOLUNTARY_SERVICE.ASP")</f>
        <v>http://www.lomalinda.va.gov/services/VOLUNTARY_SERVICE.ASP</v>
      </c>
      <c r="E2413" s="8" t="s">
        <v>392</v>
      </c>
    </row>
    <row r="2414" ht="14.25" hidden="1" customHeight="1">
      <c r="A2414" s="8" t="s">
        <v>2737</v>
      </c>
      <c r="B2414" s="8" t="s">
        <v>1074</v>
      </c>
      <c r="D2414" s="121" t="str">
        <f>HYPERLINK("http://www.longbeach.va.gov/services/BLINDREHABILITATIONCENTER.ASP")</f>
        <v>http://www.longbeach.va.gov/services/BLINDREHABILITATIONCENTER.ASP</v>
      </c>
      <c r="E2414" s="8" t="s">
        <v>392</v>
      </c>
    </row>
    <row r="2415" ht="14.25" hidden="1" customHeight="1">
      <c r="A2415" s="8" t="s">
        <v>2737</v>
      </c>
      <c r="B2415" s="8" t="s">
        <v>2741</v>
      </c>
      <c r="D2415" s="121" t="str">
        <f>HYPERLINK("http://www.longbeach.va.gov/services/BONE_DENSITY_SCAN.ASP")</f>
        <v>http://www.longbeach.va.gov/services/BONE_DENSITY_SCAN.ASP</v>
      </c>
      <c r="E2415" s="8" t="s">
        <v>392</v>
      </c>
    </row>
    <row r="2416" ht="14.25" hidden="1" customHeight="1">
      <c r="A2416" s="8" t="s">
        <v>2737</v>
      </c>
      <c r="B2416" s="8" t="s">
        <v>2742</v>
      </c>
      <c r="D2416" s="121" t="str">
        <f>HYPERLINK("http://www.longbeach.va.gov/services/COMPUTER_TEOMOGRAPHY_CT.ASP")</f>
        <v>http://www.longbeach.va.gov/services/COMPUTER_TEOMOGRAPHY_CT.ASP</v>
      </c>
      <c r="E2416" s="8" t="s">
        <v>392</v>
      </c>
    </row>
    <row r="2417" ht="14.25" hidden="1" customHeight="1">
      <c r="A2417" s="8" t="s">
        <v>2737</v>
      </c>
      <c r="B2417" s="8" t="s">
        <v>414</v>
      </c>
      <c r="D2417" s="121" t="str">
        <f>HYPERLINK("http://www.longbeach.va.gov/services/CARDIOLOGY.ASP")</f>
        <v>http://www.longbeach.va.gov/services/CARDIOLOGY.ASP</v>
      </c>
      <c r="E2417" s="8" t="s">
        <v>392</v>
      </c>
    </row>
    <row r="2418" ht="14.25" hidden="1" customHeight="1">
      <c r="A2418" s="8" t="s">
        <v>2737</v>
      </c>
      <c r="B2418" s="8" t="s">
        <v>425</v>
      </c>
      <c r="D2418" s="121" t="str">
        <f>HYPERLINK("http://www.longbeach.va.gov/services/CHAPLAIN_AND_RELIGIOUS_SERVICES.ASP")</f>
        <v>http://www.longbeach.va.gov/services/CHAPLAIN_AND_RELIGIOUS_SERVICES.ASP</v>
      </c>
      <c r="E2418" s="8" t="s">
        <v>392</v>
      </c>
    </row>
    <row r="2419" ht="14.25" hidden="1" customHeight="1">
      <c r="A2419" s="8" t="s">
        <v>2737</v>
      </c>
      <c r="B2419" s="8" t="s">
        <v>304</v>
      </c>
      <c r="D2419" s="121" t="str">
        <f>HYPERLINK("http://www.longbeach.va.gov/services/DENTAL.ASP")</f>
        <v>http://www.longbeach.va.gov/services/DENTAL.ASP</v>
      </c>
      <c r="E2419" s="8" t="s">
        <v>392</v>
      </c>
    </row>
    <row r="2420" ht="14.25" hidden="1" customHeight="1">
      <c r="A2420" s="8" t="s">
        <v>2737</v>
      </c>
      <c r="B2420" s="8" t="s">
        <v>1344</v>
      </c>
      <c r="D2420" s="121" t="str">
        <f>HYPERLINK("http://www.longbeach.va.gov/services/FISHERHOUSE.ASP")</f>
        <v>http://www.longbeach.va.gov/services/FISHERHOUSE.ASP</v>
      </c>
      <c r="E2420" s="8" t="s">
        <v>392</v>
      </c>
    </row>
    <row r="2421" ht="14.25" hidden="1" customHeight="1">
      <c r="A2421" s="8" t="s">
        <v>2737</v>
      </c>
      <c r="B2421" s="8" t="s">
        <v>2750</v>
      </c>
      <c r="D2421" s="121" t="str">
        <f>HYPERLINK("http://www.longbeach.va.gov/services/GENERAL_DIAGNOSTIC.ASP")</f>
        <v>http://www.longbeach.va.gov/services/GENERAL_DIAGNOSTIC.ASP</v>
      </c>
      <c r="E2421" s="8" t="s">
        <v>392</v>
      </c>
    </row>
    <row r="2422" ht="14.25" hidden="1" customHeight="1">
      <c r="A2422" s="8" t="s">
        <v>2737</v>
      </c>
      <c r="B2422" s="8" t="s">
        <v>2753</v>
      </c>
      <c r="D2422" s="121" t="str">
        <f>HYPERLINK("http://www.longbeach.va.gov/services/MAGENTIC_RESONANCE_IMAGING_MRI.ASP")</f>
        <v>http://www.longbeach.va.gov/services/MAGENTIC_RESONANCE_IMAGING_MRI.ASP</v>
      </c>
      <c r="E2422" s="8" t="s">
        <v>392</v>
      </c>
    </row>
    <row r="2423" ht="14.25" hidden="1" customHeight="1">
      <c r="A2423" s="8" t="s">
        <v>2737</v>
      </c>
      <c r="B2423" s="8" t="s">
        <v>442</v>
      </c>
      <c r="D2423" s="121" t="str">
        <f>HYPERLINK("http://www.longbeach.va.gov/services/MAMOGRAPHY.ASP")</f>
        <v>http://www.longbeach.va.gov/services/MAMOGRAPHY.ASP</v>
      </c>
      <c r="E2423" s="8" t="s">
        <v>392</v>
      </c>
    </row>
    <row r="2424" ht="14.25" hidden="1" customHeight="1">
      <c r="A2424" s="8" t="s">
        <v>2737</v>
      </c>
      <c r="B2424" s="8" t="s">
        <v>323</v>
      </c>
      <c r="D2424" s="121" t="str">
        <f>HYPERLINK("http://www.longbeach.va.gov/services/MENTAL_HEALTH.ASP")</f>
        <v>http://www.longbeach.va.gov/services/MENTAL_HEALTH.ASP</v>
      </c>
      <c r="E2424" s="8" t="s">
        <v>392</v>
      </c>
    </row>
    <row r="2425" ht="14.25" hidden="1" customHeight="1">
      <c r="A2425" s="8" t="s">
        <v>2737</v>
      </c>
      <c r="B2425" s="8" t="s">
        <v>445</v>
      </c>
      <c r="D2425" s="121" t="str">
        <f>HYPERLINK("http://www.longbeach.va.gov/services/MST.ASP")</f>
        <v>http://www.longbeach.va.gov/services/MST.ASP</v>
      </c>
      <c r="E2425" s="8" t="s">
        <v>392</v>
      </c>
    </row>
    <row r="2426" ht="14.25" hidden="1" customHeight="1">
      <c r="A2426" s="8" t="s">
        <v>2737</v>
      </c>
      <c r="B2426" s="8" t="s">
        <v>494</v>
      </c>
      <c r="D2426" s="121" t="str">
        <f>HYPERLINK("http://www.longbeach.va.gov/services/MY_HEALTHEVET.ASP")</f>
        <v>http://www.longbeach.va.gov/services/MY_HEALTHEVET.ASP</v>
      </c>
      <c r="E2426" s="8" t="s">
        <v>392</v>
      </c>
    </row>
    <row r="2427" ht="14.25" hidden="1" customHeight="1">
      <c r="A2427" s="8" t="s">
        <v>2737</v>
      </c>
      <c r="B2427" s="8" t="s">
        <v>343</v>
      </c>
      <c r="D2427" s="121" t="str">
        <f>HYPERLINK("http://www.longbeach.va.gov/services/PHARMACY.ASP")</f>
        <v>http://www.longbeach.va.gov/services/PHARMACY.ASP</v>
      </c>
      <c r="E2427" s="8" t="s">
        <v>392</v>
      </c>
    </row>
    <row r="2428" ht="14.25" hidden="1" customHeight="1">
      <c r="A2428" s="8" t="s">
        <v>2737</v>
      </c>
      <c r="B2428" s="8" t="s">
        <v>2770</v>
      </c>
      <c r="D2428" s="121" t="str">
        <f>HYPERLINK("http://www.longbeach.va.gov/services/PRIMARY.ASP")</f>
        <v>http://www.longbeach.va.gov/services/PRIMARY.ASP</v>
      </c>
      <c r="E2428" s="8" t="s">
        <v>392</v>
      </c>
    </row>
    <row r="2429" ht="14.25" hidden="1" customHeight="1">
      <c r="A2429" s="8" t="s">
        <v>2737</v>
      </c>
      <c r="B2429" s="8" t="s">
        <v>804</v>
      </c>
      <c r="D2429" s="121" t="str">
        <f>HYPERLINK("http://www.longbeach.va.gov/services/SPEECH_PATHOLOGY.ASP")</f>
        <v>http://www.longbeach.va.gov/services/SPEECH_PATHOLOGY.ASP</v>
      </c>
      <c r="E2429" s="8" t="s">
        <v>392</v>
      </c>
    </row>
    <row r="2430" ht="14.25" hidden="1" customHeight="1">
      <c r="A2430" s="8" t="s">
        <v>2737</v>
      </c>
      <c r="B2430" s="8" t="s">
        <v>463</v>
      </c>
      <c r="D2430" s="121" t="str">
        <f>HYPERLINK("http://www.longbeach.va.gov/services/SCI.ASP")</f>
        <v>http://www.longbeach.va.gov/services/SCI.ASP</v>
      </c>
      <c r="E2430" s="8" t="s">
        <v>392</v>
      </c>
    </row>
    <row r="2431" ht="14.25" hidden="1" customHeight="1">
      <c r="A2431" s="8" t="s">
        <v>2737</v>
      </c>
      <c r="B2431" s="8" t="s">
        <v>810</v>
      </c>
      <c r="D2431" s="121" t="str">
        <f>HYPERLINK("http://www.longbeach.va.gov/services/ULTRASOUND.ASP")</f>
        <v>http://www.longbeach.va.gov/services/ULTRASOUND.ASP</v>
      </c>
      <c r="E2431" s="8" t="s">
        <v>392</v>
      </c>
    </row>
    <row r="2432" ht="14.25" hidden="1" customHeight="1">
      <c r="A2432" s="8" t="s">
        <v>2525</v>
      </c>
      <c r="B2432" s="8" t="s">
        <v>2776</v>
      </c>
      <c r="D2432" s="121" t="str">
        <f t="shared" ref="D2432:D2433" si="15">HYPERLINK("http://www.losangeles.va.gov/services/MESOTHELIOMA.ASP")</f>
        <v>http://www.losangeles.va.gov/services/MESOTHELIOMA.ASP</v>
      </c>
      <c r="E2432" s="8" t="s">
        <v>595</v>
      </c>
    </row>
    <row r="2433" ht="14.25" hidden="1" customHeight="1">
      <c r="A2433" s="8" t="s">
        <v>2525</v>
      </c>
      <c r="B2433" s="8" t="s">
        <v>2778</v>
      </c>
      <c r="D2433" s="121" t="str">
        <f t="shared" si="15"/>
        <v>http://www.losangeles.va.gov/services/MESOTHELIOMA.ASP</v>
      </c>
      <c r="E2433" s="8" t="s">
        <v>595</v>
      </c>
    </row>
    <row r="2434" ht="14.25" hidden="1" customHeight="1">
      <c r="A2434" s="8" t="s">
        <v>2525</v>
      </c>
      <c r="B2434" s="8" t="s">
        <v>828</v>
      </c>
      <c r="D2434" s="121" t="str">
        <f>HYPERLINK("http://www.losangeles.va.gov/services/AUDIOLOGY_AND_SPEECH_PATHOLOGY.ASP")</f>
        <v>http://www.losangeles.va.gov/services/AUDIOLOGY_AND_SPEECH_PATHOLOGY.ASP</v>
      </c>
      <c r="E2434" s="8" t="s">
        <v>392</v>
      </c>
    </row>
    <row r="2435" ht="14.25" hidden="1" customHeight="1">
      <c r="A2435" s="8" t="s">
        <v>2525</v>
      </c>
      <c r="B2435" s="8" t="s">
        <v>2782</v>
      </c>
      <c r="D2435" s="121" t="str">
        <f>HYPERLINK("http://www.losangeles.va.gov/services/BIOETHICS_CONSULTATION_SERVICE.ASP")</f>
        <v>http://www.losangeles.va.gov/services/BIOETHICS_CONSULTATION_SERVICE.ASP</v>
      </c>
      <c r="E2435" s="8" t="s">
        <v>392</v>
      </c>
    </row>
    <row r="2436" ht="14.25" hidden="1" customHeight="1">
      <c r="A2436" s="8" t="s">
        <v>2525</v>
      </c>
      <c r="B2436" s="8" t="s">
        <v>2784</v>
      </c>
      <c r="D2436" s="121" t="str">
        <f>HYPERLINK("http://www.losangeles.va.gov/services/CANCER_CENTER_RESEARCH.ASP")</f>
        <v>http://www.losangeles.va.gov/services/CANCER_CENTER_RESEARCH.ASP</v>
      </c>
      <c r="E2436" s="8" t="s">
        <v>392</v>
      </c>
    </row>
    <row r="2437" ht="14.25" hidden="1" customHeight="1">
      <c r="A2437" s="8" t="s">
        <v>2525</v>
      </c>
      <c r="B2437" s="8" t="s">
        <v>478</v>
      </c>
      <c r="D2437" s="121" t="str">
        <f>HYPERLINK("http://www.losangeles.va.gov/services/CHAPLAIN_SERVICE.ASP")</f>
        <v>http://www.losangeles.va.gov/services/CHAPLAIN_SERVICE.ASP</v>
      </c>
      <c r="E2437" s="8" t="s">
        <v>392</v>
      </c>
    </row>
    <row r="2438" ht="14.25" hidden="1" customHeight="1">
      <c r="A2438" s="8" t="s">
        <v>2525</v>
      </c>
      <c r="B2438" s="8" t="s">
        <v>2789</v>
      </c>
      <c r="D2438" s="121" t="str">
        <f>HYPERLINK("http://www.losangeles.va.gov/services/GRECC.ASP")</f>
        <v>http://www.losangeles.va.gov/services/GRECC.ASP</v>
      </c>
      <c r="E2438" s="8" t="s">
        <v>392</v>
      </c>
    </row>
    <row r="2439" ht="14.25" hidden="1" customHeight="1">
      <c r="A2439" s="8" t="s">
        <v>2525</v>
      </c>
      <c r="B2439" s="8" t="s">
        <v>678</v>
      </c>
      <c r="D2439" s="121" t="str">
        <f>HYPERLINK("http://www.losangeles.va.gov/services/LGBT.ASP")</f>
        <v>http://www.losangeles.va.gov/services/LGBT.ASP</v>
      </c>
      <c r="E2439" s="8" t="s">
        <v>392</v>
      </c>
    </row>
    <row r="2440" ht="14.25" hidden="1" customHeight="1">
      <c r="A2440" s="8" t="s">
        <v>2525</v>
      </c>
      <c r="B2440" s="8" t="s">
        <v>2793</v>
      </c>
      <c r="D2440" s="121" t="str">
        <f>HYPERLINK("http://www.losangeles.va.gov/services/MESOTHELIOMA.ASP")</f>
        <v>http://www.losangeles.va.gov/services/MESOTHELIOMA.ASP</v>
      </c>
      <c r="E2440" s="8" t="s">
        <v>595</v>
      </c>
    </row>
    <row r="2441" ht="14.25" hidden="1" customHeight="1">
      <c r="A2441" s="8" t="s">
        <v>2525</v>
      </c>
      <c r="B2441" s="8" t="s">
        <v>323</v>
      </c>
      <c r="D2441" s="121" t="str">
        <f>HYPERLINK("http://www.losangeles.va.gov/services/MENTALHEALTH.ASP")</f>
        <v>http://www.losangeles.va.gov/services/MENTALHEALTH.ASP</v>
      </c>
      <c r="E2441" s="8" t="s">
        <v>392</v>
      </c>
    </row>
    <row r="2442" ht="14.25" hidden="1" customHeight="1">
      <c r="A2442" s="8" t="s">
        <v>2525</v>
      </c>
      <c r="B2442" s="8" t="s">
        <v>2798</v>
      </c>
      <c r="D2442" s="121" t="str">
        <f t="shared" ref="D2442:D2444" si="16">HYPERLINK("http://www.losangeles.va.gov/services/MESOTHELIOMA.ASP")</f>
        <v>http://www.losangeles.va.gov/services/MESOTHELIOMA.ASP</v>
      </c>
      <c r="E2442" s="8" t="s">
        <v>595</v>
      </c>
    </row>
    <row r="2443" ht="14.25" hidden="1" customHeight="1">
      <c r="A2443" s="8" t="s">
        <v>2525</v>
      </c>
      <c r="B2443" s="8" t="s">
        <v>2802</v>
      </c>
      <c r="D2443" s="121" t="str">
        <f t="shared" si="16"/>
        <v>http://www.losangeles.va.gov/services/MESOTHELIOMA.ASP</v>
      </c>
      <c r="E2443" s="8" t="s">
        <v>392</v>
      </c>
    </row>
    <row r="2444" ht="14.25" hidden="1" customHeight="1">
      <c r="A2444" s="8" t="s">
        <v>2525</v>
      </c>
      <c r="B2444" s="8" t="s">
        <v>2803</v>
      </c>
      <c r="D2444" s="121" t="str">
        <f t="shared" si="16"/>
        <v>http://www.losangeles.va.gov/services/MESOTHELIOMA.ASP</v>
      </c>
      <c r="E2444" s="8" t="s">
        <v>595</v>
      </c>
    </row>
    <row r="2445" ht="14.25" hidden="1" customHeight="1">
      <c r="A2445" s="8" t="s">
        <v>2525</v>
      </c>
      <c r="B2445" s="8" t="s">
        <v>494</v>
      </c>
      <c r="D2445" s="121" t="str">
        <f>HYPERLINK("http://www.losangeles.va.gov/services/MY_HEALTHEVET.ASP")</f>
        <v>http://www.losangeles.va.gov/services/MY_HEALTHEVET.ASP</v>
      </c>
      <c r="E2445" s="8" t="s">
        <v>392</v>
      </c>
    </row>
    <row r="2446" ht="14.25" hidden="1" customHeight="1">
      <c r="A2446" s="8" t="s">
        <v>2525</v>
      </c>
      <c r="B2446" s="8" t="s">
        <v>1267</v>
      </c>
      <c r="D2446" s="121" t="str">
        <f>HYPERLINK("http://www.losangeles.va.gov/services/PARKINSONS_DISEASE.ASP")</f>
        <v>http://www.losangeles.va.gov/services/PARKINSONS_DISEASE.ASP</v>
      </c>
      <c r="E2446" s="8" t="s">
        <v>392</v>
      </c>
    </row>
    <row r="2447" ht="14.25" hidden="1" customHeight="1">
      <c r="A2447" s="8" t="s">
        <v>2525</v>
      </c>
      <c r="B2447" s="8" t="s">
        <v>343</v>
      </c>
      <c r="D2447" s="121" t="str">
        <f>HYPERLINK("http://www.losangeles.va.gov/services/PHARMACY.ASP")</f>
        <v>http://www.losangeles.va.gov/services/PHARMACY.ASP</v>
      </c>
      <c r="E2447" s="8" t="s">
        <v>392</v>
      </c>
    </row>
    <row r="2448" ht="14.25" hidden="1" customHeight="1">
      <c r="A2448" s="8" t="s">
        <v>2525</v>
      </c>
      <c r="B2448" s="8" t="s">
        <v>1063</v>
      </c>
      <c r="D2448" s="121" t="str">
        <f>HYPERLINK("http://www.losangeles.va.gov/services/PHYSICAL_MEDICINE_AND_REHABILITATION_SERVICE.ASP")</f>
        <v>http://www.losangeles.va.gov/services/PHYSICAL_MEDICINE_AND_REHABILITATION_SERVICE.ASP</v>
      </c>
      <c r="E2448" s="8" t="s">
        <v>392</v>
      </c>
    </row>
    <row r="2449" ht="14.25" hidden="1" customHeight="1">
      <c r="A2449" s="8" t="s">
        <v>2525</v>
      </c>
      <c r="B2449" s="8" t="s">
        <v>2809</v>
      </c>
      <c r="D2449" s="121" t="str">
        <f>HYPERLINK("http://www.losangeles.va.gov/services/MESOTHELIOMA.ASP")</f>
        <v>http://www.losangeles.va.gov/services/MESOTHELIOMA.ASP</v>
      </c>
      <c r="E2449" s="8" t="s">
        <v>595</v>
      </c>
    </row>
    <row r="2450" ht="14.25" hidden="1" customHeight="1">
      <c r="A2450" s="8" t="s">
        <v>2525</v>
      </c>
      <c r="B2450" s="8" t="s">
        <v>699</v>
      </c>
      <c r="D2450" s="121" t="str">
        <f>HYPERLINK("http://www.losangeles.va.gov/services/POLYTRAUMA.ASP")</f>
        <v>http://www.losangeles.va.gov/services/POLYTRAUMA.ASP</v>
      </c>
      <c r="E2450" s="8" t="s">
        <v>392</v>
      </c>
    </row>
    <row r="2451" ht="14.25" hidden="1" customHeight="1">
      <c r="A2451" s="8" t="s">
        <v>2525</v>
      </c>
      <c r="B2451" s="8" t="s">
        <v>360</v>
      </c>
      <c r="D2451" s="121" t="str">
        <f>HYPERLINK("http://www.losangeles.va.gov/services/SOCIAL_WORK.ASP")</f>
        <v>http://www.losangeles.va.gov/services/SOCIAL_WORK.ASP</v>
      </c>
      <c r="E2451" s="8" t="s">
        <v>392</v>
      </c>
    </row>
    <row r="2452" ht="14.25" hidden="1" customHeight="1">
      <c r="A2452" s="8" t="s">
        <v>2525</v>
      </c>
      <c r="B2452" s="8" t="s">
        <v>2815</v>
      </c>
      <c r="D2452" s="121" t="str">
        <f t="shared" ref="D2452:D2455" si="17">HYPERLINK("http://www.losangeles.va.gov/services/MESOTHELIOMA.ASP")</f>
        <v>http://www.losangeles.va.gov/services/MESOTHELIOMA.ASP</v>
      </c>
      <c r="E2452" s="8" t="s">
        <v>595</v>
      </c>
    </row>
    <row r="2453" ht="14.25" hidden="1" customHeight="1">
      <c r="A2453" s="8" t="s">
        <v>2525</v>
      </c>
      <c r="B2453" s="8" t="s">
        <v>2818</v>
      </c>
      <c r="D2453" s="121" t="str">
        <f t="shared" si="17"/>
        <v>http://www.losangeles.va.gov/services/MESOTHELIOMA.ASP</v>
      </c>
      <c r="E2453" s="8" t="s">
        <v>595</v>
      </c>
    </row>
    <row r="2454" ht="14.25" hidden="1" customHeight="1">
      <c r="A2454" s="8" t="s">
        <v>2525</v>
      </c>
      <c r="B2454" s="8" t="s">
        <v>2820</v>
      </c>
      <c r="D2454" s="121" t="str">
        <f t="shared" si="17"/>
        <v>http://www.losangeles.va.gov/services/MESOTHELIOMA.ASP</v>
      </c>
      <c r="E2454" s="8" t="s">
        <v>595</v>
      </c>
    </row>
    <row r="2455" ht="14.25" hidden="1" customHeight="1">
      <c r="A2455" s="8" t="s">
        <v>2525</v>
      </c>
      <c r="B2455" s="8" t="s">
        <v>1431</v>
      </c>
      <c r="D2455" s="121" t="str">
        <f t="shared" si="17"/>
        <v>http://www.losangeles.va.gov/services/MESOTHELIOMA.ASP</v>
      </c>
      <c r="E2455" s="8" t="s">
        <v>595</v>
      </c>
    </row>
    <row r="2456" ht="14.25" hidden="1" customHeight="1">
      <c r="A2456" s="8" t="s">
        <v>2528</v>
      </c>
      <c r="B2456" s="8" t="s">
        <v>308</v>
      </c>
      <c r="D2456" s="121" t="str">
        <f>HYPERLINK("http://www.louisville.va.gov/services/EMERGENCY_DEPARTMENT.ASP")</f>
        <v>http://www.louisville.va.gov/services/EMERGENCY_DEPARTMENT.ASP</v>
      </c>
      <c r="E2456" s="8" t="s">
        <v>392</v>
      </c>
    </row>
    <row r="2457" ht="14.25" hidden="1" customHeight="1">
      <c r="A2457" s="8" t="s">
        <v>2528</v>
      </c>
      <c r="B2457" s="8" t="s">
        <v>2276</v>
      </c>
      <c r="D2457" s="121" t="str">
        <f>HYPERLINK("http://www.louisville.va.gov/services/FORMER_PRISONERS_OF_WAR_PROGRAM.ASP")</f>
        <v>http://www.louisville.va.gov/services/FORMER_PRISONERS_OF_WAR_PROGRAM.ASP</v>
      </c>
      <c r="E2457" s="8" t="s">
        <v>392</v>
      </c>
    </row>
    <row r="2458" ht="14.25" hidden="1" customHeight="1">
      <c r="A2458" s="8" t="s">
        <v>2528</v>
      </c>
      <c r="B2458" s="8" t="s">
        <v>437</v>
      </c>
      <c r="D2458" s="121" t="str">
        <f>HYPERLINK("http://www.louisville.va.gov/services/HOSPICE_AND_PALLIATIVE_CARE.ASP")</f>
        <v>http://www.louisville.va.gov/services/HOSPICE_AND_PALLIATIVE_CARE.ASP</v>
      </c>
      <c r="E2458" s="8" t="s">
        <v>392</v>
      </c>
    </row>
    <row r="2459" ht="14.25" hidden="1" customHeight="1">
      <c r="A2459" s="8" t="s">
        <v>2528</v>
      </c>
      <c r="B2459" s="8" t="s">
        <v>2828</v>
      </c>
      <c r="D2459" s="121" t="str">
        <f>HYPERLINK("http://www.louisville.va.gov/services/IPV_ASSISTANCE_PROGRAM.ASP")</f>
        <v>http://www.louisville.va.gov/services/IPV_ASSISTANCE_PROGRAM.ASP</v>
      </c>
      <c r="E2459" s="8" t="s">
        <v>392</v>
      </c>
    </row>
    <row r="2460" ht="14.25" hidden="1" customHeight="1">
      <c r="A2460" s="8" t="s">
        <v>2528</v>
      </c>
      <c r="B2460" s="8" t="s">
        <v>678</v>
      </c>
      <c r="D2460" s="121" t="str">
        <f>HYPERLINK("http://www.louisville.va.gov/services/LGBT_PROGRAM.ASP")</f>
        <v>http://www.louisville.va.gov/services/LGBT_PROGRAM.ASP</v>
      </c>
      <c r="E2460" s="8" t="s">
        <v>392</v>
      </c>
    </row>
    <row r="2461" ht="14.25" hidden="1" customHeight="1">
      <c r="A2461" s="8" t="s">
        <v>2528</v>
      </c>
      <c r="B2461" s="8" t="s">
        <v>323</v>
      </c>
      <c r="D2461" s="121" t="str">
        <f>HYPERLINK("http://www.louisville.va.gov/services/MENTAL_HEALTH.ASP")</f>
        <v>http://www.louisville.va.gov/services/MENTAL_HEALTH.ASP</v>
      </c>
      <c r="E2461" s="8" t="s">
        <v>392</v>
      </c>
    </row>
    <row r="2462" ht="14.25" hidden="1" customHeight="1">
      <c r="A2462" s="8" t="s">
        <v>2528</v>
      </c>
      <c r="B2462" s="8" t="s">
        <v>2837</v>
      </c>
      <c r="D2462" s="121" t="str">
        <f>HYPERLINK("http://www.louisville.va.gov/services/MVP/INDEX.ASP")</f>
        <v>http://www.louisville.va.gov/services/MVP/INDEX.ASP</v>
      </c>
      <c r="E2462" s="8" t="s">
        <v>392</v>
      </c>
    </row>
    <row r="2463" ht="14.25" hidden="1" customHeight="1">
      <c r="A2463" s="8" t="s">
        <v>2528</v>
      </c>
      <c r="B2463" s="8" t="s">
        <v>326</v>
      </c>
      <c r="D2463" s="121" t="str">
        <f>HYPERLINK("http://www.louisville.va.gov/services/MINORITY_VETERANS_PROGRAM.ASP")</f>
        <v>http://www.louisville.va.gov/services/MINORITY_VETERANS_PROGRAM.ASP</v>
      </c>
      <c r="E2463" s="8" t="s">
        <v>392</v>
      </c>
    </row>
    <row r="2464" ht="14.25" hidden="1" customHeight="1">
      <c r="A2464" s="8" t="s">
        <v>2528</v>
      </c>
      <c r="B2464" s="8" t="s">
        <v>1940</v>
      </c>
      <c r="D2464" s="121" t="str">
        <f>HYPERLINK("http://www.louisville.va.gov/services/NURSING.ASP")</f>
        <v>http://www.louisville.va.gov/services/NURSING.ASP</v>
      </c>
      <c r="E2464" s="8" t="s">
        <v>392</v>
      </c>
    </row>
    <row r="2465" ht="14.25" hidden="1" customHeight="1">
      <c r="A2465" s="8" t="s">
        <v>2528</v>
      </c>
      <c r="B2465" s="8" t="s">
        <v>2844</v>
      </c>
      <c r="D2465" s="121" t="str">
        <f>HYPERLINK("http://www.louisville.va.gov/services/ONCOLOGY-HEMATOLOGY.ASP")</f>
        <v>http://www.louisville.va.gov/services/ONCOLOGY-HEMATOLOGY.ASP</v>
      </c>
      <c r="E2465" s="8" t="s">
        <v>392</v>
      </c>
    </row>
    <row r="2466" ht="14.25" hidden="1" customHeight="1">
      <c r="A2466" s="8" t="s">
        <v>2528</v>
      </c>
      <c r="B2466" s="8" t="s">
        <v>343</v>
      </c>
      <c r="D2466" s="121" t="str">
        <f>HYPERLINK("http://www.louisville.va.gov/services/PHARMACY.ASP")</f>
        <v>http://www.louisville.va.gov/services/PHARMACY.ASP</v>
      </c>
      <c r="E2466" s="8" t="s">
        <v>392</v>
      </c>
    </row>
    <row r="2467" ht="14.25" hidden="1" customHeight="1">
      <c r="A2467" s="8" t="s">
        <v>2528</v>
      </c>
      <c r="B2467" s="8" t="s">
        <v>348</v>
      </c>
      <c r="D2467" s="121" t="str">
        <f>HYPERLINK("http://www.louisville.va.gov/services/PRIMARY_CARE.ASP")</f>
        <v>http://www.louisville.va.gov/services/PRIMARY_CARE.ASP</v>
      </c>
      <c r="E2467" s="8" t="s">
        <v>392</v>
      </c>
    </row>
    <row r="2468" ht="14.25" hidden="1" customHeight="1">
      <c r="A2468" s="8" t="s">
        <v>2528</v>
      </c>
      <c r="B2468" s="8" t="s">
        <v>508</v>
      </c>
      <c r="D2468" s="121" t="str">
        <f>HYPERLINK("http://www.louisville.va.gov/services/RESEARCH.ASP")</f>
        <v>http://www.louisville.va.gov/services/RESEARCH.ASP</v>
      </c>
      <c r="E2468" s="8" t="s">
        <v>392</v>
      </c>
    </row>
    <row r="2469" ht="14.25" hidden="1" customHeight="1">
      <c r="A2469" s="8" t="s">
        <v>2528</v>
      </c>
      <c r="B2469" s="8" t="s">
        <v>360</v>
      </c>
      <c r="D2469" s="121" t="str">
        <f>HYPERLINK("http://www.louisville.va.gov/services/SOCIAL_WORK.ASP")</f>
        <v>http://www.louisville.va.gov/services/SOCIAL_WORK.ASP</v>
      </c>
      <c r="E2469" s="8" t="s">
        <v>392</v>
      </c>
    </row>
    <row r="2470" ht="14.25" hidden="1" customHeight="1">
      <c r="A2470" s="8" t="s">
        <v>2528</v>
      </c>
      <c r="B2470" s="8" t="s">
        <v>363</v>
      </c>
      <c r="D2470" s="121" t="str">
        <f>HYPERLINK("http://www.louisville.va.gov/services/SPECIALTY_CARE.ASP")</f>
        <v>http://www.louisville.va.gov/services/SPECIALTY_CARE.ASP</v>
      </c>
      <c r="E2470" s="8" t="s">
        <v>392</v>
      </c>
    </row>
    <row r="2471" ht="14.25" hidden="1" customHeight="1">
      <c r="A2471" s="8" t="s">
        <v>2528</v>
      </c>
      <c r="B2471" s="8" t="s">
        <v>1180</v>
      </c>
      <c r="D2471" s="121" t="str">
        <f>HYPERLINK("http://www.louisville.va.gov/services/SUBSTANCE_ABUSE.ASP")</f>
        <v>http://www.louisville.va.gov/services/SUBSTANCE_ABUSE.ASP</v>
      </c>
      <c r="E2471" s="8" t="s">
        <v>392</v>
      </c>
    </row>
    <row r="2472" ht="14.25" hidden="1" customHeight="1">
      <c r="A2472" s="8" t="s">
        <v>2528</v>
      </c>
      <c r="B2472" s="8" t="s">
        <v>2857</v>
      </c>
      <c r="D2472" s="121" t="str">
        <f>HYPERLINK("http://www.louisville.va.gov/services/SUPPORT_GROUP.ASP")</f>
        <v>http://www.louisville.va.gov/services/SUPPORT_GROUP.ASP</v>
      </c>
      <c r="E2472" s="8" t="s">
        <v>392</v>
      </c>
    </row>
    <row r="2473" ht="14.25" hidden="1" customHeight="1">
      <c r="A2473" s="8" t="s">
        <v>2528</v>
      </c>
      <c r="B2473" s="8" t="s">
        <v>2860</v>
      </c>
      <c r="D2473" s="121" t="str">
        <f>HYPERLINK("http://www.louisville.va.gov/services/THORACIC_SURGERY_SERVICE.ASP")</f>
        <v>http://www.louisville.va.gov/services/THORACIC_SURGERY_SERVICE.ASP</v>
      </c>
      <c r="E2473" s="8" t="s">
        <v>392</v>
      </c>
    </row>
    <row r="2474" ht="14.25" hidden="1" customHeight="1">
      <c r="A2474" s="8" t="s">
        <v>2539</v>
      </c>
      <c r="B2474" s="8" t="s">
        <v>2862</v>
      </c>
      <c r="D2474" s="121" t="str">
        <f>HYPERLINK("http://www.lovell.fhcc.va.gov/services/ADDICTION_TREATMENT_PROGRAM.ASP")</f>
        <v>http://www.lovell.fhcc.va.gov/services/ADDICTION_TREATMENT_PROGRAM.ASP</v>
      </c>
      <c r="E2474" s="8" t="s">
        <v>392</v>
      </c>
    </row>
    <row r="2475" ht="14.25" hidden="1" customHeight="1">
      <c r="A2475" s="8" t="s">
        <v>2539</v>
      </c>
      <c r="B2475" s="8" t="s">
        <v>2864</v>
      </c>
      <c r="D2475" s="121" t="str">
        <f>HYPERLINK("http://www.lovell.fhcc.va.gov/services/AUDIOLOGY.ASP")</f>
        <v>http://www.lovell.fhcc.va.gov/services/AUDIOLOGY.ASP</v>
      </c>
      <c r="E2475" s="8" t="s">
        <v>392</v>
      </c>
    </row>
    <row r="2476" ht="14.25" hidden="1" customHeight="1">
      <c r="A2476" s="8" t="s">
        <v>2539</v>
      </c>
      <c r="B2476" s="8" t="s">
        <v>414</v>
      </c>
      <c r="D2476" s="121" t="str">
        <f>HYPERLINK("http://www.lovell.fhcc.va.gov/services/CARDIOLOGY.ASP")</f>
        <v>http://www.lovell.fhcc.va.gov/services/CARDIOLOGY.ASP</v>
      </c>
      <c r="E2476" s="8" t="s">
        <v>392</v>
      </c>
    </row>
    <row r="2477" ht="14.25" hidden="1" customHeight="1">
      <c r="A2477" s="8" t="s">
        <v>2539</v>
      </c>
      <c r="B2477" s="8" t="s">
        <v>468</v>
      </c>
      <c r="D2477" s="121" t="str">
        <f>HYPERLINK("http://www.lovell.fhcc.va.gov/services/CHAPLAIN_SERVICES.ASP")</f>
        <v>http://www.lovell.fhcc.va.gov/services/CHAPLAIN_SERVICES.ASP</v>
      </c>
      <c r="E2477" s="8" t="s">
        <v>392</v>
      </c>
    </row>
    <row r="2478" ht="14.25" hidden="1" customHeight="1">
      <c r="A2478" s="8" t="s">
        <v>2539</v>
      </c>
      <c r="B2478" s="8" t="s">
        <v>2870</v>
      </c>
      <c r="D2478" s="121" t="str">
        <f>HYPERLINK("http://www.lovell.fhcc.va.gov/services/COMPLIMENTARY_VALET.ASP")</f>
        <v>http://www.lovell.fhcc.va.gov/services/COMPLIMENTARY_VALET.ASP</v>
      </c>
      <c r="E2478" s="8" t="s">
        <v>392</v>
      </c>
    </row>
    <row r="2479" ht="14.25" hidden="1" customHeight="1">
      <c r="A2479" s="8" t="s">
        <v>2539</v>
      </c>
      <c r="B2479" s="8" t="s">
        <v>871</v>
      </c>
      <c r="D2479" s="121" t="str">
        <f>HYPERLINK("http://www.lovell.fhcc.va.gov/services/SHUTTLE_SERVICES.ASP")</f>
        <v>http://www.lovell.fhcc.va.gov/services/SHUTTLE_SERVICES.ASP</v>
      </c>
      <c r="E2479" s="8" t="s">
        <v>392</v>
      </c>
    </row>
    <row r="2480" ht="14.25" hidden="1" customHeight="1">
      <c r="A2480" s="8" t="s">
        <v>2539</v>
      </c>
      <c r="B2480" s="8" t="s">
        <v>304</v>
      </c>
      <c r="D2480" s="121" t="str">
        <f>HYPERLINK("http://www.lovell.fhcc.va.gov/services/DENTAL.ASP")</f>
        <v>http://www.lovell.fhcc.va.gov/services/DENTAL.ASP</v>
      </c>
      <c r="E2480" s="8" t="s">
        <v>392</v>
      </c>
    </row>
    <row r="2481" ht="14.25" hidden="1" customHeight="1">
      <c r="A2481" s="8" t="s">
        <v>2539</v>
      </c>
      <c r="B2481" s="8" t="s">
        <v>517</v>
      </c>
      <c r="D2481" s="121" t="str">
        <f>HYPERLINK("http://www.lovell.fhcc.va.gov/services/DERMATOLOGY.ASP")</f>
        <v>http://www.lovell.fhcc.va.gov/services/DERMATOLOGY.ASP</v>
      </c>
      <c r="E2481" s="8" t="s">
        <v>392</v>
      </c>
    </row>
    <row r="2482" ht="14.25" hidden="1" customHeight="1">
      <c r="A2482" s="8" t="s">
        <v>2539</v>
      </c>
      <c r="B2482" s="8" t="s">
        <v>2876</v>
      </c>
      <c r="D2482" s="121" t="str">
        <f>HYPERLINK("http://www.lovell.fhcc.va.gov/services/EAR_NOSE_THROAT_ENT.ASP")</f>
        <v>http://www.lovell.fhcc.va.gov/services/EAR_NOSE_THROAT_ENT.ASP</v>
      </c>
      <c r="E2482" s="8" t="s">
        <v>392</v>
      </c>
    </row>
    <row r="2483" ht="14.25" hidden="1" customHeight="1">
      <c r="A2483" s="8" t="s">
        <v>2539</v>
      </c>
      <c r="B2483" s="8" t="s">
        <v>308</v>
      </c>
      <c r="D2483" s="121" t="str">
        <f>HYPERLINK("http://www.lovell.fhcc.va.gov/services/EMERGENCY_DEPARTMENT.ASP")</f>
        <v>http://www.lovell.fhcc.va.gov/services/EMERGENCY_DEPARTMENT.ASP</v>
      </c>
      <c r="E2483" s="8" t="s">
        <v>392</v>
      </c>
    </row>
    <row r="2484" ht="14.25" hidden="1" customHeight="1">
      <c r="A2484" s="8" t="s">
        <v>2539</v>
      </c>
      <c r="B2484" s="8" t="s">
        <v>2191</v>
      </c>
      <c r="D2484" s="121" t="str">
        <f>HYPERLINK("http://www.lovell.fhcc.va.gov/services/ENDOCRINE.ASP")</f>
        <v>http://www.lovell.fhcc.va.gov/services/ENDOCRINE.ASP</v>
      </c>
      <c r="E2484" s="8" t="s">
        <v>392</v>
      </c>
    </row>
    <row r="2485" ht="14.25" hidden="1" customHeight="1">
      <c r="A2485" s="8" t="s">
        <v>2539</v>
      </c>
      <c r="B2485" s="8" t="s">
        <v>2879</v>
      </c>
      <c r="D2485" s="121" t="str">
        <f>HYPERLINK("http://www.lovell.fhcc.va.gov/services/EXCEPTIONAL_FAMILY_MEMBER_PROGRAM_EFMP.ASP")</f>
        <v>http://www.lovell.fhcc.va.gov/services/EXCEPTIONAL_FAMILY_MEMBER_PROGRAM_EFMP.ASP</v>
      </c>
      <c r="E2485" s="8" t="s">
        <v>392</v>
      </c>
    </row>
    <row r="2486" ht="14.25" hidden="1" customHeight="1">
      <c r="A2486" s="8" t="s">
        <v>2539</v>
      </c>
      <c r="B2486" s="8" t="s">
        <v>2884</v>
      </c>
      <c r="D2486" s="121" t="str">
        <f>HYPERLINK("http://www.lovell.fhcc.va.gov/services/FAMILY_PRACTICE.ASP")</f>
        <v>http://www.lovell.fhcc.va.gov/services/FAMILY_PRACTICE.ASP</v>
      </c>
      <c r="E2486" s="8" t="s">
        <v>392</v>
      </c>
    </row>
    <row r="2487" ht="14.25" hidden="1" customHeight="1">
      <c r="A2487" s="8" t="s">
        <v>2539</v>
      </c>
      <c r="B2487" s="8" t="s">
        <v>2888</v>
      </c>
      <c r="D2487" s="121" t="str">
        <f>HYPERLINK("http://www.lovell.fhcc.va.gov/services/FLEET_MEDICINE.ASP")</f>
        <v>http://www.lovell.fhcc.va.gov/services/FLEET_MEDICINE.ASP</v>
      </c>
      <c r="E2487" s="8" t="s">
        <v>392</v>
      </c>
    </row>
    <row r="2488" ht="14.25" hidden="1" customHeight="1">
      <c r="A2488" s="8" t="s">
        <v>2539</v>
      </c>
      <c r="B2488" s="8" t="s">
        <v>486</v>
      </c>
      <c r="D2488" s="121" t="str">
        <f>HYPERLINK("http://www.lovell.fhcc.va.gov/services/PHYSICAL_MEDICINE_AND_REHABILITATION_SERVICE.ASP")</f>
        <v>http://www.lovell.fhcc.va.gov/services/PHYSICAL_MEDICINE_AND_REHABILITATION_SERVICE.ASP</v>
      </c>
      <c r="E2488" s="8" t="s">
        <v>392</v>
      </c>
    </row>
    <row r="2489" ht="14.25" hidden="1" customHeight="1">
      <c r="A2489" s="8" t="s">
        <v>2539</v>
      </c>
      <c r="B2489" s="8" t="s">
        <v>486</v>
      </c>
      <c r="D2489" s="121" t="str">
        <f>HYPERLINK("http://www.lovell.fhcc.va.gov/services/FORMER_PRISONER_OF_WAR_ADVOCATE.ASP")</f>
        <v>http://www.lovell.fhcc.va.gov/services/FORMER_PRISONER_OF_WAR_ADVOCATE.ASP</v>
      </c>
      <c r="E2489" s="8" t="s">
        <v>392</v>
      </c>
    </row>
    <row r="2490" ht="14.25" hidden="1" customHeight="1">
      <c r="A2490" s="8" t="s">
        <v>2539</v>
      </c>
      <c r="B2490" s="8" t="s">
        <v>1138</v>
      </c>
      <c r="D2490" s="121" t="str">
        <f>HYPERLINK("http://www.lovell.fhcc.va.gov/services/GASTROENTEROLOGY.ASP")</f>
        <v>http://www.lovell.fhcc.va.gov/services/GASTROENTEROLOGY.ASP</v>
      </c>
      <c r="E2490" s="8" t="s">
        <v>392</v>
      </c>
    </row>
    <row r="2491" ht="14.25" hidden="1" customHeight="1">
      <c r="A2491" s="8" t="s">
        <v>2539</v>
      </c>
      <c r="B2491" s="8" t="s">
        <v>1373</v>
      </c>
      <c r="D2491" s="121" t="str">
        <f>HYPERLINK("http://www.lovell.fhcc.va.gov/services/GENERAL_SURGERY.ASP")</f>
        <v>http://www.lovell.fhcc.va.gov/services/GENERAL_SURGERY.ASP</v>
      </c>
      <c r="E2491" s="8" t="s">
        <v>392</v>
      </c>
    </row>
    <row r="2492" ht="14.25" hidden="1" customHeight="1">
      <c r="A2492" s="8" t="s">
        <v>2539</v>
      </c>
      <c r="B2492" s="8" t="s">
        <v>696</v>
      </c>
      <c r="D2492" s="121" t="str">
        <f>HYPERLINK("http://www.lovell.fhcc.va.gov/services/HEMATOLOGY_ONCOLOGY.ASP")</f>
        <v>http://www.lovell.fhcc.va.gov/services/HEMATOLOGY_ONCOLOGY.ASP</v>
      </c>
      <c r="E2492" s="8" t="s">
        <v>392</v>
      </c>
    </row>
    <row r="2493" ht="14.25" hidden="1" customHeight="1">
      <c r="A2493" s="8" t="s">
        <v>2539</v>
      </c>
      <c r="B2493" s="8" t="s">
        <v>2896</v>
      </c>
      <c r="D2493" s="121" t="str">
        <f>HYPERLINK("http://www.lovell.fhcc.va.gov/services/HOMELESSVETERANS_WALKINCENTER.ASP")</f>
        <v>http://www.lovell.fhcc.va.gov/services/HOMELESSVETERANS_WALKINCENTER.ASP</v>
      </c>
      <c r="E2493" s="8" t="s">
        <v>392</v>
      </c>
    </row>
    <row r="2494" ht="14.25" hidden="1" customHeight="1">
      <c r="A2494" s="8" t="s">
        <v>2539</v>
      </c>
      <c r="B2494" s="8" t="s">
        <v>437</v>
      </c>
      <c r="D2494" s="121" t="str">
        <f>HYPERLINK("http://www.lovell.fhcc.va.gov/services/PALLIATIVE_CARE_SERVICES.ASP")</f>
        <v>http://www.lovell.fhcc.va.gov/services/PALLIATIVE_CARE_SERVICES.ASP</v>
      </c>
      <c r="E2494" s="8" t="s">
        <v>595</v>
      </c>
    </row>
    <row r="2495" ht="14.25" hidden="1" customHeight="1">
      <c r="A2495" s="8" t="s">
        <v>2539</v>
      </c>
      <c r="B2495" s="8" t="s">
        <v>1263</v>
      </c>
      <c r="D2495" s="121" t="str">
        <f>HYPERLINK("http://www.lovell.fhcc.va.gov/services/IMAGING.ASP")</f>
        <v>http://www.lovell.fhcc.va.gov/services/IMAGING.ASP</v>
      </c>
      <c r="E2495" s="8" t="s">
        <v>392</v>
      </c>
    </row>
    <row r="2496" ht="14.25" hidden="1" customHeight="1">
      <c r="A2496" s="8" t="s">
        <v>2539</v>
      </c>
      <c r="B2496" s="8" t="s">
        <v>2897</v>
      </c>
      <c r="D2496" s="121" t="str">
        <f>HYPERLINK("http://www.lovell.fhcc.va.gov/services/IMMUNIZATION.ASP")</f>
        <v>http://www.lovell.fhcc.va.gov/services/IMMUNIZATION.ASP</v>
      </c>
      <c r="E2496" s="8" t="s">
        <v>392</v>
      </c>
    </row>
    <row r="2497" ht="14.25" hidden="1" customHeight="1">
      <c r="A2497" s="8" t="s">
        <v>2539</v>
      </c>
      <c r="B2497" s="8" t="s">
        <v>579</v>
      </c>
      <c r="D2497" s="121" t="str">
        <f>HYPERLINK("http://www.lovell.fhcc.va.gov/services/INFECTIOUS_DISEASE.ASP")</f>
        <v>http://www.lovell.fhcc.va.gov/services/INFECTIOUS_DISEASE.ASP</v>
      </c>
      <c r="E2497" s="8" t="s">
        <v>392</v>
      </c>
    </row>
    <row r="2498" ht="14.25" hidden="1" customHeight="1">
      <c r="A2498" s="8" t="s">
        <v>2539</v>
      </c>
      <c r="B2498" s="8" t="s">
        <v>1792</v>
      </c>
      <c r="D2498" s="121" t="str">
        <f>HYPERLINK("http://www.lovell.fhcc.va.gov/services/INTERNAL_MEDICINE.ASP")</f>
        <v>http://www.lovell.fhcc.va.gov/services/INTERNAL_MEDICINE.ASP</v>
      </c>
      <c r="E2498" s="8" t="s">
        <v>392</v>
      </c>
    </row>
    <row r="2499" ht="14.25" hidden="1" customHeight="1">
      <c r="A2499" s="8" t="s">
        <v>2539</v>
      </c>
      <c r="B2499" s="8" t="s">
        <v>2898</v>
      </c>
      <c r="D2499" s="121" t="str">
        <f>HYPERLINK("http://www.lovell.fhcc.va.gov/services/LESBIAN_GAY_BISEXUAL_AND_TRANSGENDER_LGBT_PATIENT_CARE.ASP")</f>
        <v>http://www.lovell.fhcc.va.gov/services/LESBIAN_GAY_BISEXUAL_AND_TRANSGENDER_LGBT_PATIENT_CARE.ASP</v>
      </c>
      <c r="E2499" s="8" t="s">
        <v>392</v>
      </c>
    </row>
    <row r="2500" ht="14.25" hidden="1" customHeight="1">
      <c r="A2500" s="8" t="s">
        <v>2539</v>
      </c>
      <c r="B2500" s="8" t="s">
        <v>2899</v>
      </c>
      <c r="D2500" s="121" t="str">
        <f>HYPERLINK("http://www.lovell.fhcc.va.gov/services/LIFE_SKILLS_MENTAL_HEALTH.ASP")</f>
        <v>http://www.lovell.fhcc.va.gov/services/LIFE_SKILLS_MENTAL_HEALTH.ASP</v>
      </c>
      <c r="E2500" s="8" t="s">
        <v>392</v>
      </c>
    </row>
    <row r="2501" ht="14.25" hidden="1" customHeight="1">
      <c r="A2501" s="8" t="s">
        <v>2539</v>
      </c>
      <c r="B2501" s="8" t="s">
        <v>2900</v>
      </c>
      <c r="D2501" s="121" t="str">
        <f>HYPERLINK("http://www.lovell.fhcc.va.gov/services/MANAGED_CARE.ASP")</f>
        <v>http://www.lovell.fhcc.va.gov/services/MANAGED_CARE.ASP</v>
      </c>
      <c r="E2501" s="8" t="s">
        <v>392</v>
      </c>
    </row>
    <row r="2502" ht="14.25" hidden="1" customHeight="1">
      <c r="A2502" s="8" t="s">
        <v>2539</v>
      </c>
      <c r="B2502" s="8" t="s">
        <v>323</v>
      </c>
      <c r="D2502" s="121" t="str">
        <f>HYPERLINK("http://www.lovell.fhcc.va.gov/services/MENTAL_HEALTH_CLINIC.ASP")</f>
        <v>http://www.lovell.fhcc.va.gov/services/MENTAL_HEALTH_CLINIC.ASP</v>
      </c>
      <c r="E2502" s="8" t="s">
        <v>392</v>
      </c>
    </row>
    <row r="2503" ht="14.25" hidden="1" customHeight="1">
      <c r="A2503" s="8" t="s">
        <v>2539</v>
      </c>
      <c r="B2503" s="8" t="s">
        <v>326</v>
      </c>
      <c r="D2503" s="121" t="str">
        <f>HYPERLINK("http://www.lovell.fhcc.va.gov/services/MINORITY_VETERANS_PROGRAM.ASP")</f>
        <v>http://www.lovell.fhcc.va.gov/services/MINORITY_VETERANS_PROGRAM.ASP</v>
      </c>
      <c r="E2503" s="8" t="s">
        <v>392</v>
      </c>
    </row>
    <row r="2504" ht="14.25" hidden="1" customHeight="1">
      <c r="A2504" s="8" t="s">
        <v>2539</v>
      </c>
      <c r="B2504" s="8" t="s">
        <v>653</v>
      </c>
      <c r="D2504" s="121" t="str">
        <f>HYPERLINK("http://www.lovell.fhcc.va.gov/services/NEPHROLOGY.ASP")</f>
        <v>http://www.lovell.fhcc.va.gov/services/NEPHROLOGY.ASP</v>
      </c>
      <c r="E2504" s="8" t="s">
        <v>392</v>
      </c>
    </row>
    <row r="2505" ht="14.25" hidden="1" customHeight="1">
      <c r="A2505" s="8" t="s">
        <v>2539</v>
      </c>
      <c r="B2505" s="8" t="s">
        <v>1172</v>
      </c>
      <c r="D2505" s="121" t="str">
        <f>HYPERLINK("http://www.lovell.fhcc.va.gov/services/NEUROLOGY.ASP")</f>
        <v>http://www.lovell.fhcc.va.gov/services/NEUROLOGY.ASP</v>
      </c>
      <c r="E2505" s="8" t="s">
        <v>392</v>
      </c>
    </row>
    <row r="2506" ht="14.25" hidden="1" customHeight="1">
      <c r="A2506" s="8" t="s">
        <v>2539</v>
      </c>
      <c r="B2506" s="8" t="s">
        <v>2901</v>
      </c>
      <c r="D2506" s="121" t="str">
        <f>HYPERLINK("http://www.lovell.fhcc.va.gov/services/NURSE_ADVICE_LINE_TRICARE.ASP")</f>
        <v>http://www.lovell.fhcc.va.gov/services/NURSE_ADVICE_LINE_TRICARE.ASP</v>
      </c>
      <c r="E2506" s="8" t="s">
        <v>392</v>
      </c>
    </row>
    <row r="2507" ht="14.25" hidden="1" customHeight="1">
      <c r="A2507" s="8" t="s">
        <v>2539</v>
      </c>
      <c r="B2507" s="8" t="s">
        <v>2902</v>
      </c>
      <c r="D2507" s="121" t="str">
        <f>HYPERLINK("http://www.lovell.fhcc.va.gov/services/NURSE_ADVICE_LINE_VETERAN.ASP")</f>
        <v>http://www.lovell.fhcc.va.gov/services/NURSE_ADVICE_LINE_VETERAN.ASP</v>
      </c>
      <c r="E2507" s="8" t="s">
        <v>392</v>
      </c>
    </row>
    <row r="2508" ht="14.25" hidden="1" customHeight="1">
      <c r="A2508" s="8" t="s">
        <v>2539</v>
      </c>
      <c r="B2508" s="8" t="s">
        <v>332</v>
      </c>
      <c r="D2508" s="121" t="str">
        <f>HYPERLINK("http://www.lovell.fhcc.va.gov/services/NUTRITIONANDFOOD.ASP")</f>
        <v>http://www.lovell.fhcc.va.gov/services/NUTRITIONANDFOOD.ASP</v>
      </c>
      <c r="E2508" s="8" t="s">
        <v>392</v>
      </c>
    </row>
    <row r="2509" ht="14.25" hidden="1" customHeight="1">
      <c r="A2509" s="8" t="s">
        <v>2539</v>
      </c>
      <c r="B2509" s="8" t="s">
        <v>2903</v>
      </c>
      <c r="D2509" s="121" t="str">
        <f>HYPERLINK("http://www.lovell.fhcc.va.gov/services/OPERATIONAL_MEDICINE_FISHER_CLINIC.ASP")</f>
        <v>http://www.lovell.fhcc.va.gov/services/OPERATIONAL_MEDICINE_FISHER_CLINIC.ASP</v>
      </c>
      <c r="E2509" s="8" t="s">
        <v>392</v>
      </c>
    </row>
    <row r="2510" ht="14.25" hidden="1" customHeight="1">
      <c r="A2510" s="8" t="s">
        <v>2539</v>
      </c>
      <c r="B2510" s="8" t="s">
        <v>901</v>
      </c>
      <c r="D2510" s="121" t="str">
        <f>HYPERLINK("http://www.lovell.fhcc.va.gov/services/OPTOMETRY.ASP")</f>
        <v>http://www.lovell.fhcc.va.gov/services/OPTOMETRY.ASP</v>
      </c>
      <c r="E2510" s="8" t="s">
        <v>392</v>
      </c>
    </row>
    <row r="2511" ht="14.25" hidden="1" customHeight="1">
      <c r="A2511" s="8" t="s">
        <v>2539</v>
      </c>
      <c r="B2511" s="8" t="s">
        <v>338</v>
      </c>
      <c r="D2511" s="121" t="str">
        <f>HYPERLINK("http://www.lovell.fhcc.va.gov/services/ORTHOPEDICS.ASP")</f>
        <v>http://www.lovell.fhcc.va.gov/services/ORTHOPEDICS.ASP</v>
      </c>
      <c r="E2511" s="8" t="s">
        <v>392</v>
      </c>
    </row>
    <row r="2512" ht="14.25" hidden="1" customHeight="1">
      <c r="A2512" s="8" t="s">
        <v>2539</v>
      </c>
      <c r="B2512" s="8" t="s">
        <v>342</v>
      </c>
      <c r="D2512" s="121" t="str">
        <f>HYPERLINK("http://www.lovell.fhcc.va.gov/services/PALLIATIVE_CARE_SERVICES.ASP")</f>
        <v>http://www.lovell.fhcc.va.gov/services/PALLIATIVE_CARE_SERVICES.ASP</v>
      </c>
      <c r="E2512" s="8" t="s">
        <v>392</v>
      </c>
    </row>
    <row r="2513" ht="14.25" hidden="1" customHeight="1">
      <c r="A2513" s="8" t="s">
        <v>2539</v>
      </c>
      <c r="B2513" s="8" t="s">
        <v>542</v>
      </c>
      <c r="D2513" s="121" t="str">
        <f>HYPERLINK("http://www.lovell.fhcc.va.gov/services/CHAPLAIN_SERVICES.ASP")</f>
        <v>http://www.lovell.fhcc.va.gov/services/CHAPLAIN_SERVICES.ASP</v>
      </c>
      <c r="E2513" s="8" t="s">
        <v>595</v>
      </c>
    </row>
    <row r="2514" ht="14.25" hidden="1" customHeight="1">
      <c r="A2514" s="8" t="s">
        <v>2539</v>
      </c>
      <c r="B2514" s="8" t="s">
        <v>907</v>
      </c>
      <c r="D2514" s="121" t="str">
        <f>HYPERLINK("http://www.lovell.fhcc.va.gov/services/PATIENT_ADVOCATES.ASP")</f>
        <v>http://www.lovell.fhcc.va.gov/services/PATIENT_ADVOCATES.ASP</v>
      </c>
      <c r="E2514" s="8" t="s">
        <v>392</v>
      </c>
    </row>
    <row r="2515" ht="14.25" hidden="1" customHeight="1">
      <c r="A2515" s="8" t="s">
        <v>2539</v>
      </c>
      <c r="B2515" s="8" t="s">
        <v>2909</v>
      </c>
      <c r="D2515" s="121" t="str">
        <f>HYPERLINK("http://www.lovell.fhcc.va.gov/services/PEDIATRICS.ASP")</f>
        <v>http://www.lovell.fhcc.va.gov/services/PEDIATRICS.ASP</v>
      </c>
      <c r="E2515" s="8" t="s">
        <v>392</v>
      </c>
    </row>
    <row r="2516" ht="14.25" hidden="1" customHeight="1">
      <c r="A2516" s="8" t="s">
        <v>2539</v>
      </c>
      <c r="B2516" s="8" t="s">
        <v>343</v>
      </c>
      <c r="D2516" s="121" t="str">
        <f>HYPERLINK("http://www.lovell.fhcc.va.gov/services/PHARMACY.ASP")</f>
        <v>http://www.lovell.fhcc.va.gov/services/PHARMACY.ASP</v>
      </c>
      <c r="E2516" s="8" t="s">
        <v>392</v>
      </c>
    </row>
    <row r="2517" ht="14.25" hidden="1" customHeight="1">
      <c r="A2517" s="8" t="s">
        <v>2539</v>
      </c>
      <c r="B2517" s="8" t="s">
        <v>1063</v>
      </c>
      <c r="D2517" s="121" t="str">
        <f>HYPERLINK("http://www.lovell.fhcc.va.gov/services/REHAB.ASP")</f>
        <v>http://www.lovell.fhcc.va.gov/services/REHAB.ASP</v>
      </c>
      <c r="E2517" s="8" t="s">
        <v>392</v>
      </c>
    </row>
    <row r="2518" ht="14.25" hidden="1" customHeight="1">
      <c r="A2518" s="8" t="s">
        <v>2539</v>
      </c>
      <c r="B2518" s="8" t="s">
        <v>450</v>
      </c>
      <c r="D2518" s="121" t="str">
        <f>HYPERLINK("http://www.lovell.fhcc.va.gov/services/PODIATRY.ASP")</f>
        <v>http://www.lovell.fhcc.va.gov/services/PODIATRY.ASP</v>
      </c>
      <c r="E2518" s="8" t="s">
        <v>392</v>
      </c>
    </row>
    <row r="2519" ht="14.25" hidden="1" customHeight="1">
      <c r="A2519" s="8" t="s">
        <v>2539</v>
      </c>
      <c r="B2519" s="8" t="s">
        <v>2568</v>
      </c>
      <c r="D2519" s="121" t="str">
        <f>HYPERLINK("http://www.lovell.fhcc.va.gov/services/POLICE_AND_SECURITY.ASP")</f>
        <v>http://www.lovell.fhcc.va.gov/services/POLICE_AND_SECURITY.ASP</v>
      </c>
      <c r="E2519" s="8" t="s">
        <v>392</v>
      </c>
    </row>
    <row r="2520" ht="14.25" hidden="1" customHeight="1">
      <c r="A2520" s="8" t="s">
        <v>2539</v>
      </c>
      <c r="B2520" s="8" t="s">
        <v>2919</v>
      </c>
      <c r="D2520" s="121" t="str">
        <f>HYPERLINK("http://www.lovell.fhcc.va.gov/services/PULMONOLOGY.ASP")</f>
        <v>http://www.lovell.fhcc.va.gov/services/PULMONOLOGY.ASP</v>
      </c>
      <c r="E2520" s="8" t="s">
        <v>392</v>
      </c>
    </row>
    <row r="2521" ht="14.25" hidden="1" customHeight="1">
      <c r="A2521" s="8" t="s">
        <v>2539</v>
      </c>
      <c r="B2521" s="8" t="s">
        <v>1312</v>
      </c>
      <c r="D2521" s="121" t="str">
        <f>HYPERLINK("http://www.lovell.fhcc.va.gov/services/RESEARCH_AND_DEVELOPMENT.ASP")</f>
        <v>http://www.lovell.fhcc.va.gov/services/RESEARCH_AND_DEVELOPMENT.ASP</v>
      </c>
      <c r="E2521" s="8" t="s">
        <v>392</v>
      </c>
    </row>
    <row r="2522" ht="14.25" hidden="1" customHeight="1">
      <c r="A2522" s="8" t="s">
        <v>2539</v>
      </c>
      <c r="B2522" s="8" t="s">
        <v>1171</v>
      </c>
      <c r="D2522" s="121" t="str">
        <f>HYPERLINK("http://www.lovell.fhcc.va.gov/services/RHEUMATOLOGY.ASP")</f>
        <v>http://www.lovell.fhcc.va.gov/services/RHEUMATOLOGY.ASP</v>
      </c>
      <c r="E2522" s="8" t="s">
        <v>392</v>
      </c>
    </row>
    <row r="2523" ht="14.25" hidden="1" customHeight="1">
      <c r="A2523" s="8" t="s">
        <v>2539</v>
      </c>
      <c r="B2523" s="8" t="s">
        <v>2924</v>
      </c>
      <c r="D2523" s="121" t="str">
        <f>HYPERLINK("http://www.lovell.fhcc.va.gov/services/SDTU.ASP")</f>
        <v>http://www.lovell.fhcc.va.gov/services/SDTU.ASP</v>
      </c>
      <c r="E2523" s="8" t="s">
        <v>392</v>
      </c>
    </row>
    <row r="2524" ht="14.25" hidden="1" customHeight="1">
      <c r="A2524" s="8" t="s">
        <v>2539</v>
      </c>
      <c r="B2524" s="8" t="s">
        <v>731</v>
      </c>
      <c r="D2524" s="121" t="str">
        <f>HYPERLINK("http://www.lovell.fhcc.va.gov/services/SUBSTANCE_ABUSE_TREATMENT.ASP")</f>
        <v>http://www.lovell.fhcc.va.gov/services/SUBSTANCE_ABUSE_TREATMENT.ASP</v>
      </c>
      <c r="E2524" s="8" t="s">
        <v>392</v>
      </c>
    </row>
    <row r="2525" ht="14.25" hidden="1" customHeight="1">
      <c r="A2525" s="8" t="s">
        <v>2539</v>
      </c>
      <c r="B2525" s="8" t="s">
        <v>2929</v>
      </c>
      <c r="D2525" s="121" t="str">
        <f>HYPERLINK("http://www.lovell.fhcc.va.gov/services/SUICIDE_PREVENTION_PROGRAM.ASP")</f>
        <v>http://www.lovell.fhcc.va.gov/services/SUICIDE_PREVENTION_PROGRAM.ASP</v>
      </c>
      <c r="E2525" s="8" t="s">
        <v>392</v>
      </c>
    </row>
    <row r="2526" ht="14.25" hidden="1" customHeight="1">
      <c r="A2526" s="8" t="s">
        <v>2539</v>
      </c>
      <c r="B2526" s="8" t="s">
        <v>1780</v>
      </c>
      <c r="D2526" s="121" t="str">
        <f>HYPERLINK("http://www.lovell.fhcc.va.gov/services/TRICARE.ASP")</f>
        <v>http://www.lovell.fhcc.va.gov/services/TRICARE.ASP</v>
      </c>
      <c r="E2526" s="8" t="s">
        <v>392</v>
      </c>
    </row>
    <row r="2527" ht="14.25" hidden="1" customHeight="1">
      <c r="A2527" s="8" t="s">
        <v>2539</v>
      </c>
      <c r="B2527" s="8" t="s">
        <v>1450</v>
      </c>
      <c r="D2527" s="121" t="str">
        <f>HYPERLINK("http://www.lovell.fhcc.va.gov/services/TELEHEALTH.ASP")</f>
        <v>http://www.lovell.fhcc.va.gov/services/TELEHEALTH.ASP</v>
      </c>
      <c r="E2527" s="8" t="s">
        <v>392</v>
      </c>
    </row>
    <row r="2528" ht="14.25" hidden="1" customHeight="1">
      <c r="A2528" s="8" t="s">
        <v>2539</v>
      </c>
      <c r="B2528" s="8" t="s">
        <v>2933</v>
      </c>
      <c r="D2528" s="121" t="str">
        <f>HYPERLINK("http://www.lovell.fhcc.va.gov/services/TRANSPLANT_PATIENT_CARE.ASP")</f>
        <v>http://www.lovell.fhcc.va.gov/services/TRANSPLANT_PATIENT_CARE.ASP</v>
      </c>
      <c r="E2528" s="8" t="s">
        <v>392</v>
      </c>
    </row>
    <row r="2529" ht="14.25" hidden="1" customHeight="1">
      <c r="A2529" s="8" t="s">
        <v>2539</v>
      </c>
      <c r="B2529" s="8" t="s">
        <v>469</v>
      </c>
      <c r="D2529" s="121" t="str">
        <f>HYPERLINK("http://www.lovell.fhcc.va.gov/services/UROLOGY.ASP")</f>
        <v>http://www.lovell.fhcc.va.gov/services/UROLOGY.ASP</v>
      </c>
      <c r="E2529" s="8" t="s">
        <v>392</v>
      </c>
    </row>
    <row r="2530" ht="14.25" hidden="1" customHeight="1">
      <c r="A2530" s="8" t="s">
        <v>2539</v>
      </c>
      <c r="B2530" s="8" t="s">
        <v>2938</v>
      </c>
      <c r="D2530" s="121" t="str">
        <f t="shared" ref="D2530:D2531" si="18">HYPERLINK("http://www.lovell.fhcc.va.gov/services/VETERANS_JUSTICE_OUTREACH.ASP")</f>
        <v>http://www.lovell.fhcc.va.gov/services/VETERANS_JUSTICE_OUTREACH.ASP</v>
      </c>
      <c r="E2530" s="8" t="s">
        <v>595</v>
      </c>
    </row>
    <row r="2531" ht="14.25" hidden="1" customHeight="1">
      <c r="A2531" s="8" t="s">
        <v>2539</v>
      </c>
      <c r="B2531" s="8" t="s">
        <v>516</v>
      </c>
      <c r="D2531" s="121" t="str">
        <f t="shared" si="18"/>
        <v>http://www.lovell.fhcc.va.gov/services/VETERANS_JUSTICE_OUTREACH.ASP</v>
      </c>
      <c r="E2531" s="8" t="s">
        <v>392</v>
      </c>
    </row>
    <row r="2532" ht="14.25" hidden="1" customHeight="1">
      <c r="A2532" s="8" t="s">
        <v>2539</v>
      </c>
      <c r="B2532" s="8" t="s">
        <v>318</v>
      </c>
      <c r="D2532" s="121" t="str">
        <f>HYPERLINK("http://www.lovell.fhcc.va.gov/services/VISUAL_IMPAIRMENT_SERVICES.ASP")</f>
        <v>http://www.lovell.fhcc.va.gov/services/VISUAL_IMPAIRMENT_SERVICES.ASP</v>
      </c>
      <c r="E2532" s="8" t="s">
        <v>392</v>
      </c>
    </row>
    <row r="2533" ht="14.25" hidden="1" customHeight="1">
      <c r="A2533" s="8" t="s">
        <v>2539</v>
      </c>
      <c r="B2533" s="8" t="s">
        <v>378</v>
      </c>
      <c r="D2533" s="121" t="str">
        <f>HYPERLINK("http://www.lovell.fhcc.va.gov/services/WOMEN_VETERAN_PROGRAM.ASP")</f>
        <v>http://www.lovell.fhcc.va.gov/services/WOMEN_VETERAN_PROGRAM.ASP</v>
      </c>
      <c r="E2533" s="8" t="s">
        <v>392</v>
      </c>
    </row>
    <row r="2534" ht="14.25" hidden="1" customHeight="1">
      <c r="A2534" s="8" t="s">
        <v>2539</v>
      </c>
      <c r="B2534" s="8" t="s">
        <v>2940</v>
      </c>
      <c r="D2534" s="121" t="str">
        <f>HYPERLINK("http://www.lovell.fhcc.va.gov/services/WOMENHEALTHCLINIC.ASP")</f>
        <v>http://www.lovell.fhcc.va.gov/services/WOMENHEALTHCLINIC.ASP</v>
      </c>
      <c r="E2534" s="8" t="s">
        <v>392</v>
      </c>
    </row>
    <row r="2535" ht="14.25" hidden="1" customHeight="1">
      <c r="A2535" s="8" t="s">
        <v>2564</v>
      </c>
      <c r="B2535" s="8" t="s">
        <v>2941</v>
      </c>
      <c r="D2535" s="121" t="str">
        <f>HYPERLINK("http://www.madison.va.gov/services/ADTP.ASP")</f>
        <v>http://www.madison.va.gov/services/ADTP.ASP</v>
      </c>
      <c r="E2535" s="8" t="s">
        <v>392</v>
      </c>
    </row>
    <row r="2536" ht="14.25" hidden="1" customHeight="1">
      <c r="A2536" s="8" t="s">
        <v>2564</v>
      </c>
      <c r="B2536" s="8" t="s">
        <v>2942</v>
      </c>
      <c r="D2536" s="121" t="str">
        <f>HYPERLINK("http://www.madison.va.gov/services/AMPUTEE_CARE.ASP")</f>
        <v>http://www.madison.va.gov/services/AMPUTEE_CARE.ASP</v>
      </c>
      <c r="E2536" s="8" t="s">
        <v>392</v>
      </c>
    </row>
    <row r="2537" ht="14.25" hidden="1" customHeight="1">
      <c r="A2537" s="8" t="s">
        <v>2564</v>
      </c>
      <c r="B2537" s="8" t="s">
        <v>635</v>
      </c>
      <c r="D2537" s="121" t="str">
        <f>HYPERLINK("http://www.madison.va.gov/services/APPOINTMENTS.ASP")</f>
        <v>http://www.madison.va.gov/services/APPOINTMENTS.ASP</v>
      </c>
      <c r="E2537" s="8" t="s">
        <v>392</v>
      </c>
    </row>
    <row r="2538" ht="14.25" hidden="1" customHeight="1">
      <c r="A2538" s="8" t="s">
        <v>2564</v>
      </c>
      <c r="B2538" s="8" t="s">
        <v>2945</v>
      </c>
      <c r="D2538" s="121" t="str">
        <f>HYPERLINK("http://www.madison.va.gov/services/AUDIOLOGY_AND_SPEECH_PATHOLOGY.ASP")</f>
        <v>http://www.madison.va.gov/services/AUDIOLOGY_AND_SPEECH_PATHOLOGY.ASP</v>
      </c>
      <c r="E2538" s="8" t="s">
        <v>392</v>
      </c>
    </row>
    <row r="2539" ht="14.25" hidden="1" customHeight="1">
      <c r="A2539" s="8" t="s">
        <v>2564</v>
      </c>
      <c r="B2539" s="8" t="s">
        <v>2946</v>
      </c>
      <c r="D2539" s="121" t="str">
        <f>HYPERLINK("http://www.madison.va.gov/services/BACK_MAINTENANCE.ASP")</f>
        <v>http://www.madison.va.gov/services/BACK_MAINTENANCE.ASP</v>
      </c>
      <c r="E2539" s="8" t="s">
        <v>392</v>
      </c>
    </row>
    <row r="2540" ht="14.25" hidden="1" customHeight="1">
      <c r="A2540" s="8" t="s">
        <v>2564</v>
      </c>
      <c r="B2540" s="8" t="s">
        <v>2948</v>
      </c>
      <c r="D2540" s="121" t="str">
        <f>HYPERLINK("http://www.madison.va.gov/services/TELEPHONE_CARE.ASP")</f>
        <v>http://www.madison.va.gov/services/TELEPHONE_CARE.ASP</v>
      </c>
      <c r="E2540" s="8" t="s">
        <v>595</v>
      </c>
    </row>
    <row r="2541" ht="14.25" hidden="1" customHeight="1">
      <c r="A2541" s="8" t="s">
        <v>2564</v>
      </c>
      <c r="B2541" s="8" t="s">
        <v>1127</v>
      </c>
      <c r="D2541" s="121" t="str">
        <f>HYPERLINK("http://www.madison.va.gov/services/CARDIAC_PULMONARY_REHAB.ASP")</f>
        <v>http://www.madison.va.gov/services/CARDIAC_PULMONARY_REHAB.ASP</v>
      </c>
      <c r="E2541" s="8" t="s">
        <v>392</v>
      </c>
    </row>
    <row r="2542" ht="14.25" hidden="1" customHeight="1">
      <c r="A2542" s="8" t="s">
        <v>2564</v>
      </c>
      <c r="B2542" s="8" t="s">
        <v>414</v>
      </c>
      <c r="D2542" s="121" t="str">
        <f>HYPERLINK("http://www.madison.va.gov/services/CARDIOLOGY.ASP")</f>
        <v>http://www.madison.va.gov/services/CARDIOLOGY.ASP</v>
      </c>
      <c r="E2542" s="8" t="s">
        <v>392</v>
      </c>
    </row>
    <row r="2543" ht="14.25" hidden="1" customHeight="1">
      <c r="A2543" s="8" t="s">
        <v>2564</v>
      </c>
      <c r="B2543" s="8" t="s">
        <v>468</v>
      </c>
      <c r="D2543" s="121" t="str">
        <f>HYPERLINK("http://www.madison.va.gov/services/SOCIALWORK.ASP")</f>
        <v>http://www.madison.va.gov/services/SOCIALWORK.ASP</v>
      </c>
      <c r="E2543" s="8" t="s">
        <v>595</v>
      </c>
    </row>
    <row r="2544" ht="14.25" hidden="1" customHeight="1">
      <c r="A2544" s="8" t="s">
        <v>2564</v>
      </c>
      <c r="B2544" s="8" t="s">
        <v>2951</v>
      </c>
      <c r="D2544" s="121" t="str">
        <f>HYPERLINK("http://www.madison.va.gov/services/CSP.ASP")</f>
        <v>http://www.madison.va.gov/services/CSP.ASP</v>
      </c>
      <c r="E2544" s="8" t="s">
        <v>392</v>
      </c>
    </row>
    <row r="2545" ht="14.25" hidden="1" customHeight="1">
      <c r="A2545" s="8" t="s">
        <v>2564</v>
      </c>
      <c r="B2545" s="8" t="s">
        <v>497</v>
      </c>
      <c r="D2545" s="121" t="str">
        <f>HYPERLINK("http://www.madison.va.gov/services/COMPENSATED_WORK_THERAPY.ASP")</f>
        <v>http://www.madison.va.gov/services/COMPENSATED_WORK_THERAPY.ASP</v>
      </c>
      <c r="E2545" s="8" t="s">
        <v>392</v>
      </c>
    </row>
    <row r="2546" ht="14.25" hidden="1" customHeight="1">
      <c r="A2546" s="8" t="s">
        <v>2564</v>
      </c>
      <c r="B2546" s="8" t="s">
        <v>455</v>
      </c>
      <c r="D2546" s="121" t="str">
        <f>HYPERLINK("http://www.madison.va.gov/services/COMPENSATION_AND_PENSION.ASP")</f>
        <v>http://www.madison.va.gov/services/COMPENSATION_AND_PENSION.ASP</v>
      </c>
      <c r="E2546" s="8" t="s">
        <v>392</v>
      </c>
    </row>
    <row r="2547" ht="14.25" hidden="1" customHeight="1">
      <c r="A2547" s="8" t="s">
        <v>2564</v>
      </c>
      <c r="B2547" s="8" t="s">
        <v>305</v>
      </c>
      <c r="D2547" s="121" t="str">
        <f>HYPERLINK("http://www.madison.va.gov/services/DENTAL_SERVICES.ASP")</f>
        <v>http://www.madison.va.gov/services/DENTAL_SERVICES.ASP</v>
      </c>
      <c r="E2547" s="8" t="s">
        <v>392</v>
      </c>
    </row>
    <row r="2548" ht="14.25" hidden="1" customHeight="1">
      <c r="A2548" s="8" t="s">
        <v>2564</v>
      </c>
      <c r="B2548" s="8" t="s">
        <v>2953</v>
      </c>
      <c r="D2548" s="121" t="str">
        <f>HYPERLINK("http://www.madison.va.gov/services/FOOT_CARE.ASP")</f>
        <v>http://www.madison.va.gov/services/FOOT_CARE.ASP</v>
      </c>
      <c r="E2548" s="8" t="s">
        <v>392</v>
      </c>
    </row>
    <row r="2549" ht="14.25" hidden="1" customHeight="1">
      <c r="A2549" s="8" t="s">
        <v>2564</v>
      </c>
      <c r="B2549" s="8" t="s">
        <v>663</v>
      </c>
      <c r="D2549" s="121" t="str">
        <f>HYPERLINK("http://www.madison.va.gov/services/ELIGIBILITY.ASP")</f>
        <v>http://www.madison.va.gov/services/ELIGIBILITY.ASP</v>
      </c>
      <c r="E2549" s="8" t="s">
        <v>392</v>
      </c>
    </row>
    <row r="2550" ht="14.25" hidden="1" customHeight="1">
      <c r="A2550" s="8" t="s">
        <v>2564</v>
      </c>
      <c r="B2550" s="8" t="s">
        <v>308</v>
      </c>
      <c r="D2550" s="121" t="str">
        <f>HYPERLINK("http://www.madison.va.gov/services/EMERGENCY_DEPARTMENT.ASP")</f>
        <v>http://www.madison.va.gov/services/EMERGENCY_DEPARTMENT.ASP</v>
      </c>
      <c r="E2550" s="8" t="s">
        <v>392</v>
      </c>
    </row>
    <row r="2551" ht="14.25" hidden="1" customHeight="1">
      <c r="A2551" s="8" t="s">
        <v>2564</v>
      </c>
      <c r="B2551" s="8" t="s">
        <v>2956</v>
      </c>
      <c r="D2551" s="121" t="str">
        <f>HYPERLINK("http://www.madison.va.gov/services/EPILEPSY.ASP")</f>
        <v>http://www.madison.va.gov/services/EPILEPSY.ASP</v>
      </c>
      <c r="E2551" s="8" t="s">
        <v>392</v>
      </c>
    </row>
    <row r="2552" ht="14.25" hidden="1" customHeight="1">
      <c r="A2552" s="8" t="s">
        <v>2564</v>
      </c>
      <c r="B2552" s="8" t="s">
        <v>309</v>
      </c>
      <c r="D2552" s="121" t="str">
        <f>HYPERLINK("http://www.madison.va.gov/services/ECRC.ASP")</f>
        <v>http://www.madison.va.gov/services/ECRC.ASP</v>
      </c>
      <c r="E2552" s="8" t="s">
        <v>392</v>
      </c>
    </row>
    <row r="2553" ht="14.25" hidden="1" customHeight="1">
      <c r="A2553" s="8" t="s">
        <v>2564</v>
      </c>
      <c r="B2553" s="8" t="s">
        <v>949</v>
      </c>
      <c r="D2553" s="121" t="str">
        <f>HYPERLINK("http://www.madison.va.gov/services/EYE_CARE.ASP")</f>
        <v>http://www.madison.va.gov/services/EYE_CARE.ASP</v>
      </c>
      <c r="E2553" s="8" t="s">
        <v>392</v>
      </c>
    </row>
    <row r="2554" ht="14.25" hidden="1" customHeight="1">
      <c r="A2554" s="8" t="s">
        <v>2564</v>
      </c>
      <c r="B2554" s="8" t="s">
        <v>2961</v>
      </c>
      <c r="D2554" s="121" t="str">
        <f>HYPERLINK("http://www.madison.va.gov/services/FALLS_PREVENTION.ASP")</f>
        <v>http://www.madison.va.gov/services/FALLS_PREVENTION.ASP</v>
      </c>
      <c r="E2554" s="8" t="s">
        <v>392</v>
      </c>
    </row>
    <row r="2555" ht="14.25" hidden="1" customHeight="1">
      <c r="A2555" s="8" t="s">
        <v>2564</v>
      </c>
      <c r="B2555" s="8" t="s">
        <v>2963</v>
      </c>
      <c r="D2555" s="121" t="str">
        <f>HYPERLINK("http://www.madison.va.gov/services/GERIATRIC_CARE.ASP")</f>
        <v>http://www.madison.va.gov/services/GERIATRIC_CARE.ASP</v>
      </c>
      <c r="E2555" s="8" t="s">
        <v>392</v>
      </c>
    </row>
    <row r="2556" ht="14.25" hidden="1" customHeight="1">
      <c r="A2556" s="8" t="s">
        <v>2564</v>
      </c>
      <c r="B2556" s="8" t="s">
        <v>2967</v>
      </c>
      <c r="D2556" s="121" t="str">
        <f>HYPERLINK("http://www.madison.va.gov/services/GRECC.ASP")</f>
        <v>http://www.madison.va.gov/services/GRECC.ASP</v>
      </c>
      <c r="E2556" s="8" t="s">
        <v>392</v>
      </c>
    </row>
    <row r="2557" ht="14.25" hidden="1" customHeight="1">
      <c r="A2557" s="8" t="s">
        <v>2564</v>
      </c>
      <c r="B2557" s="8" t="s">
        <v>1995</v>
      </c>
      <c r="D2557" s="121" t="str">
        <f>HYPERLINK("http://www.madison.va.gov/services/HOME_AND_COMMUNITY_CARE.ASP")</f>
        <v>http://www.madison.va.gov/services/HOME_AND_COMMUNITY_CARE.ASP</v>
      </c>
      <c r="E2557" s="8" t="s">
        <v>392</v>
      </c>
    </row>
    <row r="2558" ht="14.25" hidden="1" customHeight="1">
      <c r="A2558" s="8" t="s">
        <v>2564</v>
      </c>
      <c r="B2558" s="8" t="s">
        <v>2501</v>
      </c>
      <c r="D2558" s="121" t="str">
        <f>HYPERLINK("http://www.madison.va.gov/services/INFUSION_CLINIC.ASP")</f>
        <v>http://www.madison.va.gov/services/INFUSION_CLINIC.ASP</v>
      </c>
      <c r="E2558" s="8" t="s">
        <v>392</v>
      </c>
    </row>
    <row r="2559" ht="14.25" hidden="1" customHeight="1">
      <c r="A2559" s="8" t="s">
        <v>2564</v>
      </c>
      <c r="B2559" s="8" t="s">
        <v>2970</v>
      </c>
      <c r="D2559" s="121" t="str">
        <f>HYPERLINK("http://www.madison.va.gov/services/LGBTQ_VETERANS_CARE_COORDINATOR.ASP")</f>
        <v>http://www.madison.va.gov/services/LGBTQ_VETERANS_CARE_COORDINATOR.ASP</v>
      </c>
      <c r="E2559" s="8" t="s">
        <v>392</v>
      </c>
    </row>
    <row r="2560" ht="14.25" hidden="1" customHeight="1">
      <c r="A2560" s="8" t="s">
        <v>2564</v>
      </c>
      <c r="B2560" s="8" t="s">
        <v>2130</v>
      </c>
      <c r="D2560" s="121" t="str">
        <f>HYPERLINK("http://www.madison.va.gov/services/LOW_VISION.ASP")</f>
        <v>http://www.madison.va.gov/services/LOW_VISION.ASP</v>
      </c>
      <c r="E2560" s="8" t="s">
        <v>392</v>
      </c>
    </row>
    <row r="2561" ht="14.25" hidden="1" customHeight="1">
      <c r="A2561" s="8" t="s">
        <v>2564</v>
      </c>
      <c r="B2561" s="8" t="s">
        <v>2973</v>
      </c>
      <c r="D2561" s="121" t="str">
        <f>HYPERLINK("http://www.madison.va.gov/services/MOVE_PROGRAM.ASP")</f>
        <v>http://www.madison.va.gov/services/MOVE_PROGRAM.ASP</v>
      </c>
      <c r="E2561" s="8" t="s">
        <v>392</v>
      </c>
    </row>
    <row r="2562" ht="14.25" hidden="1" customHeight="1">
      <c r="A2562" s="8" t="s">
        <v>2564</v>
      </c>
      <c r="B2562" s="8" t="s">
        <v>2976</v>
      </c>
      <c r="D2562" s="121" t="str">
        <f>HYPERLINK("http://www.madison.va.gov/services/RADIOLOGY.ASP")</f>
        <v>http://www.madison.va.gov/services/RADIOLOGY.ASP</v>
      </c>
      <c r="E2562" s="8" t="s">
        <v>595</v>
      </c>
    </row>
    <row r="2563" ht="14.25" hidden="1" customHeight="1">
      <c r="A2563" s="8" t="s">
        <v>2564</v>
      </c>
      <c r="B2563" s="8" t="s">
        <v>323</v>
      </c>
      <c r="D2563" s="121" t="str">
        <f>HYPERLINK("http://www.madison.va.gov/services/MENTALHEALTH.ASP")</f>
        <v>http://www.madison.va.gov/services/MENTALHEALTH.ASP</v>
      </c>
      <c r="E2563" s="8" t="s">
        <v>392</v>
      </c>
    </row>
    <row r="2564" ht="14.25" hidden="1" customHeight="1">
      <c r="A2564" s="8" t="s">
        <v>2564</v>
      </c>
      <c r="B2564" s="8" t="s">
        <v>1604</v>
      </c>
      <c r="D2564" s="121" t="str">
        <f>HYPERLINK("http://www.madison.va.gov/services/MILITARY_SEXUAL_TRAUMA.ASP")</f>
        <v>http://www.madison.va.gov/services/MILITARY_SEXUAL_TRAUMA.ASP</v>
      </c>
      <c r="E2564" s="8" t="s">
        <v>392</v>
      </c>
    </row>
    <row r="2565" ht="14.25" hidden="1" customHeight="1">
      <c r="A2565" s="8" t="s">
        <v>2564</v>
      </c>
      <c r="B2565" s="8" t="s">
        <v>1172</v>
      </c>
      <c r="D2565" s="121" t="str">
        <f>HYPERLINK("http://www.madison.va.gov/services/NEUROLOGY.ASP")</f>
        <v>http://www.madison.va.gov/services/NEUROLOGY.ASP</v>
      </c>
      <c r="E2565" s="8" t="s">
        <v>392</v>
      </c>
    </row>
    <row r="2566" ht="14.25" hidden="1" customHeight="1">
      <c r="A2566" s="8" t="s">
        <v>2564</v>
      </c>
      <c r="B2566" s="8" t="s">
        <v>1251</v>
      </c>
      <c r="D2566" s="121" t="str">
        <f>HYPERLINK("http://www.madison.va.gov/services/NURSING.ASP")</f>
        <v>http://www.madison.va.gov/services/NURSING.ASP</v>
      </c>
      <c r="E2566" s="8" t="s">
        <v>392</v>
      </c>
    </row>
    <row r="2567" ht="14.25" hidden="1" customHeight="1">
      <c r="A2567" s="8" t="s">
        <v>2564</v>
      </c>
      <c r="B2567" s="8" t="s">
        <v>2983</v>
      </c>
      <c r="D2567" s="121" t="str">
        <f>HYPERLINK("http://www.madison.va.gov/services/NUTRITION.ASP")</f>
        <v>http://www.madison.va.gov/services/NUTRITION.ASP</v>
      </c>
      <c r="E2567" s="8" t="s">
        <v>392</v>
      </c>
    </row>
    <row r="2568" ht="14.25" hidden="1" customHeight="1">
      <c r="A2568" s="8" t="s">
        <v>2564</v>
      </c>
      <c r="B2568" s="8" t="s">
        <v>900</v>
      </c>
      <c r="D2568" s="121" t="str">
        <f>HYPERLINK("http://www.madison.va.gov/services/OCCUPATIONAL-THERAPY.ASP")</f>
        <v>http://www.madison.va.gov/services/OCCUPATIONAL-THERAPY.ASP</v>
      </c>
      <c r="E2568" s="8" t="s">
        <v>392</v>
      </c>
    </row>
    <row r="2569" ht="14.25" hidden="1" customHeight="1">
      <c r="A2569" s="8" t="s">
        <v>2564</v>
      </c>
      <c r="B2569" s="8" t="s">
        <v>338</v>
      </c>
      <c r="D2569" s="121" t="str">
        <f>HYPERLINK("http://www.madison.va.gov/services/OUTPATIENT_ORTHOPEDICS.ASP")</f>
        <v>http://www.madison.va.gov/services/OUTPATIENT_ORTHOPEDICS.ASP</v>
      </c>
      <c r="E2569" s="8" t="s">
        <v>392</v>
      </c>
    </row>
    <row r="2570" ht="14.25" hidden="1" customHeight="1">
      <c r="A2570" s="8" t="s">
        <v>2564</v>
      </c>
      <c r="B2570" s="8" t="s">
        <v>2987</v>
      </c>
      <c r="D2570" s="121" t="str">
        <f>HYPERLINK("http://www.madison.va.gov/services/PATIENT_LOCATION.ASP")</f>
        <v>http://www.madison.va.gov/services/PATIENT_LOCATION.ASP</v>
      </c>
      <c r="E2570" s="8" t="s">
        <v>392</v>
      </c>
    </row>
    <row r="2571" ht="14.25" hidden="1" customHeight="1">
      <c r="A2571" s="8" t="s">
        <v>2564</v>
      </c>
      <c r="B2571" s="8" t="s">
        <v>2988</v>
      </c>
      <c r="D2571" s="121" t="str">
        <f>HYPERLINK("http://www.madison.va.gov/services/PHARMACY.ASP")</f>
        <v>http://www.madison.va.gov/services/PHARMACY.ASP</v>
      </c>
      <c r="E2571" s="8" t="s">
        <v>392</v>
      </c>
    </row>
    <row r="2572" ht="14.25" hidden="1" customHeight="1">
      <c r="A2572" s="8" t="s">
        <v>2564</v>
      </c>
      <c r="B2572" s="8" t="s">
        <v>608</v>
      </c>
      <c r="D2572" s="121" t="str">
        <f>HYPERLINK("http://www.madison.va.gov/services/PHYSICAL_THERAPY.ASP")</f>
        <v>http://www.madison.va.gov/services/PHYSICAL_THERAPY.ASP</v>
      </c>
      <c r="E2572" s="8" t="s">
        <v>392</v>
      </c>
    </row>
    <row r="2573" ht="14.25" hidden="1" customHeight="1">
      <c r="A2573" s="8" t="s">
        <v>2564</v>
      </c>
      <c r="B2573" s="8" t="s">
        <v>2992</v>
      </c>
      <c r="D2573" s="121" t="str">
        <f>HYPERLINK("http://www.madison.va.gov/services/PTSD.ASP")</f>
        <v>http://www.madison.va.gov/services/PTSD.ASP</v>
      </c>
      <c r="E2573" s="8" t="s">
        <v>392</v>
      </c>
    </row>
    <row r="2574" ht="14.25" hidden="1" customHeight="1">
      <c r="A2574" s="8" t="s">
        <v>2564</v>
      </c>
      <c r="B2574" s="8" t="s">
        <v>348</v>
      </c>
      <c r="D2574" s="121" t="str">
        <f>HYPERLINK("http://www.madison.va.gov/services/PRIMARY.ASP")</f>
        <v>http://www.madison.va.gov/services/PRIMARY.ASP</v>
      </c>
      <c r="E2574" s="8" t="s">
        <v>392</v>
      </c>
    </row>
    <row r="2575" ht="14.25" hidden="1" customHeight="1">
      <c r="A2575" s="8" t="s">
        <v>2564</v>
      </c>
      <c r="B2575" s="8" t="s">
        <v>717</v>
      </c>
      <c r="D2575" s="121" t="str">
        <f>HYPERLINK("http://www.madison.va.gov/services/RADIOLOGY.ASP")</f>
        <v>http://www.madison.va.gov/services/RADIOLOGY.ASP</v>
      </c>
      <c r="E2575" s="8" t="s">
        <v>392</v>
      </c>
    </row>
    <row r="2576" ht="14.25" hidden="1" customHeight="1">
      <c r="A2576" s="8" t="s">
        <v>2564</v>
      </c>
      <c r="B2576" s="8" t="s">
        <v>2805</v>
      </c>
      <c r="D2576" s="121" t="str">
        <f>HYPERLINK("http://www.madison.va.gov/services/RESEARCH.ASP")</f>
        <v>http://www.madison.va.gov/services/RESEARCH.ASP</v>
      </c>
      <c r="E2576" s="8" t="s">
        <v>392</v>
      </c>
    </row>
    <row r="2577" ht="14.25" hidden="1" customHeight="1">
      <c r="A2577" s="8" t="s">
        <v>2564</v>
      </c>
      <c r="B2577" s="8" t="s">
        <v>3002</v>
      </c>
      <c r="D2577" s="121" t="str">
        <f>HYPERLINK("http://www.madison.va.gov/services/RESPIRATORY_PULMONARY.ASP")</f>
        <v>http://www.madison.va.gov/services/RESPIRATORY_PULMONARY.ASP</v>
      </c>
      <c r="E2577" s="8" t="s">
        <v>392</v>
      </c>
    </row>
    <row r="2578" ht="14.25" hidden="1" customHeight="1">
      <c r="A2578" s="8" t="s">
        <v>2564</v>
      </c>
      <c r="B2578" s="8" t="s">
        <v>360</v>
      </c>
      <c r="D2578" s="121" t="str">
        <f>HYPERLINK("http://www.madison.va.gov/services/SOCIALWORK.ASP")</f>
        <v>http://www.madison.va.gov/services/SOCIALWORK.ASP</v>
      </c>
      <c r="E2578" s="8" t="s">
        <v>392</v>
      </c>
    </row>
    <row r="2579" ht="14.25" hidden="1" customHeight="1">
      <c r="A2579" s="8" t="s">
        <v>2564</v>
      </c>
      <c r="B2579" s="8" t="s">
        <v>888</v>
      </c>
      <c r="D2579" s="121" t="str">
        <f>HYPERLINK("http://www.madison.va.gov/services/SURGERY.ASP")</f>
        <v>http://www.madison.va.gov/services/SURGERY.ASP</v>
      </c>
      <c r="E2579" s="8" t="s">
        <v>392</v>
      </c>
    </row>
    <row r="2580" ht="14.25" hidden="1" customHeight="1">
      <c r="A2580" s="8" t="s">
        <v>2564</v>
      </c>
      <c r="B2580" s="8" t="s">
        <v>724</v>
      </c>
      <c r="D2580" s="121" t="str">
        <f>HYPERLINK("http://www.madison.va.gov/services/TELEPHONE_CARE.ASP")</f>
        <v>http://www.madison.va.gov/services/TELEPHONE_CARE.ASP</v>
      </c>
      <c r="E2580" s="8" t="s">
        <v>392</v>
      </c>
    </row>
    <row r="2581" ht="14.25" hidden="1" customHeight="1">
      <c r="A2581" s="8" t="s">
        <v>2564</v>
      </c>
      <c r="B2581" s="8" t="s">
        <v>3007</v>
      </c>
      <c r="D2581" s="121" t="str">
        <f>HYPERLINK("http://www.madison.va.gov/services/PATIENT_ADVOCATES.ASP")</f>
        <v>http://www.madison.va.gov/services/PATIENT_ADVOCATES.ASP</v>
      </c>
      <c r="E2581" s="8" t="s">
        <v>392</v>
      </c>
    </row>
    <row r="2582" ht="14.25" hidden="1" customHeight="1">
      <c r="A2582" s="8" t="s">
        <v>2564</v>
      </c>
      <c r="B2582" s="8" t="s">
        <v>3010</v>
      </c>
      <c r="D2582" s="121" t="str">
        <f>HYPERLINK("http://www.madison.va.gov/services/TOBACCO_CESSATION.ASP")</f>
        <v>http://www.madison.va.gov/services/TOBACCO_CESSATION.ASP</v>
      </c>
      <c r="E2582" s="8" t="s">
        <v>392</v>
      </c>
    </row>
    <row r="2583" ht="14.25" hidden="1" customHeight="1">
      <c r="A2583" s="8" t="s">
        <v>2564</v>
      </c>
      <c r="B2583" s="8" t="s">
        <v>3012</v>
      </c>
      <c r="D2583" s="121" t="str">
        <f>HYPERLINK("http://www.madison.va.gov/services/TRANSPLANT_PROGRAM.ASP")</f>
        <v>http://www.madison.va.gov/services/TRANSPLANT_PROGRAM.ASP</v>
      </c>
      <c r="E2583" s="8" t="s">
        <v>392</v>
      </c>
    </row>
    <row r="2584" ht="14.25" hidden="1" customHeight="1">
      <c r="A2584" s="8" t="s">
        <v>2564</v>
      </c>
      <c r="B2584" s="8" t="s">
        <v>810</v>
      </c>
      <c r="D2584" s="121" t="str">
        <f>HYPERLINK("http://www.madison.va.gov/services/ULTRASOUND.ASP")</f>
        <v>http://www.madison.va.gov/services/ULTRASOUND.ASP</v>
      </c>
      <c r="E2584" s="8" t="s">
        <v>392</v>
      </c>
    </row>
    <row r="2585" ht="14.25" hidden="1" customHeight="1">
      <c r="A2585" s="8" t="s">
        <v>2564</v>
      </c>
      <c r="B2585" s="8" t="s">
        <v>3015</v>
      </c>
      <c r="D2585" s="121" t="str">
        <f>HYPERLINK("http://www.madison.va.gov/services/VESTIBULAR_REHAB.ASP")</f>
        <v>http://www.madison.va.gov/services/VESTIBULAR_REHAB.ASP</v>
      </c>
      <c r="E2585" s="8" t="s">
        <v>392</v>
      </c>
    </row>
    <row r="2586" ht="14.25" hidden="1" customHeight="1">
      <c r="A2586" s="8" t="s">
        <v>2564</v>
      </c>
      <c r="B2586" s="8" t="s">
        <v>824</v>
      </c>
      <c r="D2586" s="121" t="str">
        <f>HYPERLINK("http://www.madison.va.gov/services/X_RAY.ASP")</f>
        <v>http://www.madison.va.gov/services/X_RAY.ASP</v>
      </c>
      <c r="E2586" s="8" t="s">
        <v>392</v>
      </c>
    </row>
    <row r="2587" ht="14.25" hidden="1" customHeight="1">
      <c r="A2587" s="8" t="s">
        <v>3020</v>
      </c>
      <c r="B2587" s="8" t="s">
        <v>300</v>
      </c>
      <c r="D2587" s="121" t="str">
        <f>HYPERLINK("http://www.maine.va.gov/services/CAREGIVER_PROGRAM.ASP")</f>
        <v>http://www.maine.va.gov/services/CAREGIVER_PROGRAM.ASP</v>
      </c>
      <c r="E2587" s="8" t="s">
        <v>392</v>
      </c>
    </row>
    <row r="2588" ht="14.25" hidden="1" customHeight="1">
      <c r="A2588" s="8" t="s">
        <v>3020</v>
      </c>
      <c r="B2588" s="8" t="s">
        <v>3022</v>
      </c>
      <c r="D2588" s="121" t="str">
        <f>HYPERLINK("http://www.maine.va.gov/services/FORMER_PRISONERS_OF_WAR_FPOW.ASP")</f>
        <v>http://www.maine.va.gov/services/FORMER_PRISONERS_OF_WAR_FPOW.ASP</v>
      </c>
      <c r="E2588" s="8" t="s">
        <v>392</v>
      </c>
    </row>
    <row r="2589" ht="14.25" hidden="1" customHeight="1">
      <c r="A2589" s="8" t="s">
        <v>3020</v>
      </c>
      <c r="B2589" s="8" t="s">
        <v>3026</v>
      </c>
      <c r="D2589" s="121" t="str">
        <f>HYPERLINK("http://www.maine.va.gov/services/GERIATRICS.ASP")</f>
        <v>http://www.maine.va.gov/services/GERIATRICS.ASP</v>
      </c>
      <c r="E2589" s="8" t="s">
        <v>392</v>
      </c>
    </row>
    <row r="2590" ht="14.25" hidden="1" customHeight="1">
      <c r="A2590" s="8" t="s">
        <v>3020</v>
      </c>
      <c r="B2590" s="8" t="s">
        <v>312</v>
      </c>
      <c r="D2590" s="121" t="str">
        <f>HYPERLINK("http://www.maine.va.gov/services/HOMELESS_VETERANS.ASP")</f>
        <v>http://www.maine.va.gov/services/HOMELESS_VETERANS.ASP</v>
      </c>
      <c r="E2590" s="8" t="s">
        <v>392</v>
      </c>
    </row>
    <row r="2591" ht="14.25" hidden="1" customHeight="1">
      <c r="A2591" s="8" t="s">
        <v>3020</v>
      </c>
      <c r="B2591" s="8" t="s">
        <v>3031</v>
      </c>
      <c r="D2591" s="121" t="str">
        <f>HYPERLINK("http://www.maine.va.gov/services/INTERDISCIPLINARY_INTENSIVE_OUTPATIENT_PROGRAM_FOR_CHRONIC_PAIN_ACT_10P.ASP")</f>
        <v>http://www.maine.va.gov/services/INTERDISCIPLINARY_INTENSIVE_OUTPATIENT_PROGRAM_FOR_CHRONIC_PAIN_ACT_10P.ASP</v>
      </c>
      <c r="E2591" s="8" t="s">
        <v>392</v>
      </c>
    </row>
    <row r="2592" ht="14.25" hidden="1" customHeight="1">
      <c r="A2592" s="8" t="s">
        <v>3020</v>
      </c>
      <c r="B2592" s="8" t="s">
        <v>3039</v>
      </c>
      <c r="D2592" s="121" t="str">
        <f>HYPERLINK("http://www.maine.va.gov/services/INTIMATE_PARTNER_VIOLENCE_ASSISTANCE_PROGRAM.ASP")</f>
        <v>http://www.maine.va.gov/services/INTIMATE_PARTNER_VIOLENCE_ASSISTANCE_PROGRAM.ASP</v>
      </c>
      <c r="E2592" s="8" t="s">
        <v>392</v>
      </c>
    </row>
    <row r="2593" ht="14.25" hidden="1" customHeight="1">
      <c r="A2593" s="8" t="s">
        <v>3020</v>
      </c>
      <c r="B2593" s="8" t="s">
        <v>1265</v>
      </c>
      <c r="D2593" s="121" t="str">
        <f>HYPERLINK("http://www.maine.va.gov/services/LESBIAN_GAY_BISEXUAL_TRANSGENDER_LGBT_PROGRAM.ASP")</f>
        <v>http://www.maine.va.gov/services/LESBIAN_GAY_BISEXUAL_TRANSGENDER_LGBT_PROGRAM.ASP</v>
      </c>
      <c r="E2593" s="8" t="s">
        <v>392</v>
      </c>
    </row>
    <row r="2594" ht="14.25" hidden="1" customHeight="1">
      <c r="A2594" s="8" t="s">
        <v>3020</v>
      </c>
      <c r="B2594" s="8" t="s">
        <v>1016</v>
      </c>
      <c r="D2594" s="121" t="str">
        <f>HYPERLINK("http://www.maine.va.gov/services/MEDICAL_FOSTER.ASP")</f>
        <v>http://www.maine.va.gov/services/MEDICAL_FOSTER.ASP</v>
      </c>
      <c r="E2594" s="8" t="s">
        <v>392</v>
      </c>
    </row>
    <row r="2595" ht="14.25" hidden="1" customHeight="1">
      <c r="A2595" s="8" t="s">
        <v>3020</v>
      </c>
      <c r="B2595" s="8" t="s">
        <v>323</v>
      </c>
      <c r="D2595" s="121" t="str">
        <f>HYPERLINK("http://www.maine.va.gov/services/MENTAL_HEALTH.ASP")</f>
        <v>http://www.maine.va.gov/services/MENTAL_HEALTH.ASP</v>
      </c>
      <c r="E2595" s="8" t="s">
        <v>392</v>
      </c>
    </row>
    <row r="2596" ht="14.25" hidden="1" customHeight="1">
      <c r="A2596" s="8" t="s">
        <v>3020</v>
      </c>
      <c r="B2596" s="8" t="s">
        <v>3045</v>
      </c>
      <c r="D2596" s="121" t="str">
        <f>HYPERLINK("http://www.maine.va.gov/services/INTERDISCIPLINARY_INTENSIVE_OUTPATIENT_PROGRAM_FOR_CHRONIC_PAIN_ACT_10P.ASP")</f>
        <v>http://www.maine.va.gov/services/INTERDISCIPLINARY_INTENSIVE_OUTPATIENT_PROGRAM_FOR_CHRONIC_PAIN_ACT_10P.ASP</v>
      </c>
      <c r="E2596" s="8" t="s">
        <v>595</v>
      </c>
    </row>
    <row r="2597" ht="14.25" hidden="1" customHeight="1">
      <c r="A2597" s="8" t="s">
        <v>3020</v>
      </c>
      <c r="B2597" s="8" t="s">
        <v>343</v>
      </c>
      <c r="D2597" s="121" t="str">
        <f>HYPERLINK("http://www.maine.va.gov/services/PHARMACY.ASP")</f>
        <v>http://www.maine.va.gov/services/PHARMACY.ASP</v>
      </c>
      <c r="E2597" s="8" t="s">
        <v>392</v>
      </c>
    </row>
    <row r="2598" ht="14.25" hidden="1" customHeight="1">
      <c r="A2598" s="8" t="s">
        <v>3020</v>
      </c>
      <c r="B2598" s="8" t="s">
        <v>348</v>
      </c>
      <c r="D2598" s="121" t="str">
        <f>HYPERLINK("http://www.maine.va.gov/services/PRIMARY.ASP")</f>
        <v>http://www.maine.va.gov/services/PRIMARY.ASP</v>
      </c>
      <c r="E2598" s="8" t="s">
        <v>392</v>
      </c>
    </row>
    <row r="2599" ht="14.25" hidden="1" customHeight="1">
      <c r="A2599" s="8" t="s">
        <v>3020</v>
      </c>
      <c r="B2599" s="8" t="s">
        <v>355</v>
      </c>
      <c r="D2599" s="121" t="str">
        <f>HYPERLINK("http://www.maine.va.gov/services/RETURNING_SERVICE_MEMBERS.ASP")</f>
        <v>http://www.maine.va.gov/services/RETURNING_SERVICE_MEMBERS.ASP</v>
      </c>
      <c r="E2599" s="8" t="s">
        <v>392</v>
      </c>
    </row>
    <row r="2600" ht="14.25" hidden="1" customHeight="1">
      <c r="A2600" s="8" t="s">
        <v>3020</v>
      </c>
      <c r="B2600" s="8" t="s">
        <v>364</v>
      </c>
      <c r="D2600" s="121" t="str">
        <f>HYPERLINK("http://www.maine.va.gov/services/SPINAL.ASP")</f>
        <v>http://www.maine.va.gov/services/SPINAL.ASP</v>
      </c>
      <c r="E2600" s="8" t="s">
        <v>392</v>
      </c>
    </row>
    <row r="2601" ht="14.25" hidden="1" customHeight="1">
      <c r="A2601" s="8" t="s">
        <v>3020</v>
      </c>
      <c r="B2601" s="8" t="s">
        <v>379</v>
      </c>
      <c r="D2601" s="121" t="str">
        <f>HYPERLINK("http://www.maine.va.gov/services/WOMEN_VETERANS.ASP")</f>
        <v>http://www.maine.va.gov/services/WOMEN_VETERANS.ASP</v>
      </c>
      <c r="E2601" s="8" t="s">
        <v>392</v>
      </c>
    </row>
    <row r="2602" ht="14.25" hidden="1" customHeight="1">
      <c r="A2602" s="8" t="s">
        <v>2571</v>
      </c>
      <c r="B2602" s="8" t="s">
        <v>415</v>
      </c>
      <c r="D2602" s="121" t="str">
        <f>HYPERLINK("http://www.manchester.va.gov/services/ACUPUNCTURE.ASP")</f>
        <v>http://www.manchester.va.gov/services/ACUPUNCTURE.ASP</v>
      </c>
      <c r="E2602" s="8" t="s">
        <v>392</v>
      </c>
    </row>
    <row r="2603" ht="14.25" hidden="1" customHeight="1">
      <c r="A2603" s="8" t="s">
        <v>2571</v>
      </c>
      <c r="B2603" s="8" t="s">
        <v>846</v>
      </c>
      <c r="D2603" s="121" t="str">
        <f>HYPERLINK("http://www.manchester.va.gov/services/AGENT_ORANGE.ASP")</f>
        <v>http://www.manchester.va.gov/services/AGENT_ORANGE.ASP</v>
      </c>
      <c r="E2603" s="8" t="s">
        <v>392</v>
      </c>
    </row>
    <row r="2604" ht="14.25" hidden="1" customHeight="1">
      <c r="A2604" s="8" t="s">
        <v>2571</v>
      </c>
      <c r="B2604" s="8" t="s">
        <v>3057</v>
      </c>
      <c r="D2604" s="121" t="str">
        <f>HYPERLINK("http://www.manchester.va.gov/services/AUDIOLOGY.ASP")</f>
        <v>http://www.manchester.va.gov/services/AUDIOLOGY.ASP</v>
      </c>
      <c r="E2604" s="8" t="s">
        <v>392</v>
      </c>
    </row>
    <row r="2605" ht="14.25" hidden="1" customHeight="1">
      <c r="A2605" s="8" t="s">
        <v>2571</v>
      </c>
      <c r="B2605" s="8" t="s">
        <v>578</v>
      </c>
      <c r="D2605" s="121" t="str">
        <f>HYPERLINK("http://www.manchester.va.gov/services/TELEPHONE_ADVICE_PROGRAM.ASP")</f>
        <v>http://www.manchester.va.gov/services/TELEPHONE_ADVICE_PROGRAM.ASP</v>
      </c>
      <c r="E2605" s="8" t="s">
        <v>595</v>
      </c>
    </row>
    <row r="2606" ht="14.25" hidden="1" customHeight="1">
      <c r="A2606" s="8" t="s">
        <v>2571</v>
      </c>
      <c r="B2606" s="8" t="s">
        <v>300</v>
      </c>
      <c r="D2606" s="121" t="str">
        <f>HYPERLINK("http://www.manchester.va.gov/services/CAREGIVER_PROGRAM.ASP")</f>
        <v>http://www.manchester.va.gov/services/CAREGIVER_PROGRAM.ASP</v>
      </c>
      <c r="E2606" s="8" t="s">
        <v>392</v>
      </c>
    </row>
    <row r="2607" ht="14.25" hidden="1" customHeight="1">
      <c r="A2607" s="8" t="s">
        <v>2571</v>
      </c>
      <c r="B2607" s="8" t="s">
        <v>478</v>
      </c>
      <c r="D2607" s="121" t="str">
        <f>HYPERLINK("http://www.manchester.va.gov/services/CHAPLAIN.ASP")</f>
        <v>http://www.manchester.va.gov/services/CHAPLAIN.ASP</v>
      </c>
      <c r="E2607" s="8" t="s">
        <v>392</v>
      </c>
    </row>
    <row r="2608" ht="14.25" hidden="1" customHeight="1">
      <c r="A2608" s="8" t="s">
        <v>2571</v>
      </c>
      <c r="B2608" s="8" t="s">
        <v>3066</v>
      </c>
      <c r="D2608" s="121" t="str">
        <f>HYPERLINK("http://www.manchester.va.gov/services/CLINICAL_NUTRITION.ASP")</f>
        <v>http://www.manchester.va.gov/services/CLINICAL_NUTRITION.ASP</v>
      </c>
      <c r="E2608" s="8" t="s">
        <v>392</v>
      </c>
    </row>
    <row r="2609" ht="14.25" hidden="1" customHeight="1">
      <c r="A2609" s="8" t="s">
        <v>2571</v>
      </c>
      <c r="B2609" s="8" t="s">
        <v>482</v>
      </c>
      <c r="D2609" s="121" t="str">
        <f>HYPERLINK("http://www.manchester.va.gov/services/CLC.ASP")</f>
        <v>http://www.manchester.va.gov/services/CLC.ASP</v>
      </c>
      <c r="E2609" s="8" t="s">
        <v>392</v>
      </c>
    </row>
    <row r="2610" ht="14.25" hidden="1" customHeight="1">
      <c r="A2610" s="8" t="s">
        <v>2571</v>
      </c>
      <c r="B2610" s="8" t="s">
        <v>3070</v>
      </c>
      <c r="D2610" s="121" t="str">
        <f>HYPERLINK("http://www.manchester.va.gov/services/ETHICS.ASP")</f>
        <v>http://www.manchester.va.gov/services/ETHICS.ASP</v>
      </c>
      <c r="E2610" s="8" t="s">
        <v>392</v>
      </c>
    </row>
    <row r="2611" ht="14.25" hidden="1" customHeight="1">
      <c r="A2611" s="8" t="s">
        <v>2571</v>
      </c>
      <c r="B2611" s="8" t="s">
        <v>3073</v>
      </c>
      <c r="D2611" s="121" t="str">
        <f>HYPERLINK("http://www.manchester.va.gov/services/HOME_BASED_CARDIAC_REHABILITATION_PROGRAM.ASP")</f>
        <v>http://www.manchester.va.gov/services/HOME_BASED_CARDIAC_REHABILITATION_PROGRAM.ASP</v>
      </c>
      <c r="E2611" s="8" t="s">
        <v>392</v>
      </c>
    </row>
    <row r="2612" ht="14.25" hidden="1" customHeight="1">
      <c r="A2612" s="8" t="s">
        <v>2571</v>
      </c>
      <c r="B2612" s="8" t="s">
        <v>312</v>
      </c>
      <c r="D2612" s="121" t="str">
        <f>HYPERLINK("http://www.manchester.va.gov/services/HOMELESS_VETERANS.ASP")</f>
        <v>http://www.manchester.va.gov/services/HOMELESS_VETERANS.ASP</v>
      </c>
      <c r="E2612" s="8" t="s">
        <v>392</v>
      </c>
    </row>
    <row r="2613" ht="14.25" hidden="1" customHeight="1">
      <c r="A2613" s="8" t="s">
        <v>2571</v>
      </c>
      <c r="B2613" s="8" t="s">
        <v>3080</v>
      </c>
      <c r="D2613" s="121" t="str">
        <f>HYPERLINK("http://www.manchester.va.gov/services/INTIMATE_PARTNER_VIOLENCE.ASP")</f>
        <v>http://www.manchester.va.gov/services/INTIMATE_PARTNER_VIOLENCE.ASP</v>
      </c>
      <c r="E2613" s="8" t="s">
        <v>392</v>
      </c>
    </row>
    <row r="2614" ht="14.25" hidden="1" customHeight="1">
      <c r="A2614" s="8" t="s">
        <v>2571</v>
      </c>
      <c r="B2614" s="8" t="s">
        <v>2183</v>
      </c>
      <c r="D2614" s="121" t="str">
        <f>HYPERLINK("http://www.manchester.va.gov/services/LESBIAN_GAY_BISEXUAL_AND_TRANSGENDER_VETERANS.ASP")</f>
        <v>http://www.manchester.va.gov/services/LESBIAN_GAY_BISEXUAL_AND_TRANSGENDER_VETERANS.ASP</v>
      </c>
      <c r="E2614" s="8" t="s">
        <v>392</v>
      </c>
    </row>
    <row r="2615" ht="14.25" hidden="1" customHeight="1">
      <c r="A2615" s="8" t="s">
        <v>2571</v>
      </c>
      <c r="B2615" s="8" t="s">
        <v>323</v>
      </c>
      <c r="D2615" s="121" t="str">
        <f>HYPERLINK("http://www.manchester.va.gov/services/MENTAL_HEALTH.ASP")</f>
        <v>http://www.manchester.va.gov/services/MENTAL_HEALTH.ASP</v>
      </c>
      <c r="E2615" s="8" t="s">
        <v>392</v>
      </c>
    </row>
    <row r="2616" ht="14.25" hidden="1" customHeight="1">
      <c r="A2616" s="8" t="s">
        <v>2571</v>
      </c>
      <c r="B2616" s="8" t="s">
        <v>3086</v>
      </c>
      <c r="D2616" s="121" t="str">
        <f>HYPERLINK("http://www.manchester.va.gov/services/OFFICE_OF_COMMUNITY_CARE.ASP")</f>
        <v>http://www.manchester.va.gov/services/OFFICE_OF_COMMUNITY_CARE.ASP</v>
      </c>
      <c r="E2616" s="8" t="s">
        <v>392</v>
      </c>
    </row>
    <row r="2617" ht="14.25" hidden="1" customHeight="1">
      <c r="A2617" s="8" t="s">
        <v>2571</v>
      </c>
      <c r="B2617" s="8" t="s">
        <v>3087</v>
      </c>
      <c r="D2617" s="121" t="str">
        <f>HYPERLINK("http://www.manchester.va.gov/services/PALLIATIVE_HOSPICE.ASP")</f>
        <v>http://www.manchester.va.gov/services/PALLIATIVE_HOSPICE.ASP</v>
      </c>
      <c r="E2617" s="8" t="s">
        <v>392</v>
      </c>
    </row>
    <row r="2618" ht="14.25" hidden="1" customHeight="1">
      <c r="A2618" s="8" t="s">
        <v>2571</v>
      </c>
      <c r="B2618" s="8" t="s">
        <v>343</v>
      </c>
      <c r="D2618" s="121" t="str">
        <f>HYPERLINK("http://www.manchester.va.gov/services/PHARMACY.ASP")</f>
        <v>http://www.manchester.va.gov/services/PHARMACY.ASP</v>
      </c>
      <c r="E2618" s="8" t="s">
        <v>392</v>
      </c>
    </row>
    <row r="2619" ht="14.25" hidden="1" customHeight="1">
      <c r="A2619" s="8" t="s">
        <v>2571</v>
      </c>
      <c r="B2619" s="8" t="s">
        <v>1064</v>
      </c>
      <c r="D2619" s="121" t="str">
        <f>HYPERLINK("http://www.manchester.va.gov/services/POLYTRAUMA_TBI.ASP")</f>
        <v>http://www.manchester.va.gov/services/POLYTRAUMA_TBI.ASP</v>
      </c>
      <c r="E2619" s="8" t="s">
        <v>392</v>
      </c>
    </row>
    <row r="2620" ht="14.25" hidden="1" customHeight="1">
      <c r="A2620" s="8" t="s">
        <v>2571</v>
      </c>
      <c r="B2620" s="8" t="s">
        <v>3092</v>
      </c>
      <c r="D2620" s="121" t="str">
        <f>HYPERLINK("http://www.manchester.va.gov/services/PROSTHETICS.ASP")</f>
        <v>http://www.manchester.va.gov/services/PROSTHETICS.ASP</v>
      </c>
      <c r="E2620" s="8" t="s">
        <v>392</v>
      </c>
    </row>
    <row r="2621" ht="14.25" hidden="1" customHeight="1">
      <c r="A2621" s="8" t="s">
        <v>2571</v>
      </c>
      <c r="B2621" s="8" t="s">
        <v>3094</v>
      </c>
      <c r="D2621" s="121" t="str">
        <f>HYPERLINK("http://www.manchester.va.gov/services/RADIOLOGY.ASP")</f>
        <v>http://www.manchester.va.gov/services/RADIOLOGY.ASP</v>
      </c>
      <c r="E2621" s="8" t="s">
        <v>392</v>
      </c>
    </row>
    <row r="2622" ht="14.25" hidden="1" customHeight="1">
      <c r="A2622" s="8" t="s">
        <v>2571</v>
      </c>
      <c r="B2622" s="8" t="s">
        <v>505</v>
      </c>
      <c r="D2622" s="121" t="str">
        <f>HYPERLINK("http://www.manchester.va.gov/services/RECREATION_THERAPY.ASP")</f>
        <v>http://www.manchester.va.gov/services/RECREATION_THERAPY.ASP</v>
      </c>
      <c r="E2622" s="8" t="s">
        <v>392</v>
      </c>
    </row>
    <row r="2623" ht="14.25" hidden="1" customHeight="1">
      <c r="A2623" s="8" t="s">
        <v>2571</v>
      </c>
      <c r="B2623" s="8" t="s">
        <v>3096</v>
      </c>
      <c r="D2623" s="121" t="str">
        <f>HYPERLINK("http://www.manchester.va.gov/services/REHABILITATION_CLINICS.ASP")</f>
        <v>http://www.manchester.va.gov/services/REHABILITATION_CLINICS.ASP</v>
      </c>
      <c r="E2623" s="8" t="s">
        <v>392</v>
      </c>
    </row>
    <row r="2624" ht="14.25" hidden="1" customHeight="1">
      <c r="A2624" s="8" t="s">
        <v>2571</v>
      </c>
      <c r="B2624" s="8" t="s">
        <v>3097</v>
      </c>
      <c r="D2624" s="121" t="str">
        <f>HYPERLINK("http://www.manchester.va.gov/services/SERVICE_DOG.ASP")</f>
        <v>http://www.manchester.va.gov/services/SERVICE_DOG.ASP</v>
      </c>
      <c r="E2624" s="8" t="s">
        <v>392</v>
      </c>
    </row>
    <row r="2625" ht="14.25" hidden="1" customHeight="1">
      <c r="A2625" s="8" t="s">
        <v>2571</v>
      </c>
      <c r="B2625" s="8" t="s">
        <v>3099</v>
      </c>
      <c r="D2625" s="121" t="str">
        <f>HYPERLINK("http://www.manchester.va.gov/services/SPINAL_CORD_INJURY.ASP")</f>
        <v>http://www.manchester.va.gov/services/SPINAL_CORD_INJURY.ASP</v>
      </c>
      <c r="E2625" s="8" t="s">
        <v>392</v>
      </c>
    </row>
    <row r="2626" ht="14.25" hidden="1" customHeight="1">
      <c r="A2626" s="8" t="s">
        <v>2571</v>
      </c>
      <c r="B2626" s="8" t="s">
        <v>815</v>
      </c>
      <c r="D2626" s="121" t="str">
        <f>HYPERLINK("http://www.manchester.va.gov/services/TELEPHONE_ADVICE_PROGRAM.ASP")</f>
        <v>http://www.manchester.va.gov/services/TELEPHONE_ADVICE_PROGRAM.ASP</v>
      </c>
      <c r="E2626" s="8" t="s">
        <v>392</v>
      </c>
    </row>
    <row r="2627" ht="14.25" hidden="1" customHeight="1">
      <c r="A2627" s="8" t="s">
        <v>2571</v>
      </c>
      <c r="B2627" s="8" t="s">
        <v>3101</v>
      </c>
      <c r="D2627" s="121" t="str">
        <f>HYPERLINK("http://www.manchester.va.gov/services/THERAPEUTIC_AND_SUPPORTED_EMPLOYMENT.ASP")</f>
        <v>http://www.manchester.va.gov/services/THERAPEUTIC_AND_SUPPORTED_EMPLOYMENT.ASP</v>
      </c>
      <c r="E2627" s="8" t="s">
        <v>392</v>
      </c>
    </row>
    <row r="2628" ht="14.25" hidden="1" customHeight="1">
      <c r="A2628" s="8" t="s">
        <v>2571</v>
      </c>
      <c r="B2628" s="8" t="s">
        <v>3103</v>
      </c>
      <c r="D2628" s="121" t="str">
        <f>HYPERLINK("http://www.manchester.va.gov/services/VETERANS_BENEFIT_ADMINISTRATION.ASP")</f>
        <v>http://www.manchester.va.gov/services/VETERANS_BENEFIT_ADMINISTRATION.ASP</v>
      </c>
      <c r="E2628" s="8" t="s">
        <v>392</v>
      </c>
    </row>
    <row r="2629" ht="14.25" hidden="1" customHeight="1">
      <c r="A2629" s="8" t="s">
        <v>2571</v>
      </c>
      <c r="B2629" s="8" t="s">
        <v>1366</v>
      </c>
      <c r="D2629" s="121" t="str">
        <f>HYPERLINK("http://www.manchester.va.gov/services/VIST.ASP")</f>
        <v>http://www.manchester.va.gov/services/VIST.ASP</v>
      </c>
      <c r="E2629" s="8" t="s">
        <v>392</v>
      </c>
    </row>
    <row r="2630" ht="14.25" hidden="1" customHeight="1">
      <c r="A2630" s="8" t="s">
        <v>2571</v>
      </c>
      <c r="B2630" s="8" t="s">
        <v>3104</v>
      </c>
      <c r="D2630" s="121" t="str">
        <f>HYPERLINK("http://www.manchester.va.gov/services/WHOLE_HEALTH_CENTER.ASP")</f>
        <v>http://www.manchester.va.gov/services/WHOLE_HEALTH_CENTER.ASP</v>
      </c>
      <c r="E2630" s="8" t="s">
        <v>392</v>
      </c>
    </row>
    <row r="2631" ht="14.25" hidden="1" customHeight="1">
      <c r="A2631" s="8" t="s">
        <v>2582</v>
      </c>
      <c r="B2631" s="8" t="s">
        <v>3106</v>
      </c>
      <c r="D2631" s="121" t="str">
        <f>HYPERLINK("http://www.marion.va.gov/services/MENTALHEALTH.ASP")</f>
        <v>http://www.marion.va.gov/services/MENTALHEALTH.ASP</v>
      </c>
      <c r="E2631" s="8" t="s">
        <v>595</v>
      </c>
    </row>
    <row r="2632" ht="14.25" hidden="1" customHeight="1">
      <c r="A2632" s="8" t="s">
        <v>2582</v>
      </c>
      <c r="B2632" s="8" t="s">
        <v>3107</v>
      </c>
      <c r="D2632" s="121" t="str">
        <f>HYPERLINK("http://www.marion.va.gov/services/LABORATORY2.ASP")</f>
        <v>http://www.marion.va.gov/services/LABORATORY2.ASP</v>
      </c>
      <c r="E2632" s="8" t="s">
        <v>595</v>
      </c>
    </row>
    <row r="2633" ht="14.25" hidden="1" customHeight="1">
      <c r="A2633" s="8" t="s">
        <v>2582</v>
      </c>
      <c r="B2633" s="8" t="s">
        <v>2185</v>
      </c>
      <c r="D2633" s="121" t="str">
        <f t="shared" ref="D2633:D2634" si="19">HYPERLINK("http://www.marion.va.gov/services/DIABETES_EDUCATION.ASP")</f>
        <v>http://www.marion.va.gov/services/DIABETES_EDUCATION.ASP</v>
      </c>
      <c r="E2633" s="8" t="s">
        <v>392</v>
      </c>
    </row>
    <row r="2634" ht="14.25" hidden="1" customHeight="1">
      <c r="A2634" s="8" t="s">
        <v>2582</v>
      </c>
      <c r="B2634" s="8" t="s">
        <v>2185</v>
      </c>
      <c r="D2634" s="121" t="str">
        <f t="shared" si="19"/>
        <v>http://www.marion.va.gov/services/DIABETES_EDUCATION.ASP</v>
      </c>
      <c r="E2634" s="8" t="s">
        <v>392</v>
      </c>
    </row>
    <row r="2635" ht="14.25" hidden="1" customHeight="1">
      <c r="A2635" s="8" t="s">
        <v>2582</v>
      </c>
      <c r="B2635" s="8" t="s">
        <v>3112</v>
      </c>
      <c r="D2635" s="121" t="str">
        <f>HYPERLINK("http://www.marion.va.gov/services/ECRC.ASP")</f>
        <v>http://www.marion.va.gov/services/ECRC.ASP</v>
      </c>
      <c r="E2635" s="8" t="s">
        <v>392</v>
      </c>
    </row>
    <row r="2636" ht="14.25" hidden="1" customHeight="1">
      <c r="A2636" s="8" t="s">
        <v>2582</v>
      </c>
      <c r="B2636" s="8" t="s">
        <v>584</v>
      </c>
      <c r="D2636" s="121" t="str">
        <f>HYPERLINK("http://www.marion.va.gov/services/LABORATORY2.ASP")</f>
        <v>http://www.marion.va.gov/services/LABORATORY2.ASP</v>
      </c>
      <c r="E2636" s="8" t="s">
        <v>392</v>
      </c>
    </row>
    <row r="2637" ht="14.25" hidden="1" customHeight="1">
      <c r="A2637" s="8" t="s">
        <v>2582</v>
      </c>
      <c r="B2637" s="8" t="s">
        <v>323</v>
      </c>
      <c r="D2637" s="121" t="str">
        <f>HYPERLINK("http://www.marion.va.gov/services/MENTALHEALTH.ASP")</f>
        <v>http://www.marion.va.gov/services/MENTALHEALTH.ASP</v>
      </c>
      <c r="E2637" s="8" t="s">
        <v>392</v>
      </c>
    </row>
    <row r="2638" ht="14.25" hidden="1" customHeight="1">
      <c r="A2638" s="8" t="s">
        <v>2582</v>
      </c>
      <c r="B2638" s="8" t="s">
        <v>494</v>
      </c>
      <c r="D2638" s="121" t="str">
        <f>HYPERLINK("http://www.marion.va.gov/services/MY_HEALTHEVET.ASP")</f>
        <v>http://www.marion.va.gov/services/MY_HEALTHEVET.ASP</v>
      </c>
      <c r="E2638" s="8" t="s">
        <v>392</v>
      </c>
    </row>
    <row r="2639" ht="14.25" hidden="1" customHeight="1">
      <c r="A2639" s="8" t="s">
        <v>2582</v>
      </c>
      <c r="B2639" s="8" t="s">
        <v>3118</v>
      </c>
      <c r="D2639" s="121" t="str">
        <f>HYPERLINK("http://www.marion.va.gov/services/NUTRITION_SERVICE_MOVE.ASP")</f>
        <v>http://www.marion.va.gov/services/NUTRITION_SERVICE_MOVE.ASP</v>
      </c>
      <c r="E2639" s="8" t="s">
        <v>392</v>
      </c>
    </row>
    <row r="2640" ht="14.25" hidden="1" customHeight="1">
      <c r="A2640" s="8" t="s">
        <v>2582</v>
      </c>
      <c r="B2640" s="8" t="s">
        <v>906</v>
      </c>
      <c r="D2640" s="121" t="str">
        <f>HYPERLINK("http://www.marion.va.gov/services/LABORATORY2.ASP")</f>
        <v>http://www.marion.va.gov/services/LABORATORY2.ASP</v>
      </c>
      <c r="E2640" s="8" t="s">
        <v>595</v>
      </c>
    </row>
    <row r="2641" ht="14.25" hidden="1" customHeight="1">
      <c r="A2641" s="8" t="s">
        <v>2582</v>
      </c>
      <c r="B2641" s="8" t="s">
        <v>343</v>
      </c>
      <c r="D2641" s="121" t="str">
        <f>HYPERLINK("http://www.marion.va.gov/services/PHARMACY.ASP")</f>
        <v>http://www.marion.va.gov/services/PHARMACY.ASP</v>
      </c>
      <c r="E2641" s="8" t="s">
        <v>392</v>
      </c>
    </row>
    <row r="2642" ht="14.25" hidden="1" customHeight="1">
      <c r="A2642" s="8" t="s">
        <v>2582</v>
      </c>
      <c r="B2642" s="8" t="s">
        <v>348</v>
      </c>
      <c r="D2642" s="121" t="str">
        <f>HYPERLINK("http://www.marion.va.gov/services/PRIMARY.ASP")</f>
        <v>http://www.marion.va.gov/services/PRIMARY.ASP</v>
      </c>
      <c r="E2642" s="8" t="s">
        <v>392</v>
      </c>
    </row>
    <row r="2643" ht="14.25" hidden="1" customHeight="1">
      <c r="A2643" s="8" t="s">
        <v>2582</v>
      </c>
      <c r="B2643" s="8" t="s">
        <v>3123</v>
      </c>
      <c r="D2643" s="121" t="str">
        <f>HYPERLINK("http://www.marion.va.gov/services/RRTP.ASP")</f>
        <v>http://www.marion.va.gov/services/RRTP.ASP</v>
      </c>
      <c r="E2643" s="8" t="s">
        <v>392</v>
      </c>
    </row>
    <row r="2644" ht="14.25" hidden="1" customHeight="1">
      <c r="A2644" s="8" t="s">
        <v>2582</v>
      </c>
      <c r="B2644" s="8" t="s">
        <v>363</v>
      </c>
      <c r="D2644" s="121" t="str">
        <f>HYPERLINK("http://www.marion.va.gov/services/SPECIALTY.ASP")</f>
        <v>http://www.marion.va.gov/services/SPECIALTY.ASP</v>
      </c>
      <c r="E2644" s="8" t="s">
        <v>392</v>
      </c>
    </row>
    <row r="2645" ht="14.25" hidden="1" customHeight="1">
      <c r="A2645" s="8" t="s">
        <v>2582</v>
      </c>
      <c r="B2645" s="8" t="s">
        <v>3126</v>
      </c>
      <c r="D2645" s="121" t="str">
        <f>HYPERLINK("http://www.marion.va.gov/services/SPINAL_CORD.ASP")</f>
        <v>http://www.marion.va.gov/services/SPINAL_CORD.ASP</v>
      </c>
      <c r="E2645" s="8" t="s">
        <v>392</v>
      </c>
    </row>
    <row r="2646" ht="14.25" hidden="1" customHeight="1">
      <c r="A2646" s="8" t="s">
        <v>2582</v>
      </c>
      <c r="B2646" s="8" t="s">
        <v>3128</v>
      </c>
      <c r="D2646" s="121" t="str">
        <f>HYPERLINK("http://www.marion.va.gov/services/SURGICAL_SPECIALTY.ASP")</f>
        <v>http://www.marion.va.gov/services/SURGICAL_SPECIALTY.ASP</v>
      </c>
      <c r="E2646" s="8" t="s">
        <v>392</v>
      </c>
    </row>
    <row r="2647" ht="14.25" hidden="1" customHeight="1">
      <c r="A2647" s="8" t="s">
        <v>2589</v>
      </c>
      <c r="B2647" s="8" t="s">
        <v>478</v>
      </c>
      <c r="D2647" s="121" t="str">
        <f>HYPERLINK("http://www.martinsburg.va.gov/services/CHAPLAIN_SERVICE.ASP")</f>
        <v>http://www.martinsburg.va.gov/services/CHAPLAIN_SERVICE.ASP</v>
      </c>
      <c r="E2647" s="8" t="s">
        <v>392</v>
      </c>
    </row>
    <row r="2648" ht="14.25" hidden="1" customHeight="1">
      <c r="A2648" s="8" t="s">
        <v>2589</v>
      </c>
      <c r="B2648" s="8" t="s">
        <v>3130</v>
      </c>
      <c r="D2648" s="121" t="str">
        <f>HYPERLINK("http://www.martinsburg.va.gov/services/DIABETES_EDUCATION.ASP")</f>
        <v>http://www.martinsburg.va.gov/services/DIABETES_EDUCATION.ASP</v>
      </c>
      <c r="E2648" s="8" t="s">
        <v>392</v>
      </c>
    </row>
    <row r="2649" ht="14.25" hidden="1" customHeight="1">
      <c r="A2649" s="8" t="s">
        <v>2589</v>
      </c>
      <c r="B2649" s="8" t="s">
        <v>3132</v>
      </c>
      <c r="D2649" s="121" t="str">
        <f>HYPERLINK("http://www.martinsburg.va.gov/services/FLU_CLINIC.ASP")</f>
        <v>http://www.martinsburg.va.gov/services/FLU_CLINIC.ASP</v>
      </c>
      <c r="E2649" s="8" t="s">
        <v>392</v>
      </c>
    </row>
    <row r="2650" ht="14.25" hidden="1" customHeight="1">
      <c r="A2650" s="8" t="s">
        <v>2589</v>
      </c>
      <c r="B2650" s="8" t="s">
        <v>3134</v>
      </c>
      <c r="D2650" s="121" t="str">
        <f>HYPERLINK("http://www.martinsburg.va.gov/services/ECRC.ASP")</f>
        <v>http://www.martinsburg.va.gov/services/ECRC.ASP</v>
      </c>
      <c r="E2650" s="8" t="s">
        <v>392</v>
      </c>
    </row>
    <row r="2651" ht="14.25" hidden="1" customHeight="1">
      <c r="A2651" s="8" t="s">
        <v>2589</v>
      </c>
      <c r="B2651" s="8" t="s">
        <v>952</v>
      </c>
      <c r="D2651" s="121" t="str">
        <f>HYPERLINK("http://www.martinsburg.va.gov/services/LESBIAN_GAY_BISEXUAL_AND_TRANSGENDER_VETERANS.ASP")</f>
        <v>http://www.martinsburg.va.gov/services/LESBIAN_GAY_BISEXUAL_AND_TRANSGENDER_VETERANS.ASP</v>
      </c>
      <c r="E2651" s="8" t="s">
        <v>392</v>
      </c>
    </row>
    <row r="2652" ht="14.25" hidden="1" customHeight="1">
      <c r="A2652" s="8" t="s">
        <v>2589</v>
      </c>
      <c r="B2652" s="8" t="s">
        <v>658</v>
      </c>
      <c r="D2652" s="121" t="str">
        <f>HYPERLINK("http://www.martinsburg.va.gov/services/MOVE_PROGRAM.ASP")</f>
        <v>http://www.martinsburg.va.gov/services/MOVE_PROGRAM.ASP</v>
      </c>
      <c r="E2652" s="8" t="s">
        <v>392</v>
      </c>
    </row>
    <row r="2653" ht="14.25" hidden="1" customHeight="1">
      <c r="A2653" s="8" t="s">
        <v>2589</v>
      </c>
      <c r="B2653" s="8" t="s">
        <v>1016</v>
      </c>
      <c r="D2653" s="121" t="str">
        <f>HYPERLINK("http://www.martinsburg.va.gov/services/MEDICAL_FOSTER_HOME.ASP")</f>
        <v>http://www.martinsburg.va.gov/services/MEDICAL_FOSTER_HOME.ASP</v>
      </c>
      <c r="E2653" s="8" t="s">
        <v>392</v>
      </c>
    </row>
    <row r="2654" ht="14.25" hidden="1" customHeight="1">
      <c r="A2654" s="8" t="s">
        <v>2589</v>
      </c>
      <c r="B2654" s="8" t="s">
        <v>3139</v>
      </c>
      <c r="D2654" s="121" t="str">
        <f>HYPERLINK("http://www.martinsburg.va.gov/services/MEDICAL.ASP")</f>
        <v>http://www.martinsburg.va.gov/services/MEDICAL.ASP</v>
      </c>
      <c r="E2654" s="8" t="s">
        <v>392</v>
      </c>
    </row>
    <row r="2655" ht="14.25" hidden="1" customHeight="1">
      <c r="A2655" s="8" t="s">
        <v>2589</v>
      </c>
      <c r="B2655" s="8" t="s">
        <v>323</v>
      </c>
      <c r="D2655" s="121" t="str">
        <f>HYPERLINK("http://www.martinsburg.va.gov/services/MENTALHEALTH.ASP")</f>
        <v>http://www.martinsburg.va.gov/services/MENTALHEALTH.ASP</v>
      </c>
      <c r="E2655" s="8" t="s">
        <v>392</v>
      </c>
    </row>
    <row r="2656" ht="14.25" hidden="1" customHeight="1">
      <c r="A2656" s="8" t="s">
        <v>2589</v>
      </c>
      <c r="B2656" s="8" t="s">
        <v>324</v>
      </c>
      <c r="D2656" s="121" t="str">
        <f>HYPERLINK("http://www.martinsburg.va.gov/services/MILITARY_SEXUAL_TRAUMA.ASP")</f>
        <v>http://www.martinsburg.va.gov/services/MILITARY_SEXUAL_TRAUMA.ASP</v>
      </c>
      <c r="E2656" s="8" t="s">
        <v>392</v>
      </c>
    </row>
    <row r="2657" ht="14.25" hidden="1" customHeight="1">
      <c r="A2657" s="8" t="s">
        <v>2589</v>
      </c>
      <c r="B2657" s="8" t="s">
        <v>343</v>
      </c>
      <c r="D2657" s="121" t="str">
        <f>HYPERLINK("http://www.martinsburg.va.gov/services/PHARMACY.ASP")</f>
        <v>http://www.martinsburg.va.gov/services/PHARMACY.ASP</v>
      </c>
      <c r="E2657" s="8" t="s">
        <v>392</v>
      </c>
    </row>
    <row r="2658" ht="14.25" hidden="1" customHeight="1">
      <c r="A2658" s="8" t="s">
        <v>2589</v>
      </c>
      <c r="B2658" s="8" t="s">
        <v>348</v>
      </c>
      <c r="D2658" s="121" t="str">
        <f>HYPERLINK("http://www.martinsburg.va.gov/services/PRIMARY.ASP")</f>
        <v>http://www.martinsburg.va.gov/services/PRIMARY.ASP</v>
      </c>
      <c r="E2658" s="8" t="s">
        <v>392</v>
      </c>
    </row>
    <row r="2659" ht="14.25" hidden="1" customHeight="1">
      <c r="A2659" s="8" t="s">
        <v>2589</v>
      </c>
      <c r="B2659" s="8" t="s">
        <v>916</v>
      </c>
      <c r="D2659" s="121" t="str">
        <f>HYPERLINK("http://www.martinsburg.va.gov/services/PROSTHETICS.ASP")</f>
        <v>http://www.martinsburg.va.gov/services/PROSTHETICS.ASP</v>
      </c>
      <c r="E2659" s="8" t="s">
        <v>392</v>
      </c>
    </row>
    <row r="2660" ht="14.25" hidden="1" customHeight="1">
      <c r="A2660" s="8" t="s">
        <v>2589</v>
      </c>
      <c r="B2660" s="8" t="s">
        <v>363</v>
      </c>
      <c r="D2660" s="121" t="str">
        <f>HYPERLINK("http://www.martinsburg.va.gov/services/SPECIALTY.ASP")</f>
        <v>http://www.martinsburg.va.gov/services/SPECIALTY.ASP</v>
      </c>
      <c r="E2660" s="8" t="s">
        <v>392</v>
      </c>
    </row>
    <row r="2661" ht="14.25" hidden="1" customHeight="1">
      <c r="A2661" s="8" t="s">
        <v>2589</v>
      </c>
      <c r="B2661" s="8" t="s">
        <v>1400</v>
      </c>
      <c r="D2661" s="121" t="str">
        <f>HYPERLINK("http://www.martinsburg.va.gov/services/SURGICAL.ASP")</f>
        <v>http://www.martinsburg.va.gov/services/SURGICAL.ASP</v>
      </c>
      <c r="E2661" s="8" t="s">
        <v>392</v>
      </c>
    </row>
    <row r="2662" ht="14.25" hidden="1" customHeight="1">
      <c r="A2662" s="8" t="s">
        <v>2589</v>
      </c>
      <c r="B2662" s="8" t="s">
        <v>3143</v>
      </c>
      <c r="D2662" s="121" t="str">
        <f>HYPERLINK("http://www.martinsburg.va.gov/services/VLER.ASP")</f>
        <v>http://www.martinsburg.va.gov/services/VLER.ASP</v>
      </c>
      <c r="E2662" s="8" t="s">
        <v>392</v>
      </c>
    </row>
    <row r="2663" ht="14.25" hidden="1" customHeight="1">
      <c r="A2663" s="8" t="s">
        <v>2589</v>
      </c>
      <c r="B2663" s="8" t="s">
        <v>3144</v>
      </c>
      <c r="D2663" s="121" t="str">
        <f>HYPERLINK("http://www.martinsburg.va.gov/services/VETERANS_TRANSPORTATION_NETWORK.ASP")</f>
        <v>http://www.martinsburg.va.gov/services/VETERANS_TRANSPORTATION_NETWORK.ASP</v>
      </c>
      <c r="E2663" s="8" t="s">
        <v>392</v>
      </c>
    </row>
    <row r="2664" ht="14.25" hidden="1" customHeight="1">
      <c r="A2664" s="8" t="s">
        <v>2590</v>
      </c>
      <c r="B2664" s="8" t="s">
        <v>3146</v>
      </c>
      <c r="D2664" s="121" t="str">
        <f>HYPERLINK("http://www.maryland.va.gov/services/AGENT_ORANGE_REGISTRY_HEALTH_EXAM.ASP")</f>
        <v>http://www.maryland.va.gov/services/AGENT_ORANGE_REGISTRY_HEALTH_EXAM.ASP</v>
      </c>
      <c r="E2664" s="8" t="s">
        <v>392</v>
      </c>
    </row>
    <row r="2665" ht="14.25" hidden="1" customHeight="1">
      <c r="A2665" s="8" t="s">
        <v>2590</v>
      </c>
      <c r="B2665" s="8" t="s">
        <v>3148</v>
      </c>
      <c r="D2665" s="121" t="str">
        <f>HYPERLINK("http://www.maryland.va.gov/services/APPOINTMENT_CALL_CENTER.ASP")</f>
        <v>http://www.maryland.va.gov/services/APPOINTMENT_CALL_CENTER.ASP</v>
      </c>
      <c r="E2665" s="8" t="s">
        <v>392</v>
      </c>
    </row>
    <row r="2666" ht="14.25" hidden="1" customHeight="1">
      <c r="A2666" s="8" t="s">
        <v>2590</v>
      </c>
      <c r="B2666" s="8" t="s">
        <v>3150</v>
      </c>
      <c r="D2666" s="121" t="str">
        <f>HYPERLINK("http://www.maryland.va.gov/services/AUTOMATED_APPOINTMENT_LINE.ASP")</f>
        <v>http://www.maryland.va.gov/services/AUTOMATED_APPOINTMENT_LINE.ASP</v>
      </c>
      <c r="E2666" s="8" t="s">
        <v>392</v>
      </c>
    </row>
    <row r="2667" ht="14.25" hidden="1" customHeight="1">
      <c r="A2667" s="8" t="s">
        <v>2590</v>
      </c>
      <c r="B2667" s="8" t="s">
        <v>3152</v>
      </c>
      <c r="D2667" s="121" t="str">
        <f>HYPERLINK("http://www.maryland.va.gov/services/BALTIMORE_VA_MEDICAL_CENTER.ASP")</f>
        <v>http://www.maryland.va.gov/services/BALTIMORE_VA_MEDICAL_CENTER.ASP</v>
      </c>
      <c r="E2667" s="8" t="s">
        <v>392</v>
      </c>
    </row>
    <row r="2668" ht="14.25" hidden="1" customHeight="1">
      <c r="A2668" s="8" t="s">
        <v>2590</v>
      </c>
      <c r="B2668" s="8" t="s">
        <v>636</v>
      </c>
      <c r="D2668" s="121" t="str">
        <f>HYPERLINK("http://www.maryland.va.gov/services/BENEFICIARY_TRAVEL.ASP")</f>
        <v>http://www.maryland.va.gov/services/BENEFICIARY_TRAVEL.ASP</v>
      </c>
      <c r="E2668" s="8" t="s">
        <v>392</v>
      </c>
    </row>
    <row r="2669" ht="14.25" hidden="1" customHeight="1">
      <c r="A2669" s="8" t="s">
        <v>2590</v>
      </c>
      <c r="B2669" s="8" t="s">
        <v>1771</v>
      </c>
      <c r="D2669" s="121" t="str">
        <f>HYPERLINK("http://www.maryland.va.gov/services/BILLING_INFORMATION.ASP")</f>
        <v>http://www.maryland.va.gov/services/BILLING_INFORMATION.ASP</v>
      </c>
      <c r="E2669" s="8" t="s">
        <v>392</v>
      </c>
    </row>
    <row r="2670" ht="14.25" hidden="1" customHeight="1">
      <c r="A2670" s="8" t="s">
        <v>2590</v>
      </c>
      <c r="B2670" s="8" t="s">
        <v>3156</v>
      </c>
      <c r="D2670" s="121" t="str">
        <f>HYPERLINK("http://www.maryland.va.gov/services/BURIAL_INFORMATION_AND_BENEFITS.ASP")</f>
        <v>http://www.maryland.va.gov/services/BURIAL_INFORMATION_AND_BENEFITS.ASP</v>
      </c>
      <c r="E2670" s="8" t="s">
        <v>392</v>
      </c>
    </row>
    <row r="2671" ht="14.25" hidden="1" customHeight="1">
      <c r="A2671" s="8" t="s">
        <v>2590</v>
      </c>
      <c r="B2671" s="8" t="s">
        <v>659</v>
      </c>
      <c r="D2671" s="121" t="str">
        <f>HYPERLINK("http://www.maryland.va.gov/services/CARE_IN_THE_COMMUNITY.ASP")</f>
        <v>http://www.maryland.va.gov/services/CARE_IN_THE_COMMUNITY.ASP</v>
      </c>
      <c r="E2671" s="8" t="s">
        <v>392</v>
      </c>
    </row>
    <row r="2672" ht="14.25" hidden="1" customHeight="1">
      <c r="A2672" s="8" t="s">
        <v>2590</v>
      </c>
      <c r="B2672" s="8" t="s">
        <v>484</v>
      </c>
      <c r="D2672" s="121" t="str">
        <f>HYPERLINK("http://www.maryland.va.gov/services/CAREGIVER_SUPPORT.ASP")</f>
        <v>http://www.maryland.va.gov/services/CAREGIVER_SUPPORT.ASP</v>
      </c>
      <c r="E2672" s="8" t="s">
        <v>392</v>
      </c>
    </row>
    <row r="2673" ht="14.25" hidden="1" customHeight="1">
      <c r="A2673" s="8" t="s">
        <v>2590</v>
      </c>
      <c r="B2673" s="8" t="s">
        <v>3162</v>
      </c>
      <c r="D2673" s="121" t="str">
        <f>HYPERLINK("http://www.maryland.va.gov/services/CHAPLAIN_SERVICE.ASP")</f>
        <v>http://www.maryland.va.gov/services/CHAPLAIN_SERVICE.ASP</v>
      </c>
      <c r="E2673" s="8" t="s">
        <v>392</v>
      </c>
    </row>
    <row r="2674" ht="14.25" hidden="1" customHeight="1">
      <c r="A2674" s="8" t="s">
        <v>2590</v>
      </c>
      <c r="B2674" s="8" t="s">
        <v>3165</v>
      </c>
      <c r="D2674" s="121" t="str">
        <f>HYPERLINK("http://www.maryland.va.gov/services/CHAPLAIN_SERVICE_LOCH_RAVEN_VA_COMMUNITY_LIVING_REHABILITATION_CENTER.ASP")</f>
        <v>http://www.maryland.va.gov/services/CHAPLAIN_SERVICE_LOCH_RAVEN_VA_COMMUNITY_LIVING_REHABILITATION_CENTER.ASP</v>
      </c>
      <c r="E2674" s="8" t="s">
        <v>392</v>
      </c>
    </row>
    <row r="2675" ht="14.25" hidden="1" customHeight="1">
      <c r="A2675" s="8" t="s">
        <v>2590</v>
      </c>
      <c r="B2675" s="8" t="s">
        <v>3167</v>
      </c>
      <c r="D2675" s="121" t="str">
        <f>HYPERLINK("http://www.maryland.va.gov/services/CHAPLAIN_SERVICE_PERRY_POINT_VA_MEDICAL_CENTER.ASP")</f>
        <v>http://www.maryland.va.gov/services/CHAPLAIN_SERVICE_PERRY_POINT_VA_MEDICAL_CENTER.ASP</v>
      </c>
      <c r="E2675" s="8" t="s">
        <v>392</v>
      </c>
    </row>
    <row r="2676" ht="14.25" hidden="1" customHeight="1">
      <c r="A2676" s="8" t="s">
        <v>2590</v>
      </c>
      <c r="B2676" s="8" t="s">
        <v>980</v>
      </c>
      <c r="D2676" s="121" t="str">
        <f>HYPERLINK("http://www.maryland.va.gov/services/COMMUNITY_RESIDENTIAL_CARE_PROGRAM.ASP")</f>
        <v>http://www.maryland.va.gov/services/COMMUNITY_RESIDENTIAL_CARE_PROGRAM.ASP</v>
      </c>
      <c r="E2676" s="8" t="s">
        <v>392</v>
      </c>
    </row>
    <row r="2677" ht="14.25" hidden="1" customHeight="1">
      <c r="A2677" s="8" t="s">
        <v>2590</v>
      </c>
      <c r="B2677" s="8" t="s">
        <v>1260</v>
      </c>
      <c r="D2677" s="121" t="str">
        <f>HYPERLINK("http://www.maryland.va.gov/services/COMMUNITY_RESOURCE_AND_REFERRAL_CENTER_CRRC.ASP")</f>
        <v>http://www.maryland.va.gov/services/COMMUNITY_RESOURCE_AND_REFERRAL_CENTER_CRRC.ASP</v>
      </c>
      <c r="E2677" s="8" t="s">
        <v>392</v>
      </c>
    </row>
    <row r="2678" ht="14.25" hidden="1" customHeight="1">
      <c r="A2678" s="8" t="s">
        <v>2590</v>
      </c>
      <c r="B2678" s="8" t="s">
        <v>3172</v>
      </c>
      <c r="D2678" s="121" t="str">
        <f>HYPERLINK("http://www.maryland.va.gov/services/COMPENSATION_PENSION_EXAMINATIONS.ASP")</f>
        <v>http://www.maryland.va.gov/services/COMPENSATION_PENSION_EXAMINATIONS.ASP</v>
      </c>
      <c r="E2678" s="8" t="s">
        <v>392</v>
      </c>
    </row>
    <row r="2679" ht="14.25" hidden="1" customHeight="1">
      <c r="A2679" s="8" t="s">
        <v>2590</v>
      </c>
      <c r="B2679" s="8" t="s">
        <v>3175</v>
      </c>
      <c r="D2679" s="121" t="str">
        <f>HYPERLINK("http://www.maryland.va.gov/services/DENTAL_SERVICES.ASP")</f>
        <v>http://www.maryland.va.gov/services/DENTAL_SERVICES.ASP</v>
      </c>
      <c r="E2679" s="8" t="s">
        <v>392</v>
      </c>
    </row>
    <row r="2680" ht="14.25" hidden="1" customHeight="1">
      <c r="A2680" s="8" t="s">
        <v>2590</v>
      </c>
      <c r="B2680" s="8" t="s">
        <v>3177</v>
      </c>
      <c r="D2680" s="121" t="str">
        <f>HYPERLINK("http://www.maryland.va.gov/services/DENTAL_SERVICES_PERRY_POINT_VA_MEDICAL_CENTER.ASP")</f>
        <v>http://www.maryland.va.gov/services/DENTAL_SERVICES_PERRY_POINT_VA_MEDICAL_CENTER.ASP</v>
      </c>
      <c r="E2680" s="8" t="s">
        <v>392</v>
      </c>
    </row>
    <row r="2681" ht="14.25" hidden="1" customHeight="1">
      <c r="A2681" s="8" t="s">
        <v>2590</v>
      </c>
      <c r="B2681" s="8" t="s">
        <v>2531</v>
      </c>
      <c r="D2681" s="121" t="str">
        <f>HYPERLINK("http://www.maryland.va.gov/services/ELIGIBILITY_ENROLLMENT.ASP")</f>
        <v>http://www.maryland.va.gov/services/ELIGIBILITY_ENROLLMENT.ASP</v>
      </c>
      <c r="E2681" s="8" t="s">
        <v>392</v>
      </c>
    </row>
    <row r="2682" ht="14.25" hidden="1" customHeight="1">
      <c r="A2682" s="8" t="s">
        <v>2590</v>
      </c>
      <c r="B2682" s="8" t="s">
        <v>3182</v>
      </c>
      <c r="D2682" s="121" t="str">
        <f>HYPERLINK("http://www.maryland.va.gov/services/EMERGENCY_DEPARTMENT_BALTIMORE_VA_MEDICAL_CENTER.ASP")</f>
        <v>http://www.maryland.va.gov/services/EMERGENCY_DEPARTMENT_BALTIMORE_VA_MEDICAL_CENTER.ASP</v>
      </c>
      <c r="E2682" s="8" t="s">
        <v>392</v>
      </c>
    </row>
    <row r="2683" ht="14.25" hidden="1" customHeight="1">
      <c r="A2683" s="8" t="s">
        <v>2590</v>
      </c>
      <c r="B2683" s="8" t="s">
        <v>3186</v>
      </c>
      <c r="D2683" s="121" t="str">
        <f>HYPERLINK("http://www.maryland.va.gov/services/EMERGENCY_MEDICAL_CARE_IN_THE_COMMUNITY.ASP")</f>
        <v>http://www.maryland.va.gov/services/EMERGENCY_MEDICAL_CARE_IN_THE_COMMUNITY.ASP</v>
      </c>
      <c r="E2683" s="8" t="s">
        <v>392</v>
      </c>
    </row>
    <row r="2684" ht="14.25" hidden="1" customHeight="1">
      <c r="A2684" s="8" t="s">
        <v>2590</v>
      </c>
      <c r="B2684" s="8" t="s">
        <v>3189</v>
      </c>
      <c r="D2684" s="121" t="str">
        <f>HYPERLINK("http://www.maryland.va.gov/services/EMPLOYMENT_OPPORTUNITIES.ASP")</f>
        <v>http://www.maryland.va.gov/services/EMPLOYMENT_OPPORTUNITIES.ASP</v>
      </c>
      <c r="E2684" s="8" t="s">
        <v>392</v>
      </c>
    </row>
    <row r="2685" ht="14.25" hidden="1" customHeight="1">
      <c r="A2685" s="8" t="s">
        <v>2590</v>
      </c>
      <c r="B2685" s="8" t="s">
        <v>3192</v>
      </c>
      <c r="D2685" s="121" t="str">
        <f>HYPERLINK("http://www.maryland.va.gov/services/FEE_SERVICE_NON_VA_HEALTH_CARE_BILLING.ASP")</f>
        <v>http://www.maryland.va.gov/services/FEE_SERVICE_NON_VA_HEALTH_CARE_BILLING.ASP</v>
      </c>
      <c r="E2685" s="8" t="s">
        <v>392</v>
      </c>
    </row>
    <row r="2686" ht="14.25" hidden="1" customHeight="1">
      <c r="A2686" s="8" t="s">
        <v>2590</v>
      </c>
      <c r="B2686" s="8" t="s">
        <v>3194</v>
      </c>
      <c r="D2686" s="121" t="str">
        <f>HYPERLINK("http://www.maryland.va.gov/services/FORMER_PRISONER_OF_WAR_POW_ADVOCATE.ASP")</f>
        <v>http://www.maryland.va.gov/services/FORMER_PRISONER_OF_WAR_POW_ADVOCATE.ASP</v>
      </c>
      <c r="E2686" s="8" t="s">
        <v>392</v>
      </c>
    </row>
    <row r="2687" ht="14.25" hidden="1" customHeight="1">
      <c r="A2687" s="8" t="s">
        <v>2590</v>
      </c>
      <c r="B2687" s="8" t="s">
        <v>1759</v>
      </c>
      <c r="D2687" s="121" t="str">
        <f>HYPERLINK("http://www.maryland.va.gov/services/GERIATRIC_RESEARCH_EDUCATION_AND_CLINICAL_CENTER.ASP")</f>
        <v>http://www.maryland.va.gov/services/GERIATRIC_RESEARCH_EDUCATION_AND_CLINICAL_CENTER.ASP</v>
      </c>
      <c r="E2687" s="8" t="s">
        <v>392</v>
      </c>
    </row>
    <row r="2688" ht="14.25" hidden="1" customHeight="1">
      <c r="A2688" s="8" t="s">
        <v>2590</v>
      </c>
      <c r="B2688" s="8" t="s">
        <v>3199</v>
      </c>
      <c r="D2688" s="121" t="str">
        <f>HYPERLINK("http://www.maryland.va.gov/services/HOMELESS_VETERANS_PROGRAM_BALTIMORE_VA_MEDICAL_CENTER.ASP")</f>
        <v>http://www.maryland.va.gov/services/HOMELESS_VETERANS_PROGRAM_BALTIMORE_VA_MEDICAL_CENTER.ASP</v>
      </c>
      <c r="E2688" s="8" t="s">
        <v>392</v>
      </c>
    </row>
    <row r="2689" ht="14.25" hidden="1" customHeight="1">
      <c r="A2689" s="8" t="s">
        <v>2590</v>
      </c>
      <c r="B2689" s="8" t="s">
        <v>3202</v>
      </c>
      <c r="D2689" s="121" t="str">
        <f>HYPERLINK("http://www.maryland.va.gov/services/HOMELESS_VETERANS_PROGRAM_PERRY_POINT_VA_MEDICAL_CENTER.ASP")</f>
        <v>http://www.maryland.va.gov/services/HOMELESS_VETERANS_PROGRAM_PERRY_POINT_VA_MEDICAL_CENTER.ASP</v>
      </c>
      <c r="E2689" s="8" t="s">
        <v>392</v>
      </c>
    </row>
    <row r="2690" ht="14.25" hidden="1" customHeight="1">
      <c r="A2690" s="8" t="s">
        <v>2590</v>
      </c>
      <c r="B2690" s="8" t="s">
        <v>3205</v>
      </c>
      <c r="D2690" s="121" t="str">
        <f>HYPERLINK("http://www.maryland.va.gov/services/HOSPITALIST_SECTION.ASP")</f>
        <v>http://www.maryland.va.gov/services/HOSPITALIST_SECTION.ASP</v>
      </c>
      <c r="E2690" s="8" t="s">
        <v>392</v>
      </c>
    </row>
    <row r="2691" ht="14.25" hidden="1" customHeight="1">
      <c r="A2691" s="8" t="s">
        <v>2590</v>
      </c>
      <c r="B2691" s="8" t="s">
        <v>2198</v>
      </c>
      <c r="D2691" s="121" t="str">
        <f>HYPERLINK("http://www.maryland.va.gov/services/LGBT_PATIENT_COORDINATOR.ASP")</f>
        <v>http://www.maryland.va.gov/services/LGBT_PATIENT_COORDINATOR.ASP</v>
      </c>
      <c r="E2691" s="8" t="s">
        <v>392</v>
      </c>
    </row>
    <row r="2692" ht="14.25" hidden="1" customHeight="1">
      <c r="A2692" s="8" t="s">
        <v>2590</v>
      </c>
      <c r="B2692" s="8" t="s">
        <v>3206</v>
      </c>
      <c r="D2692" s="121" t="str">
        <f>HYPERLINK("http://www.maryland.va.gov/services/LEGIONELLA_MONITORING.ASP")</f>
        <v>http://www.maryland.va.gov/services/LEGIONELLA_MONITORING.ASP</v>
      </c>
      <c r="E2692" s="8" t="s">
        <v>392</v>
      </c>
    </row>
    <row r="2693" ht="14.25" hidden="1" customHeight="1">
      <c r="A2693" s="8" t="s">
        <v>2590</v>
      </c>
      <c r="B2693" s="8" t="s">
        <v>3208</v>
      </c>
      <c r="D2693" s="121" t="str">
        <f>HYPERLINK("http://www.maryland.va.gov/services/LOCH_RAVEN_VA_COMMUNITY_LIVING_REHABILITATION_CENTER.ASP")</f>
        <v>http://www.maryland.va.gov/services/LOCH_RAVEN_VA_COMMUNITY_LIVING_REHABILITATION_CENTER.ASP</v>
      </c>
      <c r="E2693" s="8" t="s">
        <v>392</v>
      </c>
    </row>
    <row r="2694" ht="14.25" hidden="1" customHeight="1">
      <c r="A2694" s="8" t="s">
        <v>2590</v>
      </c>
      <c r="B2694" s="8" t="s">
        <v>3210</v>
      </c>
      <c r="D2694" s="121" t="str">
        <f>HYPERLINK("http://www.maryland.va.gov/services/LONG_TERM_CARE_INFORMATION_LINE.ASP")</f>
        <v>http://www.maryland.va.gov/services/LONG_TERM_CARE_INFORMATION_LINE.ASP</v>
      </c>
      <c r="E2694" s="8" t="s">
        <v>392</v>
      </c>
    </row>
    <row r="2695" ht="14.25" hidden="1" customHeight="1">
      <c r="A2695" s="8" t="s">
        <v>2590</v>
      </c>
      <c r="B2695" s="8" t="s">
        <v>3213</v>
      </c>
      <c r="D2695" s="121" t="str">
        <f>HYPERLINK("http://www.maryland.va.gov/services/MS_CENTER_OF_EXCELLENCE_EAST.ASP")</f>
        <v>http://www.maryland.va.gov/services/MS_CENTER_OF_EXCELLENCE_EAST.ASP</v>
      </c>
      <c r="E2695" s="8" t="s">
        <v>392</v>
      </c>
    </row>
    <row r="2696" ht="14.25" hidden="1" customHeight="1">
      <c r="A2696" s="8" t="s">
        <v>2590</v>
      </c>
      <c r="B2696" s="8" t="s">
        <v>3217</v>
      </c>
      <c r="D2696" s="121" t="str">
        <f>HYPERLINK("http://www.maryland.va.gov/services/VA_AND_MARIJUANA.ASP")</f>
        <v>http://www.maryland.va.gov/services/VA_AND_MARIJUANA.ASP</v>
      </c>
      <c r="E2696" s="8" t="s">
        <v>392</v>
      </c>
    </row>
    <row r="2697" ht="14.25" hidden="1" customHeight="1">
      <c r="A2697" s="8" t="s">
        <v>2590</v>
      </c>
      <c r="B2697" s="8" t="s">
        <v>1016</v>
      </c>
      <c r="D2697" s="121" t="str">
        <f>HYPERLINK("http://www.maryland.va.gov/services/MEDICAL_FOSTER_HOME_PROGRAM.ASP")</f>
        <v>http://www.maryland.va.gov/services/MEDICAL_FOSTER_HOME_PROGRAM.ASP</v>
      </c>
      <c r="E2697" s="8" t="s">
        <v>392</v>
      </c>
    </row>
    <row r="2698" ht="14.25" hidden="1" customHeight="1">
      <c r="A2698" s="8" t="s">
        <v>2590</v>
      </c>
      <c r="B2698" s="8" t="s">
        <v>3220</v>
      </c>
      <c r="D2698" s="121" t="str">
        <f>HYPERLINK("http://www.maryland.va.gov/services/MEDICAL_RECORDS_RELEASE_OF_INFORMATION.ASP")</f>
        <v>http://www.maryland.va.gov/services/MEDICAL_RECORDS_RELEASE_OF_INFORMATION.ASP</v>
      </c>
      <c r="E2698" s="8" t="s">
        <v>392</v>
      </c>
    </row>
    <row r="2699" ht="14.25" hidden="1" customHeight="1">
      <c r="A2699" s="8" t="s">
        <v>2590</v>
      </c>
      <c r="B2699" s="8" t="s">
        <v>3222</v>
      </c>
      <c r="D2699" s="121" t="str">
        <f>HYPERLINK("http://www.maryland.va.gov/services/MEDICAL_RECORDS_RELEASE_OF_INFORMATION_PERRY_POINT.ASP")</f>
        <v>http://www.maryland.va.gov/services/MEDICAL_RECORDS_RELEASE_OF_INFORMATION_PERRY_POINT.ASP</v>
      </c>
      <c r="E2699" s="8" t="s">
        <v>392</v>
      </c>
    </row>
    <row r="2700" ht="14.25" hidden="1" customHeight="1">
      <c r="A2700" s="8" t="s">
        <v>2590</v>
      </c>
      <c r="B2700" s="8" t="s">
        <v>3227</v>
      </c>
      <c r="D2700" s="121" t="str">
        <f>HYPERLINK("http://www.maryland.va.gov/services/MENTAL_HEALTH_BALTIMORE_VA_MEDICAL_CENTER.ASP")</f>
        <v>http://www.maryland.va.gov/services/MENTAL_HEALTH_BALTIMORE_VA_MEDICAL_CENTER.ASP</v>
      </c>
      <c r="E2700" s="8" t="s">
        <v>392</v>
      </c>
    </row>
    <row r="2701" ht="14.25" hidden="1" customHeight="1">
      <c r="A2701" s="8" t="s">
        <v>2590</v>
      </c>
      <c r="B2701" s="8" t="s">
        <v>3231</v>
      </c>
      <c r="D2701" s="121" t="str">
        <f>HYPERLINK("http://www.maryland.va.gov/services/MENTAL_HEALTH_PERRY_POINT_VA_MEDICAL_CENTER.ASP")</f>
        <v>http://www.maryland.va.gov/services/MENTAL_HEALTH_PERRY_POINT_VA_MEDICAL_CENTER.ASP</v>
      </c>
      <c r="E2701" s="8" t="s">
        <v>392</v>
      </c>
    </row>
    <row r="2702" ht="14.25" hidden="1" customHeight="1">
      <c r="A2702" s="8" t="s">
        <v>2590</v>
      </c>
      <c r="B2702" s="8" t="s">
        <v>2121</v>
      </c>
      <c r="D2702" s="121" t="str">
        <f>HYPERLINK("http://www.maryland.va.gov/services/MIRECC.ASP")</f>
        <v>http://www.maryland.va.gov/services/MIRECC.ASP</v>
      </c>
      <c r="E2702" s="8" t="s">
        <v>392</v>
      </c>
    </row>
    <row r="2703" ht="14.25" hidden="1" customHeight="1">
      <c r="A2703" s="8" t="s">
        <v>2590</v>
      </c>
      <c r="B2703" s="8" t="s">
        <v>3237</v>
      </c>
      <c r="D2703" s="121" t="str">
        <f>HYPERLINK("http://www.maryland.va.gov/services/MILITARY_SEXUAL_TRAUMA_MST_COORDINATOR.ASP")</f>
        <v>http://www.maryland.va.gov/services/MILITARY_SEXUAL_TRAUMA_MST_COORDINATOR.ASP</v>
      </c>
      <c r="E2703" s="8" t="s">
        <v>392</v>
      </c>
    </row>
    <row r="2704" ht="14.25" hidden="1" customHeight="1">
      <c r="A2704" s="8" t="s">
        <v>2590</v>
      </c>
      <c r="B2704" s="8" t="s">
        <v>707</v>
      </c>
      <c r="D2704" s="121" t="str">
        <f>HYPERLINK("http://www.maryland.va.gov/services/MYHEALTHEVET.ASP")</f>
        <v>http://www.maryland.va.gov/services/MYHEALTHEVET.ASP</v>
      </c>
      <c r="E2704" s="8" t="s">
        <v>392</v>
      </c>
    </row>
    <row r="2705" ht="14.25" hidden="1" customHeight="1">
      <c r="A2705" s="8" t="s">
        <v>2590</v>
      </c>
      <c r="B2705" s="8" t="s">
        <v>3244</v>
      </c>
      <c r="D2705" s="121" t="str">
        <f>HYPERLINK("http://www.maryland.va.gov/services/PATIENT_ADVOCATES.ASP")</f>
        <v>http://www.maryland.va.gov/services/PATIENT_ADVOCATES.ASP</v>
      </c>
      <c r="E2705" s="8" t="s">
        <v>392</v>
      </c>
    </row>
    <row r="2706" ht="14.25" hidden="1" customHeight="1">
      <c r="A2706" s="8" t="s">
        <v>2590</v>
      </c>
      <c r="B2706" s="8" t="s">
        <v>3246</v>
      </c>
      <c r="D2706" s="121" t="str">
        <f>HYPERLINK("http://www.maryland.va.gov/services/PATIENT_ADVOCATES_LOCH_RAVEN_VACLRC.ASP")</f>
        <v>http://www.maryland.va.gov/services/PATIENT_ADVOCATES_LOCH_RAVEN_VACLRC.ASP</v>
      </c>
      <c r="E2706" s="8" t="s">
        <v>392</v>
      </c>
    </row>
    <row r="2707" ht="14.25" hidden="1" customHeight="1">
      <c r="A2707" s="8" t="s">
        <v>2590</v>
      </c>
      <c r="B2707" s="8" t="s">
        <v>3247</v>
      </c>
      <c r="D2707" s="121" t="str">
        <f>HYPERLINK("http://www.maryland.va.gov/services/PATIENT_ADVOCATES_PP.ASP")</f>
        <v>http://www.maryland.va.gov/services/PATIENT_ADVOCATES_PP.ASP</v>
      </c>
      <c r="E2707" s="8" t="s">
        <v>392</v>
      </c>
    </row>
    <row r="2708" ht="14.25" hidden="1" customHeight="1">
      <c r="A2708" s="8" t="s">
        <v>2590</v>
      </c>
      <c r="B2708" s="8" t="s">
        <v>3250</v>
      </c>
      <c r="D2708" s="121" t="str">
        <f>HYPERLINK("http://www.maryland.va.gov/services/PATIENT_SAFETY_HOTLINE.ASP")</f>
        <v>http://www.maryland.va.gov/services/PATIENT_SAFETY_HOTLINE.ASP</v>
      </c>
      <c r="E2708" s="8" t="s">
        <v>392</v>
      </c>
    </row>
    <row r="2709" ht="14.25" hidden="1" customHeight="1">
      <c r="A2709" s="8" t="s">
        <v>2590</v>
      </c>
      <c r="B2709" s="8" t="s">
        <v>3254</v>
      </c>
      <c r="D2709" s="121" t="str">
        <f>HYPERLINK("http://www.maryland.va.gov/services/PERRY_POINT_VA_MEDICAL_CENTER.ASP")</f>
        <v>http://www.maryland.va.gov/services/PERRY_POINT_VA_MEDICAL_CENTER.ASP</v>
      </c>
      <c r="E2709" s="8" t="s">
        <v>392</v>
      </c>
    </row>
    <row r="2710" ht="14.25" hidden="1" customHeight="1">
      <c r="A2710" s="8" t="s">
        <v>2590</v>
      </c>
      <c r="B2710" s="8" t="s">
        <v>3257</v>
      </c>
      <c r="D2710" s="121" t="str">
        <f>HYPERLINK("http://www.maryland.va.gov/services/PHARMACY.ASP")</f>
        <v>http://www.maryland.va.gov/services/PHARMACY.ASP</v>
      </c>
      <c r="E2710" s="8" t="s">
        <v>392</v>
      </c>
    </row>
    <row r="2711" ht="14.25" hidden="1" customHeight="1">
      <c r="A2711" s="8" t="s">
        <v>2590</v>
      </c>
      <c r="B2711" s="8" t="s">
        <v>3260</v>
      </c>
      <c r="D2711" s="121" t="str">
        <f>HYPERLINK("http://www.maryland.va.gov/services/PHARMACY_PERRY_POINT_VA_MEDICAL_CENTER.ASP")</f>
        <v>http://www.maryland.va.gov/services/PHARMACY_PERRY_POINT_VA_MEDICAL_CENTER.ASP</v>
      </c>
      <c r="E2711" s="8" t="s">
        <v>392</v>
      </c>
    </row>
    <row r="2712" ht="14.25" hidden="1" customHeight="1">
      <c r="A2712" s="8" t="s">
        <v>2590</v>
      </c>
      <c r="B2712" s="8" t="s">
        <v>3264</v>
      </c>
      <c r="D2712" s="121" t="str">
        <f>HYPERLINK("http://www.maryland.va.gov/services/PRESCRIPTION_REFILL_LINE.ASP")</f>
        <v>http://www.maryland.va.gov/services/PRESCRIPTION_REFILL_LINE.ASP</v>
      </c>
      <c r="E2712" s="8" t="s">
        <v>392</v>
      </c>
    </row>
    <row r="2713" ht="14.25" hidden="1" customHeight="1">
      <c r="A2713" s="8" t="s">
        <v>2590</v>
      </c>
      <c r="B2713" s="8" t="s">
        <v>3267</v>
      </c>
      <c r="D2713" s="121" t="str">
        <f>HYPERLINK("http://www.maryland.va.gov/services/PRIVACY_OFFICE_BALTIMORE_VA_MEDICAL_CENTER.ASP")</f>
        <v>http://www.maryland.va.gov/services/PRIVACY_OFFICE_BALTIMORE_VA_MEDICAL_CENTER.ASP</v>
      </c>
      <c r="E2713" s="8" t="s">
        <v>392</v>
      </c>
    </row>
    <row r="2714" ht="14.25" hidden="1" customHeight="1">
      <c r="A2714" s="8" t="s">
        <v>2590</v>
      </c>
      <c r="B2714" s="8" t="s">
        <v>3269</v>
      </c>
      <c r="D2714" s="121" t="str">
        <f>HYPERLINK("http://www.maryland.va.gov/services/PRIVACY_OFFICE_PERRY_POINT_VA_MEDICAL_CENTER.ASP")</f>
        <v>http://www.maryland.va.gov/services/PRIVACY_OFFICE_PERRY_POINT_VA_MEDICAL_CENTER.ASP</v>
      </c>
      <c r="E2714" s="8" t="s">
        <v>392</v>
      </c>
    </row>
    <row r="2715" ht="14.25" hidden="1" customHeight="1">
      <c r="A2715" s="8" t="s">
        <v>2590</v>
      </c>
      <c r="B2715" s="8" t="s">
        <v>3272</v>
      </c>
      <c r="D2715" s="121" t="str">
        <f>HYPERLINK("http://www.maryland.va.gov/services/PUBLIC_COMMUNITY_RELATIONS_BALTIMORE_VA_MEDICAL_CENTER.ASP")</f>
        <v>http://www.maryland.va.gov/services/PUBLIC_COMMUNITY_RELATIONS_BALTIMORE_VA_MEDICAL_CENTER.ASP</v>
      </c>
      <c r="E2715" s="8" t="s">
        <v>392</v>
      </c>
    </row>
    <row r="2716" ht="14.25" hidden="1" customHeight="1">
      <c r="A2716" s="8" t="s">
        <v>2590</v>
      </c>
      <c r="B2716" s="8" t="s">
        <v>3274</v>
      </c>
      <c r="D2716" s="121" t="str">
        <f>HYPERLINK("http://www.maryland.va.gov/services/PUBLIC_COMMUNITY_RELATIONS_PERRY_POINT_VA_MEDICAL_CENTER.ASP")</f>
        <v>http://www.maryland.va.gov/services/PUBLIC_COMMUNITY_RELATIONS_PERRY_POINT_VA_MEDICAL_CENTER.ASP</v>
      </c>
      <c r="E2716" s="8" t="s">
        <v>392</v>
      </c>
    </row>
    <row r="2717" ht="14.25" hidden="1" customHeight="1">
      <c r="A2717" s="8" t="s">
        <v>2590</v>
      </c>
      <c r="B2717" s="8" t="s">
        <v>3276</v>
      </c>
      <c r="D2717" s="121" t="str">
        <f>HYPERLINK("http://www.maryland.va.gov/services/RECREATION_THERAPY_LOCH_RAVEN_VA_COMMUNITY_LIVING_REHABILITATION_CENTER.ASP")</f>
        <v>http://www.maryland.va.gov/services/RECREATION_THERAPY_LOCH_RAVEN_VA_COMMUNITY_LIVING_REHABILITATION_CENTER.ASP</v>
      </c>
      <c r="E2717" s="8" t="s">
        <v>392</v>
      </c>
    </row>
    <row r="2718" ht="14.25" hidden="1" customHeight="1">
      <c r="A2718" s="8" t="s">
        <v>2590</v>
      </c>
      <c r="B2718" s="8" t="s">
        <v>3277</v>
      </c>
      <c r="D2718" s="121" t="str">
        <f>HYPERLINK("http://www.maryland.va.gov/services/RECREATION_THERAPY_PERRY_POINT_VA_MEDICAL_CENTER.ASP")</f>
        <v>http://www.maryland.va.gov/services/RECREATION_THERAPY_PERRY_POINT_VA_MEDICAL_CENTER.ASP</v>
      </c>
      <c r="E2718" s="8" t="s">
        <v>392</v>
      </c>
    </row>
    <row r="2719" ht="14.25" hidden="1" customHeight="1">
      <c r="A2719" s="8" t="s">
        <v>2590</v>
      </c>
      <c r="B2719" s="8" t="s">
        <v>3281</v>
      </c>
      <c r="D2719" s="121" t="str">
        <f>HYPERLINK("http://www.maryland.va.gov/services/RETURNING_VETERANS.ASP")</f>
        <v>http://www.maryland.va.gov/services/RETURNING_VETERANS.ASP</v>
      </c>
      <c r="E2719" s="8" t="s">
        <v>392</v>
      </c>
    </row>
    <row r="2720" ht="14.25" hidden="1" customHeight="1">
      <c r="A2720" s="8" t="s">
        <v>2590</v>
      </c>
      <c r="B2720" s="8" t="s">
        <v>861</v>
      </c>
      <c r="D2720" s="121" t="str">
        <f>HYPERLINK("http://www.maryland.va.gov/services/SMOKING_CESSATION_SERVICE.ASP")</f>
        <v>http://www.maryland.va.gov/services/SMOKING_CESSATION_SERVICE.ASP</v>
      </c>
      <c r="E2720" s="8" t="s">
        <v>392</v>
      </c>
    </row>
    <row r="2721" ht="14.25" hidden="1" customHeight="1">
      <c r="A2721" s="8" t="s">
        <v>2590</v>
      </c>
      <c r="B2721" s="8" t="s">
        <v>3286</v>
      </c>
      <c r="D2721" s="121" t="str">
        <f>HYPERLINK("http://www.maryland.va.gov/services/TELEPHONE_CARE_LINE.ASP")</f>
        <v>http://www.maryland.va.gov/services/TELEPHONE_CARE_LINE.ASP</v>
      </c>
      <c r="E2721" s="8" t="s">
        <v>392</v>
      </c>
    </row>
    <row r="2722" ht="14.25" hidden="1" customHeight="1">
      <c r="A2722" s="8" t="s">
        <v>2590</v>
      </c>
      <c r="B2722" s="8" t="s">
        <v>915</v>
      </c>
      <c r="D2722" s="121" t="str">
        <f>HYPERLINK("http://www.maryland.va.gov/services/TRAVELING_VETERAN_PROGRAM.ASP")</f>
        <v>http://www.maryland.va.gov/services/TRAVELING_VETERAN_PROGRAM.ASP</v>
      </c>
      <c r="E2722" s="8" t="s">
        <v>392</v>
      </c>
    </row>
    <row r="2723" ht="14.25" hidden="1" customHeight="1">
      <c r="A2723" s="8" t="s">
        <v>2590</v>
      </c>
      <c r="B2723" s="8" t="s">
        <v>3290</v>
      </c>
      <c r="D2723" s="121" t="str">
        <f>HYPERLINK("http://www.maryland.va.gov/services/VA_BENEFITS.ASP")</f>
        <v>http://www.maryland.va.gov/services/VA_BENEFITS.ASP</v>
      </c>
      <c r="E2723" s="8" t="s">
        <v>392</v>
      </c>
    </row>
    <row r="2724" ht="14.25" hidden="1" customHeight="1">
      <c r="A2724" s="8" t="s">
        <v>2590</v>
      </c>
      <c r="B2724" s="8" t="s">
        <v>569</v>
      </c>
      <c r="D2724" s="121" t="str">
        <f>HYPERLINK("http://www.maryland.va.gov/services/VETERANS_CRISIS_LINE.ASP")</f>
        <v>http://www.maryland.va.gov/services/VETERANS_CRISIS_LINE.ASP</v>
      </c>
      <c r="E2724" s="8" t="s">
        <v>392</v>
      </c>
    </row>
    <row r="2725" ht="14.25" hidden="1" customHeight="1">
      <c r="A2725" s="8" t="s">
        <v>2590</v>
      </c>
      <c r="B2725" s="8" t="s">
        <v>677</v>
      </c>
      <c r="D2725" s="121" t="str">
        <f>HYPERLINK("http://www.maryland.va.gov/services/VETERANS_INTEGRATION_TO_ACADEMIC_LEADERSHIP_VITAL.ASP")</f>
        <v>http://www.maryland.va.gov/services/VETERANS_INTEGRATION_TO_ACADEMIC_LEADERSHIP_VITAL.ASP</v>
      </c>
      <c r="E2725" s="8" t="s">
        <v>392</v>
      </c>
    </row>
    <row r="2726" ht="14.25" hidden="1" customHeight="1">
      <c r="A2726" s="8" t="s">
        <v>2590</v>
      </c>
      <c r="B2726" s="8" t="s">
        <v>1341</v>
      </c>
      <c r="D2726" s="121" t="str">
        <f>HYPERLINK("http://www.maryland.va.gov/services/VIRTUAL_LIFETIME_ELECTRONIC_RECORD.ASP")</f>
        <v>http://www.maryland.va.gov/services/VIRTUAL_LIFETIME_ELECTRONIC_RECORD.ASP</v>
      </c>
      <c r="E2726" s="8" t="s">
        <v>392</v>
      </c>
    </row>
    <row r="2727" ht="14.25" hidden="1" customHeight="1">
      <c r="A2727" s="8" t="s">
        <v>2590</v>
      </c>
      <c r="B2727" s="8" t="s">
        <v>3300</v>
      </c>
      <c r="D2727" s="121" t="str">
        <f>HYPERLINK("http://www.maryland.va.gov/services/VOLUNTARY_SERVICE_BALTIMORE_VA_MEDICAL_CENTER.ASP")</f>
        <v>http://www.maryland.va.gov/services/VOLUNTARY_SERVICE_BALTIMORE_VA_MEDICAL_CENTER.ASP</v>
      </c>
      <c r="E2727" s="8" t="s">
        <v>392</v>
      </c>
    </row>
    <row r="2728" ht="14.25" hidden="1" customHeight="1">
      <c r="A2728" s="8" t="s">
        <v>2590</v>
      </c>
      <c r="B2728" s="8" t="s">
        <v>3303</v>
      </c>
      <c r="D2728" s="121" t="str">
        <f>HYPERLINK("http://www.maryland.va.gov/services/VOLUNTARY_SERVICE_LOCH_RAVEN_VA_COMMUNITY_LIVING_REHABILITATION_CENTER.ASP")</f>
        <v>http://www.maryland.va.gov/services/VOLUNTARY_SERVICE_LOCH_RAVEN_VA_COMMUNITY_LIVING_REHABILITATION_CENTER.ASP</v>
      </c>
      <c r="E2728" s="8" t="s">
        <v>392</v>
      </c>
    </row>
    <row r="2729" ht="14.25" hidden="1" customHeight="1">
      <c r="A2729" s="8" t="s">
        <v>2590</v>
      </c>
      <c r="B2729" s="8" t="s">
        <v>3304</v>
      </c>
      <c r="D2729" s="121" t="str">
        <f>HYPERLINK("http://www.maryland.va.gov/services/VOLUNTARY_SERVICE_PERRY_POINT_VA_MEDICAL_CENTER.ASP")</f>
        <v>http://www.maryland.va.gov/services/VOLUNTARY_SERVICE_PERRY_POINT_VA_MEDICAL_CENTER.ASP</v>
      </c>
      <c r="E2729" s="8" t="s">
        <v>392</v>
      </c>
    </row>
    <row r="2730" ht="14.25" hidden="1" customHeight="1">
      <c r="A2730" s="8" t="s">
        <v>2590</v>
      </c>
      <c r="B2730" s="8" t="s">
        <v>3305</v>
      </c>
      <c r="D2730" s="121" t="str">
        <f>HYPERLINK("http://www.maryland.va.gov/services/WOMEN_VETERANS_CALL_CENTER.ASP")</f>
        <v>http://www.maryland.va.gov/services/WOMEN_VETERANS_CALL_CENTER.ASP</v>
      </c>
      <c r="E2730" s="8" t="s">
        <v>392</v>
      </c>
    </row>
    <row r="2731" ht="14.25" hidden="1" customHeight="1">
      <c r="A2731" s="8" t="s">
        <v>2590</v>
      </c>
      <c r="B2731" s="8" t="s">
        <v>2734</v>
      </c>
      <c r="D2731" s="121" t="str">
        <f>HYPERLINK("http://www.maryland.va.gov/services/WOMEN_VETERANS_PROGRAM_MANAGER.ASP")</f>
        <v>http://www.maryland.va.gov/services/WOMEN_VETERANS_PROGRAM_MANAGER.ASP</v>
      </c>
      <c r="E2731" s="8" t="s">
        <v>392</v>
      </c>
    </row>
    <row r="2732" ht="14.25" hidden="1" customHeight="1">
      <c r="A2732" s="8" t="s">
        <v>2590</v>
      </c>
      <c r="B2732" s="8" t="s">
        <v>3306</v>
      </c>
      <c r="D2732" s="121" t="str">
        <f>HYPERLINK("http://www.maryland.va.gov/services/WOMEN_S_RURAL_OUTREACH_TELEHEALTH_PROGRAM.ASP")</f>
        <v>http://www.maryland.va.gov/services/WOMEN_S_RURAL_OUTREACH_TELEHEALTH_PROGRAM.ASP</v>
      </c>
      <c r="E2732" s="8" t="s">
        <v>392</v>
      </c>
    </row>
    <row r="2733" ht="14.25" hidden="1" customHeight="1">
      <c r="A2733" s="8" t="s">
        <v>2594</v>
      </c>
      <c r="B2733" s="8" t="s">
        <v>3308</v>
      </c>
      <c r="D2733" s="121" t="str">
        <f>HYPERLINK("http://www.memphis.va.gov/services/AMYOTROPHIC_LATERAL_SCLEROSIS_ALS_CLINIC.ASP")</f>
        <v>http://www.memphis.va.gov/services/AMYOTROPHIC_LATERAL_SCLEROSIS_ALS_CLINIC.ASP</v>
      </c>
      <c r="E2733" s="8" t="s">
        <v>392</v>
      </c>
    </row>
    <row r="2734" ht="14.25" hidden="1" customHeight="1">
      <c r="A2734" s="8" t="s">
        <v>2594</v>
      </c>
      <c r="B2734" s="8" t="s">
        <v>2276</v>
      </c>
      <c r="D2734" s="121" t="str">
        <f>HYPERLINK("http://www.memphis.va.gov/services/FORMER_PRISONERS_OF_WAR_PROGRAM.ASP")</f>
        <v>http://www.memphis.va.gov/services/FORMER_PRISONERS_OF_WAR_PROGRAM.ASP</v>
      </c>
      <c r="E2734" s="8" t="s">
        <v>392</v>
      </c>
    </row>
    <row r="2735" ht="14.25" hidden="1" customHeight="1">
      <c r="A2735" s="8" t="s">
        <v>2594</v>
      </c>
      <c r="B2735" s="8" t="s">
        <v>1196</v>
      </c>
      <c r="D2735" s="121" t="str">
        <f>HYPERLINK("http://www.memphis.va.gov/services/HEALTH_PROMOTION_DISEASE_PREVENTION.ASP")</f>
        <v>http://www.memphis.va.gov/services/HEALTH_PROMOTION_DISEASE_PREVENTION.ASP</v>
      </c>
      <c r="E2735" s="8" t="s">
        <v>392</v>
      </c>
    </row>
    <row r="2736" ht="14.25" hidden="1" customHeight="1">
      <c r="A2736" s="8" t="s">
        <v>2594</v>
      </c>
      <c r="B2736" s="8" t="s">
        <v>3218</v>
      </c>
      <c r="D2736" s="121" t="str">
        <f>HYPERLINK("http://www.memphis.va.gov/services/MEDICINE_SERVICE.ASP")</f>
        <v>http://www.memphis.va.gov/services/MEDICINE_SERVICE.ASP</v>
      </c>
      <c r="E2736" s="8" t="s">
        <v>392</v>
      </c>
    </row>
    <row r="2737" ht="14.25" hidden="1" customHeight="1">
      <c r="A2737" s="8" t="s">
        <v>2594</v>
      </c>
      <c r="B2737" s="8" t="s">
        <v>323</v>
      </c>
      <c r="D2737" s="121" t="str">
        <f>HYPERLINK("http://www.memphis.va.gov/services/MENTAL_HEALTH.ASP")</f>
        <v>http://www.memphis.va.gov/services/MENTAL_HEALTH.ASP</v>
      </c>
      <c r="E2737" s="8" t="s">
        <v>392</v>
      </c>
    </row>
    <row r="2738" ht="14.25" hidden="1" customHeight="1">
      <c r="A2738" s="8" t="s">
        <v>2594</v>
      </c>
      <c r="B2738" s="8" t="s">
        <v>326</v>
      </c>
      <c r="D2738" s="121" t="str">
        <f>HYPERLINK("http://www.memphis.va.gov/services/MINORITY_VETERANS.ASP")</f>
        <v>http://www.memphis.va.gov/services/MINORITY_VETERANS.ASP</v>
      </c>
      <c r="E2738" s="8" t="s">
        <v>392</v>
      </c>
    </row>
    <row r="2739" ht="14.25" hidden="1" customHeight="1">
      <c r="A2739" s="8" t="s">
        <v>2594</v>
      </c>
      <c r="B2739" s="8" t="s">
        <v>3311</v>
      </c>
      <c r="D2739" s="121" t="str">
        <f>HYPERLINK("http://www.memphis.va.gov/services/MULTIPLE_SCLEROSIS.ASP")</f>
        <v>http://www.memphis.va.gov/services/MULTIPLE_SCLEROSIS.ASP</v>
      </c>
      <c r="E2739" s="8" t="s">
        <v>392</v>
      </c>
    </row>
    <row r="2740" ht="14.25" hidden="1" customHeight="1">
      <c r="A2740" s="8" t="s">
        <v>2594</v>
      </c>
      <c r="B2740" s="8" t="s">
        <v>661</v>
      </c>
      <c r="D2740" s="121" t="str">
        <f>HYPERLINK("http://www.memphis.va.gov/services/NEUROLOGY_SERVICE.ASP")</f>
        <v>http://www.memphis.va.gov/services/NEUROLOGY_SERVICE.ASP</v>
      </c>
      <c r="E2740" s="8" t="s">
        <v>392</v>
      </c>
    </row>
    <row r="2741" ht="14.25" hidden="1" customHeight="1">
      <c r="A2741" s="8" t="s">
        <v>2594</v>
      </c>
      <c r="B2741" s="8" t="s">
        <v>1251</v>
      </c>
      <c r="D2741" s="121" t="str">
        <f>HYPERLINK("http://www.memphis.va.gov/services/NURSING_SERVICE.ASP")</f>
        <v>http://www.memphis.va.gov/services/NURSING_SERVICE.ASP</v>
      </c>
      <c r="E2741" s="8" t="s">
        <v>392</v>
      </c>
    </row>
    <row r="2742" ht="14.25" hidden="1" customHeight="1">
      <c r="A2742" s="8" t="s">
        <v>2594</v>
      </c>
      <c r="B2742" s="8" t="s">
        <v>1280</v>
      </c>
      <c r="D2742" s="121" t="str">
        <f>HYPERLINK("http://www.memphis.va.gov/services/NUTRITION_AND_FOOD.ASP")</f>
        <v>http://www.memphis.va.gov/services/NUTRITION_AND_FOOD.ASP</v>
      </c>
      <c r="E2742" s="8" t="s">
        <v>392</v>
      </c>
    </row>
    <row r="2743" ht="14.25" hidden="1" customHeight="1">
      <c r="A2743" s="8" t="s">
        <v>2594</v>
      </c>
      <c r="B2743" s="8" t="s">
        <v>2513</v>
      </c>
      <c r="D2743" s="121" t="str">
        <f>HYPERLINK("http://www.memphis.va.gov/services/OPHTHALMOLOGY.ASP")</f>
        <v>http://www.memphis.va.gov/services/OPHTHALMOLOGY.ASP</v>
      </c>
      <c r="E2743" s="8" t="s">
        <v>392</v>
      </c>
    </row>
    <row r="2744" ht="14.25" hidden="1" customHeight="1">
      <c r="A2744" s="8" t="s">
        <v>2594</v>
      </c>
      <c r="B2744" s="8" t="s">
        <v>705</v>
      </c>
      <c r="D2744" s="121" t="str">
        <f>HYPERLINK("http://www.memphis.va.gov/services/OPTOMETRY.ASP")</f>
        <v>http://www.memphis.va.gov/services/OPTOMETRY.ASP</v>
      </c>
      <c r="E2744" s="8" t="s">
        <v>392</v>
      </c>
    </row>
    <row r="2745" ht="14.25" hidden="1" customHeight="1">
      <c r="A2745" s="8" t="s">
        <v>2594</v>
      </c>
      <c r="B2745" s="8" t="s">
        <v>651</v>
      </c>
      <c r="D2745" s="121" t="str">
        <f>HYPERLINK("http://www.memphis.va.gov/services/PALLIATIVE_CARE.ASP")</f>
        <v>http://www.memphis.va.gov/services/PALLIATIVE_CARE.ASP</v>
      </c>
      <c r="E2745" s="8" t="s">
        <v>392</v>
      </c>
    </row>
    <row r="2746" ht="14.25" hidden="1" customHeight="1">
      <c r="A2746" s="8" t="s">
        <v>2594</v>
      </c>
      <c r="B2746" s="8" t="s">
        <v>343</v>
      </c>
      <c r="D2746" s="121" t="str">
        <f>HYPERLINK("http://www.memphis.va.gov/services/PHARMACY.ASP")</f>
        <v>http://www.memphis.va.gov/services/PHARMACY.ASP</v>
      </c>
      <c r="E2746" s="8" t="s">
        <v>392</v>
      </c>
    </row>
    <row r="2747" ht="14.25" hidden="1" customHeight="1">
      <c r="A2747" s="8" t="s">
        <v>2594</v>
      </c>
      <c r="B2747" s="8" t="s">
        <v>348</v>
      </c>
      <c r="D2747" s="121" t="str">
        <f>HYPERLINK("http://www.memphis.va.gov/services/PRIMARY_CARE.ASP")</f>
        <v>http://www.memphis.va.gov/services/PRIMARY_CARE.ASP</v>
      </c>
      <c r="E2747" s="8" t="s">
        <v>392</v>
      </c>
    </row>
    <row r="2748" ht="14.25" hidden="1" customHeight="1">
      <c r="A2748" s="8" t="s">
        <v>2594</v>
      </c>
      <c r="B2748" s="8" t="s">
        <v>3318</v>
      </c>
      <c r="D2748" s="121" t="str">
        <f>HYPERLINK("http://www.memphis.va.gov/services/SLEEP_HEALTH_CENTER.ASP")</f>
        <v>http://www.memphis.va.gov/services/SLEEP_HEALTH_CENTER.ASP</v>
      </c>
      <c r="E2748" s="8" t="s">
        <v>392</v>
      </c>
    </row>
    <row r="2749" ht="14.25" hidden="1" customHeight="1">
      <c r="A2749" s="8" t="s">
        <v>2594</v>
      </c>
      <c r="B2749" s="8" t="s">
        <v>360</v>
      </c>
      <c r="D2749" s="121" t="str">
        <f>HYPERLINK("http://www.memphis.va.gov/services/SOCIAL_WORK.ASP")</f>
        <v>http://www.memphis.va.gov/services/SOCIAL_WORK.ASP</v>
      </c>
      <c r="E2749" s="8" t="s">
        <v>392</v>
      </c>
    </row>
    <row r="2750" ht="14.25" hidden="1" customHeight="1">
      <c r="A2750" s="8" t="s">
        <v>2594</v>
      </c>
      <c r="B2750" s="8" t="s">
        <v>363</v>
      </c>
      <c r="D2750" s="121" t="str">
        <f>HYPERLINK("http://www.memphis.va.gov/services/SPECIALTY_CARE.ASP")</f>
        <v>http://www.memphis.va.gov/services/SPECIALTY_CARE.ASP</v>
      </c>
      <c r="E2750" s="8" t="s">
        <v>392</v>
      </c>
    </row>
    <row r="2751" ht="14.25" hidden="1" customHeight="1">
      <c r="A2751" s="8" t="s">
        <v>2594</v>
      </c>
      <c r="B2751" s="8" t="s">
        <v>364</v>
      </c>
      <c r="D2751" s="121" t="str">
        <f>HYPERLINK("http://www.memphis.va.gov/services/SPINAL_CORD_INJURY.ASP")</f>
        <v>http://www.memphis.va.gov/services/SPINAL_CORD_INJURY.ASP</v>
      </c>
      <c r="E2751" s="8" t="s">
        <v>392</v>
      </c>
    </row>
    <row r="2752" ht="14.25" hidden="1" customHeight="1">
      <c r="A2752" s="8" t="s">
        <v>2594</v>
      </c>
      <c r="B2752" s="8" t="s">
        <v>722</v>
      </c>
      <c r="D2752" s="121" t="str">
        <f>HYPERLINK("http://www.memphis.va.gov/services/SURGERY.ASP")</f>
        <v>http://www.memphis.va.gov/services/SURGERY.ASP</v>
      </c>
      <c r="E2752" s="8" t="s">
        <v>392</v>
      </c>
    </row>
    <row r="2753" ht="14.25" hidden="1" customHeight="1">
      <c r="A2753" s="8" t="s">
        <v>2594</v>
      </c>
      <c r="B2753" s="8" t="s">
        <v>3323</v>
      </c>
      <c r="D2753" s="121" t="str">
        <f>HYPERLINK("http://www.memphis.va.gov/services/VISION_REHAB_CLINIC.ASP")</f>
        <v>http://www.memphis.va.gov/services/VISION_REHAB_CLINIC.ASP</v>
      </c>
      <c r="E2753" s="8" t="s">
        <v>392</v>
      </c>
    </row>
    <row r="2754" ht="14.25" hidden="1" customHeight="1">
      <c r="A2754" s="8" t="s">
        <v>2612</v>
      </c>
      <c r="B2754" s="8" t="s">
        <v>3301</v>
      </c>
      <c r="D2754" s="121" t="str">
        <f>HYPERLINK("http://www.miami.va.gov/services/ANESTHESIOLOGY-SERVICE.ASP")</f>
        <v>http://www.miami.va.gov/services/ANESTHESIOLOGY-SERVICE.ASP</v>
      </c>
      <c r="E2754" s="8" t="s">
        <v>392</v>
      </c>
    </row>
    <row r="2755" ht="14.25" hidden="1" customHeight="1">
      <c r="A2755" s="8" t="s">
        <v>2612</v>
      </c>
      <c r="B2755" s="8" t="s">
        <v>2162</v>
      </c>
      <c r="D2755" s="121" t="str">
        <f>HYPERLINK("http://www.miami.va.gov/services/AUDIOLOGY_AND_SPEECH_PATHOLOGY_SERVICE.ASP")</f>
        <v>http://www.miami.va.gov/services/AUDIOLOGY_AND_SPEECH_PATHOLOGY_SERVICE.ASP</v>
      </c>
      <c r="E2755" s="8" t="s">
        <v>392</v>
      </c>
    </row>
    <row r="2756" ht="14.25" hidden="1" customHeight="1">
      <c r="A2756" s="8" t="s">
        <v>2612</v>
      </c>
      <c r="B2756" s="8" t="s">
        <v>300</v>
      </c>
      <c r="D2756" s="121" t="str">
        <f>HYPERLINK("http://www.miami.va.gov/services/CAREGIVER_PROGRAM.ASP")</f>
        <v>http://www.miami.va.gov/services/CAREGIVER_PROGRAM.ASP</v>
      </c>
      <c r="E2756" s="8" t="s">
        <v>392</v>
      </c>
    </row>
    <row r="2757" ht="14.25" hidden="1" customHeight="1">
      <c r="A2757" s="8" t="s">
        <v>2612</v>
      </c>
      <c r="B2757" s="8" t="s">
        <v>478</v>
      </c>
      <c r="D2757" s="121" t="str">
        <f>HYPERLINK("http://www.miami.va.gov/services/CHAPLAIN_SERVICE.ASP")</f>
        <v>http://www.miami.va.gov/services/CHAPLAIN_SERVICE.ASP</v>
      </c>
      <c r="E2757" s="8" t="s">
        <v>392</v>
      </c>
    </row>
    <row r="2758" ht="14.25" hidden="1" customHeight="1">
      <c r="A2758" s="8" t="s">
        <v>2612</v>
      </c>
      <c r="B2758" s="8" t="s">
        <v>305</v>
      </c>
      <c r="D2758" s="121" t="str">
        <f>HYPERLINK("http://www.miami.va.gov/services/DENTAL_SERVICES.ASP")</f>
        <v>http://www.miami.va.gov/services/DENTAL_SERVICES.ASP</v>
      </c>
      <c r="E2758" s="8" t="s">
        <v>392</v>
      </c>
    </row>
    <row r="2759" ht="14.25" hidden="1" customHeight="1">
      <c r="A2759" s="8" t="s">
        <v>2612</v>
      </c>
      <c r="B2759" s="8" t="s">
        <v>467</v>
      </c>
      <c r="D2759" s="121" t="str">
        <f>HYPERLINK("http://www.miami.va.gov/services/FORMER_POW_ADVOCATE.ASP")</f>
        <v>http://www.miami.va.gov/services/FORMER_POW_ADVOCATE.ASP</v>
      </c>
      <c r="E2759" s="8" t="s">
        <v>392</v>
      </c>
    </row>
    <row r="2760" ht="14.25" hidden="1" customHeight="1">
      <c r="A2760" s="8" t="s">
        <v>2612</v>
      </c>
      <c r="B2760" s="8" t="s">
        <v>556</v>
      </c>
      <c r="D2760" s="121" t="str">
        <f>HYPERLINK("http://www.miami.va.gov/services/GERIATRICS_AND_EXTENDED_CARE.ASP")</f>
        <v>http://www.miami.va.gov/services/GERIATRICS_AND_EXTENDED_CARE.ASP</v>
      </c>
      <c r="E2760" s="8" t="s">
        <v>392</v>
      </c>
    </row>
    <row r="2761" ht="14.25" hidden="1" customHeight="1">
      <c r="A2761" s="8" t="s">
        <v>2612</v>
      </c>
      <c r="B2761" s="8" t="s">
        <v>312</v>
      </c>
      <c r="D2761" s="121" t="str">
        <f>HYPERLINK("http://www.miami.va.gov/services/HOMELESS_VETERANS.ASP")</f>
        <v>http://www.miami.va.gov/services/HOMELESS_VETERANS.ASP</v>
      </c>
      <c r="E2761" s="8" t="s">
        <v>392</v>
      </c>
    </row>
    <row r="2762" ht="14.25" hidden="1" customHeight="1">
      <c r="A2762" s="8" t="s">
        <v>2612</v>
      </c>
      <c r="B2762" s="8" t="s">
        <v>1265</v>
      </c>
      <c r="D2762" s="121" t="str">
        <f>HYPERLINK("http://www.miami.va.gov/services/LGBT_PROGRAM.ASP")</f>
        <v>http://www.miami.va.gov/services/LGBT_PROGRAM.ASP</v>
      </c>
      <c r="E2762" s="8" t="s">
        <v>392</v>
      </c>
    </row>
    <row r="2763" ht="14.25" hidden="1" customHeight="1">
      <c r="A2763" s="8" t="s">
        <v>2612</v>
      </c>
      <c r="B2763" s="8" t="s">
        <v>441</v>
      </c>
      <c r="D2763" s="121" t="str">
        <f>HYPERLINK("http://www.miami.va.gov/services/MOVE.ASP")</f>
        <v>http://www.miami.va.gov/services/MOVE.ASP</v>
      </c>
      <c r="E2763" s="8" t="s">
        <v>392</v>
      </c>
    </row>
    <row r="2764" ht="14.25" hidden="1" customHeight="1">
      <c r="A2764" s="8" t="s">
        <v>2612</v>
      </c>
      <c r="B2764" s="8" t="s">
        <v>1016</v>
      </c>
      <c r="D2764" s="121" t="str">
        <f>HYPERLINK("http://www.miami.va.gov/services/MFH.ASP")</f>
        <v>http://www.miami.va.gov/services/MFH.ASP</v>
      </c>
      <c r="E2764" s="8" t="s">
        <v>392</v>
      </c>
    </row>
    <row r="2765" ht="14.25" hidden="1" customHeight="1">
      <c r="A2765" s="8" t="s">
        <v>2612</v>
      </c>
      <c r="B2765" s="8" t="s">
        <v>599</v>
      </c>
      <c r="D2765" s="121" t="str">
        <f>HYPERLINK("http://www.miami.va.gov/services/MEDICAL_SERVICE.ASP")</f>
        <v>http://www.miami.va.gov/services/MEDICAL_SERVICE.ASP</v>
      </c>
      <c r="E2765" s="8" t="s">
        <v>392</v>
      </c>
    </row>
    <row r="2766" ht="14.25" hidden="1" customHeight="1">
      <c r="A2766" s="8" t="s">
        <v>2612</v>
      </c>
      <c r="B2766" s="8" t="s">
        <v>323</v>
      </c>
      <c r="D2766" s="121" t="str">
        <f>HYPERLINK("http://www.miami.va.gov/services/MENTAL_HEALTH.ASP")</f>
        <v>http://www.miami.va.gov/services/MENTAL_HEALTH.ASP</v>
      </c>
      <c r="E2766" s="8" t="s">
        <v>392</v>
      </c>
    </row>
    <row r="2767" ht="14.25" hidden="1" customHeight="1">
      <c r="A2767" s="8" t="s">
        <v>2612</v>
      </c>
      <c r="B2767" s="8" t="s">
        <v>1607</v>
      </c>
      <c r="D2767" s="121" t="str">
        <f>HYPERLINK("http://www.miami.va.gov/services/MINORITY_VETERANS.ASP")</f>
        <v>http://www.miami.va.gov/services/MINORITY_VETERANS.ASP</v>
      </c>
      <c r="E2767" s="8" t="s">
        <v>392</v>
      </c>
    </row>
    <row r="2768" ht="14.25" hidden="1" customHeight="1">
      <c r="A2768" s="8" t="s">
        <v>2612</v>
      </c>
      <c r="B2768" s="8" t="s">
        <v>661</v>
      </c>
      <c r="D2768" s="121" t="str">
        <f>HYPERLINK("http://www.miami.va.gov/services/NEUROLOGY_SERVICE.ASP")</f>
        <v>http://www.miami.va.gov/services/NEUROLOGY_SERVICE.ASP</v>
      </c>
      <c r="E2768" s="8" t="s">
        <v>392</v>
      </c>
    </row>
    <row r="2769" ht="14.25" hidden="1" customHeight="1">
      <c r="A2769" s="8" t="s">
        <v>2612</v>
      </c>
      <c r="B2769" s="8" t="s">
        <v>603</v>
      </c>
      <c r="D2769" s="121" t="str">
        <f>HYPERLINK("http://www.miami.va.gov/services/NUCLEAR_MEDICINE.ASP")</f>
        <v>http://www.miami.va.gov/services/NUCLEAR_MEDICINE.ASP</v>
      </c>
      <c r="E2769" s="8" t="s">
        <v>392</v>
      </c>
    </row>
    <row r="2770" ht="14.25" hidden="1" customHeight="1">
      <c r="A2770" s="8" t="s">
        <v>2612</v>
      </c>
      <c r="B2770" s="8" t="s">
        <v>1251</v>
      </c>
      <c r="D2770" s="121" t="str">
        <f>HYPERLINK("http://www.miami.va.gov/services/NURSING_SERVICE.ASP")</f>
        <v>http://www.miami.va.gov/services/NURSING_SERVICE.ASP</v>
      </c>
      <c r="E2770" s="8" t="s">
        <v>392</v>
      </c>
    </row>
    <row r="2771" ht="14.25" hidden="1" customHeight="1">
      <c r="A2771" s="8" t="s">
        <v>2612</v>
      </c>
      <c r="B2771" s="8" t="s">
        <v>335</v>
      </c>
      <c r="D2771" s="121" t="str">
        <f>HYPERLINK("http://www.miami.va.gov/services/NUTRITION_AND_FOOD_SERVICE.ASP")</f>
        <v>http://www.miami.va.gov/services/NUTRITION_AND_FOOD_SERVICE.ASP</v>
      </c>
      <c r="E2771" s="8" t="s">
        <v>392</v>
      </c>
    </row>
    <row r="2772" ht="14.25" hidden="1" customHeight="1">
      <c r="A2772" s="8" t="s">
        <v>2612</v>
      </c>
      <c r="B2772" s="8" t="s">
        <v>314</v>
      </c>
      <c r="D2772" s="121" t="str">
        <f>HYPERLINK("http://www.miami.va.gov/services/PATHOLOGY_LABORATORY_MEDICINE.ASP")</f>
        <v>http://www.miami.va.gov/services/PATHOLOGY_LABORATORY_MEDICINE.ASP</v>
      </c>
      <c r="E2772" s="8" t="s">
        <v>392</v>
      </c>
    </row>
    <row r="2773" ht="14.25" hidden="1" customHeight="1">
      <c r="A2773" s="8" t="s">
        <v>2612</v>
      </c>
      <c r="B2773" s="8" t="s">
        <v>343</v>
      </c>
      <c r="D2773" s="121" t="str">
        <f>HYPERLINK("http://www.miami.va.gov/services/PHARMACY.ASP")</f>
        <v>http://www.miami.va.gov/services/PHARMACY.ASP</v>
      </c>
      <c r="E2773" s="8" t="s">
        <v>392</v>
      </c>
    </row>
    <row r="2774" ht="14.25" hidden="1" customHeight="1">
      <c r="A2774" s="8" t="s">
        <v>2612</v>
      </c>
      <c r="B2774" s="8" t="s">
        <v>1063</v>
      </c>
      <c r="D2774" s="121" t="str">
        <f>HYPERLINK("http://www.miami.va.gov/services/PHYSICAL_MEDICINE_AND_REHABILITATION_SERVICE.ASP")</f>
        <v>http://www.miami.va.gov/services/PHYSICAL_MEDICINE_AND_REHABILITATION_SERVICE.ASP</v>
      </c>
      <c r="E2774" s="8" t="s">
        <v>392</v>
      </c>
    </row>
    <row r="2775" ht="14.25" hidden="1" customHeight="1">
      <c r="A2775" s="8" t="s">
        <v>2612</v>
      </c>
      <c r="B2775" s="8" t="s">
        <v>3346</v>
      </c>
      <c r="D2775" s="121" t="str">
        <f>HYPERLINK("http://www.miami.va.gov/services/PRESCRIPTION_REFILLS.ASP")</f>
        <v>http://www.miami.va.gov/services/PRESCRIPTION_REFILLS.ASP</v>
      </c>
      <c r="E2775" s="8" t="s">
        <v>392</v>
      </c>
    </row>
    <row r="2776" ht="14.25" hidden="1" customHeight="1">
      <c r="A2776" s="8" t="s">
        <v>2612</v>
      </c>
      <c r="B2776" s="8" t="s">
        <v>2377</v>
      </c>
      <c r="D2776" s="121" t="str">
        <f>HYPERLINK("http://www.miami.va.gov/services/PROSTHETIC_AND_SENSORY_AIDS_SERVICE.ASP")</f>
        <v>http://www.miami.va.gov/services/PROSTHETIC_AND_SENSORY_AIDS_SERVICE.ASP</v>
      </c>
      <c r="E2776" s="8" t="s">
        <v>392</v>
      </c>
    </row>
    <row r="2777" ht="14.25" hidden="1" customHeight="1">
      <c r="A2777" s="8" t="s">
        <v>2612</v>
      </c>
      <c r="B2777" s="8" t="s">
        <v>3094</v>
      </c>
      <c r="D2777" s="121" t="str">
        <f>HYPERLINK("http://www.miami.va.gov/services/RADIOLOGY_SERVICE.ASP")</f>
        <v>http://www.miami.va.gov/services/RADIOLOGY_SERVICE.ASP</v>
      </c>
      <c r="E2777" s="8" t="s">
        <v>392</v>
      </c>
    </row>
    <row r="2778" ht="14.25" hidden="1" customHeight="1">
      <c r="A2778" s="8" t="s">
        <v>2612</v>
      </c>
      <c r="B2778" s="8" t="s">
        <v>3347</v>
      </c>
      <c r="D2778" s="121" t="str">
        <f>HYPERLINK("http://www.miami.va.gov/services/RECREATION.ASP")</f>
        <v>http://www.miami.va.gov/services/RECREATION.ASP</v>
      </c>
      <c r="E2778" s="8" t="s">
        <v>392</v>
      </c>
    </row>
    <row r="2779" ht="14.25" hidden="1" customHeight="1">
      <c r="A2779" s="8" t="s">
        <v>2612</v>
      </c>
      <c r="B2779" s="8" t="s">
        <v>2805</v>
      </c>
      <c r="D2779" s="121" t="str">
        <f>HYPERLINK("http://www.miami.va.gov/services/RESEARCH_SERVICE.ASP")</f>
        <v>http://www.miami.va.gov/services/RESEARCH_SERVICE.ASP</v>
      </c>
      <c r="E2779" s="8" t="s">
        <v>392</v>
      </c>
    </row>
    <row r="2780" ht="14.25" hidden="1" customHeight="1">
      <c r="A2780" s="8" t="s">
        <v>2612</v>
      </c>
      <c r="B2780" s="8" t="s">
        <v>355</v>
      </c>
      <c r="D2780" s="121" t="str">
        <f>HYPERLINK("http://www.miami.va.gov/services/RETURNING_SERVICE_MEMBERS.ASP")</f>
        <v>http://www.miami.va.gov/services/RETURNING_SERVICE_MEMBERS.ASP</v>
      </c>
      <c r="E2780" s="8" t="s">
        <v>392</v>
      </c>
    </row>
    <row r="2781" ht="14.25" hidden="1" customHeight="1">
      <c r="A2781" s="8" t="s">
        <v>2612</v>
      </c>
      <c r="B2781" s="8" t="s">
        <v>360</v>
      </c>
      <c r="D2781" s="121" t="str">
        <f>HYPERLINK("http://www.miami.va.gov/services/SOCIAL_WORK.ASP")</f>
        <v>http://www.miami.va.gov/services/SOCIAL_WORK.ASP</v>
      </c>
      <c r="E2781" s="8" t="s">
        <v>392</v>
      </c>
    </row>
    <row r="2782" ht="14.25" hidden="1" customHeight="1">
      <c r="A2782" s="8" t="s">
        <v>2612</v>
      </c>
      <c r="B2782" s="8" t="s">
        <v>3350</v>
      </c>
      <c r="D2782" s="121" t="str">
        <f>HYPERLINK("http://www.miami.va.gov/services/SPINAL_CORD_INJURY_UNIT.ASP")</f>
        <v>http://www.miami.va.gov/services/SPINAL_CORD_INJURY_UNIT.ASP</v>
      </c>
      <c r="E2782" s="8" t="s">
        <v>392</v>
      </c>
    </row>
    <row r="2783" ht="14.25" hidden="1" customHeight="1">
      <c r="A2783" s="8" t="s">
        <v>2612</v>
      </c>
      <c r="B2783" s="8" t="s">
        <v>3352</v>
      </c>
      <c r="D2783" s="121" t="str">
        <f>HYPERLINK("http://www.miami.va.gov/services/TELECARE_URBAN_HOME_HEALTHCARE.ASP")</f>
        <v>http://www.miami.va.gov/services/TELECARE_URBAN_HOME_HEALTHCARE.ASP</v>
      </c>
      <c r="E2783" s="8" t="s">
        <v>392</v>
      </c>
    </row>
    <row r="2784" ht="14.25" hidden="1" customHeight="1">
      <c r="A2784" s="8" t="s">
        <v>2612</v>
      </c>
      <c r="B2784" s="8" t="s">
        <v>379</v>
      </c>
      <c r="D2784" s="121" t="str">
        <f>HYPERLINK("http://www.miami.va.gov/services/WOMEN_VETERANS.ASP")</f>
        <v>http://www.miami.va.gov/services/WOMEN_VETERANS.ASP</v>
      </c>
      <c r="E2784" s="8" t="s">
        <v>392</v>
      </c>
    </row>
    <row r="2785" ht="14.25" hidden="1" customHeight="1">
      <c r="A2785" s="8" t="s">
        <v>2613</v>
      </c>
      <c r="B2785" s="8" t="s">
        <v>3353</v>
      </c>
      <c r="D2785" s="121" t="str">
        <f>HYPERLINK("http://www.milwaukee.va.gov/services/FISHER_HOUSE_WISCONSIN.ASP")</f>
        <v>http://www.milwaukee.va.gov/services/FISHER_HOUSE_WISCONSIN.ASP</v>
      </c>
      <c r="E2785" s="8" t="s">
        <v>595</v>
      </c>
    </row>
    <row r="2786" ht="14.25" hidden="1" customHeight="1">
      <c r="A2786" s="8" t="s">
        <v>2613</v>
      </c>
      <c r="B2786" s="8" t="s">
        <v>3355</v>
      </c>
      <c r="D2786" s="121" t="str">
        <f>HYPERLINK("http://www.milwaukee.va.gov/services/HOPTEL.ASP")</f>
        <v>http://www.milwaukee.va.gov/services/HOPTEL.ASP</v>
      </c>
      <c r="E2786" s="8" t="s">
        <v>595</v>
      </c>
    </row>
    <row r="2787" ht="14.25" hidden="1" customHeight="1">
      <c r="A2787" s="8" t="s">
        <v>2613</v>
      </c>
      <c r="B2787" s="8" t="s">
        <v>3356</v>
      </c>
      <c r="D2787" s="121" t="str">
        <f>HYPERLINK("http://www.milwaukee.va.gov/services/ADAPTIVE-SPORTS.ASP")</f>
        <v>http://www.milwaukee.va.gov/services/ADAPTIVE-SPORTS.ASP</v>
      </c>
      <c r="E2787" s="8" t="s">
        <v>595</v>
      </c>
    </row>
    <row r="2788" ht="14.25" hidden="1" customHeight="1">
      <c r="A2788" s="8" t="s">
        <v>2613</v>
      </c>
      <c r="B2788" s="8" t="s">
        <v>3357</v>
      </c>
      <c r="D2788" s="121" t="str">
        <f>HYPERLINK("http://www.milwaukee.va.gov/services/ADDICTION_PROGRAMS_AND_TREATMENT.ASP")</f>
        <v>http://www.milwaukee.va.gov/services/ADDICTION_PROGRAMS_AND_TREATMENT.ASP</v>
      </c>
      <c r="E2788" s="8" t="s">
        <v>392</v>
      </c>
    </row>
    <row r="2789" ht="14.25" hidden="1" customHeight="1">
      <c r="A2789" s="8" t="s">
        <v>2613</v>
      </c>
      <c r="B2789" s="8" t="s">
        <v>407</v>
      </c>
      <c r="D2789" s="121" t="str">
        <f>HYPERLINK("http://www.milwaukee.va.gov/services/ADULT_DAY_HEALTH_CARE.ASP")</f>
        <v>http://www.milwaukee.va.gov/services/ADULT_DAY_HEALTH_CARE.ASP</v>
      </c>
      <c r="E2789" s="8" t="s">
        <v>392</v>
      </c>
    </row>
    <row r="2790" ht="14.25" hidden="1" customHeight="1">
      <c r="A2790" s="8" t="s">
        <v>2613</v>
      </c>
      <c r="B2790" s="8" t="s">
        <v>3358</v>
      </c>
      <c r="D2790" s="121" t="str">
        <f>HYPERLINK("http://www.milwaukee.va.gov/services/ART_THERAPY.ASP")</f>
        <v>http://www.milwaukee.va.gov/services/ART_THERAPY.ASP</v>
      </c>
      <c r="E2790" s="8" t="s">
        <v>392</v>
      </c>
    </row>
    <row r="2791" ht="14.25" hidden="1" customHeight="1">
      <c r="A2791" s="8" t="s">
        <v>2613</v>
      </c>
      <c r="B2791" s="8" t="s">
        <v>413</v>
      </c>
      <c r="D2791" s="121" t="str">
        <f>HYPERLINK("http://www.milwaukee.va.gov/services/CANCER_CARE.ASP")</f>
        <v>http://www.milwaukee.va.gov/services/CANCER_CARE.ASP</v>
      </c>
      <c r="E2791" s="8" t="s">
        <v>392</v>
      </c>
    </row>
    <row r="2792" ht="14.25" hidden="1" customHeight="1">
      <c r="A2792" s="8" t="s">
        <v>2613</v>
      </c>
      <c r="B2792" s="8" t="s">
        <v>3360</v>
      </c>
      <c r="D2792" s="121" t="str">
        <f>HYPERLINK("http://www.milwaukee.va.gov/services/IRAQ_AFGHANISTAN_VETERANS.ASP")</f>
        <v>http://www.milwaukee.va.gov/services/IRAQ_AFGHANISTAN_VETERANS.ASP</v>
      </c>
      <c r="E2792" s="8" t="s">
        <v>595</v>
      </c>
    </row>
    <row r="2793" ht="14.25" hidden="1" customHeight="1">
      <c r="A2793" s="8" t="s">
        <v>2613</v>
      </c>
      <c r="B2793" s="8" t="s">
        <v>3361</v>
      </c>
      <c r="D2793" s="121" t="str">
        <f>HYPERLINK("http://www.milwaukee.va.gov/services/COMPENSATED_WORK_THERAPY_WORK_PROGRAM.ASP")</f>
        <v>http://www.milwaukee.va.gov/services/COMPENSATED_WORK_THERAPY_WORK_PROGRAM.ASP</v>
      </c>
      <c r="E2793" s="8" t="s">
        <v>392</v>
      </c>
    </row>
    <row r="2794" ht="14.25" hidden="1" customHeight="1">
      <c r="A2794" s="8" t="s">
        <v>2613</v>
      </c>
      <c r="B2794" s="8" t="s">
        <v>3362</v>
      </c>
      <c r="D2794" s="121" t="str">
        <f>HYPERLINK("http://www.milwaukee.va.gov/services/CREATIVE_ARTS_FESTIVAL.ASP")</f>
        <v>http://www.milwaukee.va.gov/services/CREATIVE_ARTS_FESTIVAL.ASP</v>
      </c>
      <c r="E2794" s="8" t="s">
        <v>392</v>
      </c>
    </row>
    <row r="2795" ht="14.25" hidden="1" customHeight="1">
      <c r="A2795" s="8" t="s">
        <v>2613</v>
      </c>
      <c r="B2795" s="8" t="s">
        <v>3364</v>
      </c>
      <c r="D2795" s="121" t="str">
        <f>HYPERLINK("http://www.milwaukee.va.gov/services/DAV_SHUTTLE.ASP")</f>
        <v>http://www.milwaukee.va.gov/services/DAV_SHUTTLE.ASP</v>
      </c>
      <c r="E2795" s="8" t="s">
        <v>392</v>
      </c>
    </row>
    <row r="2796" ht="14.25" hidden="1" customHeight="1">
      <c r="A2796" s="8" t="s">
        <v>2613</v>
      </c>
      <c r="B2796" s="8" t="s">
        <v>303</v>
      </c>
      <c r="D2796" s="121" t="str">
        <f>HYPERLINK("http://www.milwaukee.va.gov/services/DENTAL.ASP")</f>
        <v>http://www.milwaukee.va.gov/services/DENTAL.ASP</v>
      </c>
      <c r="E2796" s="8" t="s">
        <v>392</v>
      </c>
    </row>
    <row r="2797" ht="14.25" hidden="1" customHeight="1">
      <c r="A2797" s="8" t="s">
        <v>2613</v>
      </c>
      <c r="B2797" s="8" t="s">
        <v>3366</v>
      </c>
      <c r="D2797" s="121" t="str">
        <f>HYPERLINK("http://www.milwaukee.va.gov/services/LOCATION_AND_EXTENSION_DIRECTORY.ASP")</f>
        <v>http://www.milwaukee.va.gov/services/LOCATION_AND_EXTENSION_DIRECTORY.ASP</v>
      </c>
      <c r="E2797" s="8" t="s">
        <v>595</v>
      </c>
    </row>
    <row r="2798" ht="14.25" hidden="1" customHeight="1">
      <c r="A2798" s="8" t="s">
        <v>2613</v>
      </c>
      <c r="B2798" s="8" t="s">
        <v>3367</v>
      </c>
      <c r="D2798" s="121" t="str">
        <f>HYPERLINK("http://www.milwaukee.va.gov/services/MENTAL_HEALTH_AND_WELLNESS_GUIDE.ASP")</f>
        <v>http://www.milwaukee.va.gov/services/MENTAL_HEALTH_AND_WELLNESS_GUIDE.ASP</v>
      </c>
      <c r="E2798" s="8" t="s">
        <v>595</v>
      </c>
    </row>
    <row r="2799" ht="14.25" hidden="1" customHeight="1">
      <c r="A2799" s="8" t="s">
        <v>2613</v>
      </c>
      <c r="B2799" s="8" t="s">
        <v>3368</v>
      </c>
      <c r="D2799" s="121" t="str">
        <f>HYPERLINK("http://www.milwaukee.va.gov/services/OPERATION_HOPE.ASP")</f>
        <v>http://www.milwaukee.va.gov/services/OPERATION_HOPE.ASP</v>
      </c>
      <c r="E2799" s="8" t="s">
        <v>595</v>
      </c>
    </row>
    <row r="2800" ht="14.25" hidden="1" customHeight="1">
      <c r="A2800" s="8" t="s">
        <v>2613</v>
      </c>
      <c r="B2800" s="8" t="s">
        <v>3371</v>
      </c>
      <c r="D2800" s="121" t="str">
        <f>HYPERLINK("http://www.milwaukee.va.gov/services/EVIDENCED_BASED_PSYCHOTHERAPY.ASP")</f>
        <v>http://www.milwaukee.va.gov/services/EVIDENCED_BASED_PSYCHOTHERAPY.ASP</v>
      </c>
      <c r="E2800" s="8" t="s">
        <v>392</v>
      </c>
    </row>
    <row r="2801" ht="14.25" hidden="1" customHeight="1">
      <c r="A2801" s="8" t="s">
        <v>2613</v>
      </c>
      <c r="B2801" s="8" t="s">
        <v>309</v>
      </c>
      <c r="D2801" s="121" t="str">
        <f>HYPERLINK("http://www.milwaukee.va.gov/services/EXTENDED_CARE_AND_REHABILITATION.ASP")</f>
        <v>http://www.milwaukee.va.gov/services/EXTENDED_CARE_AND_REHABILITATION.ASP</v>
      </c>
      <c r="E2801" s="8" t="s">
        <v>392</v>
      </c>
    </row>
    <row r="2802" ht="14.25" hidden="1" customHeight="1">
      <c r="A2802" s="8" t="s">
        <v>2613</v>
      </c>
      <c r="B2802" s="8" t="s">
        <v>3373</v>
      </c>
      <c r="D2802" s="121" t="str">
        <f>HYPERLINK("http://www.milwaukee.va.gov/services/LOCATION_AND_EXTENSION_DIRECTORY.ASP")</f>
        <v>http://www.milwaukee.va.gov/services/LOCATION_AND_EXTENSION_DIRECTORY.ASP</v>
      </c>
      <c r="E2802" s="8" t="s">
        <v>595</v>
      </c>
    </row>
    <row r="2803" ht="14.25" hidden="1" customHeight="1">
      <c r="A2803" s="8" t="s">
        <v>2613</v>
      </c>
      <c r="B2803" s="8" t="s">
        <v>719</v>
      </c>
      <c r="D2803" s="121" t="str">
        <f>HYPERLINK("http://www.milwaukee.va.gov/services/EYE_CLINIC.ASP")</f>
        <v>http://www.milwaukee.va.gov/services/EYE_CLINIC.ASP</v>
      </c>
      <c r="E2803" s="8" t="s">
        <v>392</v>
      </c>
    </row>
    <row r="2804" ht="14.25" hidden="1" customHeight="1">
      <c r="A2804" s="8" t="s">
        <v>2613</v>
      </c>
      <c r="B2804" s="8" t="s">
        <v>1344</v>
      </c>
      <c r="D2804" s="121" t="str">
        <f>HYPERLINK("http://www.milwaukee.va.gov/services/FISHER_HOUSE_WISCONSIN.ASP")</f>
        <v>http://www.milwaukee.va.gov/services/FISHER_HOUSE_WISCONSIN.ASP</v>
      </c>
      <c r="E2804" s="8" t="s">
        <v>392</v>
      </c>
    </row>
    <row r="2805" ht="14.25" hidden="1" customHeight="1">
      <c r="A2805" s="8" t="s">
        <v>2613</v>
      </c>
      <c r="B2805" s="8" t="s">
        <v>3378</v>
      </c>
      <c r="D2805" s="121" t="str">
        <f>HYPERLINK("http://www.milwaukee.va.gov/services/CANTEEN.ASP")</f>
        <v>http://www.milwaukee.va.gov/services/CANTEEN.ASP</v>
      </c>
      <c r="E2805" s="8" t="s">
        <v>392</v>
      </c>
    </row>
    <row r="2806" ht="14.25" hidden="1" customHeight="1">
      <c r="A2806" s="8" t="s">
        <v>2613</v>
      </c>
      <c r="B2806" s="8" t="s">
        <v>2601</v>
      </c>
      <c r="D2806" s="121" t="str">
        <f>HYPERLINK("http://www.milwaukee.va.gov/services/GEMS1.ASP")</f>
        <v>http://www.milwaukee.va.gov/services/GEMS1.ASP</v>
      </c>
      <c r="E2806" s="8" t="s">
        <v>392</v>
      </c>
    </row>
    <row r="2807" ht="14.25" hidden="1" customHeight="1">
      <c r="A2807" s="8" t="s">
        <v>2613</v>
      </c>
      <c r="B2807" s="8" t="s">
        <v>3381</v>
      </c>
      <c r="D2807" s="121" t="str">
        <f>HYPERLINK("http://www.milwaukee.va.gov/services/HEALTHCARE_FOR_RE_ENTRY_VETERANS_PROGRAM.ASP")</f>
        <v>http://www.milwaukee.va.gov/services/HEALTHCARE_FOR_RE_ENTRY_VETERANS_PROGRAM.ASP</v>
      </c>
      <c r="E2807" s="8" t="s">
        <v>392</v>
      </c>
    </row>
    <row r="2808" ht="14.25" hidden="1" customHeight="1">
      <c r="A2808" s="8" t="s">
        <v>2613</v>
      </c>
      <c r="B2808" s="8" t="s">
        <v>3383</v>
      </c>
      <c r="D2808" s="121" t="str">
        <f>HYPERLINK("http://www.milwaukee.va.gov/services/HOMELESS_PREVENTION.ASP")</f>
        <v>http://www.milwaukee.va.gov/services/HOMELESS_PREVENTION.ASP</v>
      </c>
      <c r="E2808" s="8" t="s">
        <v>392</v>
      </c>
    </row>
    <row r="2809" ht="14.25" hidden="1" customHeight="1">
      <c r="A2809" s="8" t="s">
        <v>2613</v>
      </c>
      <c r="B2809" s="8" t="s">
        <v>3383</v>
      </c>
      <c r="D2809" s="121" t="str">
        <f>HYPERLINK("http://www.milwaukee.va.gov/services/HEALTHCARE_FOR_RE_ENTRY_VETERANS_PROGRAM.ASP")</f>
        <v>http://www.milwaukee.va.gov/services/HEALTHCARE_FOR_RE_ENTRY_VETERANS_PROGRAM.ASP</v>
      </c>
      <c r="E2809" s="8" t="s">
        <v>392</v>
      </c>
    </row>
    <row r="2810" ht="14.25" hidden="1" customHeight="1">
      <c r="A2810" s="8" t="s">
        <v>2613</v>
      </c>
      <c r="B2810" s="8" t="s">
        <v>2304</v>
      </c>
      <c r="D2810" s="121" t="str">
        <f>HYPERLINK("http://www.milwaukee.va.gov/services/HOPTEL.ASP")</f>
        <v>http://www.milwaukee.va.gov/services/HOPTEL.ASP</v>
      </c>
      <c r="E2810" s="8" t="s">
        <v>392</v>
      </c>
    </row>
    <row r="2811" ht="14.25" hidden="1" customHeight="1">
      <c r="A2811" s="8" t="s">
        <v>2613</v>
      </c>
      <c r="B2811" s="8" t="s">
        <v>3388</v>
      </c>
      <c r="D2811" s="121" t="str">
        <f>HYPERLINK("http://www.milwaukee.va.gov/services/IRAQ_AFGHANISTAN_VETERANS.ASP")</f>
        <v>http://www.milwaukee.va.gov/services/IRAQ_AFGHANISTAN_VETERANS.ASP</v>
      </c>
      <c r="E2811" s="8" t="s">
        <v>392</v>
      </c>
    </row>
    <row r="2812" ht="14.25" hidden="1" customHeight="1">
      <c r="A2812" s="8" t="s">
        <v>2613</v>
      </c>
      <c r="B2812" s="8" t="s">
        <v>3389</v>
      </c>
      <c r="D2812" s="121" t="str">
        <f t="shared" ref="D2812:D2813" si="20">HYPERLINK("http://www.milwaukee.va.gov/services/LOCATION_AND_EXTENSION_DIRECTORY.ASP")</f>
        <v>http://www.milwaukee.va.gov/services/LOCATION_AND_EXTENSION_DIRECTORY.ASP</v>
      </c>
      <c r="E2812" s="8" t="s">
        <v>392</v>
      </c>
    </row>
    <row r="2813" ht="14.25" hidden="1" customHeight="1">
      <c r="A2813" s="8" t="s">
        <v>2613</v>
      </c>
      <c r="B2813" s="8" t="s">
        <v>3391</v>
      </c>
      <c r="D2813" s="121" t="str">
        <f t="shared" si="20"/>
        <v>http://www.milwaukee.va.gov/services/LOCATION_AND_EXTENSION_DIRECTORY.ASP</v>
      </c>
      <c r="E2813" s="8" t="s">
        <v>595</v>
      </c>
    </row>
    <row r="2814" ht="14.25" hidden="1" customHeight="1">
      <c r="A2814" s="8" t="s">
        <v>2613</v>
      </c>
      <c r="B2814" s="8" t="s">
        <v>3392</v>
      </c>
      <c r="D2814" s="121" t="str">
        <f>HYPERLINK("http://www.milwaukee.va.gov/services/FISHER_HOUSE_WISCONSIN.ASP")</f>
        <v>http://www.milwaukee.va.gov/services/FISHER_HOUSE_WISCONSIN.ASP</v>
      </c>
      <c r="E2814" s="8" t="s">
        <v>595</v>
      </c>
    </row>
    <row r="2815" ht="14.25" hidden="1" customHeight="1">
      <c r="A2815" s="8" t="s">
        <v>2613</v>
      </c>
      <c r="B2815" s="8" t="s">
        <v>3393</v>
      </c>
      <c r="D2815" s="121" t="str">
        <f>HYPERLINK("http://www.milwaukee.va.gov/services/HOPTEL.ASP")</f>
        <v>http://www.milwaukee.va.gov/services/HOPTEL.ASP</v>
      </c>
      <c r="E2815" s="8" t="s">
        <v>595</v>
      </c>
    </row>
    <row r="2816" ht="14.25" hidden="1" customHeight="1">
      <c r="A2816" s="8" t="s">
        <v>2613</v>
      </c>
      <c r="B2816" s="8" t="s">
        <v>323</v>
      </c>
      <c r="D2816" s="121" t="str">
        <f>HYPERLINK("http://www.milwaukee.va.gov/services/MENTAL_HEALTH.ASP")</f>
        <v>http://www.milwaukee.va.gov/services/MENTAL_HEALTH.ASP</v>
      </c>
      <c r="E2816" s="8" t="s">
        <v>392</v>
      </c>
    </row>
    <row r="2817" ht="14.25" hidden="1" customHeight="1">
      <c r="A2817" s="8" t="s">
        <v>2613</v>
      </c>
      <c r="B2817" s="8" t="s">
        <v>3394</v>
      </c>
      <c r="D2817" s="121" t="str">
        <f>HYPERLINK("http://www.milwaukee.va.gov/services/MENTAL_HEALTH_ACCESS.ASP")</f>
        <v>http://www.milwaukee.va.gov/services/MENTAL_HEALTH_ACCESS.ASP</v>
      </c>
      <c r="E2817" s="8" t="s">
        <v>392</v>
      </c>
    </row>
    <row r="2818" ht="14.25" hidden="1" customHeight="1">
      <c r="A2818" s="8" t="s">
        <v>2613</v>
      </c>
      <c r="B2818" s="8" t="s">
        <v>3397</v>
      </c>
      <c r="D2818" s="121" t="str">
        <f>HYPERLINK("http://www.milwaukee.va.gov/services/OPERATION_HOPE.ASP")</f>
        <v>http://www.milwaukee.va.gov/services/OPERATION_HOPE.ASP</v>
      </c>
      <c r="E2818" s="8" t="s">
        <v>595</v>
      </c>
    </row>
    <row r="2819" ht="14.25" hidden="1" customHeight="1">
      <c r="A2819" s="8" t="s">
        <v>2613</v>
      </c>
      <c r="B2819" s="8" t="s">
        <v>3400</v>
      </c>
      <c r="D2819" s="121" t="str">
        <f>HYPERLINK("http://www.milwaukee.va.gov/services/MUSIC_THERAPY.ASP")</f>
        <v>http://www.milwaukee.va.gov/services/MUSIC_THERAPY.ASP</v>
      </c>
      <c r="E2819" s="8" t="s">
        <v>595</v>
      </c>
    </row>
    <row r="2820" ht="14.25" hidden="1" customHeight="1">
      <c r="A2820" s="8" t="s">
        <v>2613</v>
      </c>
      <c r="B2820" s="8" t="s">
        <v>3402</v>
      </c>
      <c r="D2820" s="121" t="str">
        <f>HYPERLINK("http://www.milwaukee.va.gov/services/ART_THERAPY.ASP")</f>
        <v>http://www.milwaukee.va.gov/services/ART_THERAPY.ASP</v>
      </c>
      <c r="E2820" s="8" t="s">
        <v>595</v>
      </c>
    </row>
    <row r="2821" ht="14.25" hidden="1" customHeight="1">
      <c r="A2821" s="8" t="s">
        <v>2613</v>
      </c>
      <c r="B2821" s="8" t="s">
        <v>3404</v>
      </c>
      <c r="D2821" s="121" t="str">
        <f>HYPERLINK("http://www.milwaukee.va.gov/services/MENTAL_HEALTH_AND_WELLNESS_GUIDE.ASP")</f>
        <v>http://www.milwaukee.va.gov/services/MENTAL_HEALTH_AND_WELLNESS_GUIDE.ASP</v>
      </c>
      <c r="E2821" s="8" t="s">
        <v>595</v>
      </c>
    </row>
    <row r="2822" ht="14.25" hidden="1" customHeight="1">
      <c r="A2822" s="8" t="s">
        <v>2613</v>
      </c>
      <c r="B2822" s="8" t="s">
        <v>3407</v>
      </c>
      <c r="D2822" s="121" t="str">
        <f>HYPERLINK("http://www.milwaukee.va.gov/services/MENTAL_HEALTH_SUMMIT.ASP")</f>
        <v>http://www.milwaukee.va.gov/services/MENTAL_HEALTH_SUMMIT.ASP</v>
      </c>
      <c r="E2822" s="8" t="s">
        <v>392</v>
      </c>
    </row>
    <row r="2823" ht="14.25" hidden="1" customHeight="1">
      <c r="A2823" s="8" t="s">
        <v>2613</v>
      </c>
      <c r="B2823" s="8" t="s">
        <v>3408</v>
      </c>
      <c r="D2823" s="121" t="str">
        <f>HYPERLINK("http://www.milwaukee.va.gov/services/MENTAL_HEALTH_URGENT_CARE_CLINIC.ASP")</f>
        <v>http://www.milwaukee.va.gov/services/MENTAL_HEALTH_URGENT_CARE_CLINIC.ASP</v>
      </c>
      <c r="E2823" s="8" t="s">
        <v>392</v>
      </c>
    </row>
    <row r="2824" ht="14.25" hidden="1" customHeight="1">
      <c r="A2824" s="8" t="s">
        <v>2613</v>
      </c>
      <c r="B2824" s="8" t="s">
        <v>3410</v>
      </c>
      <c r="D2824" s="121" t="str">
        <f>HYPERLINK("http://www.milwaukee.va.gov/services/MENTAL_HEALTH_AND_WELLNESS_GUIDE.ASP")</f>
        <v>http://www.milwaukee.va.gov/services/MENTAL_HEALTH_AND_WELLNESS_GUIDE.ASP</v>
      </c>
      <c r="E2824" s="8" t="s">
        <v>392</v>
      </c>
    </row>
    <row r="2825" ht="14.25" hidden="1" customHeight="1">
      <c r="A2825" s="8" t="s">
        <v>2613</v>
      </c>
      <c r="B2825" s="8" t="s">
        <v>324</v>
      </c>
      <c r="D2825" s="121" t="str">
        <f>HYPERLINK("http://www.milwaukee.va.gov/services/MILITARY_SEXUAL_ASSAULT.ASP")</f>
        <v>http://www.milwaukee.va.gov/services/MILITARY_SEXUAL_ASSAULT.ASP</v>
      </c>
      <c r="E2825" s="8" t="s">
        <v>392</v>
      </c>
    </row>
    <row r="2826" ht="14.25" hidden="1" customHeight="1">
      <c r="A2826" s="8" t="s">
        <v>2613</v>
      </c>
      <c r="B2826" s="8" t="s">
        <v>1266</v>
      </c>
      <c r="D2826" s="121" t="str">
        <f>HYPERLINK("http://www.milwaukee.va.gov/services/MUSIC_THERAPY.ASP")</f>
        <v>http://www.milwaukee.va.gov/services/MUSIC_THERAPY.ASP</v>
      </c>
      <c r="E2826" s="8" t="s">
        <v>392</v>
      </c>
    </row>
    <row r="2827" ht="14.25" hidden="1" customHeight="1">
      <c r="A2827" s="8" t="s">
        <v>2613</v>
      </c>
      <c r="B2827" s="8" t="s">
        <v>3415</v>
      </c>
      <c r="D2827" s="121" t="str">
        <f>HYPERLINK("http://www.milwaukee.va.gov/services/CREATIVE_ARTS_FESTIVAL.ASP")</f>
        <v>http://www.milwaukee.va.gov/services/CREATIVE_ARTS_FESTIVAL.ASP</v>
      </c>
      <c r="E2827" s="8" t="s">
        <v>595</v>
      </c>
    </row>
    <row r="2828" ht="14.25" hidden="1" customHeight="1">
      <c r="A2828" s="8" t="s">
        <v>2613</v>
      </c>
      <c r="B2828" s="8" t="s">
        <v>1510</v>
      </c>
      <c r="D2828" s="121" t="str">
        <f>HYPERLINK("http://www.milwaukee.va.gov/services/NEUROPSYCHOLOGY.ASP")</f>
        <v>http://www.milwaukee.va.gov/services/NEUROPSYCHOLOGY.ASP</v>
      </c>
      <c r="E2828" s="8" t="s">
        <v>392</v>
      </c>
    </row>
    <row r="2829" ht="14.25" hidden="1" customHeight="1">
      <c r="A2829" s="8" t="s">
        <v>2613</v>
      </c>
      <c r="B2829" s="8" t="s">
        <v>839</v>
      </c>
      <c r="D2829" s="121" t="str">
        <f>HYPERLINK("http://www.milwaukee.va.gov/services/CANCER_CARE.ASP")</f>
        <v>http://www.milwaukee.va.gov/services/CANCER_CARE.ASP</v>
      </c>
      <c r="E2829" s="8" t="s">
        <v>595</v>
      </c>
    </row>
    <row r="2830" ht="14.25" hidden="1" customHeight="1">
      <c r="A2830" s="8" t="s">
        <v>2613</v>
      </c>
      <c r="B2830" s="8" t="s">
        <v>3418</v>
      </c>
      <c r="D2830" s="121" t="str">
        <f>HYPERLINK("http://www.milwaukee.va.gov/services/OPERATION_HOPE.ASP")</f>
        <v>http://www.milwaukee.va.gov/services/OPERATION_HOPE.ASP</v>
      </c>
      <c r="E2830" s="8" t="s">
        <v>392</v>
      </c>
    </row>
    <row r="2831" ht="14.25" hidden="1" customHeight="1">
      <c r="A2831" s="8" t="s">
        <v>2613</v>
      </c>
      <c r="B2831" s="8" t="s">
        <v>3421</v>
      </c>
      <c r="D2831" s="121" t="str">
        <f t="shared" ref="D2831:D2832" si="21">HYPERLINK("http://www.milwaukee.va.gov/services/ADDICTION_PROGRAMS_AND_TREATMENT.ASP")</f>
        <v>http://www.milwaukee.va.gov/services/ADDICTION_PROGRAMS_AND_TREATMENT.ASP</v>
      </c>
      <c r="E2831" s="8" t="s">
        <v>595</v>
      </c>
    </row>
    <row r="2832" ht="14.25" hidden="1" customHeight="1">
      <c r="A2832" s="8" t="s">
        <v>2613</v>
      </c>
      <c r="B2832" s="8" t="s">
        <v>3422</v>
      </c>
      <c r="D2832" s="121" t="str">
        <f t="shared" si="21"/>
        <v>http://www.milwaukee.va.gov/services/ADDICTION_PROGRAMS_AND_TREATMENT.ASP</v>
      </c>
      <c r="E2832" s="8" t="s">
        <v>595</v>
      </c>
    </row>
    <row r="2833" ht="14.25" hidden="1" customHeight="1">
      <c r="A2833" s="8" t="s">
        <v>2613</v>
      </c>
      <c r="B2833" s="8" t="s">
        <v>2516</v>
      </c>
      <c r="D2833" s="121" t="str">
        <f>HYPERLINK("http://www.milwaukee.va.gov/services/PATIENT_ALIGNED_CARE_TEAMS_AND_MENTAL_HEALTH.ASP")</f>
        <v>http://www.milwaukee.va.gov/services/PATIENT_ALIGNED_CARE_TEAMS_AND_MENTAL_HEALTH.ASP</v>
      </c>
      <c r="E2833" s="8" t="s">
        <v>595</v>
      </c>
    </row>
    <row r="2834" ht="14.25" hidden="1" customHeight="1">
      <c r="A2834" s="8" t="s">
        <v>2613</v>
      </c>
      <c r="B2834" s="8" t="s">
        <v>1974</v>
      </c>
      <c r="D2834" s="121" t="str">
        <f>HYPERLINK("http://www.milwaukee.va.gov/services/POST_TRAUMATIC_STRESS.ASP")</f>
        <v>http://www.milwaukee.va.gov/services/POST_TRAUMATIC_STRESS.ASP</v>
      </c>
      <c r="E2834" s="8" t="s">
        <v>595</v>
      </c>
    </row>
    <row r="2835" ht="14.25" hidden="1" customHeight="1">
      <c r="A2835" s="8" t="s">
        <v>2613</v>
      </c>
      <c r="B2835" s="8" t="s">
        <v>651</v>
      </c>
      <c r="D2835" s="121" t="str">
        <f>HYPERLINK("http://www.milwaukee.va.gov/services/PALLIATIVE_CARE_HOME.ASP")</f>
        <v>http://www.milwaukee.va.gov/services/PALLIATIVE_CARE_HOME.ASP</v>
      </c>
      <c r="E2835" s="8" t="s">
        <v>392</v>
      </c>
    </row>
    <row r="2836" ht="14.25" hidden="1" customHeight="1">
      <c r="A2836" s="8" t="s">
        <v>2613</v>
      </c>
      <c r="B2836" s="8" t="s">
        <v>3427</v>
      </c>
      <c r="D2836" s="121" t="str">
        <f>HYPERLINK("http://www.milwaukee.va.gov/services/PATIENT_ALIGNED_CARE_TEAMS_AND_MENTAL_HEALTH.ASP")</f>
        <v>http://www.milwaukee.va.gov/services/PATIENT_ALIGNED_CARE_TEAMS_AND_MENTAL_HEALTH.ASP</v>
      </c>
      <c r="E2836" s="8" t="s">
        <v>392</v>
      </c>
    </row>
    <row r="2837" ht="14.25" hidden="1" customHeight="1">
      <c r="A2837" s="8" t="s">
        <v>2613</v>
      </c>
      <c r="B2837" s="8" t="s">
        <v>343</v>
      </c>
      <c r="D2837" s="121" t="str">
        <f>HYPERLINK("http://www.milwaukee.va.gov/services/PHARMACY.ASP")</f>
        <v>http://www.milwaukee.va.gov/services/PHARMACY.ASP</v>
      </c>
      <c r="E2837" s="8" t="s">
        <v>392</v>
      </c>
    </row>
    <row r="2838" ht="14.25" hidden="1" customHeight="1">
      <c r="A2838" s="8" t="s">
        <v>2613</v>
      </c>
      <c r="B2838" s="8" t="s">
        <v>3430</v>
      </c>
      <c r="D2838" s="121" t="str">
        <f>HYPERLINK("http://www.milwaukee.va.gov/services/LOCATION_AND_EXTENSION_DIRECTORY.ASP")</f>
        <v>http://www.milwaukee.va.gov/services/LOCATION_AND_EXTENSION_DIRECTORY.ASP</v>
      </c>
      <c r="E2838" s="8" t="s">
        <v>595</v>
      </c>
    </row>
    <row r="2839" ht="14.25" hidden="1" customHeight="1">
      <c r="A2839" s="8" t="s">
        <v>2613</v>
      </c>
      <c r="B2839" s="8" t="s">
        <v>3431</v>
      </c>
      <c r="D2839" s="121" t="str">
        <f t="shared" ref="D2839:D2840" si="22">HYPERLINK("http://www.milwaukee.va.gov/services/POST_TRAUMATIC_STRESS.ASP")</f>
        <v>http://www.milwaukee.va.gov/services/POST_TRAUMATIC_STRESS.ASP</v>
      </c>
      <c r="E2839" s="8" t="s">
        <v>392</v>
      </c>
    </row>
    <row r="2840" ht="14.25" hidden="1" customHeight="1">
      <c r="A2840" s="8" t="s">
        <v>2613</v>
      </c>
      <c r="B2840" s="8" t="s">
        <v>704</v>
      </c>
      <c r="D2840" s="121" t="str">
        <f t="shared" si="22"/>
        <v>http://www.milwaukee.va.gov/services/POST_TRAUMATIC_STRESS.ASP</v>
      </c>
      <c r="E2840" s="8" t="s">
        <v>595</v>
      </c>
    </row>
    <row r="2841" ht="14.25" hidden="1" customHeight="1">
      <c r="A2841" s="8" t="s">
        <v>2613</v>
      </c>
      <c r="B2841" s="8" t="s">
        <v>348</v>
      </c>
      <c r="D2841" s="121" t="str">
        <f>HYPERLINK("http://www.milwaukee.va.gov/services/PRIMARY_CARE.ASP")</f>
        <v>http://www.milwaukee.va.gov/services/PRIMARY_CARE.ASP</v>
      </c>
      <c r="E2841" s="8" t="s">
        <v>392</v>
      </c>
    </row>
    <row r="2842" ht="14.25" hidden="1" customHeight="1">
      <c r="A2842" s="8" t="s">
        <v>2613</v>
      </c>
      <c r="B2842" s="8" t="s">
        <v>3435</v>
      </c>
      <c r="D2842" s="121" t="str">
        <f>HYPERLINK("http://www.milwaukee.va.gov/services/EVIDENCED_BASED_PSYCHOTHERAPY.ASP")</f>
        <v>http://www.milwaukee.va.gov/services/EVIDENCED_BASED_PSYCHOTHERAPY.ASP</v>
      </c>
      <c r="E2842" s="8" t="s">
        <v>595</v>
      </c>
    </row>
    <row r="2843" ht="14.25" hidden="1" customHeight="1">
      <c r="A2843" s="8" t="s">
        <v>2613</v>
      </c>
      <c r="B2843" s="8" t="s">
        <v>3437</v>
      </c>
      <c r="D2843" s="121" t="str">
        <f>HYPERLINK("http://www.milwaukee.va.gov/services/CANCER_CARE.ASP")</f>
        <v>http://www.milwaukee.va.gov/services/CANCER_CARE.ASP</v>
      </c>
      <c r="E2843" s="8" t="s">
        <v>595</v>
      </c>
    </row>
    <row r="2844" ht="14.25" hidden="1" customHeight="1">
      <c r="A2844" s="8" t="s">
        <v>2613</v>
      </c>
      <c r="B2844" s="8" t="s">
        <v>3438</v>
      </c>
      <c r="D2844" s="121" t="str">
        <f>HYPERLINK("http://www.milwaukee.va.gov/services/RECOVERY_AND_PATIENT_CENTERED_CARE.ASP")</f>
        <v>http://www.milwaukee.va.gov/services/RECOVERY_AND_PATIENT_CENTERED_CARE.ASP</v>
      </c>
      <c r="E2844" s="8" t="s">
        <v>392</v>
      </c>
    </row>
    <row r="2845" ht="14.25" hidden="1" customHeight="1">
      <c r="A2845" s="8" t="s">
        <v>2613</v>
      </c>
      <c r="B2845" s="8" t="s">
        <v>505</v>
      </c>
      <c r="D2845" s="121" t="str">
        <f t="shared" ref="D2845:D2846" si="23">HYPERLINK("http://www.milwaukee.va.gov/services/ADAPTIVE-SPORTS.ASP")</f>
        <v>http://www.milwaukee.va.gov/services/ADAPTIVE-SPORTS.ASP</v>
      </c>
      <c r="E2845" s="8" t="s">
        <v>595</v>
      </c>
    </row>
    <row r="2846" ht="14.25" hidden="1" customHeight="1">
      <c r="A2846" s="8" t="s">
        <v>2613</v>
      </c>
      <c r="B2846" s="8" t="s">
        <v>3442</v>
      </c>
      <c r="D2846" s="121" t="str">
        <f t="shared" si="23"/>
        <v>http://www.milwaukee.va.gov/services/ADAPTIVE-SPORTS.ASP</v>
      </c>
      <c r="E2846" s="8" t="s">
        <v>392</v>
      </c>
    </row>
    <row r="2847" ht="14.25" hidden="1" customHeight="1">
      <c r="A2847" s="8" t="s">
        <v>2613</v>
      </c>
      <c r="B2847" s="8" t="s">
        <v>508</v>
      </c>
      <c r="D2847" s="121" t="str">
        <f>HYPERLINK("http://www.milwaukee.va.gov/services/RESEARCH.ASP")</f>
        <v>http://www.milwaukee.va.gov/services/RESEARCH.ASP</v>
      </c>
      <c r="E2847" s="8" t="s">
        <v>392</v>
      </c>
    </row>
    <row r="2848" ht="14.25" hidden="1" customHeight="1">
      <c r="A2848" s="8" t="s">
        <v>2613</v>
      </c>
      <c r="B2848" s="8" t="s">
        <v>3444</v>
      </c>
      <c r="D2848" s="121" t="str">
        <f>HYPERLINK("http://www.milwaukee.va.gov/services/IRAQ_AFGHANISTAN_VETERANS.ASP")</f>
        <v>http://www.milwaukee.va.gov/services/IRAQ_AFGHANISTAN_VETERANS.ASP</v>
      </c>
      <c r="E2848" s="8" t="s">
        <v>595</v>
      </c>
    </row>
    <row r="2849" ht="14.25" hidden="1" customHeight="1">
      <c r="A2849" s="8" t="s">
        <v>2613</v>
      </c>
      <c r="B2849" s="8" t="s">
        <v>360</v>
      </c>
      <c r="D2849" s="121" t="str">
        <f>HYPERLINK("http://www.milwaukee.va.gov/services/SOCIAL_WORK.ASP")</f>
        <v>http://www.milwaukee.va.gov/services/SOCIAL_WORK.ASP</v>
      </c>
      <c r="E2849" s="8" t="s">
        <v>392</v>
      </c>
    </row>
    <row r="2850" ht="14.25" hidden="1" customHeight="1">
      <c r="A2850" s="8" t="s">
        <v>2613</v>
      </c>
      <c r="B2850" s="8" t="s">
        <v>363</v>
      </c>
      <c r="D2850" s="121" t="str">
        <f>HYPERLINK("http://www.milwaukee.va.gov/services/SPECIALTY_CARE.ASP")</f>
        <v>http://www.milwaukee.va.gov/services/SPECIALTY_CARE.ASP</v>
      </c>
      <c r="E2850" s="8" t="s">
        <v>392</v>
      </c>
    </row>
    <row r="2851" ht="14.25" hidden="1" customHeight="1">
      <c r="A2851" s="8" t="s">
        <v>2613</v>
      </c>
      <c r="B2851" s="8" t="s">
        <v>364</v>
      </c>
      <c r="D2851" s="121" t="str">
        <f>HYPERLINK("http://www.milwaukee.va.gov/services/SPINAL_CORD_INJURY.ASP")</f>
        <v>http://www.milwaukee.va.gov/services/SPINAL_CORD_INJURY.ASP</v>
      </c>
      <c r="E2851" s="8" t="s">
        <v>392</v>
      </c>
    </row>
    <row r="2852" ht="14.25" hidden="1" customHeight="1">
      <c r="A2852" s="8" t="s">
        <v>2613</v>
      </c>
      <c r="B2852" s="8" t="s">
        <v>3455</v>
      </c>
      <c r="D2852" s="121" t="str">
        <f>HYPERLINK("http://www.milwaukee.va.gov/services/ADAPTIVE-SPORTS.ASP")</f>
        <v>http://www.milwaukee.va.gov/services/ADAPTIVE-SPORTS.ASP</v>
      </c>
      <c r="E2852" s="8" t="s">
        <v>595</v>
      </c>
    </row>
    <row r="2853" ht="14.25" hidden="1" customHeight="1">
      <c r="A2853" s="8" t="s">
        <v>2613</v>
      </c>
      <c r="B2853" s="8" t="s">
        <v>1232</v>
      </c>
      <c r="D2853" s="121" t="str">
        <f>HYPERLINK("http://www.milwaukee.va.gov/services/SUICIDE_PREVENTION.ASP")</f>
        <v>http://www.milwaukee.va.gov/services/SUICIDE_PREVENTION.ASP</v>
      </c>
      <c r="E2853" s="8" t="s">
        <v>392</v>
      </c>
    </row>
    <row r="2854" ht="14.25" hidden="1" customHeight="1">
      <c r="A2854" s="8" t="s">
        <v>2613</v>
      </c>
      <c r="B2854" s="8" t="s">
        <v>3462</v>
      </c>
      <c r="D2854" s="121" t="str">
        <f>HYPERLINK("http://www.milwaukee.va.gov/services/COMPENSATED_WORK_THERAPY_WORK_PROGRAM.ASP")</f>
        <v>http://www.milwaukee.va.gov/services/COMPENSATED_WORK_THERAPY_WORK_PROGRAM.ASP</v>
      </c>
      <c r="E2854" s="8" t="s">
        <v>595</v>
      </c>
    </row>
    <row r="2855" ht="14.25" hidden="1" customHeight="1">
      <c r="A2855" s="8" t="s">
        <v>2613</v>
      </c>
      <c r="B2855" s="8" t="s">
        <v>3465</v>
      </c>
      <c r="D2855" s="121" t="str">
        <f>HYPERLINK("http://www.milwaukee.va.gov/services/ADAPTIVE-SPORTS.ASP")</f>
        <v>http://www.milwaukee.va.gov/services/ADAPTIVE-SPORTS.ASP</v>
      </c>
      <c r="E2855" s="8" t="s">
        <v>595</v>
      </c>
    </row>
    <row r="2856" ht="14.25" hidden="1" customHeight="1">
      <c r="A2856" s="8" t="s">
        <v>2613</v>
      </c>
      <c r="B2856" s="8" t="s">
        <v>516</v>
      </c>
      <c r="D2856" s="121" t="str">
        <f>HYPERLINK("http://www.milwaukee.va.gov/services/HEALTHCARE_FOR_RE_ENTRY_VETERANS_PROGRAM.ASP")</f>
        <v>http://www.milwaukee.va.gov/services/HEALTHCARE_FOR_RE_ENTRY_VETERANS_PROGRAM.ASP</v>
      </c>
      <c r="E2856" s="8" t="s">
        <v>595</v>
      </c>
    </row>
    <row r="2857" ht="14.25" hidden="1" customHeight="1">
      <c r="A2857" s="8" t="s">
        <v>2613</v>
      </c>
      <c r="B2857" s="8" t="s">
        <v>3471</v>
      </c>
      <c r="D2857" s="121" t="str">
        <f>HYPERLINK("http://www.milwaukee.va.gov/services/OPERATION_HOPE.ASP")</f>
        <v>http://www.milwaukee.va.gov/services/OPERATION_HOPE.ASP</v>
      </c>
      <c r="E2857" s="8" t="s">
        <v>595</v>
      </c>
    </row>
    <row r="2858" ht="14.25" hidden="1" customHeight="1">
      <c r="A2858" s="8" t="s">
        <v>2613</v>
      </c>
      <c r="B2858" s="8" t="s">
        <v>3472</v>
      </c>
      <c r="D2858" s="121" t="str">
        <f>HYPERLINK("http://www.milwaukee.va.gov/services/ADULT_DAY_HEALTH_CARE.ASP")</f>
        <v>http://www.milwaukee.va.gov/services/ADULT_DAY_HEALTH_CARE.ASP</v>
      </c>
      <c r="E2858" s="8" t="s">
        <v>595</v>
      </c>
    </row>
    <row r="2859" ht="14.25" hidden="1" customHeight="1">
      <c r="A2859" s="8" t="s">
        <v>2613</v>
      </c>
      <c r="B2859" s="8" t="s">
        <v>3474</v>
      </c>
      <c r="D2859" s="121" t="str">
        <f>HYPERLINK("http://www.milwaukee.va.gov/services/YOGA_AND_RELAXATION.ASP")</f>
        <v>http://www.milwaukee.va.gov/services/YOGA_AND_RELAXATION.ASP</v>
      </c>
      <c r="E2859" s="8" t="s">
        <v>595</v>
      </c>
    </row>
    <row r="2860" ht="14.25" hidden="1" customHeight="1">
      <c r="A2860" s="8" t="s">
        <v>2613</v>
      </c>
      <c r="B2860" s="8" t="s">
        <v>973</v>
      </c>
      <c r="D2860" s="121" t="str">
        <f>HYPERLINK("http://www.milwaukee.va.gov/services/WHOLE_HEALTH.ASP")</f>
        <v>http://www.milwaukee.va.gov/services/WHOLE_HEALTH.ASP</v>
      </c>
      <c r="E2860" s="8" t="s">
        <v>392</v>
      </c>
    </row>
    <row r="2861" ht="14.25" hidden="1" customHeight="1">
      <c r="A2861" s="8" t="s">
        <v>2613</v>
      </c>
      <c r="B2861" s="8" t="s">
        <v>379</v>
      </c>
      <c r="D2861" s="121" t="str">
        <f>HYPERLINK("http://www.milwaukee.va.gov/services/WOMEN_VETERANS.ASP")</f>
        <v>http://www.milwaukee.va.gov/services/WOMEN_VETERANS.ASP</v>
      </c>
      <c r="E2861" s="8" t="s">
        <v>392</v>
      </c>
    </row>
    <row r="2862" ht="14.25" hidden="1" customHeight="1">
      <c r="A2862" s="8" t="s">
        <v>2613</v>
      </c>
      <c r="B2862" s="8" t="s">
        <v>3475</v>
      </c>
      <c r="D2862" s="121" t="str">
        <f>HYPERLINK("http://www.milwaukee.va.gov/services/YOGA_AND_RELAXATION.ASP")</f>
        <v>http://www.milwaukee.va.gov/services/YOGA_AND_RELAXATION.ASP</v>
      </c>
      <c r="E2862" s="8" t="s">
        <v>392</v>
      </c>
    </row>
    <row r="2863" ht="14.25" hidden="1" customHeight="1">
      <c r="A2863" s="8" t="s">
        <v>2615</v>
      </c>
      <c r="B2863" s="8" t="s">
        <v>3476</v>
      </c>
      <c r="D2863" s="121" t="str">
        <f>HYPERLINK("http://www.minneapolis.va.gov/services/ALS.ASP")</f>
        <v>http://www.minneapolis.va.gov/services/ALS.ASP</v>
      </c>
      <c r="E2863" s="8" t="s">
        <v>392</v>
      </c>
    </row>
    <row r="2864" ht="14.25" hidden="1" customHeight="1">
      <c r="A2864" s="8" t="s">
        <v>2615</v>
      </c>
      <c r="B2864" s="8" t="s">
        <v>1116</v>
      </c>
      <c r="D2864" s="121" t="str">
        <f>HYPERLINK("http://www.minneapolis.va.gov/services/RECREATION_THERAPY.ASP")</f>
        <v>http://www.minneapolis.va.gov/services/RECREATION_THERAPY.ASP</v>
      </c>
      <c r="E2864" s="8" t="s">
        <v>595</v>
      </c>
    </row>
    <row r="2865" ht="14.25" hidden="1" customHeight="1">
      <c r="A2865" s="8" t="s">
        <v>2615</v>
      </c>
      <c r="B2865" s="8" t="s">
        <v>3478</v>
      </c>
      <c r="D2865" s="121" t="str">
        <f>HYPERLINK("http://www.minneapolis.va.gov/services/ARS.ASP")</f>
        <v>http://www.minneapolis.va.gov/services/ARS.ASP</v>
      </c>
      <c r="E2865" s="8" t="s">
        <v>392</v>
      </c>
    </row>
    <row r="2866" ht="14.25" hidden="1" customHeight="1">
      <c r="A2866" s="8" t="s">
        <v>2615</v>
      </c>
      <c r="B2866" s="8" t="s">
        <v>3480</v>
      </c>
      <c r="D2866" s="121" t="str">
        <f>HYPERLINK("http://www.minneapolis.va.gov/services/ALS.ASP")</f>
        <v>http://www.minneapolis.va.gov/services/ALS.ASP</v>
      </c>
      <c r="E2866" s="8" t="s">
        <v>595</v>
      </c>
    </row>
    <row r="2867" ht="14.25" hidden="1" customHeight="1">
      <c r="A2867" s="8" t="s">
        <v>2615</v>
      </c>
      <c r="B2867" s="8" t="s">
        <v>3358</v>
      </c>
      <c r="D2867" s="121" t="str">
        <f>HYPERLINK("http://www.minneapolis.va.gov/services/RECREATION_THERAPY.ASP")</f>
        <v>http://www.minneapolis.va.gov/services/RECREATION_THERAPY.ASP</v>
      </c>
      <c r="E2867" s="8" t="s">
        <v>595</v>
      </c>
    </row>
    <row r="2868" ht="14.25" hidden="1" customHeight="1">
      <c r="A2868" s="8" t="s">
        <v>2615</v>
      </c>
      <c r="B2868" s="8" t="s">
        <v>3095</v>
      </c>
      <c r="D2868" s="121" t="str">
        <f>HYPERLINK("http://www.minneapolis.va.gov/services/ASSISTIVE_TECH.ASP")</f>
        <v>http://www.minneapolis.va.gov/services/ASSISTIVE_TECH.ASP</v>
      </c>
      <c r="E2868" s="8" t="s">
        <v>392</v>
      </c>
    </row>
    <row r="2869" ht="14.25" hidden="1" customHeight="1">
      <c r="A2869" s="8" t="s">
        <v>2615</v>
      </c>
      <c r="B2869" s="8" t="s">
        <v>1925</v>
      </c>
      <c r="D2869" s="121" t="str">
        <f>HYPERLINK("http://www.minneapolis.va.gov/services/BLINDREHAB.ASP")</f>
        <v>http://www.minneapolis.va.gov/services/BLINDREHAB.ASP</v>
      </c>
      <c r="E2869" s="8" t="s">
        <v>392</v>
      </c>
    </row>
    <row r="2870" ht="14.25" hidden="1" customHeight="1">
      <c r="A2870" s="8" t="s">
        <v>2615</v>
      </c>
      <c r="B2870" s="8" t="s">
        <v>3484</v>
      </c>
      <c r="D2870" s="121" t="str">
        <f>HYPERLINK("http://www.minneapolis.va.gov/services/BRAIN_INJURY.ASP")</f>
        <v>http://www.minneapolis.va.gov/services/BRAIN_INJURY.ASP</v>
      </c>
      <c r="E2870" s="8" t="s">
        <v>392</v>
      </c>
    </row>
    <row r="2871" ht="14.25" hidden="1" customHeight="1">
      <c r="A2871" s="8" t="s">
        <v>2615</v>
      </c>
      <c r="B2871" s="8" t="s">
        <v>413</v>
      </c>
      <c r="D2871" s="121" t="str">
        <f>HYPERLINK("http://www.minneapolis.va.gov/services/HEMATOLOGY-ONCOLOGY.ASP")</f>
        <v>http://www.minneapolis.va.gov/services/HEMATOLOGY-ONCOLOGY.ASP</v>
      </c>
      <c r="E2871" s="8" t="s">
        <v>595</v>
      </c>
    </row>
    <row r="2872" ht="14.25" hidden="1" customHeight="1">
      <c r="A2872" s="8" t="s">
        <v>2615</v>
      </c>
      <c r="B2872" s="8" t="s">
        <v>300</v>
      </c>
      <c r="D2872" s="121" t="str">
        <f>HYPERLINK("http://www.minneapolis.va.gov/services/CAREGIVER.ASP")</f>
        <v>http://www.minneapolis.va.gov/services/CAREGIVER.ASP</v>
      </c>
      <c r="E2872" s="8" t="s">
        <v>392</v>
      </c>
    </row>
    <row r="2873" ht="14.25" hidden="1" customHeight="1">
      <c r="A2873" s="8" t="s">
        <v>2615</v>
      </c>
      <c r="B2873" s="8" t="s">
        <v>478</v>
      </c>
      <c r="D2873" s="121" t="str">
        <f>HYPERLINK("http://www.minneapolis.va.gov/services/CHAPLAIN.ASP")</f>
        <v>http://www.minneapolis.va.gov/services/CHAPLAIN.ASP</v>
      </c>
      <c r="E2873" s="8" t="s">
        <v>392</v>
      </c>
    </row>
    <row r="2874" ht="14.25" hidden="1" customHeight="1">
      <c r="A2874" s="8" t="s">
        <v>2615</v>
      </c>
      <c r="B2874" s="8" t="s">
        <v>3490</v>
      </c>
      <c r="D2874" s="121" t="str">
        <f>HYPERLINK("http://www.minneapolis.va.gov/services/CHRONIC_PAIN.ASP")</f>
        <v>http://www.minneapolis.va.gov/services/CHRONIC_PAIN.ASP</v>
      </c>
      <c r="E2874" s="8" t="s">
        <v>392</v>
      </c>
    </row>
    <row r="2875" ht="14.25" hidden="1" customHeight="1">
      <c r="A2875" s="8" t="s">
        <v>2615</v>
      </c>
      <c r="B2875" s="8" t="s">
        <v>2251</v>
      </c>
      <c r="D2875" s="121" t="str">
        <f>HYPERLINK("http://www.minneapolis.va.gov/services/TELEHEALTH.ASP")</f>
        <v>http://www.minneapolis.va.gov/services/TELEHEALTH.ASP</v>
      </c>
      <c r="E2875" s="8" t="s">
        <v>595</v>
      </c>
    </row>
    <row r="2876" ht="14.25" hidden="1" customHeight="1">
      <c r="A2876" s="8" t="s">
        <v>2615</v>
      </c>
      <c r="B2876" s="8" t="s">
        <v>482</v>
      </c>
      <c r="D2876" s="121" t="str">
        <f>HYPERLINK("http://www.minneapolis.va.gov/services/CLC.ASP")</f>
        <v>http://www.minneapolis.va.gov/services/CLC.ASP</v>
      </c>
      <c r="E2876" s="8" t="s">
        <v>392</v>
      </c>
    </row>
    <row r="2877" ht="14.25" hidden="1" customHeight="1">
      <c r="A2877" s="8" t="s">
        <v>2615</v>
      </c>
      <c r="B2877" s="8" t="s">
        <v>1260</v>
      </c>
      <c r="D2877" s="121" t="str">
        <f>HYPERLINK("http://www.minneapolis.va.gov/services/CRRC.ASP")</f>
        <v>http://www.minneapolis.va.gov/services/CRRC.ASP</v>
      </c>
      <c r="E2877" s="8" t="s">
        <v>392</v>
      </c>
    </row>
    <row r="2878" ht="14.25" hidden="1" customHeight="1">
      <c r="A2878" s="8" t="s">
        <v>2615</v>
      </c>
      <c r="B2878" s="8" t="s">
        <v>3497</v>
      </c>
      <c r="D2878" s="121" t="str">
        <f>HYPERLINK("http://www.minneapolis.va.gov/services/CPC.ASP")</f>
        <v>http://www.minneapolis.va.gov/services/CPC.ASP</v>
      </c>
      <c r="E2878" s="8" t="s">
        <v>392</v>
      </c>
    </row>
    <row r="2879" ht="14.25" hidden="1" customHeight="1">
      <c r="A2879" s="8" t="s">
        <v>2615</v>
      </c>
      <c r="B2879" s="8" t="s">
        <v>371</v>
      </c>
      <c r="D2879" s="121" t="str">
        <f>HYPERLINK("http://www.minneapolis.va.gov/services/TELEHEALTH.ASP")</f>
        <v>http://www.minneapolis.va.gov/services/TELEHEALTH.ASP</v>
      </c>
      <c r="E2879" s="8" t="s">
        <v>595</v>
      </c>
    </row>
    <row r="2880" ht="14.25" hidden="1" customHeight="1">
      <c r="A2880" s="8" t="s">
        <v>2615</v>
      </c>
      <c r="B2880" s="8" t="s">
        <v>513</v>
      </c>
      <c r="D2880" s="121" t="str">
        <f>HYPERLINK("http://www.minneapolis.va.gov/services/DENTAL.ASP")</f>
        <v>http://www.minneapolis.va.gov/services/DENTAL.ASP</v>
      </c>
      <c r="E2880" s="8" t="s">
        <v>392</v>
      </c>
    </row>
    <row r="2881" ht="14.25" hidden="1" customHeight="1">
      <c r="A2881" s="8" t="s">
        <v>2615</v>
      </c>
      <c r="B2881" s="8" t="s">
        <v>1132</v>
      </c>
      <c r="D2881" s="121" t="str">
        <f t="shared" ref="D2881:D2882" si="24">HYPERLINK("http://www.minneapolis.va.gov/services/MENTAL_HEALTH_SERVICES.ASP")</f>
        <v>http://www.minneapolis.va.gov/services/MENTAL_HEALTH_SERVICES.ASP</v>
      </c>
      <c r="E2881" s="8" t="s">
        <v>595</v>
      </c>
    </row>
    <row r="2882" ht="14.25" hidden="1" customHeight="1">
      <c r="A2882" s="8" t="s">
        <v>2615</v>
      </c>
      <c r="B2882" s="8" t="s">
        <v>3501</v>
      </c>
      <c r="D2882" s="121" t="str">
        <f t="shared" si="24"/>
        <v>http://www.minneapolis.va.gov/services/MENTAL_HEALTH_SERVICES.ASP</v>
      </c>
      <c r="E2882" s="8" t="s">
        <v>595</v>
      </c>
    </row>
    <row r="2883" ht="14.25" hidden="1" customHeight="1">
      <c r="A2883" s="8" t="s">
        <v>2615</v>
      </c>
      <c r="B2883" s="8" t="s">
        <v>3502</v>
      </c>
      <c r="D2883" s="121" t="str">
        <f>HYPERLINK("http://www.minneapolis.va.gov/services/DENTAL.ASP")</f>
        <v>http://www.minneapolis.va.gov/services/DENTAL.ASP</v>
      </c>
      <c r="E2883" s="8" t="s">
        <v>595</v>
      </c>
    </row>
    <row r="2884" ht="14.25" hidden="1" customHeight="1">
      <c r="A2884" s="8" t="s">
        <v>2615</v>
      </c>
      <c r="B2884" s="8" t="s">
        <v>309</v>
      </c>
      <c r="D2884" s="121" t="str">
        <f>HYPERLINK("http://www.minneapolis.va.gov/services/EXTENDED-CARE-REHABILITATION.ASP")</f>
        <v>http://www.minneapolis.va.gov/services/EXTENDED-CARE-REHABILITATION.ASP</v>
      </c>
      <c r="E2884" s="8" t="s">
        <v>392</v>
      </c>
    </row>
    <row r="2885" ht="14.25" hidden="1" customHeight="1">
      <c r="A2885" s="8" t="s">
        <v>2615</v>
      </c>
      <c r="B2885" s="8" t="s">
        <v>3506</v>
      </c>
      <c r="D2885" s="121" t="str">
        <f>HYPERLINK("http://www.minneapolis.va.gov/services/CAREGIVER.ASP")</f>
        <v>http://www.minneapolis.va.gov/services/CAREGIVER.ASP</v>
      </c>
      <c r="E2885" s="8" t="s">
        <v>595</v>
      </c>
    </row>
    <row r="2886" ht="14.25" hidden="1" customHeight="1">
      <c r="A2886" s="8" t="s">
        <v>2615</v>
      </c>
      <c r="B2886" s="8" t="s">
        <v>3509</v>
      </c>
      <c r="D2886" s="121" t="str">
        <f>HYPERLINK("http://www.minneapolis.va.gov/services/MEDICAL_FOSTER_HOME.ASP")</f>
        <v>http://www.minneapolis.va.gov/services/MEDICAL_FOSTER_HOME.ASP</v>
      </c>
      <c r="E2886" s="8" t="s">
        <v>595</v>
      </c>
    </row>
    <row r="2887" ht="14.25" hidden="1" customHeight="1">
      <c r="A2887" s="8" t="s">
        <v>2615</v>
      </c>
      <c r="B2887" s="8" t="s">
        <v>3512</v>
      </c>
      <c r="D2887" s="121" t="str">
        <f>HYPERLINK("http://www.minneapolis.va.gov/services/GI.ASP")</f>
        <v>http://www.minneapolis.va.gov/services/GI.ASP</v>
      </c>
      <c r="E2887" s="8" t="s">
        <v>595</v>
      </c>
    </row>
    <row r="2888" ht="14.25" hidden="1" customHeight="1">
      <c r="A2888" s="8" t="s">
        <v>2615</v>
      </c>
      <c r="B2888" s="8" t="s">
        <v>3515</v>
      </c>
      <c r="D2888" s="121" t="str">
        <f>HYPERLINK("http://www.minneapolis.va.gov/services/GRECC.ASP")</f>
        <v>http://www.minneapolis.va.gov/services/GRECC.ASP</v>
      </c>
      <c r="E2888" s="8" t="s">
        <v>595</v>
      </c>
    </row>
    <row r="2889" ht="14.25" hidden="1" customHeight="1">
      <c r="A2889" s="8" t="s">
        <v>2615</v>
      </c>
      <c r="B2889" s="8" t="s">
        <v>1783</v>
      </c>
      <c r="D2889" s="121" t="str">
        <f>HYPERLINK("http://www.minneapolis.va.gov/services/GI.ASP")</f>
        <v>http://www.minneapolis.va.gov/services/GI.ASP</v>
      </c>
      <c r="E2889" s="8" t="s">
        <v>392</v>
      </c>
    </row>
    <row r="2890" ht="14.25" hidden="1" customHeight="1">
      <c r="A2890" s="8" t="s">
        <v>2615</v>
      </c>
      <c r="B2890" s="8" t="s">
        <v>3521</v>
      </c>
      <c r="D2890" s="121" t="str">
        <f>HYPERLINK("http://www.minneapolis.va.gov/services/GRECC.ASP")</f>
        <v>http://www.minneapolis.va.gov/services/GRECC.ASP</v>
      </c>
      <c r="E2890" s="8" t="s">
        <v>392</v>
      </c>
    </row>
    <row r="2891" ht="14.25" hidden="1" customHeight="1">
      <c r="A2891" s="8" t="s">
        <v>2615</v>
      </c>
      <c r="B2891" s="8" t="s">
        <v>178</v>
      </c>
      <c r="D2891" s="121" t="str">
        <f>HYPERLINK("http://www.minneapolis.va.gov/services/MRTC.ASP")</f>
        <v>http://www.minneapolis.va.gov/services/MRTC.ASP</v>
      </c>
      <c r="E2891" s="8" t="s">
        <v>392</v>
      </c>
    </row>
    <row r="2892" ht="14.25" hidden="1" customHeight="1">
      <c r="A2892" s="8" t="s">
        <v>2615</v>
      </c>
      <c r="B2892" s="8" t="s">
        <v>3525</v>
      </c>
      <c r="D2892" s="121" t="str">
        <f>HYPERLINK("http://www.minneapolis.va.gov/services/HEALTH_AND_WELLNESS.ASP")</f>
        <v>http://www.minneapolis.va.gov/services/HEALTH_AND_WELLNESS.ASP</v>
      </c>
      <c r="E2892" s="8" t="s">
        <v>392</v>
      </c>
    </row>
    <row r="2893" ht="14.25" hidden="1" customHeight="1">
      <c r="A2893" s="8" t="s">
        <v>2615</v>
      </c>
      <c r="B2893" s="8" t="s">
        <v>3528</v>
      </c>
      <c r="D2893" s="121" t="str">
        <f>HYPERLINK("http://www.minneapolis.va.gov/services/HEMATOLOGY-ONCOLOGY.ASP")</f>
        <v>http://www.minneapolis.va.gov/services/HEMATOLOGY-ONCOLOGY.ASP</v>
      </c>
      <c r="E2893" s="8" t="s">
        <v>392</v>
      </c>
    </row>
    <row r="2894" ht="14.25" hidden="1" customHeight="1">
      <c r="A2894" s="8" t="s">
        <v>2615</v>
      </c>
      <c r="B2894" s="8" t="s">
        <v>312</v>
      </c>
      <c r="D2894" s="121" t="str">
        <f>HYPERLINK("http://www.minneapolis.va.gov/services/HOMELESS_VETERANS.ASP")</f>
        <v>http://www.minneapolis.va.gov/services/HOMELESS_VETERANS.ASP</v>
      </c>
      <c r="E2894" s="8" t="s">
        <v>392</v>
      </c>
    </row>
    <row r="2895" ht="14.25" hidden="1" customHeight="1">
      <c r="A2895" s="8" t="s">
        <v>2615</v>
      </c>
      <c r="B2895" s="8" t="s">
        <v>437</v>
      </c>
      <c r="D2895" s="121" t="str">
        <f>HYPERLINK("http://www.minneapolis.va.gov/services/HOSPICE_PALLIATIVE.ASP")</f>
        <v>http://www.minneapolis.va.gov/services/HOSPICE_PALLIATIVE.ASP</v>
      </c>
      <c r="E2895" s="8" t="s">
        <v>392</v>
      </c>
    </row>
    <row r="2896" ht="14.25" hidden="1" customHeight="1">
      <c r="A2896" s="8" t="s">
        <v>2615</v>
      </c>
      <c r="B2896" s="8" t="s">
        <v>841</v>
      </c>
      <c r="D2896" s="121" t="str">
        <f>HYPERLINK("http://www.minneapolis.va.gov/services/RADIOLOGY.ASP")</f>
        <v>http://www.minneapolis.va.gov/services/RADIOLOGY.ASP</v>
      </c>
      <c r="E2896" s="8" t="s">
        <v>595</v>
      </c>
    </row>
    <row r="2897" ht="14.25" hidden="1" customHeight="1">
      <c r="A2897" s="8" t="s">
        <v>2615</v>
      </c>
      <c r="B2897" s="8" t="s">
        <v>3532</v>
      </c>
      <c r="D2897" s="121" t="str">
        <f>HYPERLINK("http://www.minneapolis.va.gov/services/INTEGRATIVE_HEALTH.ASP")</f>
        <v>http://www.minneapolis.va.gov/services/INTEGRATIVE_HEALTH.ASP</v>
      </c>
      <c r="E2897" s="8" t="s">
        <v>392</v>
      </c>
    </row>
    <row r="2898" ht="14.25" hidden="1" customHeight="1">
      <c r="A2898" s="8" t="s">
        <v>2615</v>
      </c>
      <c r="B2898" s="8" t="s">
        <v>1792</v>
      </c>
      <c r="D2898" s="121" t="str">
        <f>HYPERLINK("http://www.minneapolis.va.gov/services/PRIMARY.ASP")</f>
        <v>http://www.minneapolis.va.gov/services/PRIMARY.ASP</v>
      </c>
      <c r="E2898" s="8" t="s">
        <v>595</v>
      </c>
    </row>
    <row r="2899" ht="14.25" hidden="1" customHeight="1">
      <c r="A2899" s="8" t="s">
        <v>2615</v>
      </c>
      <c r="B2899" s="8" t="s">
        <v>1968</v>
      </c>
      <c r="D2899" s="121" t="str">
        <f>HYPERLINK("http://www.minneapolis.va.gov/services/LGBT.ASP")</f>
        <v>http://www.minneapolis.va.gov/services/LGBT.ASP</v>
      </c>
      <c r="E2899" s="8" t="s">
        <v>392</v>
      </c>
    </row>
    <row r="2900" ht="14.25" hidden="1" customHeight="1">
      <c r="A2900" s="8" t="s">
        <v>2615</v>
      </c>
      <c r="B2900" s="8" t="s">
        <v>3534</v>
      </c>
      <c r="D2900" s="121" t="str">
        <f>HYPERLINK("http://www.minneapolis.va.gov/services/LIMB_LOSS.ASP")</f>
        <v>http://www.minneapolis.va.gov/services/LIMB_LOSS.ASP</v>
      </c>
      <c r="E2900" s="8" t="s">
        <v>392</v>
      </c>
    </row>
    <row r="2901" ht="14.25" hidden="1" customHeight="1">
      <c r="A2901" s="8" t="s">
        <v>2615</v>
      </c>
      <c r="B2901" s="8" t="s">
        <v>2795</v>
      </c>
      <c r="D2901" s="121" t="str">
        <f>HYPERLINK("http://www.minneapolis.va.gov/services/GI.ASP")</f>
        <v>http://www.minneapolis.va.gov/services/GI.ASP</v>
      </c>
      <c r="E2901" s="8" t="s">
        <v>595</v>
      </c>
    </row>
    <row r="2902" ht="14.25" hidden="1" customHeight="1">
      <c r="A2902" s="8" t="s">
        <v>2615</v>
      </c>
      <c r="B2902" s="8" t="s">
        <v>3539</v>
      </c>
      <c r="D2902" s="121" t="str">
        <f>HYPERLINK("http://www.minneapolis.va.gov/services/ALS.ASP")</f>
        <v>http://www.minneapolis.va.gov/services/ALS.ASP</v>
      </c>
      <c r="E2902" s="8" t="s">
        <v>595</v>
      </c>
    </row>
    <row r="2903" ht="14.25" hidden="1" customHeight="1">
      <c r="A2903" s="8" t="s">
        <v>2615</v>
      </c>
      <c r="B2903" s="8" t="s">
        <v>3540</v>
      </c>
      <c r="D2903" s="121" t="str">
        <f>HYPERLINK("http://www.minneapolis.va.gov/services/MADE.ASP")</f>
        <v>http://www.minneapolis.va.gov/services/MADE.ASP</v>
      </c>
      <c r="E2903" s="8" t="s">
        <v>595</v>
      </c>
    </row>
    <row r="2904" ht="14.25" hidden="1" customHeight="1">
      <c r="A2904" s="8" t="s">
        <v>2615</v>
      </c>
      <c r="B2904" s="8" t="s">
        <v>3542</v>
      </c>
      <c r="D2904" s="121" t="str">
        <f>HYPERLINK("http://www.minneapolis.va.gov/services/MOVE.ASP")</f>
        <v>http://www.minneapolis.va.gov/services/MOVE.ASP</v>
      </c>
      <c r="E2904" s="8" t="s">
        <v>392</v>
      </c>
    </row>
    <row r="2905" ht="14.25" hidden="1" customHeight="1">
      <c r="A2905" s="8" t="s">
        <v>2615</v>
      </c>
      <c r="B2905" s="8" t="s">
        <v>1016</v>
      </c>
      <c r="D2905" s="121" t="str">
        <f>HYPERLINK("http://www.minneapolis.va.gov/services/MEDICAL_FOSTER_HOME.ASP")</f>
        <v>http://www.minneapolis.va.gov/services/MEDICAL_FOSTER_HOME.ASP</v>
      </c>
      <c r="E2905" s="8" t="s">
        <v>392</v>
      </c>
    </row>
    <row r="2906" ht="14.25" hidden="1" customHeight="1">
      <c r="A2906" s="8" t="s">
        <v>2615</v>
      </c>
      <c r="B2906" s="8" t="s">
        <v>323</v>
      </c>
      <c r="D2906" s="121" t="str">
        <f t="shared" ref="D2906:D2907" si="25">HYPERLINK("http://www.minneapolis.va.gov/services/MENTAL_HEALTH_SERVICES.ASP")</f>
        <v>http://www.minneapolis.va.gov/services/MENTAL_HEALTH_SERVICES.ASP</v>
      </c>
      <c r="E2906" s="8" t="s">
        <v>392</v>
      </c>
    </row>
    <row r="2907" ht="14.25" hidden="1" customHeight="1">
      <c r="A2907" s="8" t="s">
        <v>2615</v>
      </c>
      <c r="B2907" s="8" t="s">
        <v>324</v>
      </c>
      <c r="D2907" s="121" t="str">
        <f t="shared" si="25"/>
        <v>http://www.minneapolis.va.gov/services/MENTAL_HEALTH_SERVICES.ASP</v>
      </c>
      <c r="E2907" s="8" t="s">
        <v>595</v>
      </c>
    </row>
    <row r="2908" ht="14.25" hidden="1" customHeight="1">
      <c r="A2908" s="8" t="s">
        <v>2615</v>
      </c>
      <c r="B2908" s="8" t="s">
        <v>3547</v>
      </c>
      <c r="D2908" s="121" t="str">
        <f>HYPERLINK("http://www.minneapolis.va.gov/services/MADE.ASP")</f>
        <v>http://www.minneapolis.va.gov/services/MADE.ASP</v>
      </c>
      <c r="E2908" s="8" t="s">
        <v>392</v>
      </c>
    </row>
    <row r="2909" ht="14.25" hidden="1" customHeight="1">
      <c r="A2909" s="8" t="s">
        <v>2615</v>
      </c>
      <c r="B2909" s="8" t="s">
        <v>1266</v>
      </c>
      <c r="D2909" s="121" t="str">
        <f>HYPERLINK("http://www.minneapolis.va.gov/services/RECREATION_THERAPY.ASP")</f>
        <v>http://www.minneapolis.va.gov/services/RECREATION_THERAPY.ASP</v>
      </c>
      <c r="E2909" s="8" t="s">
        <v>595</v>
      </c>
    </row>
    <row r="2910" ht="14.25" hidden="1" customHeight="1">
      <c r="A2910" s="8" t="s">
        <v>2615</v>
      </c>
      <c r="B2910" s="8" t="s">
        <v>332</v>
      </c>
      <c r="D2910" s="121" t="str">
        <f>HYPERLINK("http://www.minneapolis.va.gov/services/NUTRITION.ASP")</f>
        <v>http://www.minneapolis.va.gov/services/NUTRITION.ASP</v>
      </c>
      <c r="E2910" s="8" t="s">
        <v>392</v>
      </c>
    </row>
    <row r="2911" ht="14.25" hidden="1" customHeight="1">
      <c r="A2911" s="8" t="s">
        <v>2615</v>
      </c>
      <c r="B2911" s="8" t="s">
        <v>839</v>
      </c>
      <c r="D2911" s="121" t="str">
        <f>HYPERLINK("http://www.minneapolis.va.gov/services/HEMATOLOGY-ONCOLOGY.ASP")</f>
        <v>http://www.minneapolis.va.gov/services/HEMATOLOGY-ONCOLOGY.ASP</v>
      </c>
      <c r="E2911" s="8" t="s">
        <v>595</v>
      </c>
    </row>
    <row r="2912" ht="14.25" hidden="1" customHeight="1">
      <c r="A2912" s="8" t="s">
        <v>2615</v>
      </c>
      <c r="B2912" s="8" t="s">
        <v>3554</v>
      </c>
      <c r="D2912" s="121" t="str">
        <f>HYPERLINK("http://www.minneapolis.va.gov/services/DENTAL.ASP")</f>
        <v>http://www.minneapolis.va.gov/services/DENTAL.ASP</v>
      </c>
      <c r="E2912" s="8" t="s">
        <v>595</v>
      </c>
    </row>
    <row r="2913" ht="14.25" hidden="1" customHeight="1">
      <c r="A2913" s="8" t="s">
        <v>2615</v>
      </c>
      <c r="B2913" s="8" t="s">
        <v>3556</v>
      </c>
      <c r="D2913" s="121" t="str">
        <f t="shared" ref="D2913:D2914" si="26">HYPERLINK("http://www.minneapolis.va.gov/services/PAIN.ASP")</f>
        <v>http://www.minneapolis.va.gov/services/PAIN.ASP</v>
      </c>
      <c r="E2913" s="8" t="s">
        <v>595</v>
      </c>
    </row>
    <row r="2914" ht="14.25" hidden="1" customHeight="1">
      <c r="A2914" s="8" t="s">
        <v>2615</v>
      </c>
      <c r="B2914" s="8" t="s">
        <v>449</v>
      </c>
      <c r="D2914" s="121" t="str">
        <f t="shared" si="26"/>
        <v>http://www.minneapolis.va.gov/services/PAIN.ASP</v>
      </c>
      <c r="E2914" s="8" t="s">
        <v>392</v>
      </c>
    </row>
    <row r="2915" ht="14.25" hidden="1" customHeight="1">
      <c r="A2915" s="8" t="s">
        <v>2615</v>
      </c>
      <c r="B2915" s="8" t="s">
        <v>651</v>
      </c>
      <c r="D2915" s="121" t="str">
        <f>HYPERLINK("http://www.minneapolis.va.gov/services/HOSPICE_PALLIATIVE.ASP")</f>
        <v>http://www.minneapolis.va.gov/services/HOSPICE_PALLIATIVE.ASP</v>
      </c>
      <c r="E2915" s="8" t="s">
        <v>595</v>
      </c>
    </row>
    <row r="2916" ht="14.25" hidden="1" customHeight="1">
      <c r="A2916" s="8" t="s">
        <v>2615</v>
      </c>
      <c r="B2916" s="8" t="s">
        <v>3561</v>
      </c>
      <c r="D2916" s="121" t="str">
        <f>HYPERLINK("http://www.minneapolis.va.gov/services/DENTAL.ASP")</f>
        <v>http://www.minneapolis.va.gov/services/DENTAL.ASP</v>
      </c>
      <c r="E2916" s="8" t="s">
        <v>595</v>
      </c>
    </row>
    <row r="2917" ht="14.25" hidden="1" customHeight="1">
      <c r="A2917" s="8" t="s">
        <v>2615</v>
      </c>
      <c r="B2917" s="8" t="s">
        <v>343</v>
      </c>
      <c r="D2917" s="121" t="str">
        <f>HYPERLINK("http://www.minneapolis.va.gov/services/PHARMACY.ASP")</f>
        <v>http://www.minneapolis.va.gov/services/PHARMACY.ASP</v>
      </c>
      <c r="E2917" s="8" t="s">
        <v>392</v>
      </c>
    </row>
    <row r="2918" ht="14.25" hidden="1" customHeight="1">
      <c r="A2918" s="8" t="s">
        <v>2615</v>
      </c>
      <c r="B2918" s="8" t="s">
        <v>345</v>
      </c>
      <c r="D2918" s="121" t="str">
        <f>HYPERLINK("http://www.minneapolis.va.gov/services/PMR.ASP")</f>
        <v>http://www.minneapolis.va.gov/services/PMR.ASP</v>
      </c>
      <c r="E2918" s="8" t="s">
        <v>392</v>
      </c>
    </row>
    <row r="2919" ht="14.25" hidden="1" customHeight="1">
      <c r="A2919" s="8" t="s">
        <v>2615</v>
      </c>
      <c r="B2919" s="8" t="s">
        <v>3570</v>
      </c>
      <c r="D2919" s="121" t="str">
        <f>HYPERLINK("http://www.minneapolis.va.gov/services/OEF-OIF-OND.ASP")</f>
        <v>http://www.minneapolis.va.gov/services/OEF-OIF-OND.ASP</v>
      </c>
      <c r="E2919" s="8" t="s">
        <v>392</v>
      </c>
    </row>
    <row r="2920" ht="14.25" hidden="1" customHeight="1">
      <c r="A2920" s="8" t="s">
        <v>2615</v>
      </c>
      <c r="B2920" s="8" t="s">
        <v>348</v>
      </c>
      <c r="D2920" s="121" t="str">
        <f>HYPERLINK("http://www.minneapolis.va.gov/services/PRIMARY.ASP")</f>
        <v>http://www.minneapolis.va.gov/services/PRIMARY.ASP</v>
      </c>
      <c r="E2920" s="8" t="s">
        <v>392</v>
      </c>
    </row>
    <row r="2921" ht="14.25" hidden="1" customHeight="1">
      <c r="A2921" s="8" t="s">
        <v>2615</v>
      </c>
      <c r="B2921" s="8" t="s">
        <v>3575</v>
      </c>
      <c r="D2921" s="121" t="str">
        <f>HYPERLINK("http://www.minneapolis.va.gov/services/MENTAL_HEALTH_SERVICES.ASP")</f>
        <v>http://www.minneapolis.va.gov/services/MENTAL_HEALTH_SERVICES.ASP</v>
      </c>
      <c r="E2921" s="8" t="s">
        <v>595</v>
      </c>
    </row>
    <row r="2922" ht="14.25" hidden="1" customHeight="1">
      <c r="A2922" s="8" t="s">
        <v>2615</v>
      </c>
      <c r="B2922" s="8" t="s">
        <v>3578</v>
      </c>
      <c r="D2922" s="121" t="str">
        <f>HYPERLINK("http://www.minneapolis.va.gov/services/RADIOLOGY.ASP")</f>
        <v>http://www.minneapolis.va.gov/services/RADIOLOGY.ASP</v>
      </c>
      <c r="E2922" s="8" t="s">
        <v>392</v>
      </c>
    </row>
    <row r="2923" ht="14.25" hidden="1" customHeight="1">
      <c r="A2923" s="8" t="s">
        <v>2615</v>
      </c>
      <c r="B2923" s="8" t="s">
        <v>1337</v>
      </c>
      <c r="D2923" s="121" t="str">
        <f>HYPERLINK("http://www.minneapolis.va.gov/services/RECREATION_THERAPY.ASP")</f>
        <v>http://www.minneapolis.va.gov/services/RECREATION_THERAPY.ASP</v>
      </c>
      <c r="E2923" s="8" t="s">
        <v>392</v>
      </c>
    </row>
    <row r="2924" ht="14.25" hidden="1" customHeight="1">
      <c r="A2924" s="8" t="s">
        <v>2615</v>
      </c>
      <c r="B2924" s="8" t="s">
        <v>3580</v>
      </c>
      <c r="D2924" s="121" t="str">
        <f>HYPERLINK("http://www.minneapolis.va.gov/services/TELEREHAB.ASP")</f>
        <v>http://www.minneapolis.va.gov/services/TELEREHAB.ASP</v>
      </c>
      <c r="E2924" s="8" t="s">
        <v>392</v>
      </c>
    </row>
    <row r="2925" ht="14.25" hidden="1" customHeight="1">
      <c r="A2925" s="8" t="s">
        <v>2615</v>
      </c>
      <c r="B2925" s="8" t="s">
        <v>355</v>
      </c>
      <c r="D2925" s="121" t="str">
        <f>HYPERLINK("http://www.minneapolis.va.gov/services/OEF-OIF-OND.ASP")</f>
        <v>http://www.minneapolis.va.gov/services/OEF-OIF-OND.ASP</v>
      </c>
      <c r="E2925" s="8" t="s">
        <v>595</v>
      </c>
    </row>
    <row r="2926" ht="14.25" hidden="1" customHeight="1">
      <c r="A2926" s="8" t="s">
        <v>2615</v>
      </c>
      <c r="B2926" s="8" t="s">
        <v>3588</v>
      </c>
      <c r="D2926" s="121" t="str">
        <f t="shared" ref="D2926:D2927" si="27">HYPERLINK("http://www.minneapolis.va.gov/services/MENTAL_HEALTH_SERVICES.ASP")</f>
        <v>http://www.minneapolis.va.gov/services/MENTAL_HEALTH_SERVICES.ASP</v>
      </c>
      <c r="E2926" s="8" t="s">
        <v>595</v>
      </c>
    </row>
    <row r="2927" ht="14.25" hidden="1" customHeight="1">
      <c r="A2927" s="8" t="s">
        <v>2615</v>
      </c>
      <c r="B2927" s="8" t="s">
        <v>3591</v>
      </c>
      <c r="D2927" s="121" t="str">
        <f t="shared" si="27"/>
        <v>http://www.minneapolis.va.gov/services/MENTAL_HEALTH_SERVICES.ASP</v>
      </c>
      <c r="E2927" s="8" t="s">
        <v>595</v>
      </c>
    </row>
    <row r="2928" ht="14.25" hidden="1" customHeight="1">
      <c r="A2928" s="8" t="s">
        <v>2615</v>
      </c>
      <c r="B2928" s="8" t="s">
        <v>363</v>
      </c>
      <c r="D2928" s="121" t="str">
        <f>HYPERLINK("http://www.minneapolis.va.gov/services/SPECIALTYCARE.ASP")</f>
        <v>http://www.minneapolis.va.gov/services/SPECIALTYCARE.ASP</v>
      </c>
      <c r="E2928" s="8" t="s">
        <v>392</v>
      </c>
    </row>
    <row r="2929" ht="14.25" hidden="1" customHeight="1">
      <c r="A2929" s="8" t="s">
        <v>2615</v>
      </c>
      <c r="B2929" s="8" t="s">
        <v>3594</v>
      </c>
      <c r="D2929" s="121" t="str">
        <f>HYPERLINK("http://www.minneapolis.va.gov/services/SCIDC.ASP")</f>
        <v>http://www.minneapolis.va.gov/services/SCIDC.ASP</v>
      </c>
      <c r="E2929" s="8" t="s">
        <v>392</v>
      </c>
    </row>
    <row r="2930" ht="14.25" hidden="1" customHeight="1">
      <c r="A2930" s="8" t="s">
        <v>2615</v>
      </c>
      <c r="B2930" s="8" t="s">
        <v>3595</v>
      </c>
      <c r="D2930" s="121" t="str">
        <f>HYPERLINK("http://www.minneapolis.va.gov/services/MENTAL_HEALTH_SERVICES.ASP")</f>
        <v>http://www.minneapolis.va.gov/services/MENTAL_HEALTH_SERVICES.ASP</v>
      </c>
      <c r="E2930" s="8" t="s">
        <v>595</v>
      </c>
    </row>
    <row r="2931" ht="14.25" hidden="1" customHeight="1">
      <c r="A2931" s="8" t="s">
        <v>2615</v>
      </c>
      <c r="B2931" s="8" t="s">
        <v>722</v>
      </c>
      <c r="D2931" s="121" t="str">
        <f>HYPERLINK("http://www.minneapolis.va.gov/services/SURGERY.ASP")</f>
        <v>http://www.minneapolis.va.gov/services/SURGERY.ASP</v>
      </c>
      <c r="E2931" s="8" t="s">
        <v>392</v>
      </c>
    </row>
    <row r="2932" ht="14.25" hidden="1" customHeight="1">
      <c r="A2932" s="8" t="s">
        <v>2615</v>
      </c>
      <c r="B2932" s="8" t="s">
        <v>3599</v>
      </c>
      <c r="D2932" s="121" t="str">
        <f>HYPERLINK("http://www.minneapolis.va.gov/services/TELE-ICU.ASP")</f>
        <v>http://www.minneapolis.va.gov/services/TELE-ICU.ASP</v>
      </c>
      <c r="E2932" s="8" t="s">
        <v>392</v>
      </c>
    </row>
    <row r="2933" ht="14.25" hidden="1" customHeight="1">
      <c r="A2933" s="8" t="s">
        <v>2615</v>
      </c>
      <c r="B2933" s="8" t="s">
        <v>3602</v>
      </c>
      <c r="D2933" s="121" t="str">
        <f>HYPERLINK("http://www.minneapolis.va.gov/services/TELEHEALTH.ASP")</f>
        <v>http://www.minneapolis.va.gov/services/TELEHEALTH.ASP</v>
      </c>
      <c r="E2933" s="8" t="s">
        <v>392</v>
      </c>
    </row>
    <row r="2934" ht="14.25" hidden="1" customHeight="1">
      <c r="A2934" s="8" t="s">
        <v>2615</v>
      </c>
      <c r="B2934" s="8" t="s">
        <v>3604</v>
      </c>
      <c r="D2934" s="121" t="str">
        <f>HYPERLINK("http://www.minneapolis.va.gov/services/TELEREHAB.ASP")</f>
        <v>http://www.minneapolis.va.gov/services/TELEREHAB.ASP</v>
      </c>
      <c r="E2934" s="8" t="s">
        <v>595</v>
      </c>
    </row>
    <row r="2935" ht="14.25" hidden="1" customHeight="1">
      <c r="A2935" s="8" t="s">
        <v>2615</v>
      </c>
      <c r="B2935" s="8" t="s">
        <v>3605</v>
      </c>
      <c r="D2935" s="121" t="str">
        <f>HYPERLINK("http://www.minneapolis.va.gov/services/TREWI.ASP")</f>
        <v>http://www.minneapolis.va.gov/services/TREWI.ASP</v>
      </c>
      <c r="E2935" s="8" t="s">
        <v>392</v>
      </c>
    </row>
    <row r="2936" ht="14.25" hidden="1" customHeight="1">
      <c r="A2936" s="8" t="s">
        <v>2615</v>
      </c>
      <c r="B2936" s="8" t="s">
        <v>3607</v>
      </c>
      <c r="D2936" s="121" t="str">
        <f>HYPERLINK("http://www.minneapolis.va.gov/services/MEDICAL_FOSTER_HOME.ASP")</f>
        <v>http://www.minneapolis.va.gov/services/MEDICAL_FOSTER_HOME.ASP</v>
      </c>
      <c r="E2936" s="8" t="s">
        <v>595</v>
      </c>
    </row>
    <row r="2937" ht="14.25" hidden="1" customHeight="1">
      <c r="A2937" s="8" t="s">
        <v>2615</v>
      </c>
      <c r="B2937" s="8" t="s">
        <v>3609</v>
      </c>
      <c r="D2937" s="121" t="str">
        <f>HYPERLINK("http://www.minneapolis.va.gov/services/VBR.ASP")</f>
        <v>http://www.minneapolis.va.gov/services/VBR.ASP</v>
      </c>
      <c r="E2937" s="8" t="s">
        <v>392</v>
      </c>
    </row>
    <row r="2938" ht="14.25" hidden="1" customHeight="1">
      <c r="A2938" s="8" t="s">
        <v>2615</v>
      </c>
      <c r="B2938" s="8" t="s">
        <v>1238</v>
      </c>
      <c r="D2938" s="121" t="str">
        <f>HYPERLINK("http://www.minneapolis.va.gov/services/VITAL.ASP")</f>
        <v>http://www.minneapolis.va.gov/services/VITAL.ASP</v>
      </c>
      <c r="E2938" s="8" t="s">
        <v>392</v>
      </c>
    </row>
    <row r="2939" ht="14.25" hidden="1" customHeight="1">
      <c r="A2939" s="8" t="s">
        <v>2615</v>
      </c>
      <c r="B2939" s="8" t="s">
        <v>973</v>
      </c>
      <c r="D2939" s="121" t="str">
        <f>HYPERLINK("http://www.minneapolis.va.gov/services/WHOLE_HEALTH.ASP")</f>
        <v>http://www.minneapolis.va.gov/services/WHOLE_HEALTH.ASP</v>
      </c>
      <c r="E2939" s="8" t="s">
        <v>392</v>
      </c>
    </row>
    <row r="2940" ht="14.25" hidden="1" customHeight="1">
      <c r="A2940" s="8" t="s">
        <v>2615</v>
      </c>
      <c r="B2940" s="8" t="s">
        <v>379</v>
      </c>
      <c r="D2940" s="121" t="str">
        <f>HYPERLINK("http://www.minneapolis.va.gov/services/WOMEN_VETERANS.ASP")</f>
        <v>http://www.minneapolis.va.gov/services/WOMEN_VETERANS.ASP</v>
      </c>
      <c r="E2940" s="8" t="s">
        <v>392</v>
      </c>
    </row>
    <row r="2941" ht="14.25" hidden="1" customHeight="1">
      <c r="A2941" s="8" t="s">
        <v>2615</v>
      </c>
      <c r="B2941" s="8" t="s">
        <v>824</v>
      </c>
      <c r="D2941" s="121" t="str">
        <f>HYPERLINK("http://www.minneapolis.va.gov/services/RADIOLOGY.ASP")</f>
        <v>http://www.minneapolis.va.gov/services/RADIOLOGY.ASP</v>
      </c>
      <c r="E2941" s="8" t="s">
        <v>595</v>
      </c>
    </row>
    <row r="2942" ht="14.25" hidden="1" customHeight="1">
      <c r="A2942" s="116" t="s">
        <v>2619</v>
      </c>
      <c r="B2942" s="8" t="s">
        <v>300</v>
      </c>
      <c r="D2942" s="121" t="str">
        <f>HYPERLINK("http://www.montana.va.gov/services/CAREGIVER_PROGRAM.ASP")</f>
        <v>http://www.montana.va.gov/services/CAREGIVER_PROGRAM.ASP</v>
      </c>
      <c r="E2942" s="8" t="s">
        <v>392</v>
      </c>
    </row>
    <row r="2943" ht="14.25" hidden="1" customHeight="1">
      <c r="A2943" s="116" t="s">
        <v>2619</v>
      </c>
      <c r="B2943" s="8" t="s">
        <v>425</v>
      </c>
      <c r="D2943" s="121" t="str">
        <f>HYPERLINK("http://www.montana.va.gov/services/CHAPLAIN_AND_RELIGIOUS_SERVICES.ASP")</f>
        <v>http://www.montana.va.gov/services/CHAPLAIN_AND_RELIGIOUS_SERVICES.ASP</v>
      </c>
      <c r="E2943" s="8" t="s">
        <v>392</v>
      </c>
    </row>
    <row r="2944" ht="14.25" hidden="1" customHeight="1">
      <c r="A2944" s="116" t="s">
        <v>2619</v>
      </c>
      <c r="B2944" s="8" t="s">
        <v>448</v>
      </c>
      <c r="D2944" s="121" t="str">
        <f>HYPERLINK("http://www.montana.va.gov/services/DEMENTIA_SERVICES.ASP")</f>
        <v>http://www.montana.va.gov/services/DEMENTIA_SERVICES.ASP</v>
      </c>
      <c r="E2944" s="8" t="s">
        <v>392</v>
      </c>
    </row>
    <row r="2945" ht="14.25" hidden="1" customHeight="1">
      <c r="A2945" s="116" t="s">
        <v>2619</v>
      </c>
      <c r="B2945" s="8" t="s">
        <v>305</v>
      </c>
      <c r="D2945" s="121" t="str">
        <f>HYPERLINK("http://www.montana.va.gov/services/DENTAL_SERVICES.ASP")</f>
        <v>http://www.montana.va.gov/services/DENTAL_SERVICES.ASP</v>
      </c>
      <c r="E2945" s="8" t="s">
        <v>392</v>
      </c>
    </row>
    <row r="2946" ht="14.25" hidden="1" customHeight="1">
      <c r="A2946" s="116" t="s">
        <v>2619</v>
      </c>
      <c r="B2946" s="8" t="s">
        <v>308</v>
      </c>
      <c r="D2946" s="121" t="str">
        <f>HYPERLINK("http://www.montana.va.gov/services/EMERGENCY_DEPARTMENT.ASP")</f>
        <v>http://www.montana.va.gov/services/EMERGENCY_DEPARTMENT.ASP</v>
      </c>
      <c r="E2946" s="8" t="s">
        <v>392</v>
      </c>
    </row>
    <row r="2947" ht="14.25" hidden="1" customHeight="1">
      <c r="A2947" s="116" t="s">
        <v>2619</v>
      </c>
      <c r="B2947" s="8" t="s">
        <v>465</v>
      </c>
      <c r="D2947" s="121" t="str">
        <f>HYPERLINK("http://www.montana.va.gov/services/ETHICS_CONSULATION_SERVICE.ASP")</f>
        <v>http://www.montana.va.gov/services/ETHICS_CONSULATION_SERVICE.ASP</v>
      </c>
      <c r="E2947" s="8" t="s">
        <v>392</v>
      </c>
    </row>
    <row r="2948" ht="14.25" hidden="1" customHeight="1">
      <c r="A2948" s="116" t="s">
        <v>2619</v>
      </c>
      <c r="B2948" s="8" t="s">
        <v>309</v>
      </c>
      <c r="D2948" s="121" t="str">
        <f>HYPERLINK("http://www.montana.va.gov/services/EXTENDED_CARE_AND_REHABILITATION.ASP")</f>
        <v>http://www.montana.va.gov/services/EXTENDED_CARE_AND_REHABILITATION.ASP</v>
      </c>
      <c r="E2948" s="8" t="s">
        <v>392</v>
      </c>
    </row>
    <row r="2949" ht="14.25" hidden="1" customHeight="1">
      <c r="A2949" s="116" t="s">
        <v>2619</v>
      </c>
      <c r="B2949" s="8" t="s">
        <v>312</v>
      </c>
      <c r="D2949" s="121" t="str">
        <f>HYPERLINK("http://www.montana.va.gov/services/HOMELESS_VETERANS.ASP")</f>
        <v>http://www.montana.va.gov/services/HOMELESS_VETERANS.ASP</v>
      </c>
      <c r="E2949" s="8" t="s">
        <v>392</v>
      </c>
    </row>
    <row r="2950" ht="14.25" hidden="1" customHeight="1">
      <c r="A2950" s="116" t="s">
        <v>2619</v>
      </c>
      <c r="B2950" s="8" t="s">
        <v>317</v>
      </c>
      <c r="D2950" s="121" t="str">
        <f>HYPERLINK("http://www.montana.va.gov/services/LGBT_VETERANS.ASP")</f>
        <v>http://www.montana.va.gov/services/LGBT_VETERANS.ASP</v>
      </c>
      <c r="E2950" s="8" t="s">
        <v>392</v>
      </c>
    </row>
    <row r="2951" ht="14.25" hidden="1" customHeight="1">
      <c r="A2951" s="116" t="s">
        <v>2619</v>
      </c>
      <c r="B2951" s="8" t="s">
        <v>319</v>
      </c>
      <c r="D2951" s="121" t="str">
        <f>HYPERLINK("http://www.montana.va.gov/services/LOW_VISION_CLINIC.ASP")</f>
        <v>http://www.montana.va.gov/services/LOW_VISION_CLINIC.ASP</v>
      </c>
      <c r="E2951" s="8" t="s">
        <v>392</v>
      </c>
    </row>
    <row r="2952" ht="14.25" hidden="1" customHeight="1">
      <c r="A2952" s="116" t="s">
        <v>2619</v>
      </c>
      <c r="B2952" s="8" t="s">
        <v>476</v>
      </c>
      <c r="D2952" s="121" t="str">
        <f>HYPERLINK("http://www.montana.va.gov/services/MEDICAL_FOSTER_HOME.ASP")</f>
        <v>http://www.montana.va.gov/services/MEDICAL_FOSTER_HOME.ASP</v>
      </c>
      <c r="E2952" s="8" t="s">
        <v>392</v>
      </c>
    </row>
    <row r="2953" ht="14.25" hidden="1" customHeight="1">
      <c r="A2953" s="116" t="s">
        <v>2619</v>
      </c>
      <c r="B2953" s="8" t="s">
        <v>323</v>
      </c>
      <c r="D2953" s="121" t="str">
        <f>HYPERLINK("http://www.montana.va.gov/services/MENTAL_HEALTH.ASP")</f>
        <v>http://www.montana.va.gov/services/MENTAL_HEALTH.ASP</v>
      </c>
      <c r="E2953" s="8" t="s">
        <v>392</v>
      </c>
    </row>
    <row r="2954" ht="14.25" hidden="1" customHeight="1">
      <c r="A2954" s="116" t="s">
        <v>2619</v>
      </c>
      <c r="B2954" s="8" t="s">
        <v>335</v>
      </c>
      <c r="D2954" s="121" t="str">
        <f>HYPERLINK("http://www.montana.va.gov/services/NUTRITION_AND_FOOD_SERVICE.ASP")</f>
        <v>http://www.montana.va.gov/services/NUTRITION_AND_FOOD_SERVICE.ASP</v>
      </c>
      <c r="E2954" s="8" t="s">
        <v>392</v>
      </c>
    </row>
    <row r="2955" ht="14.25" hidden="1" customHeight="1">
      <c r="A2955" s="116" t="s">
        <v>2619</v>
      </c>
      <c r="B2955" s="8" t="s">
        <v>337</v>
      </c>
      <c r="D2955" s="121" t="str">
        <f>HYPERLINK("http://www.montana.va.gov/services/OPHTHALMOLOGY.ASP")</f>
        <v>http://www.montana.va.gov/services/OPHTHALMOLOGY.ASP</v>
      </c>
      <c r="E2955" s="8" t="s">
        <v>392</v>
      </c>
    </row>
    <row r="2956" ht="14.25" hidden="1" customHeight="1">
      <c r="A2956" s="116" t="s">
        <v>2619</v>
      </c>
      <c r="B2956" s="8" t="s">
        <v>342</v>
      </c>
      <c r="D2956" s="121" t="str">
        <f>HYPERLINK("http://www.montana.va.gov/services/PALLIATIVE_AND_HOSPICE_CARE.ASP")</f>
        <v>http://www.montana.va.gov/services/PALLIATIVE_AND_HOSPICE_CARE.ASP</v>
      </c>
      <c r="E2956" s="8" t="s">
        <v>392</v>
      </c>
    </row>
    <row r="2957" ht="14.25" hidden="1" customHeight="1">
      <c r="A2957" s="116" t="s">
        <v>2619</v>
      </c>
      <c r="B2957" s="8" t="s">
        <v>343</v>
      </c>
      <c r="D2957" s="121" t="str">
        <f>HYPERLINK("http://www.montana.va.gov/services/PHARMACY.ASP")</f>
        <v>http://www.montana.va.gov/services/PHARMACY.ASP</v>
      </c>
      <c r="E2957" s="8" t="s">
        <v>392</v>
      </c>
    </row>
    <row r="2958" ht="14.25" hidden="1" customHeight="1">
      <c r="A2958" s="116" t="s">
        <v>2619</v>
      </c>
      <c r="B2958" s="8" t="s">
        <v>348</v>
      </c>
      <c r="D2958" s="121" t="str">
        <f>HYPERLINK("http://www.montana.va.gov/services/PRIMARY_CARE.ASP")</f>
        <v>http://www.montana.va.gov/services/PRIMARY_CARE.ASP</v>
      </c>
      <c r="E2958" s="8" t="s">
        <v>392</v>
      </c>
    </row>
    <row r="2959" ht="14.25" hidden="1" customHeight="1">
      <c r="A2959" s="116" t="s">
        <v>2619</v>
      </c>
      <c r="B2959" s="8" t="s">
        <v>353</v>
      </c>
      <c r="D2959" s="121" t="str">
        <f>HYPERLINK("http://www.montana.va.gov/services/PROSTHETICS.ASP")</f>
        <v>http://www.montana.va.gov/services/PROSTHETICS.ASP</v>
      </c>
      <c r="E2959" s="8" t="s">
        <v>392</v>
      </c>
    </row>
    <row r="2960" ht="14.25" hidden="1" customHeight="1">
      <c r="A2960" s="116" t="s">
        <v>2619</v>
      </c>
      <c r="B2960" s="8" t="s">
        <v>355</v>
      </c>
      <c r="D2960" s="121" t="str">
        <f>HYPERLINK("http://www.montana.va.gov/services/RETURNING_SERVICE_MEMBERS.ASP")</f>
        <v>http://www.montana.va.gov/services/RETURNING_SERVICE_MEMBERS.ASP</v>
      </c>
      <c r="E2960" s="8" t="s">
        <v>392</v>
      </c>
    </row>
    <row r="2961" ht="14.25" hidden="1" customHeight="1">
      <c r="A2961" s="116" t="s">
        <v>2619</v>
      </c>
      <c r="B2961" s="8" t="s">
        <v>357</v>
      </c>
      <c r="D2961" s="121" t="str">
        <f>HYPERLINK("http://www.montana.va.gov/services/SLEEP_LAB.ASP")</f>
        <v>http://www.montana.va.gov/services/SLEEP_LAB.ASP</v>
      </c>
      <c r="E2961" s="8" t="s">
        <v>392</v>
      </c>
    </row>
    <row r="2962" ht="14.25" hidden="1" customHeight="1">
      <c r="A2962" s="116" t="s">
        <v>2619</v>
      </c>
      <c r="B2962" s="8" t="s">
        <v>360</v>
      </c>
      <c r="D2962" s="121" t="str">
        <f>HYPERLINK("http://www.montana.va.gov/services/SOCIAL_WORK.ASP")</f>
        <v>http://www.montana.va.gov/services/SOCIAL_WORK.ASP</v>
      </c>
      <c r="E2962" s="8" t="s">
        <v>392</v>
      </c>
    </row>
    <row r="2963" ht="14.25" hidden="1" customHeight="1">
      <c r="A2963" s="116" t="s">
        <v>2619</v>
      </c>
      <c r="B2963" s="8" t="s">
        <v>363</v>
      </c>
      <c r="D2963" s="121" t="str">
        <f>HYPERLINK("http://www.montana.va.gov/services/SPECIALTY_CARE.ASP")</f>
        <v>http://www.montana.va.gov/services/SPECIALTY_CARE.ASP</v>
      </c>
      <c r="E2963" s="8" t="s">
        <v>392</v>
      </c>
    </row>
    <row r="2964" ht="14.25" hidden="1" customHeight="1">
      <c r="A2964" s="116" t="s">
        <v>2619</v>
      </c>
      <c r="B2964" s="8" t="s">
        <v>364</v>
      </c>
      <c r="D2964" s="121" t="str">
        <f>HYPERLINK("http://www.montana.va.gov/services/SPINAL_CORD_INJURY.ASP")</f>
        <v>http://www.montana.va.gov/services/SPINAL_CORD_INJURY.ASP</v>
      </c>
      <c r="E2964" s="8" t="s">
        <v>392</v>
      </c>
    </row>
    <row r="2965" ht="14.25" hidden="1" customHeight="1">
      <c r="A2965" s="116" t="s">
        <v>2619</v>
      </c>
      <c r="B2965" s="8" t="s">
        <v>3618</v>
      </c>
      <c r="D2965" s="121" t="str">
        <f>HYPERLINK("http://www.montana.va.gov/services/PRE_OPERATIVE_INFO_GETTING_READY_FOR_SURGERY.ASP")</f>
        <v>http://www.montana.va.gov/services/PRE_OPERATIVE_INFO_GETTING_READY_FOR_SURGERY.ASP</v>
      </c>
      <c r="E2965" s="8" t="s">
        <v>392</v>
      </c>
    </row>
    <row r="2966" ht="14.25" hidden="1" customHeight="1">
      <c r="A2966" s="116" t="s">
        <v>2619</v>
      </c>
      <c r="B2966" s="8" t="s">
        <v>501</v>
      </c>
      <c r="D2966" s="121" t="str">
        <f>HYPERLINK("http://www.montana.va.gov/services/MONTANA_VET_CENTERS.ASP")</f>
        <v>http://www.montana.va.gov/services/MONTANA_VET_CENTERS.ASP</v>
      </c>
      <c r="E2966" s="8" t="s">
        <v>392</v>
      </c>
    </row>
    <row r="2967" ht="14.25" hidden="1" customHeight="1">
      <c r="A2967" s="116" t="s">
        <v>2619</v>
      </c>
      <c r="B2967" s="8" t="s">
        <v>379</v>
      </c>
      <c r="D2967" s="121" t="str">
        <f>HYPERLINK("http://www.montana.va.gov/services/WOMEN_VETERANS.ASP")</f>
        <v>http://www.montana.va.gov/services/WOMEN_VETERANS.ASP</v>
      </c>
      <c r="E2967" s="8" t="s">
        <v>392</v>
      </c>
    </row>
    <row r="2968" ht="14.25" hidden="1" customHeight="1">
      <c r="A2968" s="8" t="s">
        <v>2635</v>
      </c>
      <c r="B2968" s="8" t="s">
        <v>3619</v>
      </c>
      <c r="D2968" s="121" t="str">
        <f>HYPERLINK("http://www.mountainhome.va.gov/services/AUDIOLOGY_SPEECH_PATHOLOGY.ASP")</f>
        <v>http://www.mountainhome.va.gov/services/AUDIOLOGY_SPEECH_PATHOLOGY.ASP</v>
      </c>
      <c r="E2968" s="8" t="s">
        <v>392</v>
      </c>
    </row>
    <row r="2969" ht="14.25" hidden="1" customHeight="1">
      <c r="A2969" s="8" t="s">
        <v>2635</v>
      </c>
      <c r="B2969" s="8" t="s">
        <v>1918</v>
      </c>
      <c r="D2969" s="121" t="str">
        <f>HYPERLINK("http://www.mountainhome.va.gov/services/CANCER_PROGRAM.ASP")</f>
        <v>http://www.mountainhome.va.gov/services/CANCER_PROGRAM.ASP</v>
      </c>
      <c r="E2969" s="8" t="s">
        <v>392</v>
      </c>
    </row>
    <row r="2970" ht="14.25" hidden="1" customHeight="1">
      <c r="A2970" s="8" t="s">
        <v>2635</v>
      </c>
      <c r="B2970" s="8" t="s">
        <v>478</v>
      </c>
      <c r="D2970" s="121" t="str">
        <f>HYPERLINK("http://www.mountainhome.va.gov/services/CHAPLAIN_SERVICE.ASP")</f>
        <v>http://www.mountainhome.va.gov/services/CHAPLAIN_SERVICE.ASP</v>
      </c>
      <c r="E2970" s="8" t="s">
        <v>392</v>
      </c>
    </row>
    <row r="2971" ht="14.25" hidden="1" customHeight="1">
      <c r="A2971" s="8" t="s">
        <v>2635</v>
      </c>
      <c r="B2971" s="8" t="s">
        <v>304</v>
      </c>
      <c r="D2971" s="121" t="str">
        <f>HYPERLINK("http://www.mountainhome.va.gov/services/DENTAL.ASP")</f>
        <v>http://www.mountainhome.va.gov/services/DENTAL.ASP</v>
      </c>
      <c r="E2971" s="8" t="s">
        <v>392</v>
      </c>
    </row>
    <row r="2972" ht="14.25" hidden="1" customHeight="1">
      <c r="A2972" s="8" t="s">
        <v>2635</v>
      </c>
      <c r="B2972" s="8" t="s">
        <v>3620</v>
      </c>
      <c r="D2972" s="121" t="str">
        <f>HYPERLINK("http://www.mountainhome.va.gov/services/EXTENDED_CARE_GERIATRIC_SERVICES.ASP")</f>
        <v>http://www.mountainhome.va.gov/services/EXTENDED_CARE_GERIATRIC_SERVICES.ASP</v>
      </c>
      <c r="E2972" s="8" t="s">
        <v>392</v>
      </c>
    </row>
    <row r="2973" ht="14.25" hidden="1" customHeight="1">
      <c r="A2973" s="8" t="s">
        <v>2635</v>
      </c>
      <c r="B2973" s="8" t="s">
        <v>949</v>
      </c>
      <c r="D2973" s="121" t="str">
        <f>HYPERLINK("http://www.mountainhome.va.gov/services/EYE_CARE.ASP")</f>
        <v>http://www.mountainhome.va.gov/services/EYE_CARE.ASP</v>
      </c>
      <c r="E2973" s="8" t="s">
        <v>392</v>
      </c>
    </row>
    <row r="2974" ht="14.25" hidden="1" customHeight="1">
      <c r="A2974" s="8" t="s">
        <v>2635</v>
      </c>
      <c r="B2974" s="8" t="s">
        <v>2276</v>
      </c>
      <c r="D2974" s="121" t="str">
        <f>HYPERLINK("http://www.mountainhome.va.gov/services/FORMER_PRISONERS_OF_WAR_PROGRAM.ASP")</f>
        <v>http://www.mountainhome.va.gov/services/FORMER_PRISONERS_OF_WAR_PROGRAM.ASP</v>
      </c>
      <c r="E2974" s="8" t="s">
        <v>392</v>
      </c>
    </row>
    <row r="2975" ht="14.25" hidden="1" customHeight="1">
      <c r="A2975" s="8" t="s">
        <v>2635</v>
      </c>
      <c r="B2975" s="8" t="s">
        <v>3621</v>
      </c>
      <c r="D2975" s="121" t="str">
        <f>HYPERLINK("http://www.mountainhome.va.gov/services/HEALTH_PROMOTION_DISEASE_PREVENTION.ASP")</f>
        <v>http://www.mountainhome.va.gov/services/HEALTH_PROMOTION_DISEASE_PREVENTION.ASP</v>
      </c>
      <c r="E2975" s="8" t="s">
        <v>392</v>
      </c>
    </row>
    <row r="2976" ht="14.25" hidden="1" customHeight="1">
      <c r="A2976" s="8" t="s">
        <v>2635</v>
      </c>
      <c r="B2976" s="8" t="s">
        <v>437</v>
      </c>
      <c r="D2976" s="121" t="str">
        <f>HYPERLINK("http://www.mountainhome.va.gov/services/HOSPICE_AND_PALLIATIVE_CARE.ASP")</f>
        <v>http://www.mountainhome.va.gov/services/HOSPICE_AND_PALLIATIVE_CARE.ASP</v>
      </c>
      <c r="E2976" s="8" t="s">
        <v>392</v>
      </c>
    </row>
    <row r="2977" ht="14.25" hidden="1" customHeight="1">
      <c r="A2977" s="8" t="s">
        <v>2635</v>
      </c>
      <c r="B2977" s="8" t="s">
        <v>2000</v>
      </c>
      <c r="D2977" s="121" t="str">
        <f>HYPERLINK("http://www.mountainhome.va.gov/services/MEDICINE.ASP")</f>
        <v>http://www.mountainhome.va.gov/services/MEDICINE.ASP</v>
      </c>
      <c r="E2977" s="8" t="s">
        <v>392</v>
      </c>
    </row>
    <row r="2978" ht="14.25" hidden="1" customHeight="1">
      <c r="A2978" s="8" t="s">
        <v>2635</v>
      </c>
      <c r="B2978" s="8" t="s">
        <v>323</v>
      </c>
      <c r="D2978" s="121" t="str">
        <f>HYPERLINK("http://www.mountainhome.va.gov/services/MENTAL_HEALTH.ASP")</f>
        <v>http://www.mountainhome.va.gov/services/MENTAL_HEALTH.ASP</v>
      </c>
      <c r="E2978" s="8" t="s">
        <v>392</v>
      </c>
    </row>
    <row r="2979" ht="14.25" hidden="1" customHeight="1">
      <c r="A2979" s="8" t="s">
        <v>2635</v>
      </c>
      <c r="B2979" s="8" t="s">
        <v>1940</v>
      </c>
      <c r="D2979" s="121" t="str">
        <f>HYPERLINK("http://www.mountainhome.va.gov/services/NURSING.ASP")</f>
        <v>http://www.mountainhome.va.gov/services/NURSING.ASP</v>
      </c>
      <c r="E2979" s="8" t="s">
        <v>392</v>
      </c>
    </row>
    <row r="2980" ht="14.25" hidden="1" customHeight="1">
      <c r="A2980" s="8" t="s">
        <v>2635</v>
      </c>
      <c r="B2980" s="8" t="s">
        <v>1280</v>
      </c>
      <c r="D2980" s="121" t="str">
        <f>HYPERLINK("http://www.mountainhome.va.gov/services/NUTRITION_FOOD.ASP")</f>
        <v>http://www.mountainhome.va.gov/services/NUTRITION_FOOD.ASP</v>
      </c>
      <c r="E2980" s="8" t="s">
        <v>392</v>
      </c>
    </row>
    <row r="2981" ht="14.25" hidden="1" customHeight="1">
      <c r="A2981" s="8" t="s">
        <v>2635</v>
      </c>
      <c r="B2981" s="8" t="s">
        <v>343</v>
      </c>
      <c r="D2981" s="121" t="str">
        <f>HYPERLINK("http://www.mountainhome.va.gov/services/PHARMACY.ASP")</f>
        <v>http://www.mountainhome.va.gov/services/PHARMACY.ASP</v>
      </c>
      <c r="E2981" s="8" t="s">
        <v>392</v>
      </c>
    </row>
    <row r="2982" ht="14.25" hidden="1" customHeight="1">
      <c r="A2982" s="8" t="s">
        <v>2635</v>
      </c>
      <c r="B2982" s="8" t="s">
        <v>348</v>
      </c>
      <c r="D2982" s="121" t="str">
        <f>HYPERLINK("http://www.mountainhome.va.gov/services/PRIMARY_CARE.ASP")</f>
        <v>http://www.mountainhome.va.gov/services/PRIMARY_CARE.ASP</v>
      </c>
      <c r="E2982" s="8" t="s">
        <v>392</v>
      </c>
    </row>
    <row r="2983" ht="14.25" hidden="1" customHeight="1">
      <c r="A2983" s="8" t="s">
        <v>2635</v>
      </c>
      <c r="B2983" s="8" t="s">
        <v>508</v>
      </c>
      <c r="D2983" s="121" t="str">
        <f>HYPERLINK("http://www.mountainhome.va.gov/services/RESEARCH.ASP")</f>
        <v>http://www.mountainhome.va.gov/services/RESEARCH.ASP</v>
      </c>
      <c r="E2983" s="8" t="s">
        <v>392</v>
      </c>
    </row>
    <row r="2984" ht="14.25" hidden="1" customHeight="1">
      <c r="A2984" s="8" t="s">
        <v>2635</v>
      </c>
      <c r="B2984" s="8" t="s">
        <v>360</v>
      </c>
      <c r="D2984" s="121" t="str">
        <f>HYPERLINK("http://www.mountainhome.va.gov/services/SOCIAL_WORK.ASP")</f>
        <v>http://www.mountainhome.va.gov/services/SOCIAL_WORK.ASP</v>
      </c>
      <c r="E2984" s="8" t="s">
        <v>392</v>
      </c>
    </row>
    <row r="2985" ht="14.25" hidden="1" customHeight="1">
      <c r="A2985" s="8" t="s">
        <v>2635</v>
      </c>
      <c r="B2985" s="8" t="s">
        <v>3622</v>
      </c>
      <c r="D2985" s="121" t="str">
        <f>HYPERLINK("http://www.mountainhome.va.gov/services/SPINAL_CORD_INJURY_SUPPORT.ASP")</f>
        <v>http://www.mountainhome.va.gov/services/SPINAL_CORD_INJURY_SUPPORT.ASP</v>
      </c>
      <c r="E2985" s="8" t="s">
        <v>392</v>
      </c>
    </row>
    <row r="2986" ht="14.25" hidden="1" customHeight="1">
      <c r="A2986" s="8" t="s">
        <v>2635</v>
      </c>
      <c r="B2986" s="8" t="s">
        <v>722</v>
      </c>
      <c r="D2986" s="121" t="str">
        <f>HYPERLINK("http://www.mountainhome.va.gov/services/SURGERY.ASP")</f>
        <v>http://www.mountainhome.va.gov/services/SURGERY.ASP</v>
      </c>
      <c r="E2986" s="8" t="s">
        <v>392</v>
      </c>
    </row>
    <row r="2987" ht="14.25" hidden="1" customHeight="1">
      <c r="A2987" s="8" t="s">
        <v>2635</v>
      </c>
      <c r="B2987" s="8" t="s">
        <v>3623</v>
      </c>
      <c r="D2987" s="121" t="str">
        <f>HYPERLINK("http://www.mountainhome.va.gov/services/BENEFICIARY_TRAVEL.ASP")</f>
        <v>http://www.mountainhome.va.gov/services/BENEFICIARY_TRAVEL.ASP</v>
      </c>
      <c r="E2987" s="8" t="s">
        <v>392</v>
      </c>
    </row>
    <row r="2988" ht="14.25" hidden="1" customHeight="1">
      <c r="A2988" s="8" t="s">
        <v>2637</v>
      </c>
      <c r="B2988" s="8" t="s">
        <v>3106</v>
      </c>
      <c r="D2988" s="121" t="str">
        <f>HYPERLINK("http://www.muskogee.va.gov/services/BEHAVIORAL_HEALTH_SERVICE.ASP")</f>
        <v>http://www.muskogee.va.gov/services/BEHAVIORAL_HEALTH_SERVICE.ASP</v>
      </c>
      <c r="E2988" s="8" t="s">
        <v>595</v>
      </c>
    </row>
    <row r="2989" ht="14.25" hidden="1" customHeight="1">
      <c r="A2989" s="8" t="s">
        <v>2637</v>
      </c>
      <c r="B2989" s="8" t="s">
        <v>2596</v>
      </c>
      <c r="D2989" s="121" t="str">
        <f>HYPERLINK("http://www.muskogee.va.gov/services/BUSINESS_OFFICE.ASP")</f>
        <v>http://www.muskogee.va.gov/services/BUSINESS_OFFICE.ASP</v>
      </c>
      <c r="E2989" s="8" t="s">
        <v>392</v>
      </c>
    </row>
    <row r="2990" ht="14.25" hidden="1" customHeight="1">
      <c r="A2990" s="8" t="s">
        <v>2637</v>
      </c>
      <c r="B2990" s="8" t="s">
        <v>3624</v>
      </c>
      <c r="D2990" s="121" t="str">
        <f>HYPERLINK("http://www.muskogee.va.gov/services/CLINICAL_SERVICES.ASP")</f>
        <v>http://www.muskogee.va.gov/services/CLINICAL_SERVICES.ASP</v>
      </c>
      <c r="E2990" s="8" t="s">
        <v>392</v>
      </c>
    </row>
    <row r="2991" ht="14.25" hidden="1" customHeight="1">
      <c r="A2991" s="8" t="s">
        <v>2637</v>
      </c>
      <c r="B2991" s="8" t="s">
        <v>513</v>
      </c>
      <c r="D2991" s="121" t="str">
        <f>HYPERLINK("http://www.muskogee.va.gov/services/DENTAL_SERVICE.ASP")</f>
        <v>http://www.muskogee.va.gov/services/DENTAL_SERVICE.ASP</v>
      </c>
      <c r="E2991" s="8" t="s">
        <v>392</v>
      </c>
    </row>
    <row r="2992" ht="14.25" hidden="1" customHeight="1">
      <c r="A2992" s="8" t="s">
        <v>2637</v>
      </c>
      <c r="B2992" s="8" t="s">
        <v>2259</v>
      </c>
      <c r="D2992" s="121" t="str">
        <f>HYPERLINK("http://www.muskogee.va.gov/services/LGBT.ASP")</f>
        <v>http://www.muskogee.va.gov/services/LGBT.ASP</v>
      </c>
      <c r="E2992" s="8" t="s">
        <v>392</v>
      </c>
    </row>
    <row r="2993" ht="14.25" hidden="1" customHeight="1">
      <c r="A2993" s="8" t="s">
        <v>2637</v>
      </c>
      <c r="B2993" s="8" t="s">
        <v>323</v>
      </c>
      <c r="D2993" s="121" t="str">
        <f>HYPERLINK("http://www.muskogee.va.gov/services/BEHAVIORAL_HEALTH_SERVICE.ASP")</f>
        <v>http://www.muskogee.va.gov/services/BEHAVIORAL_HEALTH_SERVICE.ASP</v>
      </c>
      <c r="E2993" s="8" t="s">
        <v>392</v>
      </c>
    </row>
    <row r="2994" ht="14.25" hidden="1" customHeight="1">
      <c r="A2994" s="8" t="s">
        <v>2637</v>
      </c>
      <c r="B2994" s="8" t="s">
        <v>494</v>
      </c>
      <c r="D2994" s="121" t="str">
        <f>HYPERLINK("http://www.muskogee.va.gov/services/MY_HEALTHEVET_OFFICE.ASP")</f>
        <v>http://www.muskogee.va.gov/services/MY_HEALTHEVET_OFFICE.ASP</v>
      </c>
      <c r="E2994" s="8" t="s">
        <v>392</v>
      </c>
    </row>
    <row r="2995" ht="14.25" hidden="1" customHeight="1">
      <c r="A2995" s="8" t="s">
        <v>2637</v>
      </c>
      <c r="B2995" s="8" t="s">
        <v>713</v>
      </c>
      <c r="D2995" s="121" t="str">
        <f>HYPERLINK("http://www.muskogee.va.gov/services/POLICE_SERVICE.ASP")</f>
        <v>http://www.muskogee.va.gov/services/POLICE_SERVICE.ASP</v>
      </c>
      <c r="E2995" s="8" t="s">
        <v>392</v>
      </c>
    </row>
    <row r="2996" ht="14.25" hidden="1" customHeight="1">
      <c r="A2996" s="8" t="s">
        <v>2637</v>
      </c>
      <c r="B2996" s="8" t="s">
        <v>3625</v>
      </c>
      <c r="D2996" s="121" t="str">
        <f>HYPERLINK("http://www.muskogee.va.gov/services/PHARMACY.ASP")</f>
        <v>http://www.muskogee.va.gov/services/PHARMACY.ASP</v>
      </c>
      <c r="E2996" s="8" t="s">
        <v>392</v>
      </c>
    </row>
    <row r="2997" ht="14.25" hidden="1" customHeight="1">
      <c r="A2997" s="8" t="s">
        <v>2637</v>
      </c>
      <c r="B2997" s="8" t="s">
        <v>1520</v>
      </c>
      <c r="D2997" s="121" t="str">
        <f>HYPERLINK("http://www.muskogee.va.gov/services/SURGERY_SERVICE.ASP")</f>
        <v>http://www.muskogee.va.gov/services/SURGERY_SERVICE.ASP</v>
      </c>
      <c r="E2997" s="8" t="s">
        <v>392</v>
      </c>
    </row>
    <row r="2998" ht="14.25" hidden="1" customHeight="1">
      <c r="A2998" s="8" t="s">
        <v>2637</v>
      </c>
      <c r="B2998" s="8" t="s">
        <v>1950</v>
      </c>
      <c r="D2998" s="121" t="str">
        <f>HYPERLINK("http://www.muskogee.va.gov/services/TRANSPORTATION.ASP")</f>
        <v>http://www.muskogee.va.gov/services/TRANSPORTATION.ASP</v>
      </c>
      <c r="E2998" s="8" t="s">
        <v>392</v>
      </c>
    </row>
    <row r="2999" ht="14.25" hidden="1" customHeight="1">
      <c r="A2999" s="8" t="s">
        <v>2640</v>
      </c>
      <c r="B2999" s="8" t="s">
        <v>244</v>
      </c>
      <c r="D2999" s="121" t="str">
        <f>HYPERLINK("http://www.nebraska.va.gov/services/AUDIOLOGY.ASP")</f>
        <v>http://www.nebraska.va.gov/services/AUDIOLOGY.ASP</v>
      </c>
      <c r="E2999" s="8" t="s">
        <v>392</v>
      </c>
    </row>
    <row r="3000" ht="14.25" hidden="1" customHeight="1">
      <c r="A3000" s="8" t="s">
        <v>2640</v>
      </c>
      <c r="B3000" s="8" t="s">
        <v>478</v>
      </c>
      <c r="D3000" s="121" t="str">
        <f>HYPERLINK("http://www.nebraska.va.gov/services/CHAPLAIN_SERVICE.ASP")</f>
        <v>http://www.nebraska.va.gov/services/CHAPLAIN_SERVICE.ASP</v>
      </c>
      <c r="E3000" s="8" t="s">
        <v>392</v>
      </c>
    </row>
    <row r="3001" ht="14.25" hidden="1" customHeight="1">
      <c r="A3001" s="8" t="s">
        <v>2640</v>
      </c>
      <c r="B3001" s="8" t="s">
        <v>3626</v>
      </c>
      <c r="D3001" s="121" t="str">
        <f>HYPERLINK("http://www.nebraska.va.gov/services/VITAL.ASP")</f>
        <v>http://www.nebraska.va.gov/services/VITAL.ASP</v>
      </c>
      <c r="E3001" s="8" t="s">
        <v>595</v>
      </c>
    </row>
    <row r="3002" ht="14.25" hidden="1" customHeight="1">
      <c r="A3002" s="8" t="s">
        <v>2640</v>
      </c>
      <c r="B3002" s="8" t="s">
        <v>3627</v>
      </c>
      <c r="D3002" s="121" t="str">
        <f>HYPERLINK("http://www.nebraska.va.gov/services/CWT_TR.ASP")</f>
        <v>http://www.nebraska.va.gov/services/CWT_TR.ASP</v>
      </c>
      <c r="E3002" s="8" t="s">
        <v>392</v>
      </c>
    </row>
    <row r="3003" ht="14.25" hidden="1" customHeight="1">
      <c r="A3003" s="8" t="s">
        <v>2640</v>
      </c>
      <c r="B3003" s="8" t="s">
        <v>1344</v>
      </c>
      <c r="D3003" s="121" t="str">
        <f>HYPERLINK("http://www.nebraska.va.gov/services/FISHER_HOUSE.ASP")</f>
        <v>http://www.nebraska.va.gov/services/FISHER_HOUSE.ASP</v>
      </c>
      <c r="E3003" s="8" t="s">
        <v>392</v>
      </c>
    </row>
    <row r="3004" ht="14.25" hidden="1" customHeight="1">
      <c r="A3004" s="8" t="s">
        <v>2640</v>
      </c>
      <c r="B3004" s="8" t="s">
        <v>3628</v>
      </c>
      <c r="D3004" s="121" t="str">
        <f>HYPERLINK("http://www.nebraska.va.gov/services/INTEGRATEDETHICS_COUNCIL.ASP")</f>
        <v>http://www.nebraska.va.gov/services/INTEGRATEDETHICS_COUNCIL.ASP</v>
      </c>
      <c r="E3004" s="8" t="s">
        <v>392</v>
      </c>
    </row>
    <row r="3005" ht="14.25" hidden="1" customHeight="1">
      <c r="A3005" s="8" t="s">
        <v>2640</v>
      </c>
      <c r="B3005" s="8" t="s">
        <v>3629</v>
      </c>
      <c r="D3005" s="121" t="str">
        <f>HYPERLINK("http://www.nebraska.va.gov/services/LESBIAN_GAY_BISEXUAL_TRANSGENDER_LGBT_PROGRAM.ASP")</f>
        <v>http://www.nebraska.va.gov/services/LESBIAN_GAY_BISEXUAL_TRANSGENDER_LGBT_PROGRAM.ASP</v>
      </c>
      <c r="E3005" s="8" t="s">
        <v>392</v>
      </c>
    </row>
    <row r="3006" ht="14.25" hidden="1" customHeight="1">
      <c r="A3006" s="8" t="s">
        <v>2640</v>
      </c>
      <c r="B3006" s="8" t="s">
        <v>1016</v>
      </c>
      <c r="D3006" s="121" t="str">
        <f>HYPERLINK("http://www.nebraska.va.gov/services/MEDICAL_FOSTER_HOME_PROGRAM.ASP")</f>
        <v>http://www.nebraska.va.gov/services/MEDICAL_FOSTER_HOME_PROGRAM.ASP</v>
      </c>
      <c r="E3006" s="8" t="s">
        <v>392</v>
      </c>
    </row>
    <row r="3007" ht="14.25" hidden="1" customHeight="1">
      <c r="A3007" s="8" t="s">
        <v>2640</v>
      </c>
      <c r="B3007" s="8" t="s">
        <v>323</v>
      </c>
      <c r="D3007" s="121" t="str">
        <f>HYPERLINK("http://www.nebraska.va.gov/services/MENTAL_HEALTH.ASP")</f>
        <v>http://www.nebraska.va.gov/services/MENTAL_HEALTH.ASP</v>
      </c>
      <c r="E3007" s="8" t="s">
        <v>392</v>
      </c>
    </row>
    <row r="3008" ht="14.25" hidden="1" customHeight="1">
      <c r="A3008" s="8" t="s">
        <v>2640</v>
      </c>
      <c r="B3008" s="8" t="s">
        <v>3630</v>
      </c>
      <c r="D3008" s="121" t="str">
        <f>HYPERLINK("http://www.nebraska.va.gov/services/RESEARCH/RESEARCH.ASP")</f>
        <v>http://www.nebraska.va.gov/services/RESEARCH/RESEARCH.ASP</v>
      </c>
      <c r="E3008" s="8" t="s">
        <v>392</v>
      </c>
    </row>
    <row r="3009" ht="14.25" hidden="1" customHeight="1">
      <c r="A3009" s="8" t="s">
        <v>2640</v>
      </c>
      <c r="B3009" s="8" t="s">
        <v>1719</v>
      </c>
      <c r="D3009" s="121" t="str">
        <f>HYPERLINK("http://www.nebraska.va.gov/services/NUTRITION.ASP")</f>
        <v>http://www.nebraska.va.gov/services/NUTRITION.ASP</v>
      </c>
      <c r="E3009" s="8" t="s">
        <v>392</v>
      </c>
    </row>
    <row r="3010" ht="14.25" hidden="1" customHeight="1">
      <c r="A3010" s="8" t="s">
        <v>2640</v>
      </c>
      <c r="B3010" s="8" t="s">
        <v>3631</v>
      </c>
      <c r="D3010" s="121" t="str">
        <f>HYPERLINK("http://www.nebraska.va.gov/services/POW_ADVOCATE.ASP")</f>
        <v>http://www.nebraska.va.gov/services/POW_ADVOCATE.ASP</v>
      </c>
      <c r="E3010" s="8" t="s">
        <v>392</v>
      </c>
    </row>
    <row r="3011" ht="14.25" hidden="1" customHeight="1">
      <c r="A3011" s="8" t="s">
        <v>2640</v>
      </c>
      <c r="B3011" s="8" t="s">
        <v>651</v>
      </c>
      <c r="D3011" s="121" t="str">
        <f>HYPERLINK("http://www.nebraska.va.gov/services/PALLIATIVE_CARE.ASP")</f>
        <v>http://www.nebraska.va.gov/services/PALLIATIVE_CARE.ASP</v>
      </c>
      <c r="E3011" s="8" t="s">
        <v>392</v>
      </c>
    </row>
    <row r="3012" ht="14.25" hidden="1" customHeight="1">
      <c r="A3012" s="8" t="s">
        <v>2640</v>
      </c>
      <c r="B3012" s="8" t="s">
        <v>907</v>
      </c>
      <c r="D3012" s="121" t="str">
        <f>HYPERLINK("http://www.nebraska.va.gov/services/PATIENT_ADVOCATES.ASP")</f>
        <v>http://www.nebraska.va.gov/services/PATIENT_ADVOCATES.ASP</v>
      </c>
      <c r="E3012" s="8" t="s">
        <v>392</v>
      </c>
    </row>
    <row r="3013" ht="14.25" hidden="1" customHeight="1">
      <c r="A3013" s="8" t="s">
        <v>2640</v>
      </c>
      <c r="B3013" s="8" t="s">
        <v>343</v>
      </c>
      <c r="D3013" s="121" t="str">
        <f>HYPERLINK("http://www.nebraska.va.gov/services/PHARMACY.ASP")</f>
        <v>http://www.nebraska.va.gov/services/PHARMACY.ASP</v>
      </c>
      <c r="E3013" s="8" t="s">
        <v>392</v>
      </c>
    </row>
    <row r="3014" ht="14.25" hidden="1" customHeight="1">
      <c r="A3014" s="8" t="s">
        <v>2640</v>
      </c>
      <c r="B3014" s="8" t="s">
        <v>775</v>
      </c>
      <c r="D3014" s="121" t="str">
        <f>HYPERLINK("http://www.nebraska.va.gov/services/POLICE_SERVICE.ASP")</f>
        <v>http://www.nebraska.va.gov/services/POLICE_SERVICE.ASP</v>
      </c>
      <c r="E3014" s="8" t="s">
        <v>392</v>
      </c>
    </row>
    <row r="3015" ht="14.25" hidden="1" customHeight="1">
      <c r="A3015" s="8" t="s">
        <v>2640</v>
      </c>
      <c r="B3015" s="8" t="s">
        <v>3632</v>
      </c>
      <c r="D3015" s="121" t="str">
        <f>HYPERLINK("http://www.nebraska.va.gov/services/POLYTRAUMA_SUPPORT_CLINIC.ASP")</f>
        <v>http://www.nebraska.va.gov/services/POLYTRAUMA_SUPPORT_CLINIC.ASP</v>
      </c>
      <c r="E3015" s="8" t="s">
        <v>392</v>
      </c>
    </row>
    <row r="3016" ht="14.25" hidden="1" customHeight="1">
      <c r="A3016" s="8" t="s">
        <v>2640</v>
      </c>
      <c r="B3016" s="8" t="s">
        <v>964</v>
      </c>
      <c r="D3016" s="121" t="str">
        <f>HYPERLINK("http://www.nebraska.va.gov/services/PSYCHOSOCIAL_REHABILITATION_AND_RECOVERY_CENTER.ASP")</f>
        <v>http://www.nebraska.va.gov/services/PSYCHOSOCIAL_REHABILITATION_AND_RECOVERY_CENTER.ASP</v>
      </c>
      <c r="E3016" s="8" t="s">
        <v>392</v>
      </c>
    </row>
    <row r="3017" ht="14.25" hidden="1" customHeight="1">
      <c r="A3017" s="8" t="s">
        <v>2640</v>
      </c>
      <c r="B3017" s="8" t="s">
        <v>1971</v>
      </c>
      <c r="D3017" s="121" t="str">
        <f>HYPERLINK("http://www.nebraska.va.gov/services/SAFE_PATIENT_HANDLING.ASP")</f>
        <v>http://www.nebraska.va.gov/services/SAFE_PATIENT_HANDLING.ASP</v>
      </c>
      <c r="E3017" s="8" t="s">
        <v>392</v>
      </c>
    </row>
    <row r="3018" ht="14.25" hidden="1" customHeight="1">
      <c r="A3018" s="8" t="s">
        <v>2640</v>
      </c>
      <c r="B3018" s="8" t="s">
        <v>3633</v>
      </c>
      <c r="D3018" s="121" t="str">
        <f>HYPERLINK("http://www.nebraska.va.gov/services/VETERANS_JUSTICE_OUTREACH.ASP")</f>
        <v>http://www.nebraska.va.gov/services/VETERANS_JUSTICE_OUTREACH.ASP</v>
      </c>
      <c r="E3018" s="8" t="s">
        <v>595</v>
      </c>
    </row>
    <row r="3019" ht="14.25" hidden="1" customHeight="1">
      <c r="A3019" s="8" t="s">
        <v>2640</v>
      </c>
      <c r="B3019" s="8" t="s">
        <v>3634</v>
      </c>
      <c r="D3019" s="121" t="str">
        <f>HYPERLINK("http://www.nebraska.va.gov/services/SPINAL_CORD_INJURY_AND_DISORDER_CLINIC.ASP")</f>
        <v>http://www.nebraska.va.gov/services/SPINAL_CORD_INJURY_AND_DISORDER_CLINIC.ASP</v>
      </c>
      <c r="E3019" s="8" t="s">
        <v>392</v>
      </c>
    </row>
    <row r="3020" ht="14.25" hidden="1" customHeight="1">
      <c r="A3020" s="8" t="s">
        <v>2640</v>
      </c>
      <c r="B3020" s="8" t="s">
        <v>370</v>
      </c>
      <c r="D3020" s="121" t="str">
        <f>HYPERLINK("http://www.nebraska.va.gov/services/TELEHEALTH.ASP")</f>
        <v>http://www.nebraska.va.gov/services/TELEHEALTH.ASP</v>
      </c>
      <c r="E3020" s="8" t="s">
        <v>392</v>
      </c>
    </row>
    <row r="3021" ht="14.25" hidden="1" customHeight="1">
      <c r="A3021" s="8" t="s">
        <v>2640</v>
      </c>
      <c r="B3021" s="8" t="s">
        <v>3635</v>
      </c>
      <c r="D3021" s="121" t="str">
        <f>HYPERLINK("http://www.nebraska.va.gov/services/VITAL.ASP")</f>
        <v>http://www.nebraska.va.gov/services/VITAL.ASP</v>
      </c>
      <c r="E3021" s="8" t="s">
        <v>392</v>
      </c>
    </row>
    <row r="3022" ht="14.25" hidden="1" customHeight="1">
      <c r="A3022" s="8" t="s">
        <v>2640</v>
      </c>
      <c r="B3022" s="8" t="s">
        <v>3636</v>
      </c>
      <c r="D3022" s="121" t="str">
        <f>HYPERLINK("http://www.nebraska.va.gov/services/VETERANS_FOOD_PANTRY.ASP")</f>
        <v>http://www.nebraska.va.gov/services/VETERANS_FOOD_PANTRY.ASP</v>
      </c>
      <c r="E3022" s="8" t="s">
        <v>392</v>
      </c>
    </row>
    <row r="3023" ht="14.25" hidden="1" customHeight="1">
      <c r="A3023" s="8" t="s">
        <v>2640</v>
      </c>
      <c r="B3023" s="8" t="s">
        <v>516</v>
      </c>
      <c r="D3023" s="121" t="str">
        <f>HYPERLINK("http://www.nebraska.va.gov/services/VETERANS_JUSTICE_OUTREACH.ASP")</f>
        <v>http://www.nebraska.va.gov/services/VETERANS_JUSTICE_OUTREACH.ASP</v>
      </c>
      <c r="E3023" s="8" t="s">
        <v>392</v>
      </c>
    </row>
    <row r="3024" ht="14.25" hidden="1" customHeight="1">
      <c r="A3024" s="8" t="s">
        <v>2649</v>
      </c>
      <c r="B3024" s="8" t="s">
        <v>862</v>
      </c>
      <c r="D3024" s="121" t="str">
        <f>HYPERLINK("http://www.newjersey.va.gov/services/BLIND_REHAB.ASP")</f>
        <v>http://www.newjersey.va.gov/services/BLIND_REHAB.ASP</v>
      </c>
      <c r="E3024" s="8" t="s">
        <v>392</v>
      </c>
    </row>
    <row r="3025" ht="14.25" hidden="1" customHeight="1">
      <c r="A3025" s="8" t="s">
        <v>2649</v>
      </c>
      <c r="B3025" s="8" t="s">
        <v>862</v>
      </c>
      <c r="D3025" s="121" t="str">
        <f>HYPERLINK("http://www.newjersey.va.gov/services/BLIND_REHAB_PATIENT_RIGHTS.ASP")</f>
        <v>http://www.newjersey.va.gov/services/BLIND_REHAB_PATIENT_RIGHTS.ASP</v>
      </c>
      <c r="E3025" s="8" t="s">
        <v>392</v>
      </c>
    </row>
    <row r="3026" ht="14.25" hidden="1" customHeight="1">
      <c r="A3026" s="8" t="s">
        <v>2649</v>
      </c>
      <c r="B3026" s="8" t="s">
        <v>3637</v>
      </c>
      <c r="D3026" s="121" t="str">
        <f>HYPERLINK("http://www.newjersey.va.gov/services/BLIND_REHAB_PATIENT_RESPONSIBILITIES.ASP")</f>
        <v>http://www.newjersey.va.gov/services/BLIND_REHAB_PATIENT_RESPONSIBILITIES.ASP</v>
      </c>
      <c r="E3026" s="8" t="s">
        <v>392</v>
      </c>
    </row>
    <row r="3027" ht="14.25" hidden="1" customHeight="1">
      <c r="A3027" s="8" t="s">
        <v>2649</v>
      </c>
      <c r="B3027" s="8" t="s">
        <v>482</v>
      </c>
      <c r="D3027" s="121" t="str">
        <f>HYPERLINK("http://www.newjersey.va.gov/services/CLC.ASP")</f>
        <v>http://www.newjersey.va.gov/services/CLC.ASP</v>
      </c>
      <c r="E3027" s="8" t="s">
        <v>392</v>
      </c>
    </row>
    <row r="3028" ht="14.25" hidden="1" customHeight="1">
      <c r="A3028" s="8" t="s">
        <v>2649</v>
      </c>
      <c r="B3028" s="8" t="s">
        <v>3638</v>
      </c>
      <c r="D3028" s="121" t="str">
        <f>HYPERLINK("http://www.newjersey.va.gov/services/CANCERCENTER.ASP")</f>
        <v>http://www.newjersey.va.gov/services/CANCERCENTER.ASP</v>
      </c>
      <c r="E3028" s="8" t="s">
        <v>392</v>
      </c>
    </row>
    <row r="3029" ht="14.25" hidden="1" customHeight="1">
      <c r="A3029" s="8" t="s">
        <v>2649</v>
      </c>
      <c r="B3029" s="8" t="s">
        <v>3639</v>
      </c>
      <c r="D3029" s="121" t="str">
        <f>HYPERLINK("http://www.newjersey.va.gov/services/CANCER.ASP")</f>
        <v>http://www.newjersey.va.gov/services/CANCER.ASP</v>
      </c>
      <c r="E3029" s="8" t="s">
        <v>392</v>
      </c>
    </row>
    <row r="3030" ht="14.25" hidden="1" customHeight="1">
      <c r="A3030" s="8" t="s">
        <v>2649</v>
      </c>
      <c r="B3030" s="8" t="s">
        <v>3640</v>
      </c>
      <c r="D3030" s="121" t="str">
        <f>HYPERLINK("http://www.newjersey.va.gov/services/LILTYKES.ASP")</f>
        <v>http://www.newjersey.va.gov/services/LILTYKES.ASP</v>
      </c>
      <c r="E3030" s="8" t="s">
        <v>595</v>
      </c>
    </row>
    <row r="3031" ht="14.25" hidden="1" customHeight="1">
      <c r="A3031" s="8" t="s">
        <v>2649</v>
      </c>
      <c r="B3031" s="8" t="s">
        <v>1193</v>
      </c>
      <c r="D3031" s="121" t="str">
        <f>HYPERLINK("http://www.newjersey.va.gov/services/EDUCATION.ASP")</f>
        <v>http://www.newjersey.va.gov/services/EDUCATION.ASP</v>
      </c>
      <c r="E3031" s="8" t="s">
        <v>392</v>
      </c>
    </row>
    <row r="3032" ht="14.25" hidden="1" customHeight="1">
      <c r="A3032" s="8" t="s">
        <v>2649</v>
      </c>
      <c r="B3032" s="8" t="s">
        <v>556</v>
      </c>
      <c r="D3032" s="121" t="str">
        <f>HYPERLINK("http://www.newjersey.va.gov/services/GEC.ASP")</f>
        <v>http://www.newjersey.va.gov/services/GEC.ASP</v>
      </c>
      <c r="E3032" s="8" t="s">
        <v>392</v>
      </c>
    </row>
    <row r="3033" ht="14.25" hidden="1" customHeight="1">
      <c r="A3033" s="8" t="s">
        <v>2649</v>
      </c>
      <c r="B3033" s="8" t="s">
        <v>1197</v>
      </c>
      <c r="D3033" s="121" t="str">
        <f>HYPERLINK("http://www.newjersey.va.gov/services/HELPLINE.ASP")</f>
        <v>http://www.newjersey.va.gov/services/HELPLINE.ASP</v>
      </c>
      <c r="E3033" s="8" t="s">
        <v>595</v>
      </c>
    </row>
    <row r="3034" ht="14.25" hidden="1" customHeight="1">
      <c r="A3034" s="8" t="s">
        <v>2649</v>
      </c>
      <c r="B3034" s="8" t="s">
        <v>431</v>
      </c>
      <c r="D3034" s="121" t="str">
        <f>HYPERLINK("http://www.newjersey.va.gov/services/RURAL_HEALTH_PROGRAM.ASP")</f>
        <v>http://www.newjersey.va.gov/services/RURAL_HEALTH_PROGRAM.ASP</v>
      </c>
      <c r="E3034" s="8" t="s">
        <v>595</v>
      </c>
    </row>
    <row r="3035" ht="14.25" hidden="1" customHeight="1">
      <c r="A3035" s="8" t="s">
        <v>2649</v>
      </c>
      <c r="B3035" s="8" t="s">
        <v>395</v>
      </c>
      <c r="D3035" s="121" t="str">
        <f>HYPERLINK("http://www.newjersey.va.gov/services/HT.ASP")</f>
        <v>http://www.newjersey.va.gov/services/HT.ASP</v>
      </c>
      <c r="E3035" s="8" t="s">
        <v>392</v>
      </c>
    </row>
    <row r="3036" ht="14.25" hidden="1" customHeight="1">
      <c r="A3036" s="8" t="s">
        <v>2649</v>
      </c>
      <c r="B3036" s="8" t="s">
        <v>437</v>
      </c>
      <c r="D3036" s="121" t="str">
        <f>HYPERLINK("http://www.newjersey.va.gov/services/HOSPICE_AND_PALLIATIVE_CARE.ASP")</f>
        <v>http://www.newjersey.va.gov/services/HOSPICE_AND_PALLIATIVE_CARE.ASP</v>
      </c>
      <c r="E3036" s="8" t="s">
        <v>392</v>
      </c>
    </row>
    <row r="3037" ht="14.25" hidden="1" customHeight="1">
      <c r="A3037" s="8" t="s">
        <v>2649</v>
      </c>
      <c r="B3037" s="8" t="s">
        <v>1199</v>
      </c>
      <c r="D3037" s="121" t="str">
        <f>HYPERLINK("http://www.newjersey.va.gov/services/EDUCATION.ASP")</f>
        <v>http://www.newjersey.va.gov/services/EDUCATION.ASP</v>
      </c>
      <c r="E3037" s="8" t="s">
        <v>595</v>
      </c>
    </row>
    <row r="3038" ht="14.25" hidden="1" customHeight="1">
      <c r="A3038" s="8" t="s">
        <v>2649</v>
      </c>
      <c r="B3038" s="8" t="s">
        <v>438</v>
      </c>
      <c r="D3038" s="121" t="str">
        <f>HYPERLINK("http://www.newjersey.va.gov/services/LGBT_PATIENT_CENTERED_CARE.ASP")</f>
        <v>http://www.newjersey.va.gov/services/LGBT_PATIENT_CENTERED_CARE.ASP</v>
      </c>
      <c r="E3038" s="8" t="s">
        <v>392</v>
      </c>
    </row>
    <row r="3039" ht="14.25" hidden="1" customHeight="1">
      <c r="A3039" s="8" t="s">
        <v>2649</v>
      </c>
      <c r="B3039" s="8" t="s">
        <v>3641</v>
      </c>
      <c r="D3039" s="121" t="str">
        <f>HYPERLINK("http://www.newjersey.va.gov/services/LILTYKES.ASP")</f>
        <v>http://www.newjersey.va.gov/services/LILTYKES.ASP</v>
      </c>
      <c r="E3039" s="8" t="s">
        <v>392</v>
      </c>
    </row>
    <row r="3040" ht="14.25" hidden="1" customHeight="1">
      <c r="A3040" s="8" t="s">
        <v>2649</v>
      </c>
      <c r="B3040" s="8" t="s">
        <v>3642</v>
      </c>
      <c r="D3040" s="121" t="str">
        <f>HYPERLINK("http://www.newjersey.va.gov/services/MAMMOGRAM.ASP")</f>
        <v>http://www.newjersey.va.gov/services/MAMMOGRAM.ASP</v>
      </c>
      <c r="E3040" s="8" t="s">
        <v>392</v>
      </c>
    </row>
    <row r="3041" ht="14.25" hidden="1" customHeight="1">
      <c r="A3041" s="8" t="s">
        <v>2649</v>
      </c>
      <c r="B3041" s="8" t="s">
        <v>1016</v>
      </c>
      <c r="D3041" s="121" t="str">
        <f>HYPERLINK("http://www.newjersey.va.gov/services/MEDICALFOSTERHOME.ASP")</f>
        <v>http://www.newjersey.va.gov/services/MEDICALFOSTERHOME.ASP</v>
      </c>
      <c r="E3041" s="8" t="s">
        <v>392</v>
      </c>
    </row>
    <row r="3042" ht="14.25" hidden="1" customHeight="1">
      <c r="A3042" s="8" t="s">
        <v>2649</v>
      </c>
      <c r="B3042" s="8" t="s">
        <v>323</v>
      </c>
      <c r="D3042" s="121" t="str">
        <f>HYPERLINK("http://www.newjersey.va.gov/services/MENTAL_HEALTH.ASP")</f>
        <v>http://www.newjersey.va.gov/services/MENTAL_HEALTH.ASP</v>
      </c>
      <c r="E3042" s="8" t="s">
        <v>392</v>
      </c>
    </row>
    <row r="3043" ht="14.25" hidden="1" customHeight="1">
      <c r="A3043" s="8" t="s">
        <v>2649</v>
      </c>
      <c r="B3043" s="8" t="s">
        <v>3643</v>
      </c>
      <c r="D3043" s="121" t="str">
        <f>HYPERLINK("http://www.newjersey.va.gov/services/MENTAL_HEALTH_RESOURCES_FOR_COMMUNITY_PARTNERS.ASP")</f>
        <v>http://www.newjersey.va.gov/services/MENTAL_HEALTH_RESOURCES_FOR_COMMUNITY_PARTNERS.ASP</v>
      </c>
      <c r="E3043" s="8" t="s">
        <v>392</v>
      </c>
    </row>
    <row r="3044" ht="14.25" hidden="1" customHeight="1">
      <c r="A3044" s="8" t="s">
        <v>2649</v>
      </c>
      <c r="B3044" s="8" t="s">
        <v>494</v>
      </c>
      <c r="D3044" s="121" t="str">
        <f>HYPERLINK("http://www.newjersey.va.gov/services/MYHEALTHEVET.ASP")</f>
        <v>http://www.newjersey.va.gov/services/MYHEALTHEVET.ASP</v>
      </c>
      <c r="E3044" s="8" t="s">
        <v>392</v>
      </c>
    </row>
    <row r="3045" ht="14.25" hidden="1" customHeight="1">
      <c r="A3045" s="8" t="s">
        <v>2649</v>
      </c>
      <c r="B3045" s="8" t="s">
        <v>1203</v>
      </c>
      <c r="D3045" s="121" t="str">
        <f>HYPERLINK("http://www.newjersey.va.gov/services/HELPLINE.ASP")</f>
        <v>http://www.newjersey.va.gov/services/HELPLINE.ASP</v>
      </c>
      <c r="E3045" s="8" t="s">
        <v>595</v>
      </c>
    </row>
    <row r="3046" ht="14.25" hidden="1" customHeight="1">
      <c r="A3046" s="8" t="s">
        <v>2649</v>
      </c>
      <c r="B3046" s="8" t="s">
        <v>1205</v>
      </c>
      <c r="D3046" s="121" t="str">
        <f>HYPERLINK("http://www.newjersey.va.gov/services/EDUCATION.ASP")</f>
        <v>http://www.newjersey.va.gov/services/EDUCATION.ASP</v>
      </c>
      <c r="E3046" s="8" t="s">
        <v>595</v>
      </c>
    </row>
    <row r="3047" ht="14.25" hidden="1" customHeight="1">
      <c r="A3047" s="8" t="s">
        <v>2649</v>
      </c>
      <c r="B3047" s="8" t="s">
        <v>343</v>
      </c>
      <c r="D3047" s="121" t="str">
        <f>HYPERLINK("http://www.newjersey.va.gov/services/PHARMACY.ASP")</f>
        <v>http://www.newjersey.va.gov/services/PHARMACY.ASP</v>
      </c>
      <c r="E3047" s="8" t="s">
        <v>392</v>
      </c>
    </row>
    <row r="3048" ht="14.25" hidden="1" customHeight="1">
      <c r="A3048" s="8" t="s">
        <v>2649</v>
      </c>
      <c r="B3048" s="8" t="s">
        <v>1269</v>
      </c>
      <c r="D3048" s="121" t="str">
        <f>HYPERLINK("http://www.newjersey.va.gov/services/PHARMACYRESIDENCY.ASP")</f>
        <v>http://www.newjersey.va.gov/services/PHARMACYRESIDENCY.ASP</v>
      </c>
      <c r="E3048" s="8" t="s">
        <v>392</v>
      </c>
    </row>
    <row r="3049" ht="14.25" hidden="1" customHeight="1">
      <c r="A3049" s="8" t="s">
        <v>2649</v>
      </c>
      <c r="B3049" s="8" t="s">
        <v>348</v>
      </c>
      <c r="D3049" s="121" t="str">
        <f>HYPERLINK("http://www.newjersey.va.gov/services/PRIMARY.ASP")</f>
        <v>http://www.newjersey.va.gov/services/PRIMARY.ASP</v>
      </c>
      <c r="E3049" s="8" t="s">
        <v>392</v>
      </c>
    </row>
    <row r="3050" ht="14.25" hidden="1" customHeight="1">
      <c r="A3050" s="8" t="s">
        <v>2649</v>
      </c>
      <c r="B3050" s="8" t="s">
        <v>508</v>
      </c>
      <c r="D3050" s="121" t="str">
        <f>HYPERLINK("http://www.newjersey.va.gov/services/RESEARCH.ASP")</f>
        <v>http://www.newjersey.va.gov/services/RESEARCH.ASP</v>
      </c>
      <c r="E3050" s="8" t="s">
        <v>392</v>
      </c>
    </row>
    <row r="3051" ht="14.25" hidden="1" customHeight="1">
      <c r="A3051" s="8" t="s">
        <v>2649</v>
      </c>
      <c r="B3051" s="8" t="s">
        <v>3644</v>
      </c>
      <c r="D3051" s="121" t="str">
        <f>HYPERLINK("http://www.newjersey.va.gov/services/RURAL_HEALTH_PROGRAM.ASP")</f>
        <v>http://www.newjersey.va.gov/services/RURAL_HEALTH_PROGRAM.ASP</v>
      </c>
      <c r="E3051" s="8" t="s">
        <v>392</v>
      </c>
    </row>
    <row r="3052" ht="14.25" hidden="1" customHeight="1">
      <c r="A3052" s="8" t="s">
        <v>2649</v>
      </c>
      <c r="B3052" s="8" t="s">
        <v>3645</v>
      </c>
      <c r="D3052" s="121" t="str">
        <f>HYPERLINK("http://www.newjersey.va.gov/services/SURGICAL.ASP")</f>
        <v>http://www.newjersey.va.gov/services/SURGICAL.ASP</v>
      </c>
      <c r="E3052" s="8" t="s">
        <v>392</v>
      </c>
    </row>
    <row r="3053" ht="14.25" hidden="1" customHeight="1">
      <c r="A3053" s="8" t="s">
        <v>2649</v>
      </c>
      <c r="B3053" s="8" t="s">
        <v>1213</v>
      </c>
      <c r="D3053" s="121" t="str">
        <f>HYPERLINK("http://www.newjersey.va.gov/services/EDUCATION.ASP")</f>
        <v>http://www.newjersey.va.gov/services/EDUCATION.ASP</v>
      </c>
      <c r="E3053" s="8" t="s">
        <v>595</v>
      </c>
    </row>
    <row r="3054" ht="14.25" hidden="1" customHeight="1">
      <c r="A3054" s="8" t="s">
        <v>2649</v>
      </c>
      <c r="B3054" s="8" t="s">
        <v>1214</v>
      </c>
      <c r="D3054" s="121" t="str">
        <f>HYPERLINK("http://www.newjersey.va.gov/services/HELPLINE.ASP")</f>
        <v>http://www.newjersey.va.gov/services/HELPLINE.ASP</v>
      </c>
      <c r="E3054" s="8" t="s">
        <v>392</v>
      </c>
    </row>
    <row r="3055" ht="14.25" hidden="1" customHeight="1">
      <c r="A3055" s="8" t="s">
        <v>2649</v>
      </c>
      <c r="B3055" s="8" t="s">
        <v>470</v>
      </c>
      <c r="D3055" s="121" t="str">
        <f>HYPERLINK("http://www.newjersey.va.gov/services/VA_NURSE_HELPLINE.ASP")</f>
        <v>http://www.newjersey.va.gov/services/VA_NURSE_HELPLINE.ASP</v>
      </c>
      <c r="E3055" s="8" t="s">
        <v>392</v>
      </c>
    </row>
    <row r="3056" ht="14.25" hidden="1" customHeight="1">
      <c r="A3056" s="8" t="s">
        <v>2649</v>
      </c>
      <c r="B3056" s="8" t="s">
        <v>3646</v>
      </c>
      <c r="D3056" s="121" t="str">
        <f>HYPERLINK("http://www.newjersey.va.gov/services/VIDEOCONNECT.ASP")</f>
        <v>http://www.newjersey.va.gov/services/VIDEOCONNECT.ASP</v>
      </c>
      <c r="E3056" s="8" t="s">
        <v>392</v>
      </c>
    </row>
    <row r="3057" ht="14.25" hidden="1" customHeight="1">
      <c r="A3057" s="8" t="s">
        <v>2649</v>
      </c>
      <c r="B3057" s="8" t="s">
        <v>677</v>
      </c>
      <c r="D3057" s="121" t="str">
        <f>HYPERLINK("http://www.newjersey.va.gov/services/VITAL.ASP")</f>
        <v>http://www.newjersey.va.gov/services/VITAL.ASP</v>
      </c>
      <c r="E3057" s="8" t="s">
        <v>392</v>
      </c>
    </row>
    <row r="3058" ht="14.25" hidden="1" customHeight="1">
      <c r="A3058" s="8" t="s">
        <v>2649</v>
      </c>
      <c r="B3058" s="8" t="s">
        <v>1216</v>
      </c>
      <c r="D3058" s="121" t="str">
        <f>HYPERLINK("http://www.newjersey.va.gov/services/VIRTUALHEALTH.ASP")</f>
        <v>http://www.newjersey.va.gov/services/VIRTUALHEALTH.ASP</v>
      </c>
      <c r="E3058" s="8" t="s">
        <v>392</v>
      </c>
    </row>
    <row r="3059" ht="14.25" hidden="1" customHeight="1">
      <c r="A3059" s="8" t="s">
        <v>2649</v>
      </c>
      <c r="B3059" s="8" t="s">
        <v>3647</v>
      </c>
      <c r="D3059" s="121" t="str">
        <f>HYPERLINK("http://www.newjersey.va.gov/services/VISOR_FAQS.ASP")</f>
        <v>http://www.newjersey.va.gov/services/VISOR_FAQS.ASP</v>
      </c>
      <c r="E3059" s="8" t="s">
        <v>392</v>
      </c>
    </row>
    <row r="3060" ht="14.25" hidden="1" customHeight="1">
      <c r="A3060" s="8" t="s">
        <v>2654</v>
      </c>
      <c r="B3060" s="8" t="s">
        <v>624</v>
      </c>
      <c r="D3060" s="121" t="str">
        <f>HYPERLINK("http://www.neworleans.va.gov/services/APPOINTMENTS.ASP")</f>
        <v>http://www.neworleans.va.gov/services/APPOINTMENTS.ASP</v>
      </c>
      <c r="E3060" s="8" t="s">
        <v>392</v>
      </c>
    </row>
    <row r="3061" ht="14.25" hidden="1" customHeight="1">
      <c r="A3061" s="8" t="s">
        <v>2654</v>
      </c>
      <c r="B3061" s="8" t="s">
        <v>828</v>
      </c>
      <c r="D3061" s="121" t="str">
        <f>HYPERLINK("http://www.neworleans.va.gov/services/AUDIOLOGY_AND_SPEECH_PATHOLOGY.ASP")</f>
        <v>http://www.neworleans.va.gov/services/AUDIOLOGY_AND_SPEECH_PATHOLOGY.ASP</v>
      </c>
      <c r="E3061" s="8" t="s">
        <v>392</v>
      </c>
    </row>
    <row r="3062" ht="14.25" hidden="1" customHeight="1">
      <c r="A3062" s="8" t="s">
        <v>2654</v>
      </c>
      <c r="B3062" s="8" t="s">
        <v>631</v>
      </c>
      <c r="D3062" s="121" t="str">
        <f>HYPERLINK("http://www.neworleans.va.gov/services/BILLING_AND_INSURANCE.ASP")</f>
        <v>http://www.neworleans.va.gov/services/BILLING_AND_INSURANCE.ASP</v>
      </c>
      <c r="E3062" s="8" t="s">
        <v>392</v>
      </c>
    </row>
    <row r="3063" ht="14.25" hidden="1" customHeight="1">
      <c r="A3063" s="8" t="s">
        <v>2654</v>
      </c>
      <c r="B3063" s="8" t="s">
        <v>638</v>
      </c>
      <c r="D3063" s="121" t="str">
        <f>HYPERLINK("http://www.neworleans.va.gov/services/CAREERS.ASP")</f>
        <v>http://www.neworleans.va.gov/services/CAREERS.ASP</v>
      </c>
      <c r="E3063" s="8" t="s">
        <v>392</v>
      </c>
    </row>
    <row r="3064" ht="14.25" hidden="1" customHeight="1">
      <c r="A3064" s="8" t="s">
        <v>2654</v>
      </c>
      <c r="B3064" s="8" t="s">
        <v>3648</v>
      </c>
      <c r="D3064" s="121" t="str">
        <f>HYPERLINK("http://www.neworleans.va.gov/services/NEWS_MEDIA.ASP")</f>
        <v>http://www.neworleans.va.gov/services/NEWS_MEDIA.ASP</v>
      </c>
      <c r="E3064" s="8" t="s">
        <v>392</v>
      </c>
    </row>
    <row r="3065" ht="14.25" hidden="1" customHeight="1">
      <c r="A3065" s="8" t="s">
        <v>2654</v>
      </c>
      <c r="B3065" s="8" t="s">
        <v>872</v>
      </c>
      <c r="D3065" s="121" t="str">
        <f>HYPERLINK("http://www.neworleans.va.gov/services/VETERANSEXPERIENCEOFFICE.ASP")</f>
        <v>http://www.neworleans.va.gov/services/VETERANSEXPERIENCEOFFICE.ASP</v>
      </c>
      <c r="E3065" s="8" t="s">
        <v>392</v>
      </c>
    </row>
    <row r="3066" ht="14.25" hidden="1" customHeight="1">
      <c r="A3066" s="8" t="s">
        <v>2654</v>
      </c>
      <c r="B3066" s="8" t="s">
        <v>663</v>
      </c>
      <c r="D3066" s="121" t="str">
        <f>HYPERLINK("http://www.neworleans.va.gov/services/ELIGIBILITY.ASP")</f>
        <v>http://www.neworleans.va.gov/services/ELIGIBILITY.ASP</v>
      </c>
      <c r="E3066" s="8" t="s">
        <v>392</v>
      </c>
    </row>
    <row r="3067" ht="14.25" hidden="1" customHeight="1">
      <c r="A3067" s="8" t="s">
        <v>2654</v>
      </c>
      <c r="B3067" s="8" t="s">
        <v>1752</v>
      </c>
      <c r="D3067" s="121" t="str">
        <f>HYPERLINK("http://www.neworleans.va.gov/services/EMERGENCY_SERVICES2.ASP")</f>
        <v>http://www.neworleans.va.gov/services/EMERGENCY_SERVICES2.ASP</v>
      </c>
      <c r="E3067" s="8" t="s">
        <v>392</v>
      </c>
    </row>
    <row r="3068" ht="14.25" hidden="1" customHeight="1">
      <c r="A3068" s="8" t="s">
        <v>2654</v>
      </c>
      <c r="B3068" s="8" t="s">
        <v>1147</v>
      </c>
      <c r="D3068" s="121" t="str">
        <f>HYPERLINK("http://www.neworleans.va.gov/services/FORMER_POW_ADVOCATE.ASP")</f>
        <v>http://www.neworleans.va.gov/services/FORMER_POW_ADVOCATE.ASP</v>
      </c>
      <c r="E3068" s="8" t="s">
        <v>392</v>
      </c>
    </row>
    <row r="3069" ht="14.25" hidden="1" customHeight="1">
      <c r="A3069" s="8" t="s">
        <v>2654</v>
      </c>
      <c r="B3069" s="8" t="s">
        <v>323</v>
      </c>
      <c r="D3069" s="121" t="str">
        <f>HYPERLINK("http://www.neworleans.va.gov/services/MENTAL_HEALTH.ASP")</f>
        <v>http://www.neworleans.va.gov/services/MENTAL_HEALTH.ASP</v>
      </c>
      <c r="E3069" s="8" t="s">
        <v>392</v>
      </c>
    </row>
    <row r="3070" ht="14.25" hidden="1" customHeight="1">
      <c r="A3070" s="8" t="s">
        <v>2654</v>
      </c>
      <c r="B3070" s="8" t="s">
        <v>3649</v>
      </c>
      <c r="D3070" s="121" t="str">
        <f>HYPERLINK("http://www.neworleans.va.gov/services/MSTP.ASP")</f>
        <v>http://www.neworleans.va.gov/services/MSTP.ASP</v>
      </c>
      <c r="E3070" s="8" t="s">
        <v>392</v>
      </c>
    </row>
    <row r="3071" ht="14.25" hidden="1" customHeight="1">
      <c r="A3071" s="8" t="s">
        <v>2654</v>
      </c>
      <c r="B3071" s="8" t="s">
        <v>707</v>
      </c>
      <c r="D3071" s="121" t="str">
        <f>HYPERLINK("http://www.neworleans.va.gov/services/MYHEALTHEVET.ASP")</f>
        <v>http://www.neworleans.va.gov/services/MYHEALTHEVET.ASP</v>
      </c>
      <c r="E3071" s="8" t="s">
        <v>392</v>
      </c>
    </row>
    <row r="3072" ht="14.25" hidden="1" customHeight="1">
      <c r="A3072" s="8" t="s">
        <v>2654</v>
      </c>
      <c r="B3072" s="8" t="s">
        <v>343</v>
      </c>
      <c r="D3072" s="121" t="str">
        <f>HYPERLINK("http://www.neworleans.va.gov/services/PHARMACY.ASP")</f>
        <v>http://www.neworleans.va.gov/services/PHARMACY.ASP</v>
      </c>
      <c r="E3072" s="8" t="s">
        <v>392</v>
      </c>
    </row>
    <row r="3073" ht="14.25" hidden="1" customHeight="1">
      <c r="A3073" s="8" t="s">
        <v>2654</v>
      </c>
      <c r="B3073" s="8" t="s">
        <v>1960</v>
      </c>
      <c r="D3073" s="121" t="str">
        <f>HYPERLINK("http://www.neworleans.va.gov/services/SECURITY.ASP")</f>
        <v>http://www.neworleans.va.gov/services/SECURITY.ASP</v>
      </c>
      <c r="E3073" s="8" t="s">
        <v>392</v>
      </c>
    </row>
    <row r="3074" ht="14.25" hidden="1" customHeight="1">
      <c r="A3074" s="8" t="s">
        <v>2654</v>
      </c>
      <c r="B3074" s="8" t="s">
        <v>708</v>
      </c>
      <c r="D3074" s="121" t="str">
        <f>HYPERLINK("http://www.neworleans.va.gov/services/RELEASE_OF_INFORMATION.ASP")</f>
        <v>http://www.neworleans.va.gov/services/RELEASE_OF_INFORMATION.ASP</v>
      </c>
      <c r="E3074" s="8" t="s">
        <v>392</v>
      </c>
    </row>
    <row r="3075" ht="14.25" hidden="1" customHeight="1">
      <c r="A3075" s="8" t="s">
        <v>2654</v>
      </c>
      <c r="B3075" s="8" t="s">
        <v>3650</v>
      </c>
      <c r="D3075" s="121" t="str">
        <f>HYPERLINK("http://www.neworleans.va.gov/services/TELEPHONE_CARE.ASP")</f>
        <v>http://www.neworleans.va.gov/services/TELEPHONE_CARE.ASP</v>
      </c>
      <c r="E3075" s="8" t="s">
        <v>392</v>
      </c>
    </row>
    <row r="3076" ht="14.25" hidden="1" customHeight="1">
      <c r="A3076" s="8" t="s">
        <v>2654</v>
      </c>
      <c r="B3076" s="8" t="s">
        <v>3651</v>
      </c>
      <c r="D3076" s="121" t="str">
        <f>HYPERLINK("http://www.neworleans.va.gov/services/TO_SPEAK_WITH_A_NURSE.ASP")</f>
        <v>http://www.neworleans.va.gov/services/TO_SPEAK_WITH_A_NURSE.ASP</v>
      </c>
      <c r="E3076" s="8" t="s">
        <v>392</v>
      </c>
    </row>
    <row r="3077" ht="14.25" hidden="1" customHeight="1">
      <c r="A3077" s="8" t="s">
        <v>2654</v>
      </c>
      <c r="B3077" s="8" t="s">
        <v>3652</v>
      </c>
      <c r="D3077" s="121" t="str">
        <f>HYPERLINK("http://www.neworleans.va.gov/services/TRANSGENDER_SUPPORT_GROUP.ASP")</f>
        <v>http://www.neworleans.va.gov/services/TRANSGENDER_SUPPORT_GROUP.ASP</v>
      </c>
      <c r="E3077" s="8" t="s">
        <v>392</v>
      </c>
    </row>
    <row r="3078" ht="14.25" hidden="1" customHeight="1">
      <c r="A3078" s="8" t="s">
        <v>2654</v>
      </c>
      <c r="B3078" s="8" t="s">
        <v>518</v>
      </c>
      <c r="D3078" s="121" t="str">
        <f>HYPERLINK("http://www.neworleans.va.gov/services/VOLUNTARY_SERVICE.ASP")</f>
        <v>http://www.neworleans.va.gov/services/VOLUNTARY_SERVICE.ASP</v>
      </c>
      <c r="E3078" s="8" t="s">
        <v>392</v>
      </c>
    </row>
    <row r="3079" ht="14.25" hidden="1" customHeight="1">
      <c r="A3079" s="8" t="s">
        <v>2654</v>
      </c>
      <c r="B3079" s="8" t="s">
        <v>379</v>
      </c>
      <c r="D3079" s="121" t="str">
        <f>HYPERLINK("http://www.neworleans.va.gov/services/WOMEN_VETERANS.ASP")</f>
        <v>http://www.neworleans.va.gov/services/WOMEN_VETERANS.ASP</v>
      </c>
      <c r="E3079" s="8" t="s">
        <v>392</v>
      </c>
    </row>
    <row r="3080" ht="14.25" hidden="1" customHeight="1">
      <c r="A3080" s="8" t="s">
        <v>2658</v>
      </c>
      <c r="B3080" s="8" t="s">
        <v>482</v>
      </c>
      <c r="D3080" s="121" t="str">
        <f>HYPERLINK("http://www.northerncalifornia.va.gov/services/CLC.ASP")</f>
        <v>http://www.northerncalifornia.va.gov/services/CLC.ASP</v>
      </c>
      <c r="E3080" s="8" t="s">
        <v>392</v>
      </c>
    </row>
    <row r="3081" ht="14.25" hidden="1" customHeight="1">
      <c r="A3081" s="8" t="s">
        <v>2658</v>
      </c>
      <c r="B3081" s="8" t="s">
        <v>304</v>
      </c>
      <c r="D3081" s="121" t="str">
        <f>HYPERLINK("http://www.northerncalifornia.va.gov/services/DENTAL.ASP")</f>
        <v>http://www.northerncalifornia.va.gov/services/DENTAL.ASP</v>
      </c>
      <c r="E3081" s="8" t="s">
        <v>392</v>
      </c>
    </row>
    <row r="3082" ht="14.25" hidden="1" customHeight="1">
      <c r="A3082" s="8" t="s">
        <v>2658</v>
      </c>
      <c r="B3082" s="8" t="s">
        <v>1265</v>
      </c>
      <c r="D3082" s="121" t="str">
        <f>HYPERLINK("http://www.northerncalifornia.va.gov/services/LGBT.ASP")</f>
        <v>http://www.northerncalifornia.va.gov/services/LGBT.ASP</v>
      </c>
      <c r="E3082" s="8" t="s">
        <v>392</v>
      </c>
    </row>
    <row r="3083" ht="14.25" hidden="1" customHeight="1">
      <c r="A3083" s="8" t="s">
        <v>2658</v>
      </c>
      <c r="B3083" s="8" t="s">
        <v>1095</v>
      </c>
      <c r="D3083" s="121" t="str">
        <f>HYPERLINK("http://www.northerncalifornia.va.gov/services/MFH.ASP")</f>
        <v>http://www.northerncalifornia.va.gov/services/MFH.ASP</v>
      </c>
      <c r="E3083" s="8" t="s">
        <v>392</v>
      </c>
    </row>
    <row r="3084" ht="14.25" hidden="1" customHeight="1">
      <c r="A3084" s="8" t="s">
        <v>2658</v>
      </c>
      <c r="B3084" s="8" t="s">
        <v>2000</v>
      </c>
      <c r="D3084" s="121" t="str">
        <f>HYPERLINK("http://www.northerncalifornia.va.gov/services/MEDICINE.ASP")</f>
        <v>http://www.northerncalifornia.va.gov/services/MEDICINE.ASP</v>
      </c>
      <c r="E3084" s="8" t="s">
        <v>392</v>
      </c>
    </row>
    <row r="3085" ht="14.25" hidden="1" customHeight="1">
      <c r="A3085" s="8" t="s">
        <v>2658</v>
      </c>
      <c r="B3085" s="8" t="s">
        <v>323</v>
      </c>
      <c r="D3085" s="121" t="str">
        <f>HYPERLINK("http://www.northerncalifornia.va.gov/services/MENTAL_HEALTH.ASP")</f>
        <v>http://www.northerncalifornia.va.gov/services/MENTAL_HEALTH.ASP</v>
      </c>
      <c r="E3085" s="8" t="s">
        <v>392</v>
      </c>
    </row>
    <row r="3086" ht="14.25" hidden="1" customHeight="1">
      <c r="A3086" s="8" t="s">
        <v>2658</v>
      </c>
      <c r="B3086" s="8" t="s">
        <v>324</v>
      </c>
      <c r="D3086" s="121" t="str">
        <f>HYPERLINK("http://www.northerncalifornia.va.gov/services/MST.ASP")</f>
        <v>http://www.northerncalifornia.va.gov/services/MST.ASP</v>
      </c>
      <c r="E3086" s="8" t="s">
        <v>392</v>
      </c>
    </row>
    <row r="3087" ht="14.25" hidden="1" customHeight="1">
      <c r="A3087" s="8" t="s">
        <v>2658</v>
      </c>
      <c r="B3087" s="8" t="s">
        <v>1940</v>
      </c>
      <c r="D3087" s="121" t="str">
        <f>HYPERLINK("http://www.northerncalifornia.va.gov/services/NURSING.ASP")</f>
        <v>http://www.northerncalifornia.va.gov/services/NURSING.ASP</v>
      </c>
      <c r="E3087" s="8" t="s">
        <v>392</v>
      </c>
    </row>
    <row r="3088" ht="14.25" hidden="1" customHeight="1">
      <c r="A3088" s="8" t="s">
        <v>2658</v>
      </c>
      <c r="B3088" s="8" t="s">
        <v>651</v>
      </c>
      <c r="D3088" s="121" t="str">
        <f>HYPERLINK("http://www.northerncalifornia.va.gov/services/PALLIATIVE_CARE.ASP")</f>
        <v>http://www.northerncalifornia.va.gov/services/PALLIATIVE_CARE.ASP</v>
      </c>
      <c r="E3088" s="8" t="s">
        <v>392</v>
      </c>
    </row>
    <row r="3089" ht="14.25" hidden="1" customHeight="1">
      <c r="A3089" s="8" t="s">
        <v>2658</v>
      </c>
      <c r="B3089" s="8" t="s">
        <v>343</v>
      </c>
      <c r="D3089" s="121" t="str">
        <f>HYPERLINK("http://www.northerncalifornia.va.gov/services/PHARMACY.ASP")</f>
        <v>http://www.northerncalifornia.va.gov/services/PHARMACY.ASP</v>
      </c>
      <c r="E3089" s="8" t="s">
        <v>392</v>
      </c>
    </row>
    <row r="3090" ht="14.25" hidden="1" customHeight="1">
      <c r="A3090" s="8" t="s">
        <v>2658</v>
      </c>
      <c r="B3090" s="8" t="s">
        <v>1852</v>
      </c>
      <c r="D3090" s="121" t="str">
        <f>HYPERLINK("http://www.northerncalifornia.va.gov/services/PSYCH-TRAINING.ASP")</f>
        <v>http://www.northerncalifornia.va.gov/services/PSYCH-TRAINING.ASP</v>
      </c>
      <c r="E3090" s="8" t="s">
        <v>392</v>
      </c>
    </row>
    <row r="3091" ht="14.25" hidden="1" customHeight="1">
      <c r="A3091" s="8" t="s">
        <v>2658</v>
      </c>
      <c r="B3091" s="8" t="s">
        <v>508</v>
      </c>
      <c r="D3091" s="121" t="str">
        <f>HYPERLINK("http://www.northerncalifornia.va.gov/services/RESEARCH.ASP")</f>
        <v>http://www.northerncalifornia.va.gov/services/RESEARCH.ASP</v>
      </c>
      <c r="E3091" s="8" t="s">
        <v>392</v>
      </c>
    </row>
    <row r="3092" ht="14.25" hidden="1" customHeight="1">
      <c r="A3092" s="8" t="s">
        <v>2658</v>
      </c>
      <c r="B3092" s="8" t="s">
        <v>360</v>
      </c>
      <c r="D3092" s="121" t="str">
        <f>HYPERLINK("http://www.northerncalifornia.va.gov/services/SOCIAL_WORK.ASP")</f>
        <v>http://www.northerncalifornia.va.gov/services/SOCIAL_WORK.ASP</v>
      </c>
      <c r="E3092" s="8" t="s">
        <v>392</v>
      </c>
    </row>
    <row r="3093" ht="14.25" hidden="1" customHeight="1">
      <c r="A3093" s="8" t="s">
        <v>2658</v>
      </c>
      <c r="B3093" s="8" t="s">
        <v>722</v>
      </c>
      <c r="D3093" s="121" t="str">
        <f>HYPERLINK("http://www.northerncalifornia.va.gov/services/SURGERY.ASP")</f>
        <v>http://www.northerncalifornia.va.gov/services/SURGERY.ASP</v>
      </c>
      <c r="E3093" s="8" t="s">
        <v>392</v>
      </c>
    </row>
    <row r="3094" ht="14.25" hidden="1" customHeight="1">
      <c r="A3094" s="8" t="s">
        <v>2735</v>
      </c>
      <c r="B3094" s="8" t="s">
        <v>309</v>
      </c>
      <c r="D3094" s="121" t="str">
        <f>HYPERLINK("http://www.northernindiana.va.gov/services/EXTENDEDCARE.ASP")</f>
        <v>http://www.northernindiana.va.gov/services/EXTENDEDCARE.ASP</v>
      </c>
      <c r="E3094" s="8" t="s">
        <v>392</v>
      </c>
    </row>
    <row r="3095" ht="14.25" hidden="1" customHeight="1">
      <c r="A3095" s="8" t="s">
        <v>2735</v>
      </c>
      <c r="B3095" s="8" t="s">
        <v>3653</v>
      </c>
      <c r="D3095" s="121" t="str">
        <f>HYPERLINK("http://www.northernindiana.va.gov/services/LGBT_VETERAN_CARE.ASP")</f>
        <v>http://www.northernindiana.va.gov/services/LGBT_VETERAN_CARE.ASP</v>
      </c>
      <c r="E3095" s="8" t="s">
        <v>392</v>
      </c>
    </row>
    <row r="3096" ht="14.25" hidden="1" customHeight="1">
      <c r="A3096" s="8" t="s">
        <v>2735</v>
      </c>
      <c r="B3096" s="8" t="s">
        <v>3139</v>
      </c>
      <c r="D3096" s="121" t="str">
        <f>HYPERLINK("http://www.northernindiana.va.gov/services/MEDICALSERVICES.ASP")</f>
        <v>http://www.northernindiana.va.gov/services/MEDICALSERVICES.ASP</v>
      </c>
      <c r="E3096" s="8" t="s">
        <v>392</v>
      </c>
    </row>
    <row r="3097" ht="14.25" hidden="1" customHeight="1">
      <c r="A3097" s="8" t="s">
        <v>2735</v>
      </c>
      <c r="B3097" s="8" t="s">
        <v>323</v>
      </c>
      <c r="D3097" s="121" t="str">
        <f>HYPERLINK("http://www.northernindiana.va.gov/services/MENTAL_HEALTH.ASP")</f>
        <v>http://www.northernindiana.va.gov/services/MENTAL_HEALTH.ASP</v>
      </c>
      <c r="E3097" s="8" t="s">
        <v>392</v>
      </c>
    </row>
    <row r="3098" ht="14.25" hidden="1" customHeight="1">
      <c r="A3098" s="8" t="s">
        <v>2735</v>
      </c>
      <c r="B3098" s="8" t="s">
        <v>335</v>
      </c>
      <c r="D3098" s="121" t="str">
        <f>HYPERLINK("http://www.northernindiana.va.gov/services/FSN.ASP")</f>
        <v>http://www.northernindiana.va.gov/services/FSN.ASP</v>
      </c>
      <c r="E3098" s="8" t="s">
        <v>392</v>
      </c>
    </row>
    <row r="3099" ht="14.25" hidden="1" customHeight="1">
      <c r="A3099" s="8" t="s">
        <v>2735</v>
      </c>
      <c r="B3099" s="8" t="s">
        <v>651</v>
      </c>
      <c r="D3099" s="121" t="str">
        <f>HYPERLINK("http://www.northernindiana.va.gov/services/PALLIATIVE.ASP")</f>
        <v>http://www.northernindiana.va.gov/services/PALLIATIVE.ASP</v>
      </c>
      <c r="E3099" s="8" t="s">
        <v>392</v>
      </c>
    </row>
    <row r="3100" ht="14.25" hidden="1" customHeight="1">
      <c r="A3100" s="8" t="s">
        <v>2735</v>
      </c>
      <c r="B3100" s="8" t="s">
        <v>360</v>
      </c>
      <c r="D3100" s="121" t="str">
        <f>HYPERLINK("http://www.northernindiana.va.gov/services/SOCIAL.ASP")</f>
        <v>http://www.northernindiana.va.gov/services/SOCIAL.ASP</v>
      </c>
      <c r="E3100" s="8" t="s">
        <v>392</v>
      </c>
    </row>
    <row r="3101" ht="14.25" hidden="1" customHeight="1">
      <c r="A3101" s="8" t="s">
        <v>2735</v>
      </c>
      <c r="B3101" s="8" t="s">
        <v>363</v>
      </c>
      <c r="D3101" s="121" t="str">
        <f>HYPERLINK("http://www.northernindiana.va.gov/services/SPECIAL.ASP")</f>
        <v>http://www.northernindiana.va.gov/services/SPECIAL.ASP</v>
      </c>
      <c r="E3101" s="8" t="s">
        <v>392</v>
      </c>
    </row>
    <row r="3102" ht="14.25" hidden="1" customHeight="1">
      <c r="A3102" s="8" t="s">
        <v>2735</v>
      </c>
      <c r="B3102" s="8" t="s">
        <v>1232</v>
      </c>
      <c r="D3102" s="121" t="str">
        <f>HYPERLINK("http://www.northernindiana.va.gov/services/SPREVENTION.ASP")</f>
        <v>http://www.northernindiana.va.gov/services/SPREVENTION.ASP</v>
      </c>
      <c r="E3102" s="8" t="s">
        <v>392</v>
      </c>
    </row>
    <row r="3103" ht="14.25" hidden="1" customHeight="1">
      <c r="A3103" s="8" t="s">
        <v>2735</v>
      </c>
      <c r="B3103" s="8" t="s">
        <v>3654</v>
      </c>
      <c r="D3103" s="121" t="str">
        <f>HYPERLINK("http://www.northernindiana.va.gov/services/VOEPROGRAM.ASP")</f>
        <v>http://www.northernindiana.va.gov/services/VOEPROGRAM.ASP</v>
      </c>
      <c r="E3103" s="8" t="s">
        <v>392</v>
      </c>
    </row>
    <row r="3104" ht="14.25" hidden="1" customHeight="1">
      <c r="A3104" s="8" t="s">
        <v>2745</v>
      </c>
      <c r="B3104" s="8" t="s">
        <v>484</v>
      </c>
      <c r="D3104" s="121" t="str">
        <f>HYPERLINK("http://www.northflorida.va.gov/services/CAREGIVER_SUPPORT.ASP")</f>
        <v>http://www.northflorida.va.gov/services/CAREGIVER_SUPPORT.ASP</v>
      </c>
      <c r="E3104" s="8" t="s">
        <v>392</v>
      </c>
    </row>
    <row r="3105" ht="14.25" hidden="1" customHeight="1">
      <c r="A3105" s="8" t="s">
        <v>2745</v>
      </c>
      <c r="B3105" s="8" t="s">
        <v>478</v>
      </c>
      <c r="D3105" s="121" t="str">
        <f>HYPERLINK("http://www.northflorida.va.gov/services/CHAPLAIN.ASP")</f>
        <v>http://www.northflorida.va.gov/services/CHAPLAIN.ASP</v>
      </c>
      <c r="E3105" s="8" t="s">
        <v>392</v>
      </c>
    </row>
    <row r="3106" ht="14.25" hidden="1" customHeight="1">
      <c r="A3106" s="8" t="s">
        <v>2745</v>
      </c>
      <c r="B3106" s="8" t="s">
        <v>3655</v>
      </c>
      <c r="D3106" s="121" t="str">
        <f>HYPERLINK("http://www.northflorida.va.gov/services/EXAMPLES_OF.ASP")</f>
        <v>http://www.northflorida.va.gov/services/EXAMPLES_OF.ASP</v>
      </c>
      <c r="E3106" s="8" t="s">
        <v>392</v>
      </c>
    </row>
    <row r="3107" ht="14.25" hidden="1" customHeight="1">
      <c r="A3107" s="8" t="s">
        <v>2745</v>
      </c>
      <c r="B3107" s="8" t="s">
        <v>3656</v>
      </c>
      <c r="D3107" s="121" t="str">
        <f>HYPERLINK("http://www.northflorida.va.gov/services/CLINICAL_TELEHEALTH.ASP")</f>
        <v>http://www.northflorida.va.gov/services/CLINICAL_TELEHEALTH.ASP</v>
      </c>
      <c r="E3107" s="8" t="s">
        <v>392</v>
      </c>
    </row>
    <row r="3108" ht="14.25" hidden="1" customHeight="1">
      <c r="A3108" s="8" t="s">
        <v>2745</v>
      </c>
      <c r="B3108" s="8" t="s">
        <v>3657</v>
      </c>
      <c r="D3108" s="121" t="str">
        <f>HYPERLINK("http://www.northflorida.va.gov/services/FISHERHOUSE.ASP")</f>
        <v>http://www.northflorida.va.gov/services/FISHERHOUSE.ASP</v>
      </c>
      <c r="E3108" s="8" t="s">
        <v>392</v>
      </c>
    </row>
    <row r="3109" ht="14.25" hidden="1" customHeight="1">
      <c r="A3109" s="8" t="s">
        <v>2745</v>
      </c>
      <c r="B3109" s="8" t="s">
        <v>3658</v>
      </c>
      <c r="D3109" s="121" t="str">
        <f>HYPERLINK("http://www.northflorida.va.gov/services/GEM.ASP")</f>
        <v>http://www.northflorida.va.gov/services/GEM.ASP</v>
      </c>
      <c r="E3109" s="8" t="s">
        <v>392</v>
      </c>
    </row>
    <row r="3110" ht="14.25" hidden="1" customHeight="1">
      <c r="A3110" s="8" t="s">
        <v>2745</v>
      </c>
      <c r="B3110" s="8" t="s">
        <v>556</v>
      </c>
      <c r="D3110" s="121" t="str">
        <f>HYPERLINK("http://www.northflorida.va.gov/services/GERIATRICS.ASP")</f>
        <v>http://www.northflorida.va.gov/services/GERIATRICS.ASP</v>
      </c>
      <c r="E3110" s="8" t="s">
        <v>392</v>
      </c>
    </row>
    <row r="3111" ht="14.25" hidden="1" customHeight="1">
      <c r="A3111" s="8" t="s">
        <v>2745</v>
      </c>
      <c r="B3111" s="8" t="s">
        <v>696</v>
      </c>
      <c r="D3111" s="121" t="str">
        <f>HYPERLINK("http://www.northflorida.va.gov/services/HEMATOLOGY_ONCOLOGY.ASP")</f>
        <v>http://www.northflorida.va.gov/services/HEMATOLOGY_ONCOLOGY.ASP</v>
      </c>
      <c r="E3111" s="8" t="s">
        <v>392</v>
      </c>
    </row>
    <row r="3112" ht="14.25" hidden="1" customHeight="1">
      <c r="A3112" s="8" t="s">
        <v>2745</v>
      </c>
      <c r="B3112" s="8" t="s">
        <v>3659</v>
      </c>
      <c r="D3112" s="121" t="str">
        <f>HYPERLINK("http://www.northflorida.va.gov/services/HOME_TELEHEALTH_PROGRAMS.ASP")</f>
        <v>http://www.northflorida.va.gov/services/HOME_TELEHEALTH_PROGRAMS.ASP</v>
      </c>
      <c r="E3112" s="8" t="s">
        <v>392</v>
      </c>
    </row>
    <row r="3113" ht="14.25" hidden="1" customHeight="1">
      <c r="A3113" s="8" t="s">
        <v>2745</v>
      </c>
      <c r="B3113" s="8" t="s">
        <v>437</v>
      </c>
      <c r="D3113" s="121" t="str">
        <f>HYPERLINK("http://www.northflorida.va.gov/services/PALLIATIVE_CARE.ASP")</f>
        <v>http://www.northflorida.va.gov/services/PALLIATIVE_CARE.ASP</v>
      </c>
      <c r="E3113" s="8" t="s">
        <v>392</v>
      </c>
    </row>
    <row r="3114" ht="14.25" hidden="1" customHeight="1">
      <c r="A3114" s="8" t="s">
        <v>2745</v>
      </c>
      <c r="B3114" s="8" t="s">
        <v>3660</v>
      </c>
      <c r="D3114" s="121" t="str">
        <f>HYPERLINK("http://www.northflorida.va.gov/services/LAMP.ASP")</f>
        <v>http://www.northflorida.va.gov/services/LAMP.ASP</v>
      </c>
      <c r="E3114" s="8" t="s">
        <v>392</v>
      </c>
    </row>
    <row r="3115" ht="14.25" hidden="1" customHeight="1">
      <c r="A3115" s="8" t="s">
        <v>2745</v>
      </c>
      <c r="B3115" s="8" t="s">
        <v>3661</v>
      </c>
      <c r="D3115" s="121" t="str">
        <f>HYPERLINK("http://www.northflorida.va.gov/services/MOVE.ASP")</f>
        <v>http://www.northflorida.va.gov/services/MOVE.ASP</v>
      </c>
      <c r="E3115" s="8" t="s">
        <v>392</v>
      </c>
    </row>
    <row r="3116" ht="14.25" hidden="1" customHeight="1">
      <c r="A3116" s="8" t="s">
        <v>2745</v>
      </c>
      <c r="B3116" s="8" t="s">
        <v>476</v>
      </c>
      <c r="D3116" s="121" t="str">
        <f>HYPERLINK("http://www.northflorida.va.gov/services/MEDICAL_FOSTER_HOME.ASP")</f>
        <v>http://www.northflorida.va.gov/services/MEDICAL_FOSTER_HOME.ASP</v>
      </c>
      <c r="E3116" s="8" t="s">
        <v>392</v>
      </c>
    </row>
    <row r="3117" ht="14.25" hidden="1" customHeight="1">
      <c r="A3117" s="8" t="s">
        <v>2745</v>
      </c>
      <c r="B3117" s="8" t="s">
        <v>323</v>
      </c>
      <c r="D3117" s="121" t="str">
        <f>HYPERLINK("http://www.northflorida.va.gov/services/MENTAL_HEALTH.ASP")</f>
        <v>http://www.northflorida.va.gov/services/MENTAL_HEALTH.ASP</v>
      </c>
      <c r="E3117" s="8" t="s">
        <v>392</v>
      </c>
    </row>
    <row r="3118" ht="14.25" hidden="1" customHeight="1">
      <c r="A3118" s="8" t="s">
        <v>2745</v>
      </c>
      <c r="B3118" s="8" t="s">
        <v>1940</v>
      </c>
      <c r="D3118" s="121" t="str">
        <f>HYPERLINK("http://www.northflorida.va.gov/services/NURSING.ASP")</f>
        <v>http://www.northflorida.va.gov/services/NURSING.ASP</v>
      </c>
      <c r="E3118" s="8" t="s">
        <v>392</v>
      </c>
    </row>
    <row r="3119" ht="14.25" hidden="1" customHeight="1">
      <c r="A3119" s="8" t="s">
        <v>2745</v>
      </c>
      <c r="B3119" s="8" t="s">
        <v>332</v>
      </c>
      <c r="D3119" s="121" t="str">
        <f>HYPERLINK("http://www.northflorida.va.gov/services/NUTRITION.ASP")</f>
        <v>http://www.northflorida.va.gov/services/NUTRITION.ASP</v>
      </c>
      <c r="E3119" s="8" t="s">
        <v>392</v>
      </c>
    </row>
    <row r="3120" ht="14.25" hidden="1" customHeight="1">
      <c r="A3120" s="8" t="s">
        <v>2745</v>
      </c>
      <c r="B3120" s="8" t="s">
        <v>839</v>
      </c>
      <c r="D3120" s="121" t="str">
        <f>HYPERLINK("http://www.northflorida.va.gov/services/HEMATOLOGY_ONCOLOGY.ASP")</f>
        <v>http://www.northflorida.va.gov/services/HEMATOLOGY_ONCOLOGY.ASP</v>
      </c>
      <c r="E3120" s="8" t="s">
        <v>595</v>
      </c>
    </row>
    <row r="3121" ht="14.25" hidden="1" customHeight="1">
      <c r="A3121" s="8" t="s">
        <v>2745</v>
      </c>
      <c r="B3121" s="8" t="s">
        <v>343</v>
      </c>
      <c r="D3121" s="121" t="str">
        <f>HYPERLINK("http://www.northflorida.va.gov/services/PHARMACY.ASP")</f>
        <v>http://www.northflorida.va.gov/services/PHARMACY.ASP</v>
      </c>
      <c r="E3121" s="8" t="s">
        <v>392</v>
      </c>
    </row>
    <row r="3122" ht="14.25" hidden="1" customHeight="1">
      <c r="A3122" s="8" t="s">
        <v>2745</v>
      </c>
      <c r="B3122" s="8" t="s">
        <v>348</v>
      </c>
      <c r="D3122" s="121" t="str">
        <f>HYPERLINK("http://www.northflorida.va.gov/services/PRIMARY_CARE.ASP")</f>
        <v>http://www.northflorida.va.gov/services/PRIMARY_CARE.ASP</v>
      </c>
      <c r="E3122" s="8" t="s">
        <v>392</v>
      </c>
    </row>
    <row r="3123" ht="14.25" hidden="1" customHeight="1">
      <c r="A3123" s="8" t="s">
        <v>2745</v>
      </c>
      <c r="B3123" s="8" t="s">
        <v>1964</v>
      </c>
      <c r="D3123" s="121" t="str">
        <f>HYPERLINK("http://www.northflorida.va.gov/services/PROSTHETICS.ASP")</f>
        <v>http://www.northflorida.va.gov/services/PROSTHETICS.ASP</v>
      </c>
      <c r="E3123" s="8" t="s">
        <v>392</v>
      </c>
    </row>
    <row r="3124" ht="14.25" hidden="1" customHeight="1">
      <c r="A3124" s="8" t="s">
        <v>2745</v>
      </c>
      <c r="B3124" s="8" t="s">
        <v>1630</v>
      </c>
      <c r="D3124" s="121" t="str">
        <f>HYPERLINK("http://www.northflorida.va.gov/services/PSYCHOLOGY.ASP")</f>
        <v>http://www.northflorida.va.gov/services/PSYCHOLOGY.ASP</v>
      </c>
      <c r="E3124" s="8" t="s">
        <v>392</v>
      </c>
    </row>
    <row r="3125" ht="14.25" hidden="1" customHeight="1">
      <c r="A3125" s="8" t="s">
        <v>2745</v>
      </c>
      <c r="B3125" s="8" t="s">
        <v>857</v>
      </c>
      <c r="D3125" s="121" t="str">
        <f t="shared" ref="D3125:D3127" si="28">HYPERLINK("http://www.northflorida.va.gov/services/SLEEP_CENTER.ASP")</f>
        <v>http://www.northflorida.va.gov/services/SLEEP_CENTER.ASP</v>
      </c>
      <c r="E3125" s="8" t="s">
        <v>595</v>
      </c>
    </row>
    <row r="3126" ht="14.25" hidden="1" customHeight="1">
      <c r="A3126" s="8" t="s">
        <v>2745</v>
      </c>
      <c r="B3126" s="8" t="s">
        <v>3662</v>
      </c>
      <c r="D3126" s="121" t="str">
        <f t="shared" si="28"/>
        <v>http://www.northflorida.va.gov/services/SLEEP_CENTER.ASP</v>
      </c>
      <c r="E3126" s="8" t="s">
        <v>392</v>
      </c>
    </row>
    <row r="3127" ht="14.25" hidden="1" customHeight="1">
      <c r="A3127" s="8" t="s">
        <v>2745</v>
      </c>
      <c r="B3127" s="8" t="s">
        <v>1448</v>
      </c>
      <c r="D3127" s="121" t="str">
        <f t="shared" si="28"/>
        <v>http://www.northflorida.va.gov/services/SLEEP_CENTER.ASP</v>
      </c>
      <c r="E3127" s="8" t="s">
        <v>595</v>
      </c>
    </row>
    <row r="3128" ht="14.25" hidden="1" customHeight="1">
      <c r="A3128" s="8" t="s">
        <v>2745</v>
      </c>
      <c r="B3128" s="8" t="s">
        <v>360</v>
      </c>
      <c r="D3128" s="121" t="str">
        <f>HYPERLINK("http://www.northflorida.va.gov/services/SOCIAL_WORK.ASP")</f>
        <v>http://www.northflorida.va.gov/services/SOCIAL_WORK.ASP</v>
      </c>
      <c r="E3128" s="8" t="s">
        <v>392</v>
      </c>
    </row>
    <row r="3129" ht="14.25" hidden="1" customHeight="1">
      <c r="A3129" s="8" t="s">
        <v>2745</v>
      </c>
      <c r="B3129" s="8" t="s">
        <v>364</v>
      </c>
      <c r="D3129" s="121" t="str">
        <f>HYPERLINK("http://www.northflorida.va.gov/services/SPINAL_CORD_INJURY.ASP")</f>
        <v>http://www.northflorida.va.gov/services/SPINAL_CORD_INJURY.ASP</v>
      </c>
      <c r="E3129" s="8" t="s">
        <v>392</v>
      </c>
    </row>
    <row r="3130" ht="14.25" hidden="1" customHeight="1">
      <c r="A3130" s="8" t="s">
        <v>2745</v>
      </c>
      <c r="B3130" s="8" t="s">
        <v>1400</v>
      </c>
      <c r="D3130" s="121" t="str">
        <f>HYPERLINK("http://www.northflorida.va.gov/services/SURGICAL_SERVICE.ASP")</f>
        <v>http://www.northflorida.va.gov/services/SURGICAL_SERVICE.ASP</v>
      </c>
      <c r="E3130" s="8" t="s">
        <v>392</v>
      </c>
    </row>
    <row r="3131" ht="14.25" hidden="1" customHeight="1">
      <c r="A3131" s="8" t="s">
        <v>2745</v>
      </c>
      <c r="B3131" s="8" t="s">
        <v>370</v>
      </c>
      <c r="D3131" s="121" t="str">
        <f>HYPERLINK("http://www.northflorida.va.gov/services/TELEHEALTH.ASP")</f>
        <v>http://www.northflorida.va.gov/services/TELEHEALTH.ASP</v>
      </c>
      <c r="E3131" s="8" t="s">
        <v>392</v>
      </c>
    </row>
    <row r="3132" ht="14.25" hidden="1" customHeight="1">
      <c r="A3132" s="8" t="s">
        <v>2745</v>
      </c>
      <c r="B3132" s="8" t="s">
        <v>3663</v>
      </c>
      <c r="D3132" s="121" t="str">
        <f>HYPERLINK("http://www.northflorida.va.gov/services/VILLAGESOPTOMETRY.ASP")</f>
        <v>http://www.northflorida.va.gov/services/VILLAGESOPTOMETRY.ASP</v>
      </c>
      <c r="E3132" s="8" t="s">
        <v>392</v>
      </c>
    </row>
    <row r="3133" ht="14.25" hidden="1" customHeight="1">
      <c r="A3133" s="8" t="s">
        <v>2745</v>
      </c>
      <c r="B3133" s="8" t="s">
        <v>3664</v>
      </c>
      <c r="D3133" s="121" t="str">
        <f>HYPERLINK("http://www.northflorida.va.gov/services/VICTORS.ASP")</f>
        <v>http://www.northflorida.va.gov/services/VICTORS.ASP</v>
      </c>
      <c r="E3133" s="8" t="s">
        <v>392</v>
      </c>
    </row>
    <row r="3134" ht="14.25" hidden="1" customHeight="1">
      <c r="A3134" s="8" t="s">
        <v>2772</v>
      </c>
      <c r="B3134" s="8" t="s">
        <v>1193</v>
      </c>
      <c r="D3134" s="121" t="str">
        <f>HYPERLINK("http://www.northport.va.gov/services/EDUCATION.ASP")</f>
        <v>http://www.northport.va.gov/services/EDUCATION.ASP</v>
      </c>
      <c r="E3134" s="8" t="s">
        <v>392</v>
      </c>
    </row>
    <row r="3135" ht="14.25" hidden="1" customHeight="1">
      <c r="A3135" s="8" t="s">
        <v>2772</v>
      </c>
      <c r="B3135" s="8" t="s">
        <v>309</v>
      </c>
      <c r="D3135" s="121" t="str">
        <f>HYPERLINK("http://www.northport.va.gov/services/EXTENDED_CARE_AND.ASP")</f>
        <v>http://www.northport.va.gov/services/EXTENDED_CARE_AND.ASP</v>
      </c>
      <c r="E3135" s="8" t="s">
        <v>392</v>
      </c>
    </row>
    <row r="3136" ht="14.25" hidden="1" customHeight="1">
      <c r="A3136" s="8" t="s">
        <v>2772</v>
      </c>
      <c r="B3136" s="8" t="s">
        <v>467</v>
      </c>
      <c r="D3136" s="121" t="str">
        <f>HYPERLINK("http://www.northport.va.gov/services/FORMER_POW_ADVOCATE.ASP")</f>
        <v>http://www.northport.va.gov/services/FORMER_POW_ADVOCATE.ASP</v>
      </c>
      <c r="E3136" s="8" t="s">
        <v>392</v>
      </c>
    </row>
    <row r="3137" ht="14.25" hidden="1" customHeight="1">
      <c r="A3137" s="8" t="s">
        <v>2772</v>
      </c>
      <c r="B3137" s="8" t="s">
        <v>1197</v>
      </c>
      <c r="D3137" s="121" t="str">
        <f>HYPERLINK("http://www.northport.va.gov/services/HELPLINE.ASP")</f>
        <v>http://www.northport.va.gov/services/HELPLINE.ASP</v>
      </c>
      <c r="E3137" s="8" t="s">
        <v>595</v>
      </c>
    </row>
    <row r="3138" ht="14.25" hidden="1" customHeight="1">
      <c r="A3138" s="8" t="s">
        <v>2772</v>
      </c>
      <c r="B3138" s="8" t="s">
        <v>1058</v>
      </c>
      <c r="D3138" s="121" t="str">
        <f>HYPERLINK("http://www.northport.va.gov/services/HOME_BASED_PRIMARY_CARE.ASP")</f>
        <v>http://www.northport.va.gov/services/HOME_BASED_PRIMARY_CARE.ASP</v>
      </c>
      <c r="E3138" s="8" t="s">
        <v>392</v>
      </c>
    </row>
    <row r="3139" ht="14.25" hidden="1" customHeight="1">
      <c r="A3139" s="8" t="s">
        <v>2772</v>
      </c>
      <c r="B3139" s="8" t="s">
        <v>437</v>
      </c>
      <c r="D3139" s="121" t="str">
        <f>HYPERLINK("http://www.northport.va.gov/services/HOSPICE_AND_PALLIATIVE_CARE.ASP")</f>
        <v>http://www.northport.va.gov/services/HOSPICE_AND_PALLIATIVE_CARE.ASP</v>
      </c>
      <c r="E3139" s="8" t="s">
        <v>392</v>
      </c>
    </row>
    <row r="3140" ht="14.25" hidden="1" customHeight="1">
      <c r="A3140" s="8" t="s">
        <v>2772</v>
      </c>
      <c r="B3140" s="8" t="s">
        <v>1199</v>
      </c>
      <c r="D3140" s="121" t="str">
        <f>HYPERLINK("http://www.northport.va.gov/services/EDUCATION.ASP")</f>
        <v>http://www.northport.va.gov/services/EDUCATION.ASP</v>
      </c>
      <c r="E3140" s="8" t="s">
        <v>595</v>
      </c>
    </row>
    <row r="3141" ht="14.25" hidden="1" customHeight="1">
      <c r="A3141" s="8" t="s">
        <v>2772</v>
      </c>
      <c r="B3141" s="8" t="s">
        <v>438</v>
      </c>
      <c r="D3141" s="121" t="str">
        <f>HYPERLINK("http://www.northport.va.gov/services/LGBT_PATIENT_CENTERED_CARE.ASP")</f>
        <v>http://www.northport.va.gov/services/LGBT_PATIENT_CENTERED_CARE.ASP</v>
      </c>
      <c r="E3141" s="8" t="s">
        <v>392</v>
      </c>
    </row>
    <row r="3142" ht="14.25" hidden="1" customHeight="1">
      <c r="A3142" s="8" t="s">
        <v>2772</v>
      </c>
      <c r="B3142" s="8" t="s">
        <v>323</v>
      </c>
      <c r="D3142" s="121" t="str">
        <f>HYPERLINK("http://www.northport.va.gov/services/MENTAL_HEALTH.ASP")</f>
        <v>http://www.northport.va.gov/services/MENTAL_HEALTH.ASP</v>
      </c>
      <c r="E3142" s="8" t="s">
        <v>392</v>
      </c>
    </row>
    <row r="3143" ht="14.25" hidden="1" customHeight="1">
      <c r="A3143" s="8" t="s">
        <v>2772</v>
      </c>
      <c r="B3143" s="8" t="s">
        <v>1203</v>
      </c>
      <c r="D3143" s="121" t="str">
        <f>HYPERLINK("http://www.northport.va.gov/services/HELPLINE.ASP")</f>
        <v>http://www.northport.va.gov/services/HELPLINE.ASP</v>
      </c>
      <c r="E3143" s="8" t="s">
        <v>595</v>
      </c>
    </row>
    <row r="3144" ht="14.25" hidden="1" customHeight="1">
      <c r="A3144" s="8" t="s">
        <v>2772</v>
      </c>
      <c r="B3144" s="8" t="s">
        <v>1205</v>
      </c>
      <c r="D3144" s="121" t="str">
        <f>HYPERLINK("http://www.northport.va.gov/services/EDUCATION.ASP")</f>
        <v>http://www.northport.va.gov/services/EDUCATION.ASP</v>
      </c>
      <c r="E3144" s="8" t="s">
        <v>595</v>
      </c>
    </row>
    <row r="3145" ht="14.25" hidden="1" customHeight="1">
      <c r="A3145" s="8" t="s">
        <v>2772</v>
      </c>
      <c r="B3145" s="8" t="s">
        <v>343</v>
      </c>
      <c r="D3145" s="121" t="str">
        <f>HYPERLINK("http://www.northport.va.gov/services/PHARMACY.ASP")</f>
        <v>http://www.northport.va.gov/services/PHARMACY.ASP</v>
      </c>
      <c r="E3145" s="8" t="s">
        <v>392</v>
      </c>
    </row>
    <row r="3146" ht="14.25" hidden="1" customHeight="1">
      <c r="A3146" s="8" t="s">
        <v>2772</v>
      </c>
      <c r="B3146" s="8" t="s">
        <v>961</v>
      </c>
      <c r="D3146" s="121" t="str">
        <f>HYPERLINK("http://www.northport.va.gov/services/PHYSICAL_MEDICINE_AND.ASP")</f>
        <v>http://www.northport.va.gov/services/PHYSICAL_MEDICINE_AND.ASP</v>
      </c>
      <c r="E3146" s="8" t="s">
        <v>392</v>
      </c>
    </row>
    <row r="3147" ht="14.25" hidden="1" customHeight="1">
      <c r="A3147" s="8" t="s">
        <v>2772</v>
      </c>
      <c r="B3147" s="8" t="s">
        <v>1516</v>
      </c>
      <c r="D3147" s="121" t="str">
        <f>HYPERLINK("http://www.northport.va.gov/services/PODIATRY.ASP")</f>
        <v>http://www.northport.va.gov/services/PODIATRY.ASP</v>
      </c>
      <c r="E3147" s="8" t="s">
        <v>392</v>
      </c>
    </row>
    <row r="3148" ht="14.25" hidden="1" customHeight="1">
      <c r="A3148" s="8" t="s">
        <v>2772</v>
      </c>
      <c r="B3148" s="8" t="s">
        <v>348</v>
      </c>
      <c r="D3148" s="121" t="str">
        <f>HYPERLINK("http://www.northport.va.gov/services/PRIMARY_CARE.ASP")</f>
        <v>http://www.northport.va.gov/services/PRIMARY_CARE.ASP</v>
      </c>
      <c r="E3148" s="8" t="s">
        <v>392</v>
      </c>
    </row>
    <row r="3149" ht="14.25" hidden="1" customHeight="1">
      <c r="A3149" s="8" t="s">
        <v>2772</v>
      </c>
      <c r="B3149" s="8" t="s">
        <v>1312</v>
      </c>
      <c r="D3149" s="121" t="str">
        <f>HYPERLINK("http://www.northport.va.gov/services/RESEARCH_AND_DEVELOPMENT.ASP")</f>
        <v>http://www.northport.va.gov/services/RESEARCH_AND_DEVELOPMENT.ASP</v>
      </c>
      <c r="E3149" s="8" t="s">
        <v>392</v>
      </c>
    </row>
    <row r="3150" ht="14.25" hidden="1" customHeight="1">
      <c r="A3150" s="8" t="s">
        <v>2772</v>
      </c>
      <c r="B3150" s="8" t="s">
        <v>360</v>
      </c>
      <c r="D3150" s="121" t="str">
        <f>HYPERLINK("http://www.northport.va.gov/services/SOCIAL_WORK.ASP")</f>
        <v>http://www.northport.va.gov/services/SOCIAL_WORK.ASP</v>
      </c>
      <c r="E3150" s="8" t="s">
        <v>392</v>
      </c>
    </row>
    <row r="3151" ht="14.25" hidden="1" customHeight="1">
      <c r="A3151" s="8" t="s">
        <v>2772</v>
      </c>
      <c r="B3151" s="8" t="s">
        <v>363</v>
      </c>
      <c r="D3151" s="121" t="str">
        <f>HYPERLINK("http://www.northport.va.gov/services/SPECIALTY_CARE.ASP")</f>
        <v>http://www.northport.va.gov/services/SPECIALTY_CARE.ASP</v>
      </c>
      <c r="E3151" s="8" t="s">
        <v>392</v>
      </c>
    </row>
    <row r="3152" ht="14.25" hidden="1" customHeight="1">
      <c r="A3152" s="8" t="s">
        <v>2772</v>
      </c>
      <c r="B3152" s="8" t="s">
        <v>1213</v>
      </c>
      <c r="D3152" s="121" t="str">
        <f>HYPERLINK("http://www.northport.va.gov/services/EDUCATION.ASP")</f>
        <v>http://www.northport.va.gov/services/EDUCATION.ASP</v>
      </c>
      <c r="E3152" s="8" t="s">
        <v>595</v>
      </c>
    </row>
    <row r="3153" ht="14.25" hidden="1" customHeight="1">
      <c r="A3153" s="8" t="s">
        <v>2772</v>
      </c>
      <c r="B3153" s="8" t="s">
        <v>1214</v>
      </c>
      <c r="D3153" s="121" t="str">
        <f>HYPERLINK("http://www.northport.va.gov/services/HELPLINE.ASP")</f>
        <v>http://www.northport.va.gov/services/HELPLINE.ASP</v>
      </c>
      <c r="E3153" s="8" t="s">
        <v>392</v>
      </c>
    </row>
    <row r="3154" ht="14.25" hidden="1" customHeight="1">
      <c r="A3154" s="8" t="s">
        <v>2772</v>
      </c>
      <c r="B3154" s="8" t="s">
        <v>470</v>
      </c>
      <c r="D3154" s="121" t="str">
        <f>HYPERLINK("http://www.northport.va.gov/services/VA_NURSE_HELPLINE.ASP")</f>
        <v>http://www.northport.va.gov/services/VA_NURSE_HELPLINE.ASP</v>
      </c>
      <c r="E3154" s="8" t="s">
        <v>392</v>
      </c>
    </row>
    <row r="3155" ht="14.25" hidden="1" customHeight="1">
      <c r="A3155" s="8" t="s">
        <v>3665</v>
      </c>
      <c r="B3155" s="8" t="s">
        <v>1416</v>
      </c>
      <c r="D3155" s="121" t="str">
        <f>HYPERLINK("http://www.northtexas.va.gov/services/ANESTHESIA.ASP")</f>
        <v>http://www.northtexas.va.gov/services/ANESTHESIA.ASP</v>
      </c>
      <c r="E3155" s="8" t="s">
        <v>392</v>
      </c>
    </row>
    <row r="3156" ht="14.25" hidden="1" customHeight="1">
      <c r="A3156" s="8" t="s">
        <v>3665</v>
      </c>
      <c r="B3156" s="8" t="s">
        <v>624</v>
      </c>
      <c r="D3156" s="121" t="str">
        <f>HYPERLINK("http://www.northtexas.va.gov/services/APPOINTMENTS.ASP")</f>
        <v>http://www.northtexas.va.gov/services/APPOINTMENTS.ASP</v>
      </c>
      <c r="E3156" s="8" t="s">
        <v>392</v>
      </c>
    </row>
    <row r="3157" ht="14.25" hidden="1" customHeight="1">
      <c r="A3157" s="8" t="s">
        <v>3665</v>
      </c>
      <c r="B3157" s="8" t="s">
        <v>631</v>
      </c>
      <c r="D3157" s="121" t="str">
        <f>HYPERLINK("http://www.northtexas.va.gov/services/BILLING.ASP")</f>
        <v>http://www.northtexas.va.gov/services/BILLING.ASP</v>
      </c>
      <c r="E3157" s="8" t="s">
        <v>392</v>
      </c>
    </row>
    <row r="3158" ht="14.25" hidden="1" customHeight="1">
      <c r="A3158" s="8" t="s">
        <v>3665</v>
      </c>
      <c r="B3158" s="8" t="s">
        <v>414</v>
      </c>
      <c r="D3158" s="121" t="str">
        <f>HYPERLINK("http://www.northtexas.va.gov/services/CARDIO.ASP")</f>
        <v>http://www.northtexas.va.gov/services/CARDIO.ASP</v>
      </c>
      <c r="E3158" s="8" t="s">
        <v>392</v>
      </c>
    </row>
    <row r="3159" ht="14.25" hidden="1" customHeight="1">
      <c r="A3159" s="8" t="s">
        <v>3665</v>
      </c>
      <c r="B3159" s="8" t="s">
        <v>478</v>
      </c>
      <c r="D3159" s="121" t="str">
        <f>HYPERLINK("http://www.northtexas.va.gov/services/CHAPLAIN.ASP")</f>
        <v>http://www.northtexas.va.gov/services/CHAPLAIN.ASP</v>
      </c>
      <c r="E3159" s="8" t="s">
        <v>392</v>
      </c>
    </row>
    <row r="3160" ht="14.25" hidden="1" customHeight="1">
      <c r="A3160" s="8" t="s">
        <v>3665</v>
      </c>
      <c r="B3160" s="8" t="s">
        <v>872</v>
      </c>
      <c r="D3160" s="121" t="str">
        <f>HYPERLINK("http://www.northtexas.va.gov/services/CUSTOMER_SERVICE.ASP")</f>
        <v>http://www.northtexas.va.gov/services/CUSTOMER_SERVICE.ASP</v>
      </c>
      <c r="E3160" s="8" t="s">
        <v>392</v>
      </c>
    </row>
    <row r="3161" ht="14.25" hidden="1" customHeight="1">
      <c r="A3161" s="8" t="s">
        <v>3665</v>
      </c>
      <c r="B3161" s="8" t="s">
        <v>3666</v>
      </c>
      <c r="D3161" s="121" t="str">
        <f>HYPERLINK("http://www.northtexas.va.gov/services/BON_DOM.ASP")</f>
        <v>http://www.northtexas.va.gov/services/BON_DOM.ASP</v>
      </c>
      <c r="E3161" s="8" t="s">
        <v>392</v>
      </c>
    </row>
    <row r="3162" ht="14.25" hidden="1" customHeight="1">
      <c r="A3162" s="8" t="s">
        <v>3665</v>
      </c>
      <c r="B3162" s="8" t="s">
        <v>3667</v>
      </c>
      <c r="D3162" s="121" t="str">
        <f>HYPERLINK("http://www.northtexas.va.gov/services/DOM_DALLAS.ASP")</f>
        <v>http://www.northtexas.va.gov/services/DOM_DALLAS.ASP</v>
      </c>
      <c r="E3162" s="8" t="s">
        <v>392</v>
      </c>
    </row>
    <row r="3163" ht="14.25" hidden="1" customHeight="1">
      <c r="A3163" s="8" t="s">
        <v>3665</v>
      </c>
      <c r="B3163" s="8" t="s">
        <v>3668</v>
      </c>
      <c r="D3163" s="121" t="str">
        <f>HYPERLINK("http://www.northtexas.va.gov/services/PH_MEANS.ASP")</f>
        <v>http://www.northtexas.va.gov/services/PH_MEANS.ASP</v>
      </c>
      <c r="E3163" s="8" t="s">
        <v>392</v>
      </c>
    </row>
    <row r="3164" ht="14.25" hidden="1" customHeight="1">
      <c r="A3164" s="8" t="s">
        <v>3665</v>
      </c>
      <c r="B3164" s="8" t="s">
        <v>1344</v>
      </c>
      <c r="D3164" s="121" t="str">
        <f>HYPERLINK("http://www.northtexas.va.gov/services/FISHER_HOUSE.ASP")</f>
        <v>http://www.northtexas.va.gov/services/FISHER_HOUSE.ASP</v>
      </c>
      <c r="E3164" s="8" t="s">
        <v>392</v>
      </c>
    </row>
    <row r="3165" ht="14.25" hidden="1" customHeight="1">
      <c r="A3165" s="8" t="s">
        <v>3665</v>
      </c>
      <c r="B3165" s="8" t="s">
        <v>3669</v>
      </c>
      <c r="D3165" s="121" t="str">
        <f>HYPERLINK("http://www.northtexas.va.gov/services/GI_ENDOSCOPY.ASP")</f>
        <v>http://www.northtexas.va.gov/services/GI_ENDOSCOPY.ASP</v>
      </c>
      <c r="E3165" s="8" t="s">
        <v>392</v>
      </c>
    </row>
    <row r="3166" ht="14.25" hidden="1" customHeight="1">
      <c r="A3166" s="8" t="s">
        <v>3665</v>
      </c>
      <c r="B3166" s="8" t="s">
        <v>556</v>
      </c>
      <c r="D3166" s="121" t="str">
        <f>HYPERLINK("http://www.northtexas.va.gov/services/GEC.ASP")</f>
        <v>http://www.northtexas.va.gov/services/GEC.ASP</v>
      </c>
      <c r="E3166" s="8" t="s">
        <v>392</v>
      </c>
    </row>
    <row r="3167" ht="14.25" hidden="1" customHeight="1">
      <c r="A3167" s="8" t="s">
        <v>3665</v>
      </c>
      <c r="B3167" s="8" t="s">
        <v>588</v>
      </c>
      <c r="D3167" s="121" t="str">
        <f>HYPERLINK("http://www.northtexas.va.gov/services/HOMELESS/HEALTH_CARE_FOR_HOMELESS_VETERANS.ASP")</f>
        <v>http://www.northtexas.va.gov/services/HOMELESS/HEALTH_CARE_FOR_HOMELESS_VETERANS.ASP</v>
      </c>
      <c r="E3167" s="8" t="s">
        <v>392</v>
      </c>
    </row>
    <row r="3168" ht="14.25" hidden="1" customHeight="1">
      <c r="A3168" s="8" t="s">
        <v>3665</v>
      </c>
      <c r="B3168" s="8" t="s">
        <v>3670</v>
      </c>
      <c r="D3168" s="121" t="str">
        <f>HYPERLINK("http://www.northtexas.va.gov/services/PH_HRC.ASP")</f>
        <v>http://www.northtexas.va.gov/services/PH_HRC.ASP</v>
      </c>
      <c r="E3168" s="8" t="s">
        <v>392</v>
      </c>
    </row>
    <row r="3169" ht="14.25" hidden="1" customHeight="1">
      <c r="A3169" s="8" t="s">
        <v>3665</v>
      </c>
      <c r="B3169" s="8" t="s">
        <v>3671</v>
      </c>
      <c r="D3169" s="121" t="str">
        <f>HYPERLINK("http://www.northtexas.va.gov/services/HEPATITIS.ASP")</f>
        <v>http://www.northtexas.va.gov/services/HEPATITIS.ASP</v>
      </c>
      <c r="E3169" s="8" t="s">
        <v>392</v>
      </c>
    </row>
    <row r="3170" ht="14.25" hidden="1" customHeight="1">
      <c r="A3170" s="8" t="s">
        <v>3665</v>
      </c>
      <c r="B3170" s="8" t="s">
        <v>1058</v>
      </c>
      <c r="D3170" s="121" t="str">
        <f>HYPERLINK("http://www.northtexas.va.gov/services/HBPC.ASP")</f>
        <v>http://www.northtexas.va.gov/services/HBPC.ASP</v>
      </c>
      <c r="E3170" s="8" t="s">
        <v>392</v>
      </c>
    </row>
    <row r="3171" ht="14.25" hidden="1" customHeight="1">
      <c r="A3171" s="8" t="s">
        <v>3665</v>
      </c>
      <c r="B3171" s="8" t="s">
        <v>3672</v>
      </c>
      <c r="D3171" s="121" t="str">
        <f>HYPERLINK("http://www.northtexas.va.gov/services/HOMELESS_WOMEN.ASP")</f>
        <v>http://www.northtexas.va.gov/services/HOMELESS_WOMEN.ASP</v>
      </c>
      <c r="E3171" s="8" t="s">
        <v>392</v>
      </c>
    </row>
    <row r="3172" ht="14.25" hidden="1" customHeight="1">
      <c r="A3172" s="8" t="s">
        <v>3665</v>
      </c>
      <c r="B3172" s="8" t="s">
        <v>437</v>
      </c>
      <c r="D3172" s="121" t="str">
        <f>HYPERLINK("http://www.northtexas.va.gov/services/HOSPICE.ASP")</f>
        <v>http://www.northtexas.va.gov/services/HOSPICE.ASP</v>
      </c>
      <c r="E3172" s="8" t="s">
        <v>392</v>
      </c>
    </row>
    <row r="3173" ht="14.25" hidden="1" customHeight="1">
      <c r="A3173" s="8" t="s">
        <v>3665</v>
      </c>
      <c r="B3173" s="8" t="s">
        <v>670</v>
      </c>
      <c r="D3173" s="121" t="str">
        <f>HYPERLINK("http://www.northtexas.va.gov/services/PH_HRM.ASP")</f>
        <v>http://www.northtexas.va.gov/services/PH_HRM.ASP</v>
      </c>
      <c r="E3173" s="8" t="s">
        <v>392</v>
      </c>
    </row>
    <row r="3174" ht="14.25" hidden="1" customHeight="1">
      <c r="A3174" s="8" t="s">
        <v>3665</v>
      </c>
      <c r="B3174" s="8" t="s">
        <v>678</v>
      </c>
      <c r="D3174" s="121" t="str">
        <f>HYPERLINK("http://www.northtexas.va.gov/services/LGBT.ASP")</f>
        <v>http://www.northtexas.va.gov/services/LGBT.ASP</v>
      </c>
      <c r="E3174" s="8" t="s">
        <v>392</v>
      </c>
    </row>
    <row r="3175" ht="14.25" hidden="1" customHeight="1">
      <c r="A3175" s="8" t="s">
        <v>3665</v>
      </c>
      <c r="B3175" s="8" t="s">
        <v>683</v>
      </c>
      <c r="D3175" s="121" t="str">
        <f>HYPERLINK("http://www.northtexas.va.gov/services/PH_LOSTFOUNDDAL.ASP")</f>
        <v>http://www.northtexas.va.gov/services/PH_LOSTFOUNDDAL.ASP</v>
      </c>
      <c r="E3175" s="8" t="s">
        <v>392</v>
      </c>
    </row>
    <row r="3176" ht="14.25" hidden="1" customHeight="1">
      <c r="A3176" s="8" t="s">
        <v>3665</v>
      </c>
      <c r="B3176" s="8" t="s">
        <v>658</v>
      </c>
      <c r="D3176" s="121" t="str">
        <f>HYPERLINK("http://www.northtexas.va.gov/services/MOVE_PROGRAM.ASP")</f>
        <v>http://www.northtexas.va.gov/services/MOVE_PROGRAM.ASP</v>
      </c>
      <c r="E3176" s="8" t="s">
        <v>392</v>
      </c>
    </row>
    <row r="3177" ht="14.25" hidden="1" customHeight="1">
      <c r="A3177" s="8" t="s">
        <v>3665</v>
      </c>
      <c r="B3177" s="8" t="s">
        <v>476</v>
      </c>
      <c r="D3177" s="121" t="str">
        <f>HYPERLINK("http://www.northtexas.va.gov/services/MFH.ASP")</f>
        <v>http://www.northtexas.va.gov/services/MFH.ASP</v>
      </c>
      <c r="E3177" s="8" t="s">
        <v>392</v>
      </c>
    </row>
    <row r="3178" ht="14.25" hidden="1" customHeight="1">
      <c r="A3178" s="8" t="s">
        <v>3665</v>
      </c>
      <c r="B3178" s="8" t="s">
        <v>3673</v>
      </c>
      <c r="D3178" s="121" t="str">
        <f>HYPERLINK("http://www.northtexas.va.gov/services/MEDICAL_RECORDS_ROI.ASP")</f>
        <v>http://www.northtexas.va.gov/services/MEDICAL_RECORDS_ROI.ASP</v>
      </c>
      <c r="E3178" s="8" t="s">
        <v>392</v>
      </c>
    </row>
    <row r="3179" ht="14.25" hidden="1" customHeight="1">
      <c r="A3179" s="8" t="s">
        <v>3665</v>
      </c>
      <c r="B3179" s="8" t="s">
        <v>323</v>
      </c>
      <c r="D3179" s="121" t="str">
        <f>HYPERLINK("http://www.northtexas.va.gov/services/MHS.ASP")</f>
        <v>http://www.northtexas.va.gov/services/MHS.ASP</v>
      </c>
      <c r="E3179" s="8" t="s">
        <v>392</v>
      </c>
    </row>
    <row r="3180" ht="14.25" hidden="1" customHeight="1">
      <c r="A3180" s="8" t="s">
        <v>3665</v>
      </c>
      <c r="B3180" s="8" t="s">
        <v>603</v>
      </c>
      <c r="D3180" s="121" t="str">
        <f>HYPERLINK("http://www.northtexas.va.gov/services/NUCMED.ASP")</f>
        <v>http://www.northtexas.va.gov/services/NUCMED.ASP</v>
      </c>
      <c r="E3180" s="8" t="s">
        <v>392</v>
      </c>
    </row>
    <row r="3181" ht="14.25" hidden="1" customHeight="1">
      <c r="A3181" s="8" t="s">
        <v>3665</v>
      </c>
      <c r="B3181" s="8" t="s">
        <v>3674</v>
      </c>
      <c r="D3181" s="121" t="str">
        <f>HYPERLINK("http://www.northtexas.va.gov/services/NUTRITION.ASP")</f>
        <v>http://www.northtexas.va.gov/services/NUTRITION.ASP</v>
      </c>
      <c r="E3181" s="8" t="s">
        <v>392</v>
      </c>
    </row>
    <row r="3182" ht="14.25" hidden="1" customHeight="1">
      <c r="A3182" s="8" t="s">
        <v>3665</v>
      </c>
      <c r="B3182" s="8" t="s">
        <v>3675</v>
      </c>
      <c r="D3182" s="121" t="str">
        <f>HYPERLINK("http://www.northtexas.va.gov/services/OUTPATIENT_CLINICS.ASP")</f>
        <v>http://www.northtexas.va.gov/services/OUTPATIENT_CLINICS.ASP</v>
      </c>
      <c r="E3182" s="8" t="s">
        <v>392</v>
      </c>
    </row>
    <row r="3183" ht="14.25" hidden="1" customHeight="1">
      <c r="A3183" s="8" t="s">
        <v>3665</v>
      </c>
      <c r="B3183" s="8" t="s">
        <v>449</v>
      </c>
      <c r="D3183" s="121" t="str">
        <f>HYPERLINK("http://www.northtexas.va.gov/services/PAIN.ASP")</f>
        <v>http://www.northtexas.va.gov/services/PAIN.ASP</v>
      </c>
      <c r="E3183" s="8" t="s">
        <v>392</v>
      </c>
    </row>
    <row r="3184" ht="14.25" hidden="1" customHeight="1">
      <c r="A3184" s="8" t="s">
        <v>3665</v>
      </c>
      <c r="B3184" s="8" t="s">
        <v>3676</v>
      </c>
      <c r="D3184" s="121" t="str">
        <f>HYPERLINK("http://www.northtexas.va.gov/services/PALLIATIVE_CARE_SERVICE.ASP")</f>
        <v>http://www.northtexas.va.gov/services/PALLIATIVE_CARE_SERVICE.ASP</v>
      </c>
      <c r="E3184" s="8" t="s">
        <v>392</v>
      </c>
    </row>
    <row r="3185" ht="14.25" hidden="1" customHeight="1">
      <c r="A3185" s="8" t="s">
        <v>3665</v>
      </c>
      <c r="B3185" s="8" t="s">
        <v>316</v>
      </c>
      <c r="D3185" s="121" t="str">
        <f>HYPERLINK("http://www.northtexas.va.gov/services/PATH_LAB.ASP")</f>
        <v>http://www.northtexas.va.gov/services/PATH_LAB.ASP</v>
      </c>
      <c r="E3185" s="8" t="s">
        <v>392</v>
      </c>
    </row>
    <row r="3186" ht="14.25" hidden="1" customHeight="1">
      <c r="A3186" s="8" t="s">
        <v>3665</v>
      </c>
      <c r="B3186" s="8" t="s">
        <v>907</v>
      </c>
      <c r="D3186" s="121" t="str">
        <f>HYPERLINK("http://www.northtexas.va.gov/services/PATIENT_ADVOCATES.ASP")</f>
        <v>http://www.northtexas.va.gov/services/PATIENT_ADVOCATES.ASP</v>
      </c>
      <c r="E3186" s="8" t="s">
        <v>392</v>
      </c>
    </row>
    <row r="3187" ht="14.25" hidden="1" customHeight="1">
      <c r="A3187" s="8" t="s">
        <v>3665</v>
      </c>
      <c r="B3187" s="8" t="s">
        <v>3677</v>
      </c>
      <c r="D3187" s="121" t="str">
        <f>HYPERLINK("http://www.northtexas.va.gov/services/PATIENT_DIRECTORY.ASP")</f>
        <v>http://www.northtexas.va.gov/services/PATIENT_DIRECTORY.ASP</v>
      </c>
      <c r="E3187" s="8" t="s">
        <v>392</v>
      </c>
    </row>
    <row r="3188" ht="14.25" hidden="1" customHeight="1">
      <c r="A3188" s="8" t="s">
        <v>3665</v>
      </c>
      <c r="B3188" s="8" t="s">
        <v>1892</v>
      </c>
      <c r="D3188" s="121" t="str">
        <f>HYPERLINK("http://www.northtexas.va.gov/services/PT_SAFETY.ASP")</f>
        <v>http://www.northtexas.va.gov/services/PT_SAFETY.ASP</v>
      </c>
      <c r="E3188" s="8" t="s">
        <v>392</v>
      </c>
    </row>
    <row r="3189" ht="14.25" hidden="1" customHeight="1">
      <c r="A3189" s="8" t="s">
        <v>3665</v>
      </c>
      <c r="B3189" s="8" t="s">
        <v>343</v>
      </c>
      <c r="D3189" s="121" t="str">
        <f>HYPERLINK("http://www.northtexas.va.gov/services/PHARMACY.ASP")</f>
        <v>http://www.northtexas.va.gov/services/PHARMACY.ASP</v>
      </c>
      <c r="E3189" s="8" t="s">
        <v>392</v>
      </c>
    </row>
    <row r="3190" ht="14.25" hidden="1" customHeight="1">
      <c r="A3190" s="8" t="s">
        <v>3665</v>
      </c>
      <c r="B3190" s="8" t="s">
        <v>1283</v>
      </c>
      <c r="D3190" s="121" t="str">
        <f>HYPERLINK("http://www.northtexas.va.gov/services/PMR.ASP")</f>
        <v>http://www.northtexas.va.gov/services/PMR.ASP</v>
      </c>
      <c r="E3190" s="8" t="s">
        <v>392</v>
      </c>
    </row>
    <row r="3191" ht="14.25" hidden="1" customHeight="1">
      <c r="A3191" s="8" t="s">
        <v>3665</v>
      </c>
      <c r="B3191" s="8" t="s">
        <v>2568</v>
      </c>
      <c r="D3191" s="121" t="str">
        <f>HYPERLINK("http://www.northtexas.va.gov/services/POLICE.ASP")</f>
        <v>http://www.northtexas.va.gov/services/POLICE.ASP</v>
      </c>
      <c r="E3191" s="8" t="s">
        <v>392</v>
      </c>
    </row>
    <row r="3192" ht="14.25" hidden="1" customHeight="1">
      <c r="A3192" s="8" t="s">
        <v>3665</v>
      </c>
      <c r="B3192" s="8" t="s">
        <v>684</v>
      </c>
      <c r="D3192" s="121" t="str">
        <f>HYPERLINK("http://www.northtexas.va.gov/services/PH_PAO.ASP")</f>
        <v>http://www.northtexas.va.gov/services/PH_PAO.ASP</v>
      </c>
      <c r="E3192" s="8" t="s">
        <v>392</v>
      </c>
    </row>
    <row r="3193" ht="14.25" hidden="1" customHeight="1">
      <c r="A3193" s="8" t="s">
        <v>3665</v>
      </c>
      <c r="B3193" s="8" t="s">
        <v>3678</v>
      </c>
      <c r="D3193" s="121" t="str">
        <f>HYPERLINK("http://www.northtexas.va.gov/services/RADIOLOGY.ASP")</f>
        <v>http://www.northtexas.va.gov/services/RADIOLOGY.ASP</v>
      </c>
      <c r="E3193" s="8" t="s">
        <v>392</v>
      </c>
    </row>
    <row r="3194" ht="14.25" hidden="1" customHeight="1">
      <c r="A3194" s="8" t="s">
        <v>3665</v>
      </c>
      <c r="B3194" s="8" t="s">
        <v>505</v>
      </c>
      <c r="D3194" s="121" t="str">
        <f>HYPERLINK("http://www.northtexas.va.gov/services/RECTHER.ASP")</f>
        <v>http://www.northtexas.va.gov/services/RECTHER.ASP</v>
      </c>
      <c r="E3194" s="8" t="s">
        <v>392</v>
      </c>
    </row>
    <row r="3195" ht="14.25" hidden="1" customHeight="1">
      <c r="A3195" s="8" t="s">
        <v>3665</v>
      </c>
      <c r="B3195" s="8" t="s">
        <v>1312</v>
      </c>
      <c r="D3195" s="121" t="str">
        <f>HYPERLINK("http://www.northtexas.va.gov/services/RESEARCH.ASP")</f>
        <v>http://www.northtexas.va.gov/services/RESEARCH.ASP</v>
      </c>
      <c r="E3195" s="8" t="s">
        <v>392</v>
      </c>
    </row>
    <row r="3196" ht="14.25" hidden="1" customHeight="1">
      <c r="A3196" s="8" t="s">
        <v>3665</v>
      </c>
      <c r="B3196" s="8" t="s">
        <v>360</v>
      </c>
      <c r="D3196" s="121" t="str">
        <f>HYPERLINK("http://www.northtexas.va.gov/services/SWS1.ASP")</f>
        <v>http://www.northtexas.va.gov/services/SWS1.ASP</v>
      </c>
      <c r="E3196" s="8" t="s">
        <v>392</v>
      </c>
    </row>
    <row r="3197" ht="14.25" hidden="1" customHeight="1">
      <c r="A3197" s="8" t="s">
        <v>3665</v>
      </c>
      <c r="B3197" s="8" t="s">
        <v>2240</v>
      </c>
      <c r="D3197" s="121" t="str">
        <f>HYPERLINK("http://www.northtexas.va.gov/services/SCI.ASP")</f>
        <v>http://www.northtexas.va.gov/services/SCI.ASP</v>
      </c>
      <c r="E3197" s="8" t="s">
        <v>392</v>
      </c>
    </row>
    <row r="3198" ht="14.25" hidden="1" customHeight="1">
      <c r="A3198" s="8" t="s">
        <v>3665</v>
      </c>
      <c r="B3198" s="8" t="s">
        <v>3679</v>
      </c>
      <c r="D3198" s="121" t="str">
        <f>HYPERLINK("http://www.northtexas.va.gov/services/PH_TELECAREDAL.ASP")</f>
        <v>http://www.northtexas.va.gov/services/PH_TELECAREDAL.ASP</v>
      </c>
      <c r="E3198" s="8" t="s">
        <v>392</v>
      </c>
    </row>
    <row r="3199" ht="14.25" hidden="1" customHeight="1">
      <c r="A3199" s="8" t="s">
        <v>3665</v>
      </c>
      <c r="B3199" s="8" t="s">
        <v>3462</v>
      </c>
      <c r="D3199" s="121" t="str">
        <f>HYPERLINK("http://www.northtexas.va.gov/services/TSES.ASP")</f>
        <v>http://www.northtexas.va.gov/services/TSES.ASP</v>
      </c>
      <c r="E3199" s="8" t="s">
        <v>392</v>
      </c>
    </row>
    <row r="3200" ht="14.25" hidden="1" customHeight="1">
      <c r="A3200" s="8" t="s">
        <v>3665</v>
      </c>
      <c r="B3200" s="8" t="s">
        <v>1869</v>
      </c>
      <c r="D3200" s="121" t="str">
        <f>HYPERLINK("http://www.northtexas.va.gov/services/PH_TRAVEL.ASP")</f>
        <v>http://www.northtexas.va.gov/services/PH_TRAVEL.ASP</v>
      </c>
      <c r="E3200" s="8" t="s">
        <v>392</v>
      </c>
    </row>
    <row r="3201" ht="14.25" hidden="1" customHeight="1">
      <c r="A3201" s="8" t="s">
        <v>3665</v>
      </c>
      <c r="B3201" s="8" t="s">
        <v>1780</v>
      </c>
      <c r="D3201" s="121" t="str">
        <f>HYPERLINK("http://www.northtexas.va.gov/services/TRICARE1.ASP")</f>
        <v>http://www.northtexas.va.gov/services/TRICARE1.ASP</v>
      </c>
      <c r="E3201" s="8" t="s">
        <v>392</v>
      </c>
    </row>
    <row r="3202" ht="14.25" hidden="1" customHeight="1">
      <c r="A3202" s="8" t="s">
        <v>3665</v>
      </c>
      <c r="B3202" s="8" t="s">
        <v>3680</v>
      </c>
      <c r="D3202" s="121" t="str">
        <f>HYPERLINK("http://www.northtexas.va.gov/services/VIST_BROS.ASP")</f>
        <v>http://www.northtexas.va.gov/services/VIST_BROS.ASP</v>
      </c>
      <c r="E3202" s="8" t="s">
        <v>392</v>
      </c>
    </row>
    <row r="3203" ht="14.25" hidden="1" customHeight="1">
      <c r="A3203" s="8" t="s">
        <v>3665</v>
      </c>
      <c r="B3203" s="8" t="s">
        <v>741</v>
      </c>
      <c r="D3203" s="121" t="str">
        <f>HYPERLINK("http://www.northtexas.va.gov/services/VOLUNTARY_SERVICES.ASP")</f>
        <v>http://www.northtexas.va.gov/services/VOLUNTARY_SERVICES.ASP</v>
      </c>
      <c r="E3203" s="8" t="s">
        <v>392</v>
      </c>
    </row>
    <row r="3204" ht="14.25" hidden="1" customHeight="1">
      <c r="A3204" s="8" t="s">
        <v>3665</v>
      </c>
      <c r="B3204" s="8" t="s">
        <v>2734</v>
      </c>
      <c r="D3204" s="121" t="str">
        <f>HYPERLINK("http://www.northtexas.va.gov/services/WOMEN_VETERANS_PROGRAM_MANAGER.ASP")</f>
        <v>http://www.northtexas.va.gov/services/WOMEN_VETERANS_PROGRAM_MANAGER.ASP</v>
      </c>
      <c r="E3204" s="8" t="s">
        <v>392</v>
      </c>
    </row>
    <row r="3205" ht="14.25" hidden="1" customHeight="1">
      <c r="A3205" s="8" t="s">
        <v>3665</v>
      </c>
      <c r="B3205" s="8" t="s">
        <v>1473</v>
      </c>
      <c r="D3205" s="121" t="str">
        <f>HYPERLINK("http://www.northtexas.va.gov/services/GYN.ASP")</f>
        <v>http://www.northtexas.va.gov/services/GYN.ASP</v>
      </c>
      <c r="E3205" s="8" t="s">
        <v>392</v>
      </c>
    </row>
    <row r="3206" ht="14.25" hidden="1" customHeight="1">
      <c r="A3206" s="8" t="s">
        <v>2777</v>
      </c>
      <c r="B3206" s="8" t="s">
        <v>576</v>
      </c>
      <c r="D3206" s="121" t="str">
        <f>HYPERLINK("http://www.nyharbor.va.gov/services/ADVANCED_LOW_VISION_CLINIC.ASP")</f>
        <v>http://www.nyharbor.va.gov/services/ADVANCED_LOW_VISION_CLINIC.ASP</v>
      </c>
      <c r="E3206" s="8" t="s">
        <v>392</v>
      </c>
    </row>
    <row r="3207" ht="14.25" hidden="1" customHeight="1">
      <c r="A3207" s="8" t="s">
        <v>2777</v>
      </c>
      <c r="B3207" s="8" t="s">
        <v>576</v>
      </c>
      <c r="D3207" s="121" t="str">
        <f>HYPERLINK("http://www.nyharbor.va.gov/services/LOWVISION.ASP")</f>
        <v>http://www.nyharbor.va.gov/services/LOWVISION.ASP</v>
      </c>
      <c r="E3207" s="8" t="s">
        <v>392</v>
      </c>
    </row>
    <row r="3208" ht="14.25" hidden="1" customHeight="1">
      <c r="A3208" s="8" t="s">
        <v>2777</v>
      </c>
      <c r="B3208" s="8" t="s">
        <v>1781</v>
      </c>
      <c r="D3208" s="121" t="str">
        <f>HYPERLINK("http://www.nyharbor.va.gov/services/BARBER_SHOP.ASP")</f>
        <v>http://www.nyharbor.va.gov/services/BARBER_SHOP.ASP</v>
      </c>
      <c r="E3208" s="8" t="s">
        <v>392</v>
      </c>
    </row>
    <row r="3209" ht="14.25" hidden="1" customHeight="1">
      <c r="A3209" s="8" t="s">
        <v>2777</v>
      </c>
      <c r="B3209" s="8" t="s">
        <v>1918</v>
      </c>
      <c r="D3209" s="121" t="str">
        <f>HYPERLINK("http://www.nyharbor.va.gov/services/CANCERPROGRAM.ASP")</f>
        <v>http://www.nyharbor.va.gov/services/CANCERPROGRAM.ASP</v>
      </c>
      <c r="E3209" s="8" t="s">
        <v>392</v>
      </c>
    </row>
    <row r="3210" ht="14.25" hidden="1" customHeight="1">
      <c r="A3210" s="8" t="s">
        <v>2777</v>
      </c>
      <c r="B3210" s="8" t="s">
        <v>300</v>
      </c>
      <c r="D3210" s="121" t="str">
        <f>HYPERLINK("http://www.nyharbor.va.gov/services/CAREGIVER_PROGRAM.ASP")</f>
        <v>http://www.nyharbor.va.gov/services/CAREGIVER_PROGRAM.ASP</v>
      </c>
      <c r="E3210" s="8" t="s">
        <v>392</v>
      </c>
    </row>
    <row r="3211" ht="14.25" hidden="1" customHeight="1">
      <c r="A3211" s="8" t="s">
        <v>2777</v>
      </c>
      <c r="B3211" s="8" t="s">
        <v>478</v>
      </c>
      <c r="D3211" s="121" t="str">
        <f>HYPERLINK("http://www.nyharbor.va.gov/services/CHAPLAIN_SERVICE.ASP")</f>
        <v>http://www.nyharbor.va.gov/services/CHAPLAIN_SERVICE.ASP</v>
      </c>
      <c r="E3211" s="8" t="s">
        <v>392</v>
      </c>
    </row>
    <row r="3212" ht="14.25" hidden="1" customHeight="1">
      <c r="A3212" s="8" t="s">
        <v>2777</v>
      </c>
      <c r="B3212" s="8" t="s">
        <v>1018</v>
      </c>
      <c r="D3212" s="121" t="str">
        <f t="shared" ref="D3212:D3213" si="29">HYPERLINK("http://www.nyharbor.va.gov/services/DAYCARE_BCCI.ASP")</f>
        <v>http://www.nyharbor.va.gov/services/DAYCARE_BCCI.ASP</v>
      </c>
      <c r="E3212" s="8" t="s">
        <v>595</v>
      </c>
    </row>
    <row r="3213" ht="14.25" hidden="1" customHeight="1">
      <c r="A3213" s="8" t="s">
        <v>2777</v>
      </c>
      <c r="B3213" s="8" t="s">
        <v>3681</v>
      </c>
      <c r="D3213" s="121" t="str">
        <f t="shared" si="29"/>
        <v>http://www.nyharbor.va.gov/services/DAYCARE_BCCI.ASP</v>
      </c>
      <c r="E3213" s="8" t="s">
        <v>392</v>
      </c>
    </row>
    <row r="3214" ht="14.25" hidden="1" customHeight="1">
      <c r="A3214" s="8" t="s">
        <v>2777</v>
      </c>
      <c r="B3214" s="8" t="s">
        <v>3682</v>
      </c>
      <c r="D3214" s="121" t="str">
        <f>HYPERLINK("http://www.nyharbor.va.gov/services/DAYCARE_IMAGINE_VETS_KIDS.ASP")</f>
        <v>http://www.nyharbor.va.gov/services/DAYCARE_IMAGINE_VETS_KIDS.ASP</v>
      </c>
      <c r="E3214" s="8" t="s">
        <v>392</v>
      </c>
    </row>
    <row r="3215" ht="14.25" hidden="1" customHeight="1">
      <c r="A3215" s="8" t="s">
        <v>2777</v>
      </c>
      <c r="B3215" s="8" t="s">
        <v>3683</v>
      </c>
      <c r="D3215" s="121" t="str">
        <f>HYPERLINK("http://www.nyharbor.va.gov/services/DEMENTIA.ASP")</f>
        <v>http://www.nyharbor.va.gov/services/DEMENTIA.ASP</v>
      </c>
      <c r="E3215" s="8" t="s">
        <v>392</v>
      </c>
    </row>
    <row r="3216" ht="14.25" hidden="1" customHeight="1">
      <c r="A3216" s="8" t="s">
        <v>2777</v>
      </c>
      <c r="B3216" s="8" t="s">
        <v>3684</v>
      </c>
      <c r="D3216" s="121" t="str">
        <f>HYPERLINK("http://www.nyharbor.va.gov/services/PHARMACY.ASP")</f>
        <v>http://www.nyharbor.va.gov/services/PHARMACY.ASP</v>
      </c>
      <c r="E3216" s="8" t="s">
        <v>595</v>
      </c>
    </row>
    <row r="3217" ht="14.25" hidden="1" customHeight="1">
      <c r="A3217" s="8" t="s">
        <v>2777</v>
      </c>
      <c r="B3217" s="8" t="s">
        <v>1193</v>
      </c>
      <c r="D3217" s="121" t="str">
        <f>HYPERLINK("http://www.nyharbor.va.gov/services/EDUCATION.ASP")</f>
        <v>http://www.nyharbor.va.gov/services/EDUCATION.ASP</v>
      </c>
      <c r="E3217" s="8" t="s">
        <v>392</v>
      </c>
    </row>
    <row r="3218" ht="14.25" hidden="1" customHeight="1">
      <c r="A3218" s="8" t="s">
        <v>2777</v>
      </c>
      <c r="B3218" s="8" t="s">
        <v>308</v>
      </c>
      <c r="D3218" s="121" t="str">
        <f>HYPERLINK("http://www.nyharbor.va.gov/services/EMERGENCY_DEPARTMENT.ASP")</f>
        <v>http://www.nyharbor.va.gov/services/EMERGENCY_DEPARTMENT.ASP</v>
      </c>
      <c r="E3218" s="8" t="s">
        <v>392</v>
      </c>
    </row>
    <row r="3219" ht="14.25" hidden="1" customHeight="1">
      <c r="A3219" s="8" t="s">
        <v>2777</v>
      </c>
      <c r="B3219" s="8" t="s">
        <v>3685</v>
      </c>
      <c r="D3219" s="121" t="str">
        <f>HYPERLINK("http://www.nyharbor.va.gov/services/FOR_FORMER_PRISONERS_OF_WAR.ASP")</f>
        <v>http://www.nyharbor.va.gov/services/FOR_FORMER_PRISONERS_OF_WAR.ASP</v>
      </c>
      <c r="E3219" s="8" t="s">
        <v>392</v>
      </c>
    </row>
    <row r="3220" ht="14.25" hidden="1" customHeight="1">
      <c r="A3220" s="8" t="s">
        <v>2777</v>
      </c>
      <c r="B3220" s="8" t="s">
        <v>1196</v>
      </c>
      <c r="D3220" s="121" t="str">
        <f>HYPERLINK("http://www.nyharbor.va.gov/services/HPDP.ASP")</f>
        <v>http://www.nyharbor.va.gov/services/HPDP.ASP</v>
      </c>
      <c r="E3220" s="8" t="s">
        <v>392</v>
      </c>
    </row>
    <row r="3221" ht="14.25" hidden="1" customHeight="1">
      <c r="A3221" s="8" t="s">
        <v>2777</v>
      </c>
      <c r="B3221" s="8" t="s">
        <v>1197</v>
      </c>
      <c r="D3221" s="121" t="str">
        <f>HYPERLINK("http://www.nyharbor.va.gov/services/HELPLINE.ASP")</f>
        <v>http://www.nyharbor.va.gov/services/HELPLINE.ASP</v>
      </c>
      <c r="E3221" s="8" t="s">
        <v>595</v>
      </c>
    </row>
    <row r="3222" ht="14.25" hidden="1" customHeight="1">
      <c r="A3222" s="8" t="s">
        <v>2777</v>
      </c>
      <c r="B3222" s="8" t="s">
        <v>431</v>
      </c>
      <c r="D3222" s="121" t="str">
        <f>HYPERLINK("http://www.nyharbor.va.gov/services/HOME_BASED_PRIMARY_CARE.ASP")</f>
        <v>http://www.nyharbor.va.gov/services/HOME_BASED_PRIMARY_CARE.ASP</v>
      </c>
      <c r="E3222" s="8" t="s">
        <v>392</v>
      </c>
    </row>
    <row r="3223" ht="14.25" hidden="1" customHeight="1">
      <c r="A3223" s="8" t="s">
        <v>2777</v>
      </c>
      <c r="B3223" s="8" t="s">
        <v>312</v>
      </c>
      <c r="D3223" s="121" t="str">
        <f>HYPERLINK("http://www.nyharbor.va.gov/services/HOMELESS_VETERANS.ASP")</f>
        <v>http://www.nyharbor.va.gov/services/HOMELESS_VETERANS.ASP</v>
      </c>
      <c r="E3223" s="8" t="s">
        <v>392</v>
      </c>
    </row>
    <row r="3224" ht="14.25" hidden="1" customHeight="1">
      <c r="A3224" s="8" t="s">
        <v>2777</v>
      </c>
      <c r="B3224" s="8" t="s">
        <v>2304</v>
      </c>
      <c r="D3224" s="121" t="str">
        <f>HYPERLINK("http://www.nyharbor.va.gov/services/HOPTEL.ASP")</f>
        <v>http://www.nyharbor.va.gov/services/HOPTEL.ASP</v>
      </c>
      <c r="E3224" s="8" t="s">
        <v>392</v>
      </c>
    </row>
    <row r="3225" ht="14.25" hidden="1" customHeight="1">
      <c r="A3225" s="8" t="s">
        <v>2777</v>
      </c>
      <c r="B3225" s="8" t="s">
        <v>3686</v>
      </c>
      <c r="D3225" s="121" t="str">
        <f>HYPERLINK("http://www.nyharbor.va.gov/services/HOSPICE_PALLIATIVE_CARE.ASP")</f>
        <v>http://www.nyharbor.va.gov/services/HOSPICE_PALLIATIVE_CARE.ASP</v>
      </c>
      <c r="E3225" s="8" t="s">
        <v>392</v>
      </c>
    </row>
    <row r="3226" ht="14.25" hidden="1" customHeight="1">
      <c r="A3226" s="8" t="s">
        <v>2777</v>
      </c>
      <c r="B3226" s="8" t="s">
        <v>2437</v>
      </c>
      <c r="D3226" s="121" t="str">
        <f>HYPERLINK("http://www.nyharbor.va.gov/services/LIBRARY.ASP")</f>
        <v>http://www.nyharbor.va.gov/services/LIBRARY.ASP</v>
      </c>
      <c r="E3226" s="8" t="s">
        <v>595</v>
      </c>
    </row>
    <row r="3227" ht="14.25" hidden="1" customHeight="1">
      <c r="A3227" s="8" t="s">
        <v>2777</v>
      </c>
      <c r="B3227" s="8" t="s">
        <v>3687</v>
      </c>
      <c r="D3227" s="121" t="str">
        <f>HYPERLINK("http://www.nyharbor.va.gov/services/LGBT_PATIENT_CENTERED_CARE.ASP")</f>
        <v>http://www.nyharbor.va.gov/services/LGBT_PATIENT_CENTERED_CARE.ASP</v>
      </c>
      <c r="E3227" s="8" t="s">
        <v>392</v>
      </c>
    </row>
    <row r="3228" ht="14.25" hidden="1" customHeight="1">
      <c r="A3228" s="8" t="s">
        <v>2777</v>
      </c>
      <c r="B3228" s="8" t="s">
        <v>481</v>
      </c>
      <c r="D3228" s="121" t="str">
        <f>HYPERLINK("http://www.nyharbor.va.gov/services/LIBRARY.ASP")</f>
        <v>http://www.nyharbor.va.gov/services/LIBRARY.ASP</v>
      </c>
      <c r="E3228" s="8" t="s">
        <v>595</v>
      </c>
    </row>
    <row r="3229" ht="14.25" hidden="1" customHeight="1">
      <c r="A3229" s="8" t="s">
        <v>2777</v>
      </c>
      <c r="B3229" s="8" t="s">
        <v>2130</v>
      </c>
      <c r="D3229" s="121" t="str">
        <f>HYPERLINK("http://www.nyharbor.va.gov/services/ADVANCED_LOW_VISION_CLINIC.ASP")</f>
        <v>http://www.nyharbor.va.gov/services/ADVANCED_LOW_VISION_CLINIC.ASP</v>
      </c>
      <c r="E3229" s="8" t="s">
        <v>595</v>
      </c>
    </row>
    <row r="3230" ht="14.25" hidden="1" customHeight="1">
      <c r="A3230" s="8" t="s">
        <v>2777</v>
      </c>
      <c r="B3230" s="8" t="s">
        <v>323</v>
      </c>
      <c r="D3230" s="121" t="str">
        <f>HYPERLINK("http://www.nyharbor.va.gov/services/MENTAL_HEALTH.ASP")</f>
        <v>http://www.nyharbor.va.gov/services/MENTAL_HEALTH.ASP</v>
      </c>
      <c r="E3230" s="8" t="s">
        <v>392</v>
      </c>
    </row>
    <row r="3231" ht="14.25" hidden="1" customHeight="1">
      <c r="A3231" s="8" t="s">
        <v>2777</v>
      </c>
      <c r="B3231" s="8" t="s">
        <v>1231</v>
      </c>
      <c r="D3231" s="121" t="str">
        <f>HYPERLINK("http://www.nyharbor.va.gov/services/MST.ASP")</f>
        <v>http://www.nyharbor.va.gov/services/MST.ASP</v>
      </c>
      <c r="E3231" s="8" t="s">
        <v>392</v>
      </c>
    </row>
    <row r="3232" ht="14.25" hidden="1" customHeight="1">
      <c r="A3232" s="8" t="s">
        <v>2777</v>
      </c>
      <c r="B3232" s="8" t="s">
        <v>494</v>
      </c>
      <c r="D3232" s="121" t="str">
        <f>HYPERLINK("http://www.nyharbor.va.gov/services/PHARMACY.ASP")</f>
        <v>http://www.nyharbor.va.gov/services/PHARMACY.ASP</v>
      </c>
      <c r="E3232" s="8" t="s">
        <v>595</v>
      </c>
    </row>
    <row r="3233" ht="14.25" hidden="1" customHeight="1">
      <c r="A3233" s="8" t="s">
        <v>2777</v>
      </c>
      <c r="B3233" s="8" t="s">
        <v>1203</v>
      </c>
      <c r="D3233" s="121" t="str">
        <f>HYPERLINK("http://www.nyharbor.va.gov/services/HELPLINE.ASP")</f>
        <v>http://www.nyharbor.va.gov/services/HELPLINE.ASP</v>
      </c>
      <c r="E3233" s="8" t="s">
        <v>595</v>
      </c>
    </row>
    <row r="3234" ht="14.25" hidden="1" customHeight="1">
      <c r="A3234" s="8" t="s">
        <v>2777</v>
      </c>
      <c r="B3234" s="8" t="s">
        <v>3688</v>
      </c>
      <c r="D3234" s="121" t="str">
        <f>HYPERLINK("http://www.nyharbor.va.gov/services/FOR_FORMER_PRISONERS_OF_WAR.ASP")</f>
        <v>http://www.nyharbor.va.gov/services/FOR_FORMER_PRISONERS_OF_WAR.ASP</v>
      </c>
      <c r="E3234" s="8" t="s">
        <v>595</v>
      </c>
    </row>
    <row r="3235" ht="14.25" hidden="1" customHeight="1">
      <c r="A3235" s="8" t="s">
        <v>2777</v>
      </c>
      <c r="B3235" s="8" t="s">
        <v>1974</v>
      </c>
      <c r="D3235" s="121" t="str">
        <f>HYPERLINK("http://www.nyharbor.va.gov/services/MENTAL_HEALTH.ASP")</f>
        <v>http://www.nyharbor.va.gov/services/MENTAL_HEALTH.ASP</v>
      </c>
      <c r="E3235" s="8" t="s">
        <v>595</v>
      </c>
    </row>
    <row r="3236" ht="14.25" hidden="1" customHeight="1">
      <c r="A3236" s="8" t="s">
        <v>2777</v>
      </c>
      <c r="B3236" s="8" t="s">
        <v>3689</v>
      </c>
      <c r="D3236" s="121" t="str">
        <f>HYPERLINK("http://www.nyharbor.va.gov/services/PAINREHAB.ASP")</f>
        <v>http://www.nyharbor.va.gov/services/PAINREHAB.ASP</v>
      </c>
      <c r="E3236" s="8" t="s">
        <v>392</v>
      </c>
    </row>
    <row r="3237" ht="14.25" hidden="1" customHeight="1">
      <c r="A3237" s="8" t="s">
        <v>2777</v>
      </c>
      <c r="B3237" s="8" t="s">
        <v>343</v>
      </c>
      <c r="D3237" s="121" t="str">
        <f t="shared" ref="D3237:D3238" si="30">HYPERLINK("http://www.nyharbor.va.gov/services/PHARMACY.ASP")</f>
        <v>http://www.nyharbor.va.gov/services/PHARMACY.ASP</v>
      </c>
      <c r="E3237" s="8" t="s">
        <v>392</v>
      </c>
    </row>
    <row r="3238" ht="14.25" hidden="1" customHeight="1">
      <c r="A3238" s="8" t="s">
        <v>2777</v>
      </c>
      <c r="B3238" s="8" t="s">
        <v>3690</v>
      </c>
      <c r="D3238" s="121" t="str">
        <f t="shared" si="30"/>
        <v>http://www.nyharbor.va.gov/services/PHARMACY.ASP</v>
      </c>
      <c r="E3238" s="8" t="s">
        <v>595</v>
      </c>
    </row>
    <row r="3239" ht="14.25" hidden="1" customHeight="1">
      <c r="A3239" s="8" t="s">
        <v>2777</v>
      </c>
      <c r="B3239" s="8" t="s">
        <v>3691</v>
      </c>
      <c r="D3239" s="121" t="str">
        <f>HYPERLINK("http://www.nyharbor.va.gov/services/MENTAL_HEALTH.ASP")</f>
        <v>http://www.nyharbor.va.gov/services/MENTAL_HEALTH.ASP</v>
      </c>
      <c r="E3239" s="8" t="s">
        <v>595</v>
      </c>
    </row>
    <row r="3240" ht="14.25" hidden="1" customHeight="1">
      <c r="A3240" s="8" t="s">
        <v>2777</v>
      </c>
      <c r="B3240" s="8" t="s">
        <v>508</v>
      </c>
      <c r="D3240" s="121" t="str">
        <f>HYPERLINK("http://www.nyharbor.va.gov/services/RESEARCH.ASP")</f>
        <v>http://www.nyharbor.va.gov/services/RESEARCH.ASP</v>
      </c>
      <c r="E3240" s="8" t="s">
        <v>392</v>
      </c>
    </row>
    <row r="3241" ht="14.25" hidden="1" customHeight="1">
      <c r="A3241" s="8" t="s">
        <v>2777</v>
      </c>
      <c r="B3241" s="8" t="s">
        <v>355</v>
      </c>
      <c r="D3241" s="121" t="str">
        <f>HYPERLINK("http://www.nyharbor.va.gov/services/RETURNING_SERVICE_MEMBERS.ASP")</f>
        <v>http://www.nyharbor.va.gov/services/RETURNING_SERVICE_MEMBERS.ASP</v>
      </c>
      <c r="E3241" s="8" t="s">
        <v>392</v>
      </c>
    </row>
    <row r="3242" ht="14.25" hidden="1" customHeight="1">
      <c r="A3242" s="8" t="s">
        <v>2777</v>
      </c>
      <c r="B3242" s="8" t="s">
        <v>3692</v>
      </c>
      <c r="D3242" s="121" t="str">
        <f>HYPERLINK("http://www.nyharbor.va.gov/services/SHUTTLE_BUS_SERVICE.ASP")</f>
        <v>http://www.nyharbor.va.gov/services/SHUTTLE_BUS_SERVICE.ASP</v>
      </c>
      <c r="E3242" s="8" t="s">
        <v>392</v>
      </c>
    </row>
    <row r="3243" ht="14.25" hidden="1" customHeight="1">
      <c r="A3243" s="8" t="s">
        <v>2777</v>
      </c>
      <c r="B3243" s="8" t="s">
        <v>3693</v>
      </c>
      <c r="D3243" s="121" t="str">
        <f>HYPERLINK("http://www.nyharbor.va.gov/services/ST_ALBANS_COMMUNITY_LIVING_CENTER.ASP")</f>
        <v>http://www.nyharbor.va.gov/services/ST_ALBANS_COMMUNITY_LIVING_CENTER.ASP</v>
      </c>
      <c r="E3243" s="8" t="s">
        <v>392</v>
      </c>
    </row>
    <row r="3244" ht="14.25" hidden="1" customHeight="1">
      <c r="A3244" s="8" t="s">
        <v>2777</v>
      </c>
      <c r="B3244" s="8" t="s">
        <v>3694</v>
      </c>
      <c r="D3244" s="121" t="str">
        <f>HYPERLINK("http://www.nyharbor.va.gov/services/VITAL.ASP")</f>
        <v>http://www.nyharbor.va.gov/services/VITAL.ASP</v>
      </c>
      <c r="E3244" s="8" t="s">
        <v>595</v>
      </c>
    </row>
    <row r="3245" ht="14.25" hidden="1" customHeight="1">
      <c r="A3245" s="8" t="s">
        <v>2777</v>
      </c>
      <c r="B3245" s="8" t="s">
        <v>1213</v>
      </c>
      <c r="D3245" s="121" t="str">
        <f>HYPERLINK("http://www.nyharbor.va.gov/services/EDUCATION.ASP")</f>
        <v>http://www.nyharbor.va.gov/services/EDUCATION.ASP</v>
      </c>
      <c r="E3245" s="8" t="s">
        <v>595</v>
      </c>
    </row>
    <row r="3246" ht="14.25" hidden="1" customHeight="1">
      <c r="A3246" s="8" t="s">
        <v>2777</v>
      </c>
      <c r="B3246" s="8" t="s">
        <v>1214</v>
      </c>
      <c r="D3246" s="121" t="str">
        <f>HYPERLINK("http://www.nyharbor.va.gov/services/HELPLINE.ASP")</f>
        <v>http://www.nyharbor.va.gov/services/HELPLINE.ASP</v>
      </c>
      <c r="E3246" s="8" t="s">
        <v>392</v>
      </c>
    </row>
    <row r="3247" ht="14.25" hidden="1" customHeight="1">
      <c r="A3247" s="8" t="s">
        <v>2777</v>
      </c>
      <c r="B3247" s="8" t="s">
        <v>470</v>
      </c>
      <c r="D3247" s="121" t="str">
        <f>HYPERLINK("http://www.nyharbor.va.gov/services/VA_NURSE_HELPLINE.ASP")</f>
        <v>http://www.nyharbor.va.gov/services/VA_NURSE_HELPLINE.ASP</v>
      </c>
      <c r="E3247" s="8" t="s">
        <v>392</v>
      </c>
    </row>
    <row r="3248" ht="14.25" hidden="1" customHeight="1">
      <c r="A3248" s="8" t="s">
        <v>2777</v>
      </c>
      <c r="B3248" s="8" t="s">
        <v>677</v>
      </c>
      <c r="D3248" s="121" t="str">
        <f>HYPERLINK("http://www.nyharbor.va.gov/services/VITAL.ASP")</f>
        <v>http://www.nyharbor.va.gov/services/VITAL.ASP</v>
      </c>
      <c r="E3248" s="8" t="s">
        <v>392</v>
      </c>
    </row>
    <row r="3249" ht="14.25" hidden="1" customHeight="1">
      <c r="A3249" s="8" t="s">
        <v>2777</v>
      </c>
      <c r="B3249" s="8" t="s">
        <v>740</v>
      </c>
      <c r="D3249" s="121" t="str">
        <f>HYPERLINK("http://www.nyharbor.va.gov/services/VETERANS_JUSTICE_OUTREACH_VJO.ASP")</f>
        <v>http://www.nyharbor.va.gov/services/VETERANS_JUSTICE_OUTREACH_VJO.ASP</v>
      </c>
      <c r="E3249" s="8" t="s">
        <v>392</v>
      </c>
    </row>
    <row r="3250" ht="14.25" hidden="1" customHeight="1">
      <c r="A3250" s="8" t="s">
        <v>2777</v>
      </c>
      <c r="B3250" s="8" t="s">
        <v>3695</v>
      </c>
      <c r="D3250" s="121" t="str">
        <f t="shared" ref="D3250:D3251" si="31">HYPERLINK("http://www.nyharbor.va.gov/services/LIBRARY.ASP")</f>
        <v>http://www.nyharbor.va.gov/services/LIBRARY.ASP</v>
      </c>
      <c r="E3250" s="8" t="s">
        <v>392</v>
      </c>
    </row>
    <row r="3251" ht="14.25" hidden="1" customHeight="1">
      <c r="A3251" s="8" t="s">
        <v>2777</v>
      </c>
      <c r="B3251" s="8" t="s">
        <v>3695</v>
      </c>
      <c r="D3251" s="121" t="str">
        <f t="shared" si="31"/>
        <v>http://www.nyharbor.va.gov/services/LIBRARY.ASP</v>
      </c>
      <c r="E3251" s="8" t="s">
        <v>392</v>
      </c>
    </row>
    <row r="3252" ht="14.25" hidden="1" customHeight="1">
      <c r="A3252" s="8" t="s">
        <v>2777</v>
      </c>
      <c r="B3252" s="8" t="s">
        <v>2282</v>
      </c>
      <c r="D3252" s="121" t="str">
        <f>HYPERLINK("http://www.nyharbor.va.gov/services/VISUAL_IMPAIRMENT_PROGRAM.ASP")</f>
        <v>http://www.nyharbor.va.gov/services/VISUAL_IMPAIRMENT_PROGRAM.ASP</v>
      </c>
      <c r="E3252" s="8" t="s">
        <v>392</v>
      </c>
    </row>
    <row r="3253" ht="14.25" hidden="1" customHeight="1">
      <c r="A3253" s="8" t="s">
        <v>2786</v>
      </c>
      <c r="B3253" s="8" t="s">
        <v>3696</v>
      </c>
      <c r="D3253" s="121" t="str">
        <f>HYPERLINK("http://www.oklahoma.va.gov/services/ALZHEIMERS_CLINIC.ASP")</f>
        <v>http://www.oklahoma.va.gov/services/ALZHEIMERS_CLINIC.ASP</v>
      </c>
      <c r="E3253" s="8" t="s">
        <v>392</v>
      </c>
    </row>
    <row r="3254" ht="14.25" hidden="1" customHeight="1">
      <c r="A3254" s="8" t="s">
        <v>2786</v>
      </c>
      <c r="B3254" s="8" t="s">
        <v>3697</v>
      </c>
      <c r="D3254" s="121" t="str">
        <f>HYPERLINK("http://www.oklahoma.va.gov/services/AMBULATORY_MENTAL_HEALTH_CLINIC.ASP")</f>
        <v>http://www.oklahoma.va.gov/services/AMBULATORY_MENTAL_HEALTH_CLINIC.ASP</v>
      </c>
      <c r="E3254" s="8" t="s">
        <v>595</v>
      </c>
    </row>
    <row r="3255" ht="14.25" hidden="1" customHeight="1">
      <c r="A3255" s="8" t="s">
        <v>2786</v>
      </c>
      <c r="B3255" s="8" t="s">
        <v>3698</v>
      </c>
      <c r="D3255" s="121" t="str">
        <f>HYPERLINK("http://www.oklahoma.va.gov/services/ARTHRITIS_SCHEDULING.ASP")</f>
        <v>http://www.oklahoma.va.gov/services/ARTHRITIS_SCHEDULING.ASP</v>
      </c>
      <c r="E3255" s="8" t="s">
        <v>392</v>
      </c>
    </row>
    <row r="3256" ht="14.25" hidden="1" customHeight="1">
      <c r="A3256" s="8" t="s">
        <v>2786</v>
      </c>
      <c r="B3256" s="8" t="s">
        <v>2231</v>
      </c>
      <c r="D3256" s="121" t="str">
        <f>HYPERLINK("http://www.oklahoma.va.gov/services/AUDIOLOGY_CLINIC.ASP")</f>
        <v>http://www.oklahoma.va.gov/services/AUDIOLOGY_CLINIC.ASP</v>
      </c>
      <c r="E3256" s="8" t="s">
        <v>392</v>
      </c>
    </row>
    <row r="3257" ht="14.25" hidden="1" customHeight="1">
      <c r="A3257" s="8" t="s">
        <v>2786</v>
      </c>
      <c r="B3257" s="8" t="s">
        <v>3699</v>
      </c>
      <c r="D3257" s="121" t="str">
        <f>HYPERLINK("http://www.oklahoma.va.gov/services/BONE_DENSITY_CLINIC.ASP")</f>
        <v>http://www.oklahoma.va.gov/services/BONE_DENSITY_CLINIC.ASP</v>
      </c>
      <c r="E3257" s="8" t="s">
        <v>392</v>
      </c>
    </row>
    <row r="3258" ht="14.25" hidden="1" customHeight="1">
      <c r="A3258" s="8" t="s">
        <v>2786</v>
      </c>
      <c r="B3258" s="8" t="s">
        <v>3700</v>
      </c>
      <c r="D3258" s="121" t="str">
        <f>HYPERLINK("http://www.oklahoma.va.gov/services/CARDIAC_INTENSIVE_CARE_UNIT.ASP")</f>
        <v>http://www.oklahoma.va.gov/services/CARDIAC_INTENSIVE_CARE_UNIT.ASP</v>
      </c>
      <c r="E3258" s="8" t="s">
        <v>392</v>
      </c>
    </row>
    <row r="3259" ht="14.25" hidden="1" customHeight="1">
      <c r="A3259" s="8" t="s">
        <v>2786</v>
      </c>
      <c r="B3259" s="8" t="s">
        <v>414</v>
      </c>
      <c r="D3259" s="121" t="str">
        <f>HYPERLINK("http://www.oklahoma.va.gov/services/CARDIOLOGY.ASP")</f>
        <v>http://www.oklahoma.va.gov/services/CARDIOLOGY.ASP</v>
      </c>
      <c r="E3259" s="8" t="s">
        <v>392</v>
      </c>
    </row>
    <row r="3260" ht="14.25" hidden="1" customHeight="1">
      <c r="A3260" s="8" t="s">
        <v>2786</v>
      </c>
      <c r="B3260" s="8" t="s">
        <v>478</v>
      </c>
      <c r="D3260" s="121" t="str">
        <f>HYPERLINK("http://www.oklahoma.va.gov/services/CHAPLAIN_SERVICE.ASP")</f>
        <v>http://www.oklahoma.va.gov/services/CHAPLAIN_SERVICE.ASP</v>
      </c>
      <c r="E3260" s="8" t="s">
        <v>392</v>
      </c>
    </row>
    <row r="3261" ht="14.25" hidden="1" customHeight="1">
      <c r="A3261" s="8" t="s">
        <v>2786</v>
      </c>
      <c r="B3261" s="8" t="s">
        <v>3701</v>
      </c>
      <c r="D3261" s="121" t="str">
        <f>HYPERLINK("http://www.oklahoma.va.gov/services/CHEST_CLINIC.ASP")</f>
        <v>http://www.oklahoma.va.gov/services/CHEST_CLINIC.ASP</v>
      </c>
      <c r="E3261" s="8" t="s">
        <v>392</v>
      </c>
    </row>
    <row r="3262" ht="14.25" hidden="1" customHeight="1">
      <c r="A3262" s="8" t="s">
        <v>2786</v>
      </c>
      <c r="B3262" s="8" t="s">
        <v>872</v>
      </c>
      <c r="D3262" s="121" t="str">
        <f>HYPERLINK("http://www.oklahoma.va.gov/services/PATIENT_ADVOCATES.ASP")</f>
        <v>http://www.oklahoma.va.gov/services/PATIENT_ADVOCATES.ASP</v>
      </c>
      <c r="E3262" s="8" t="s">
        <v>392</v>
      </c>
    </row>
    <row r="3263" ht="14.25" hidden="1" customHeight="1">
      <c r="A3263" s="8" t="s">
        <v>2786</v>
      </c>
      <c r="B3263" s="8" t="s">
        <v>872</v>
      </c>
      <c r="D3263" s="121" t="str">
        <f>HYPERLINK("http://www.oklahoma.va.gov/services/CUSTOMERSERVICE.ASP")</f>
        <v>http://www.oklahoma.va.gov/services/CUSTOMERSERVICE.ASP</v>
      </c>
      <c r="E3263" s="8" t="s">
        <v>392</v>
      </c>
    </row>
    <row r="3264" ht="14.25" hidden="1" customHeight="1">
      <c r="A3264" s="8" t="s">
        <v>2786</v>
      </c>
      <c r="B3264" s="8" t="s">
        <v>303</v>
      </c>
      <c r="D3264" s="121" t="str">
        <f>HYPERLINK("http://www.oklahoma.va.gov/services/DENTAL_CLINIC.ASP")</f>
        <v>http://www.oklahoma.va.gov/services/DENTAL_CLINIC.ASP</v>
      </c>
      <c r="E3264" s="8" t="s">
        <v>392</v>
      </c>
    </row>
    <row r="3265" ht="14.25" hidden="1" customHeight="1">
      <c r="A3265" s="8" t="s">
        <v>2786</v>
      </c>
      <c r="B3265" s="8" t="s">
        <v>3702</v>
      </c>
      <c r="D3265" s="121" t="str">
        <f>HYPERLINK("http://www.oklahoma.va.gov/services/DIABETES_CLINIC_EDUCATION.ASP")</f>
        <v>http://www.oklahoma.va.gov/services/DIABETES_CLINIC_EDUCATION.ASP</v>
      </c>
      <c r="E3265" s="8" t="s">
        <v>392</v>
      </c>
    </row>
    <row r="3266" ht="14.25" hidden="1" customHeight="1">
      <c r="A3266" s="8" t="s">
        <v>2786</v>
      </c>
      <c r="B3266" s="8" t="s">
        <v>538</v>
      </c>
      <c r="D3266" s="121" t="str">
        <f>HYPERLINK("http://www.oklahoma.va.gov/services/ENDOCRINOLOGY.ASP")</f>
        <v>http://www.oklahoma.va.gov/services/ENDOCRINOLOGY.ASP</v>
      </c>
      <c r="E3266" s="8" t="s">
        <v>392</v>
      </c>
    </row>
    <row r="3267" ht="14.25" hidden="1" customHeight="1">
      <c r="A3267" s="8" t="s">
        <v>2786</v>
      </c>
      <c r="B3267" s="8" t="s">
        <v>3703</v>
      </c>
      <c r="D3267" s="121" t="str">
        <f>HYPERLINK("http://www.oklahoma.va.gov/services/EXPRESS_CARE_CLINIC.ASP")</f>
        <v>http://www.oklahoma.va.gov/services/EXPRESS_CARE_CLINIC.ASP</v>
      </c>
      <c r="E3267" s="8" t="s">
        <v>392</v>
      </c>
    </row>
    <row r="3268" ht="14.25" hidden="1" customHeight="1">
      <c r="A3268" s="8" t="s">
        <v>2786</v>
      </c>
      <c r="B3268" s="8" t="s">
        <v>2494</v>
      </c>
      <c r="D3268" s="121" t="str">
        <f>HYPERLINK("http://www.oklahoma.va.gov/services/GI_CLINIC.ASP")</f>
        <v>http://www.oklahoma.va.gov/services/GI_CLINIC.ASP</v>
      </c>
      <c r="E3268" s="8" t="s">
        <v>392</v>
      </c>
    </row>
    <row r="3269" ht="14.25" hidden="1" customHeight="1">
      <c r="A3269" s="8" t="s">
        <v>2786</v>
      </c>
      <c r="B3269" s="8" t="s">
        <v>3704</v>
      </c>
      <c r="D3269" s="121" t="str">
        <f>HYPERLINK("http://www.oklahoma.va.gov/services/GYNECOLOGY_CLINIC.ASP")</f>
        <v>http://www.oklahoma.va.gov/services/GYNECOLOGY_CLINIC.ASP</v>
      </c>
      <c r="E3269" s="8" t="s">
        <v>392</v>
      </c>
    </row>
    <row r="3270" ht="14.25" hidden="1" customHeight="1">
      <c r="A3270" s="8" t="s">
        <v>2786</v>
      </c>
      <c r="B3270" s="8" t="s">
        <v>990</v>
      </c>
      <c r="D3270" s="121" t="str">
        <f>HYPERLINK("http://www.oklahoma.va.gov/services/HEALTH_PROMOTION_DISEASE_PREVENTION.ASP")</f>
        <v>http://www.oklahoma.va.gov/services/HEALTH_PROMOTION_DISEASE_PREVENTION.ASP</v>
      </c>
      <c r="E3270" s="8" t="s">
        <v>392</v>
      </c>
    </row>
    <row r="3271" ht="14.25" hidden="1" customHeight="1">
      <c r="A3271" s="8" t="s">
        <v>2786</v>
      </c>
      <c r="B3271" s="8" t="s">
        <v>3705</v>
      </c>
      <c r="D3271" s="121" t="str">
        <f>HYPERLINK("http://www.oklahoma.va.gov/services/HPDP.ASP")</f>
        <v>http://www.oklahoma.va.gov/services/HPDP.ASP</v>
      </c>
      <c r="E3271" s="8" t="s">
        <v>392</v>
      </c>
    </row>
    <row r="3272" ht="14.25" hidden="1" customHeight="1">
      <c r="A3272" s="8" t="s">
        <v>2786</v>
      </c>
      <c r="B3272" s="8" t="s">
        <v>560</v>
      </c>
      <c r="D3272" s="121" t="str">
        <f>HYPERLINK("http://www.oklahoma.va.gov/services/HEMATOLOGY.ASP")</f>
        <v>http://www.oklahoma.va.gov/services/HEMATOLOGY.ASP</v>
      </c>
      <c r="E3272" s="8" t="s">
        <v>392</v>
      </c>
    </row>
    <row r="3273" ht="14.25" hidden="1" customHeight="1">
      <c r="A3273" s="8" t="s">
        <v>2786</v>
      </c>
      <c r="B3273" s="8" t="s">
        <v>2085</v>
      </c>
      <c r="D3273" s="121" t="str">
        <f>HYPERLINK("http://www.oklahoma.va.gov/services/HOMELESS_PROGRAM.ASP")</f>
        <v>http://www.oklahoma.va.gov/services/HOMELESS_PROGRAM.ASP</v>
      </c>
      <c r="E3273" s="8" t="s">
        <v>392</v>
      </c>
    </row>
    <row r="3274" ht="14.25" hidden="1" customHeight="1">
      <c r="A3274" s="8" t="s">
        <v>2786</v>
      </c>
      <c r="B3274" s="8" t="s">
        <v>3706</v>
      </c>
      <c r="D3274" s="121" t="str">
        <f>HYPERLINK("http://www.oklahoma.va.gov/services/INFECTIOUS_DISEASES.ASP")</f>
        <v>http://www.oklahoma.va.gov/services/INFECTIOUS_DISEASES.ASP</v>
      </c>
      <c r="E3274" s="8" t="s">
        <v>392</v>
      </c>
    </row>
    <row r="3275" ht="14.25" hidden="1" customHeight="1">
      <c r="A3275" s="8" t="s">
        <v>2786</v>
      </c>
      <c r="B3275" s="8" t="s">
        <v>1568</v>
      </c>
      <c r="D3275" s="121" t="str">
        <f>HYPERLINK("http://www.oklahoma.va.gov/services/INPATIENT_REHABILITATION_PROGRAM.ASP")</f>
        <v>http://www.oklahoma.va.gov/services/INPATIENT_REHABILITATION_PROGRAM.ASP</v>
      </c>
      <c r="E3275" s="8" t="s">
        <v>392</v>
      </c>
    </row>
    <row r="3276" ht="14.25" hidden="1" customHeight="1">
      <c r="A3276" s="8" t="s">
        <v>2786</v>
      </c>
      <c r="B3276" s="8" t="s">
        <v>3080</v>
      </c>
      <c r="D3276" s="121" t="str">
        <f>HYPERLINK("http://www.oklahoma.va.gov/services/INTIMATE_PARTNER_VIOLENCE.ASP")</f>
        <v>http://www.oklahoma.va.gov/services/INTIMATE_PARTNER_VIOLENCE.ASP</v>
      </c>
      <c r="E3276" s="8" t="s">
        <v>392</v>
      </c>
    </row>
    <row r="3277" ht="14.25" hidden="1" customHeight="1">
      <c r="A3277" s="8" t="s">
        <v>2786</v>
      </c>
      <c r="B3277" s="8" t="s">
        <v>3707</v>
      </c>
      <c r="D3277" s="121" t="str">
        <f>HYPERLINK("http://www.oklahoma.va.gov/services/LGBTQ_SERVICES.ASP")</f>
        <v>http://www.oklahoma.va.gov/services/LGBTQ_SERVICES.ASP</v>
      </c>
      <c r="E3277" s="8" t="s">
        <v>392</v>
      </c>
    </row>
    <row r="3278" ht="14.25" hidden="1" customHeight="1">
      <c r="A3278" s="8" t="s">
        <v>2786</v>
      </c>
      <c r="B3278" s="8" t="s">
        <v>2130</v>
      </c>
      <c r="D3278" s="121" t="str">
        <f>HYPERLINK("http://www.oklahoma.va.gov/services/LOW_VISION_CLINIC.ASP")</f>
        <v>http://www.oklahoma.va.gov/services/LOW_VISION_CLINIC.ASP</v>
      </c>
      <c r="E3278" s="8" t="s">
        <v>392</v>
      </c>
    </row>
    <row r="3279" ht="14.25" hidden="1" customHeight="1">
      <c r="A3279" s="8" t="s">
        <v>2786</v>
      </c>
      <c r="B3279" s="8" t="s">
        <v>3708</v>
      </c>
      <c r="D3279" s="121" t="str">
        <f>HYPERLINK("http://www.oklahoma.va.gov/services/MOVE.ASP")</f>
        <v>http://www.oklahoma.va.gov/services/MOVE.ASP</v>
      </c>
      <c r="E3279" s="8" t="s">
        <v>392</v>
      </c>
    </row>
    <row r="3280" ht="14.25" hidden="1" customHeight="1">
      <c r="A3280" s="8" t="s">
        <v>2786</v>
      </c>
      <c r="B3280" s="8" t="s">
        <v>745</v>
      </c>
      <c r="D3280" s="121" t="str">
        <f>HYPERLINK("http://www.oklahoma.va.gov/services/SPECIALTY_CLINICS.ASP")</f>
        <v>http://www.oklahoma.va.gov/services/SPECIALTY_CLINICS.ASP</v>
      </c>
      <c r="E3280" s="8" t="s">
        <v>392</v>
      </c>
    </row>
    <row r="3281" ht="14.25" hidden="1" customHeight="1">
      <c r="A3281" s="8" t="s">
        <v>2786</v>
      </c>
      <c r="B3281" s="8" t="s">
        <v>323</v>
      </c>
      <c r="D3281" s="121" t="str">
        <f>HYPERLINK("http://www.oklahoma.va.gov/services/AMBULATORY_MENTAL_HEALTH_CLINIC.ASP")</f>
        <v>http://www.oklahoma.va.gov/services/AMBULATORY_MENTAL_HEALTH_CLINIC.ASP</v>
      </c>
      <c r="E3281" s="8" t="s">
        <v>392</v>
      </c>
    </row>
    <row r="3282" ht="14.25" hidden="1" customHeight="1">
      <c r="A3282" s="8" t="s">
        <v>2786</v>
      </c>
      <c r="B3282" s="8" t="s">
        <v>324</v>
      </c>
      <c r="D3282" s="121" t="str">
        <f>HYPERLINK("http://www.oklahoma.va.gov/services/MILITARY_SEXUAL_TRAUMA_COORDINATOR.ASP")</f>
        <v>http://www.oklahoma.va.gov/services/MILITARY_SEXUAL_TRAUMA_COORDINATOR.ASP</v>
      </c>
      <c r="E3282" s="8" t="s">
        <v>392</v>
      </c>
    </row>
    <row r="3283" ht="14.25" hidden="1" customHeight="1">
      <c r="A3283" s="8" t="s">
        <v>2786</v>
      </c>
      <c r="B3283" s="8" t="s">
        <v>707</v>
      </c>
      <c r="D3283" s="121" t="str">
        <f>HYPERLINK("http://www.oklahoma.va.gov/services/MYHEALTHEVET.ASP")</f>
        <v>http://www.oklahoma.va.gov/services/MYHEALTHEVET.ASP</v>
      </c>
      <c r="E3283" s="8" t="s">
        <v>392</v>
      </c>
    </row>
    <row r="3284" ht="14.25" hidden="1" customHeight="1">
      <c r="A3284" s="8" t="s">
        <v>2786</v>
      </c>
      <c r="B3284" s="8" t="s">
        <v>1096</v>
      </c>
      <c r="D3284" s="121" t="str">
        <f>HYPERLINK("http://www.oklahoma.va.gov/services/TRANSITION_AND_CARE_MANAGEMENT_PROGRAM.ASP")</f>
        <v>http://www.oklahoma.va.gov/services/TRANSITION_AND_CARE_MANAGEMENT_PROGRAM.ASP</v>
      </c>
      <c r="E3284" s="8" t="s">
        <v>595</v>
      </c>
    </row>
    <row r="3285" ht="14.25" hidden="1" customHeight="1">
      <c r="A3285" s="8" t="s">
        <v>2786</v>
      </c>
      <c r="B3285" s="8" t="s">
        <v>900</v>
      </c>
      <c r="D3285" s="121" t="str">
        <f>HYPERLINK("http://www.oklahoma.va.gov/services/OCCUPATIONAL_THERAPY.ASP")</f>
        <v>http://www.oklahoma.va.gov/services/OCCUPATIONAL_THERAPY.ASP</v>
      </c>
      <c r="E3285" s="8" t="s">
        <v>392</v>
      </c>
    </row>
    <row r="3286" ht="14.25" hidden="1" customHeight="1">
      <c r="A3286" s="8" t="s">
        <v>2786</v>
      </c>
      <c r="B3286" s="8" t="s">
        <v>700</v>
      </c>
      <c r="D3286" s="121" t="str">
        <f>HYPERLINK("http://www.oklahoma.va.gov/services/ONCOLOGY_CLINIC.ASP")</f>
        <v>http://www.oklahoma.va.gov/services/ONCOLOGY_CLINIC.ASP</v>
      </c>
      <c r="E3286" s="8" t="s">
        <v>392</v>
      </c>
    </row>
    <row r="3287" ht="14.25" hidden="1" customHeight="1">
      <c r="A3287" s="8" t="s">
        <v>2786</v>
      </c>
      <c r="B3287" s="8" t="s">
        <v>3709</v>
      </c>
      <c r="D3287" s="121" t="str">
        <f t="shared" ref="D3287:D3288" si="32">HYPERLINK("http://www.oklahoma.va.gov/services/PAIN_REHABILITATION_PROGRAM.ASP")</f>
        <v>http://www.oklahoma.va.gov/services/PAIN_REHABILITATION_PROGRAM.ASP</v>
      </c>
      <c r="E3287" s="8" t="s">
        <v>595</v>
      </c>
    </row>
    <row r="3288" ht="14.25" hidden="1" customHeight="1">
      <c r="A3288" s="8" t="s">
        <v>2786</v>
      </c>
      <c r="B3288" s="8" t="s">
        <v>3689</v>
      </c>
      <c r="D3288" s="121" t="str">
        <f t="shared" si="32"/>
        <v>http://www.oklahoma.va.gov/services/PAIN_REHABILITATION_PROGRAM.ASP</v>
      </c>
      <c r="E3288" s="8" t="s">
        <v>392</v>
      </c>
    </row>
    <row r="3289" ht="14.25" hidden="1" customHeight="1">
      <c r="A3289" s="8" t="s">
        <v>2786</v>
      </c>
      <c r="B3289" s="8" t="s">
        <v>3710</v>
      </c>
      <c r="D3289" s="121" t="str">
        <f>HYPERLINK("http://www.oklahoma.va.gov/services/PALLIATIVE_CARE_UNIT.ASP")</f>
        <v>http://www.oklahoma.va.gov/services/PALLIATIVE_CARE_UNIT.ASP</v>
      </c>
      <c r="E3289" s="8" t="s">
        <v>392</v>
      </c>
    </row>
    <row r="3290" ht="14.25" hidden="1" customHeight="1">
      <c r="A3290" s="8" t="s">
        <v>2786</v>
      </c>
      <c r="B3290" s="8" t="s">
        <v>907</v>
      </c>
      <c r="D3290" s="121" t="str">
        <f>HYPERLINK("http://www.oklahoma.va.gov/services/PATIENT_ADVOCATES.ASP")</f>
        <v>http://www.oklahoma.va.gov/services/PATIENT_ADVOCATES.ASP</v>
      </c>
      <c r="E3290" s="8" t="s">
        <v>392</v>
      </c>
    </row>
    <row r="3291" ht="14.25" hidden="1" customHeight="1">
      <c r="A3291" s="8" t="s">
        <v>2786</v>
      </c>
      <c r="B3291" s="8" t="s">
        <v>343</v>
      </c>
      <c r="D3291" s="121" t="str">
        <f>HYPERLINK("http://www.oklahoma.va.gov/services/PHARMACY.ASP")</f>
        <v>http://www.oklahoma.va.gov/services/PHARMACY.ASP</v>
      </c>
      <c r="E3291" s="8" t="s">
        <v>392</v>
      </c>
    </row>
    <row r="3292" ht="14.25" hidden="1" customHeight="1">
      <c r="A3292" s="8" t="s">
        <v>2786</v>
      </c>
      <c r="B3292" s="8" t="s">
        <v>2520</v>
      </c>
      <c r="D3292" s="121" t="str">
        <f>HYPERLINK("http://www.oklahoma.va.gov/services/PHYSICAL_THERAPY_CLINIC.ASP")</f>
        <v>http://www.oklahoma.va.gov/services/PHYSICAL_THERAPY_CLINIC.ASP</v>
      </c>
      <c r="E3292" s="8" t="s">
        <v>392</v>
      </c>
    </row>
    <row r="3293" ht="14.25" hidden="1" customHeight="1">
      <c r="A3293" s="8" t="s">
        <v>2786</v>
      </c>
      <c r="B3293" s="8" t="s">
        <v>3711</v>
      </c>
      <c r="D3293" s="121" t="str">
        <f>HYPERLINK("http://www.oklahoma.va.gov/services/POSITRON_EMISSION_TOMOGRAPHY_PET_COMPUTED_TOMOGRAPHY_CT_SCAN.ASP")</f>
        <v>http://www.oklahoma.va.gov/services/POSITRON_EMISSION_TOMOGRAPHY_PET_COMPUTED_TOMOGRAPHY_CT_SCAN.ASP</v>
      </c>
      <c r="E3293" s="8" t="s">
        <v>392</v>
      </c>
    </row>
    <row r="3294" ht="14.25" hidden="1" customHeight="1">
      <c r="A3294" s="8" t="s">
        <v>2786</v>
      </c>
      <c r="B3294" s="8" t="s">
        <v>1284</v>
      </c>
      <c r="D3294" s="121" t="str">
        <f>HYPERLINK("http://www.oklahoma.va.gov/services/POST_TRAUMATIC_STRESS_DISORDER.ASP")</f>
        <v>http://www.oklahoma.va.gov/services/POST_TRAUMATIC_STRESS_DISORDER.ASP</v>
      </c>
      <c r="E3294" s="8" t="s">
        <v>392</v>
      </c>
    </row>
    <row r="3295" ht="14.25" hidden="1" customHeight="1">
      <c r="A3295" s="8" t="s">
        <v>2786</v>
      </c>
      <c r="B3295" s="8" t="s">
        <v>348</v>
      </c>
      <c r="D3295" s="121" t="str">
        <f>HYPERLINK("http://www.oklahoma.va.gov/services/PRIMARY_CARE.ASP")</f>
        <v>http://www.oklahoma.va.gov/services/PRIMARY_CARE.ASP</v>
      </c>
      <c r="E3295" s="8" t="s">
        <v>392</v>
      </c>
    </row>
    <row r="3296" ht="14.25" hidden="1" customHeight="1">
      <c r="A3296" s="8" t="s">
        <v>2786</v>
      </c>
      <c r="B3296" s="8" t="s">
        <v>3712</v>
      </c>
      <c r="D3296" s="121" t="str">
        <f>HYPERLINK("http://www.oklahoma.va.gov/services/PROSTHETICS_ORTHOTICS_CLINIC.ASP")</f>
        <v>http://www.oklahoma.va.gov/services/PROSTHETICS_ORTHOTICS_CLINIC.ASP</v>
      </c>
      <c r="E3296" s="8" t="s">
        <v>392</v>
      </c>
    </row>
    <row r="3297" ht="14.25" hidden="1" customHeight="1">
      <c r="A3297" s="8" t="s">
        <v>2786</v>
      </c>
      <c r="B3297" s="8" t="s">
        <v>917</v>
      </c>
      <c r="D3297" s="121" t="str">
        <f>HYPERLINK("http://www.oklahoma.va.gov/services/PSYCHIATRY_SERVICE.ASP")</f>
        <v>http://www.oklahoma.va.gov/services/PSYCHIATRY_SERVICE.ASP</v>
      </c>
      <c r="E3297" s="8" t="s">
        <v>392</v>
      </c>
    </row>
    <row r="3298" ht="14.25" hidden="1" customHeight="1">
      <c r="A3298" s="8" t="s">
        <v>2786</v>
      </c>
      <c r="B3298" s="8" t="s">
        <v>918</v>
      </c>
      <c r="D3298" s="121" t="str">
        <f>HYPERLINK("http://www.oklahoma.va.gov/services/MENTAL_HEALTH_AND_PSYCHOLOGY_SERVICES.ASP")</f>
        <v>http://www.oklahoma.va.gov/services/MENTAL_HEALTH_AND_PSYCHOLOGY_SERVICES.ASP</v>
      </c>
      <c r="E3298" s="8" t="s">
        <v>392</v>
      </c>
    </row>
    <row r="3299" ht="14.25" hidden="1" customHeight="1">
      <c r="A3299" s="8" t="s">
        <v>2786</v>
      </c>
      <c r="B3299" s="8" t="s">
        <v>3713</v>
      </c>
      <c r="D3299" s="121" t="str">
        <f>HYPERLINK("http://www.oklahoma.va.gov/services/PULMONARY_FUNCTION_PFT_LAB.ASP")</f>
        <v>http://www.oklahoma.va.gov/services/PULMONARY_FUNCTION_PFT_LAB.ASP</v>
      </c>
      <c r="E3299" s="8" t="s">
        <v>392</v>
      </c>
    </row>
    <row r="3300" ht="14.25" hidden="1" customHeight="1">
      <c r="A3300" s="8" t="s">
        <v>2786</v>
      </c>
      <c r="B3300" s="8" t="s">
        <v>3714</v>
      </c>
      <c r="D3300" s="121" t="str">
        <f>HYPERLINK("http://www.oklahoma.va.gov/services/PULMONARY_ONCOLOGY.ASP")</f>
        <v>http://www.oklahoma.va.gov/services/PULMONARY_ONCOLOGY.ASP</v>
      </c>
      <c r="E3300" s="8" t="s">
        <v>392</v>
      </c>
    </row>
    <row r="3301" ht="14.25" hidden="1" customHeight="1">
      <c r="A3301" s="8" t="s">
        <v>2786</v>
      </c>
      <c r="B3301" s="8" t="s">
        <v>3715</v>
      </c>
      <c r="D3301" s="121" t="str">
        <f>HYPERLINK("http://www.oklahoma.va.gov/services/RADIATION_ONCOLOGY_CLINIC.ASP")</f>
        <v>http://www.oklahoma.va.gov/services/RADIATION_ONCOLOGY_CLINIC.ASP</v>
      </c>
      <c r="E3301" s="8" t="s">
        <v>392</v>
      </c>
    </row>
    <row r="3302" ht="14.25" hidden="1" customHeight="1">
      <c r="A3302" s="8" t="s">
        <v>2786</v>
      </c>
      <c r="B3302" s="8" t="s">
        <v>717</v>
      </c>
      <c r="D3302" s="121" t="str">
        <f>HYPERLINK("http://www.oklahoma.va.gov/services/RADIOLOGY.ASP")</f>
        <v>http://www.oklahoma.va.gov/services/RADIOLOGY.ASP</v>
      </c>
      <c r="E3302" s="8" t="s">
        <v>392</v>
      </c>
    </row>
    <row r="3303" ht="14.25" hidden="1" customHeight="1">
      <c r="A3303" s="8" t="s">
        <v>2786</v>
      </c>
      <c r="B3303" s="8" t="s">
        <v>3716</v>
      </c>
      <c r="D3303" s="121" t="str">
        <f>HYPERLINK("http://www.oklahoma.va.gov/services/SUBSTANCE_ABUSE_CLINIC.ASP")</f>
        <v>http://www.oklahoma.va.gov/services/SUBSTANCE_ABUSE_CLINIC.ASP</v>
      </c>
      <c r="E3303" s="8" t="s">
        <v>595</v>
      </c>
    </row>
    <row r="3304" ht="14.25" hidden="1" customHeight="1">
      <c r="A3304" s="8" t="s">
        <v>2786</v>
      </c>
      <c r="B3304" s="8" t="s">
        <v>3717</v>
      </c>
      <c r="D3304" s="121" t="str">
        <f>HYPERLINK("http://www.oklahoma.va.gov/services/SLEEP_MEDICINE_CLINIC.ASP")</f>
        <v>http://www.oklahoma.va.gov/services/SLEEP_MEDICINE_CLINIC.ASP</v>
      </c>
      <c r="E3304" s="8" t="s">
        <v>392</v>
      </c>
    </row>
    <row r="3305" ht="14.25" hidden="1" customHeight="1">
      <c r="A3305" s="8" t="s">
        <v>2786</v>
      </c>
      <c r="B3305" s="8" t="s">
        <v>3718</v>
      </c>
      <c r="D3305" s="121" t="str">
        <f>HYPERLINK("http://www.oklahoma.va.gov/services/SMOKING_TOBACCO_CESSATION_CLINIC.ASP")</f>
        <v>http://www.oklahoma.va.gov/services/SMOKING_TOBACCO_CESSATION_CLINIC.ASP</v>
      </c>
      <c r="E3305" s="8" t="s">
        <v>392</v>
      </c>
    </row>
    <row r="3306" ht="14.25" hidden="1" customHeight="1">
      <c r="A3306" s="8" t="s">
        <v>2786</v>
      </c>
      <c r="B3306" s="8" t="s">
        <v>360</v>
      </c>
      <c r="D3306" s="121" t="str">
        <f>HYPERLINK("http://www.oklahoma.va.gov/services/SOCIAL_WORK.ASP")</f>
        <v>http://www.oklahoma.va.gov/services/SOCIAL_WORK.ASP</v>
      </c>
      <c r="E3306" s="8" t="s">
        <v>392</v>
      </c>
    </row>
    <row r="3307" ht="14.25" hidden="1" customHeight="1">
      <c r="A3307" s="8" t="s">
        <v>2786</v>
      </c>
      <c r="B3307" s="8" t="s">
        <v>1379</v>
      </c>
      <c r="D3307" s="121" t="str">
        <f>HYPERLINK("http://www.oklahoma.va.gov/services/SPEECH_PATHOLOGY_CLINIC.ASP")</f>
        <v>http://www.oklahoma.va.gov/services/SPEECH_PATHOLOGY_CLINIC.ASP</v>
      </c>
      <c r="E3307" s="8" t="s">
        <v>392</v>
      </c>
    </row>
    <row r="3308" ht="14.25" hidden="1" customHeight="1">
      <c r="A3308" s="8" t="s">
        <v>2786</v>
      </c>
      <c r="B3308" s="8" t="s">
        <v>364</v>
      </c>
      <c r="D3308" s="121" t="str">
        <f>HYPERLINK("http://www.oklahoma.va.gov/services/SCI.ASP")</f>
        <v>http://www.oklahoma.va.gov/services/SCI.ASP</v>
      </c>
      <c r="E3308" s="8" t="s">
        <v>392</v>
      </c>
    </row>
    <row r="3309" ht="14.25" hidden="1" customHeight="1">
      <c r="A3309" s="8" t="s">
        <v>2786</v>
      </c>
      <c r="B3309" s="8" t="s">
        <v>3719</v>
      </c>
      <c r="D3309" s="121" t="str">
        <f>HYPERLINK("http://www.oklahoma.va.gov/services/SUBSTANCE_ABUSE_CLINIC.ASP")</f>
        <v>http://www.oklahoma.va.gov/services/SUBSTANCE_ABUSE_CLINIC.ASP</v>
      </c>
      <c r="E3309" s="8" t="s">
        <v>392</v>
      </c>
    </row>
    <row r="3310" ht="14.25" hidden="1" customHeight="1">
      <c r="A3310" s="8" t="s">
        <v>2786</v>
      </c>
      <c r="B3310" s="8" t="s">
        <v>3720</v>
      </c>
      <c r="D3310" s="121" t="str">
        <f>HYPERLINK("http://www.oklahoma.va.gov/services/SURGERY_OUT_PATIENT.ASP")</f>
        <v>http://www.oklahoma.va.gov/services/SURGERY_OUT_PATIENT.ASP</v>
      </c>
      <c r="E3310" s="8" t="s">
        <v>392</v>
      </c>
    </row>
    <row r="3311" ht="14.25" hidden="1" customHeight="1">
      <c r="A3311" s="8" t="s">
        <v>2786</v>
      </c>
      <c r="B3311" s="8" t="s">
        <v>3721</v>
      </c>
      <c r="D3311" s="121" t="str">
        <f>HYPERLINK("http://www.oklahoma.va.gov/services/SURGERY_CLINICS.ASP")</f>
        <v>http://www.oklahoma.va.gov/services/SURGERY_CLINICS.ASP</v>
      </c>
      <c r="E3311" s="8" t="s">
        <v>392</v>
      </c>
    </row>
    <row r="3312" ht="14.25" hidden="1" customHeight="1">
      <c r="A3312" s="8" t="s">
        <v>2786</v>
      </c>
      <c r="B3312" s="8" t="s">
        <v>3722</v>
      </c>
      <c r="D3312" s="121" t="str">
        <f>HYPERLINK("http://www.oklahoma.va.gov/services/SURGICAL_INTENSIVE_CARE_UNIT_SICU.ASP")</f>
        <v>http://www.oklahoma.va.gov/services/SURGICAL_INTENSIVE_CARE_UNIT_SICU.ASP</v>
      </c>
      <c r="E3312" s="8" t="s">
        <v>392</v>
      </c>
    </row>
    <row r="3313" ht="14.25" hidden="1" customHeight="1">
      <c r="A3313" s="8" t="s">
        <v>2786</v>
      </c>
      <c r="B3313" s="8" t="s">
        <v>3723</v>
      </c>
      <c r="D3313" s="121" t="str">
        <f>HYPERLINK("http://www.oklahoma.va.gov/services/TELECHAPLAINCY.ASP")</f>
        <v>http://www.oklahoma.va.gov/services/TELECHAPLAINCY.ASP</v>
      </c>
      <c r="E3313" s="8" t="s">
        <v>392</v>
      </c>
    </row>
    <row r="3314" ht="14.25" hidden="1" customHeight="1">
      <c r="A3314" s="8" t="s">
        <v>2786</v>
      </c>
      <c r="B3314" s="8" t="s">
        <v>3724</v>
      </c>
      <c r="D3314" s="121" t="str">
        <f>HYPERLINK("http://www.oklahoma.va.gov/services/THERAPEUTIC_RECREATION_CLINIC.ASP")</f>
        <v>http://www.oklahoma.va.gov/services/THERAPEUTIC_RECREATION_CLINIC.ASP</v>
      </c>
      <c r="E3314" s="8" t="s">
        <v>392</v>
      </c>
    </row>
    <row r="3315" ht="14.25" hidden="1" customHeight="1">
      <c r="A3315" s="8" t="s">
        <v>2786</v>
      </c>
      <c r="B3315" s="8" t="s">
        <v>1202</v>
      </c>
      <c r="D3315" s="121" t="str">
        <f>HYPERLINK("http://www.oklahoma.va.gov/services/TRANSITION_AND_CARE_MANAGEMENT_PROGRAM.ASP")</f>
        <v>http://www.oklahoma.va.gov/services/TRANSITION_AND_CARE_MANAGEMENT_PROGRAM.ASP</v>
      </c>
      <c r="E3315" s="8" t="s">
        <v>392</v>
      </c>
    </row>
    <row r="3316" ht="14.25" hidden="1" customHeight="1">
      <c r="A3316" s="8" t="s">
        <v>2786</v>
      </c>
      <c r="B3316" s="8" t="s">
        <v>3725</v>
      </c>
      <c r="D3316" s="121" t="str">
        <f>HYPERLINK("http://www.oklahoma.va.gov/services/TRAUMA_AND_DEPLOYMENT_RECOVERY_SERVICES.ASP")</f>
        <v>http://www.oklahoma.va.gov/services/TRAUMA_AND_DEPLOYMENT_RECOVERY_SERVICES.ASP</v>
      </c>
      <c r="E3316" s="8" t="s">
        <v>392</v>
      </c>
    </row>
    <row r="3317" ht="14.25" hidden="1" customHeight="1">
      <c r="A3317" s="8" t="s">
        <v>2786</v>
      </c>
      <c r="B3317" s="8" t="s">
        <v>3726</v>
      </c>
      <c r="D3317" s="121" t="str">
        <f>HYPERLINK("http://www.oklahoma.va.gov/services/ULTRASOUND_CLINIC.ASP")</f>
        <v>http://www.oklahoma.va.gov/services/ULTRASOUND_CLINIC.ASP</v>
      </c>
      <c r="E3317" s="8" t="s">
        <v>392</v>
      </c>
    </row>
    <row r="3318" ht="14.25" hidden="1" customHeight="1">
      <c r="A3318" s="8" t="s">
        <v>2786</v>
      </c>
      <c r="B3318" s="8" t="s">
        <v>1452</v>
      </c>
      <c r="D3318" s="121" t="str">
        <f>HYPERLINK("http://www.oklahoma.va.gov/services/UROLOGY_CLINIC.ASP")</f>
        <v>http://www.oklahoma.va.gov/services/UROLOGY_CLINIC.ASP</v>
      </c>
      <c r="E3318" s="8" t="s">
        <v>392</v>
      </c>
    </row>
    <row r="3319" ht="14.25" hidden="1" customHeight="1">
      <c r="A3319" s="8" t="s">
        <v>2786</v>
      </c>
      <c r="B3319" s="8" t="s">
        <v>3727</v>
      </c>
      <c r="D3319" s="121" t="str">
        <f>HYPERLINK("http://www.oklahoma.va.gov/services/VETERANS_RESEARCH_EDUCATION_FOUNDATION_VREF.ASP")</f>
        <v>http://www.oklahoma.va.gov/services/VETERANS_RESEARCH_EDUCATION_FOUNDATION_VREF.ASP</v>
      </c>
      <c r="E3319" s="8" t="s">
        <v>595</v>
      </c>
    </row>
    <row r="3320" ht="14.25" hidden="1" customHeight="1">
      <c r="A3320" s="8" t="s">
        <v>2786</v>
      </c>
      <c r="B3320" s="8" t="s">
        <v>3728</v>
      </c>
      <c r="D3320" s="121" t="str">
        <f>HYPERLINK("http://www.oklahoma.va.gov/services/VETERAN_HEALTH_INFORMATION_EXCHANGE_VLER.ASP")</f>
        <v>http://www.oklahoma.va.gov/services/VETERAN_HEALTH_INFORMATION_EXCHANGE_VLER.ASP</v>
      </c>
      <c r="E3320" s="8" t="s">
        <v>392</v>
      </c>
    </row>
    <row r="3321" ht="14.25" hidden="1" customHeight="1">
      <c r="A3321" s="8" t="s">
        <v>2786</v>
      </c>
      <c r="B3321" s="8" t="s">
        <v>3729</v>
      </c>
      <c r="D3321" s="121" t="str">
        <f>HYPERLINK("http://www.oklahoma.va.gov/services/VETERAN_S_CHOICE_PROGRAM.ASP")</f>
        <v>http://www.oklahoma.va.gov/services/VETERAN_S_CHOICE_PROGRAM.ASP</v>
      </c>
      <c r="E3321" s="8" t="s">
        <v>392</v>
      </c>
    </row>
    <row r="3322" ht="14.25" hidden="1" customHeight="1">
      <c r="A3322" s="8" t="s">
        <v>2786</v>
      </c>
      <c r="B3322" s="8" t="s">
        <v>3730</v>
      </c>
      <c r="D3322" s="121" t="str">
        <f>HYPERLINK("http://www.oklahoma.va.gov/services/VRC.ASP")</f>
        <v>http://www.oklahoma.va.gov/services/VRC.ASP</v>
      </c>
      <c r="E3322" s="8" t="s">
        <v>392</v>
      </c>
    </row>
    <row r="3323" ht="14.25" hidden="1" customHeight="1">
      <c r="A3323" s="8" t="s">
        <v>2786</v>
      </c>
      <c r="B3323" s="8" t="s">
        <v>3731</v>
      </c>
      <c r="D3323" s="121" t="str">
        <f>HYPERLINK("http://www.oklahoma.va.gov/services/VETERANS_RESEARCH_EDUCATION_FOUNDATION_VREF.ASP")</f>
        <v>http://www.oklahoma.va.gov/services/VETERANS_RESEARCH_EDUCATION_FOUNDATION_VREF.ASP</v>
      </c>
      <c r="E3323" s="8" t="s">
        <v>392</v>
      </c>
    </row>
    <row r="3324" ht="14.25" hidden="1" customHeight="1">
      <c r="A3324" s="8" t="s">
        <v>2806</v>
      </c>
      <c r="B3324" s="8" t="s">
        <v>3732</v>
      </c>
      <c r="D3324" s="121" t="str">
        <f>HYPERLINK("http://www.orlando.va.gov/services/ADAPTIVE_SPORTS_PROGRAM.ASP")</f>
        <v>http://www.orlando.va.gov/services/ADAPTIVE_SPORTS_PROGRAM.ASP</v>
      </c>
      <c r="E3324" s="8" t="s">
        <v>392</v>
      </c>
    </row>
    <row r="3325" ht="14.25" hidden="1" customHeight="1">
      <c r="A3325" s="8" t="s">
        <v>2806</v>
      </c>
      <c r="B3325" s="8" t="s">
        <v>828</v>
      </c>
      <c r="D3325" s="121" t="str">
        <f>HYPERLINK("http://www.orlando.va.gov/services/AUDIOLOGY_AND_SPEECH_PATHOLOGY.ASP")</f>
        <v>http://www.orlando.va.gov/services/AUDIOLOGY_AND_SPEECH_PATHOLOGY.ASP</v>
      </c>
      <c r="E3325" s="8" t="s">
        <v>392</v>
      </c>
    </row>
    <row r="3326" ht="14.25" hidden="1" customHeight="1">
      <c r="A3326" s="8" t="s">
        <v>2806</v>
      </c>
      <c r="B3326" s="8" t="s">
        <v>478</v>
      </c>
      <c r="D3326" s="121" t="str">
        <f>HYPERLINK("http://www.orlando.va.gov/services/CHAPLAIN.ASP")</f>
        <v>http://www.orlando.va.gov/services/CHAPLAIN.ASP</v>
      </c>
      <c r="E3326" s="8" t="s">
        <v>392</v>
      </c>
    </row>
    <row r="3327" ht="14.25" hidden="1" customHeight="1">
      <c r="A3327" s="8" t="s">
        <v>2806</v>
      </c>
      <c r="B3327" s="8" t="s">
        <v>482</v>
      </c>
      <c r="D3327" s="121" t="str">
        <f>HYPERLINK("http://www.orlando.va.gov/services/CLC.ASP")</f>
        <v>http://www.orlando.va.gov/services/CLC.ASP</v>
      </c>
      <c r="E3327" s="8" t="s">
        <v>392</v>
      </c>
    </row>
    <row r="3328" ht="14.25" hidden="1" customHeight="1">
      <c r="A3328" s="8" t="s">
        <v>2806</v>
      </c>
      <c r="B3328" s="8" t="s">
        <v>304</v>
      </c>
      <c r="D3328" s="121" t="str">
        <f>HYPERLINK("http://www.orlando.va.gov/services/DENTAL.ASP")</f>
        <v>http://www.orlando.va.gov/services/DENTAL.ASP</v>
      </c>
      <c r="E3328" s="8" t="s">
        <v>392</v>
      </c>
    </row>
    <row r="3329" ht="14.25" hidden="1" customHeight="1">
      <c r="A3329" s="8" t="s">
        <v>2806</v>
      </c>
      <c r="B3329" s="8" t="s">
        <v>875</v>
      </c>
      <c r="D3329" s="121" t="str">
        <f>HYPERLINK("http://www.orlando.va.gov/services/DOMICILIARY.ASP")</f>
        <v>http://www.orlando.va.gov/services/DOMICILIARY.ASP</v>
      </c>
      <c r="E3329" s="8" t="s">
        <v>392</v>
      </c>
    </row>
    <row r="3330" ht="14.25" hidden="1" customHeight="1">
      <c r="A3330" s="8" t="s">
        <v>2806</v>
      </c>
      <c r="B3330" s="8" t="s">
        <v>3733</v>
      </c>
      <c r="D3330" s="121" t="str">
        <f>HYPERLINK("http://www.orlando.va.gov/services/EYE-OPTOMETRY.ASP")</f>
        <v>http://www.orlando.va.gov/services/EYE-OPTOMETRY.ASP</v>
      </c>
      <c r="E3330" s="8" t="s">
        <v>392</v>
      </c>
    </row>
    <row r="3331" ht="14.25" hidden="1" customHeight="1">
      <c r="A3331" s="8" t="s">
        <v>2806</v>
      </c>
      <c r="B3331" s="8" t="s">
        <v>1344</v>
      </c>
      <c r="D3331" s="121" t="str">
        <f>HYPERLINK("http://www.orlando.va.gov/services/FISHER_HOUSE.ASP")</f>
        <v>http://www.orlando.va.gov/services/FISHER_HOUSE.ASP</v>
      </c>
      <c r="E3331" s="8" t="s">
        <v>392</v>
      </c>
    </row>
    <row r="3332" ht="14.25" hidden="1" customHeight="1">
      <c r="A3332" s="8" t="s">
        <v>2806</v>
      </c>
      <c r="B3332" s="8" t="s">
        <v>431</v>
      </c>
      <c r="D3332" s="121" t="str">
        <f>HYPERLINK("http://www.orlando.va.gov/services/HOMEBASEDPRIMARYCARE.ASP")</f>
        <v>http://www.orlando.va.gov/services/HOMEBASEDPRIMARYCARE.ASP</v>
      </c>
      <c r="E3332" s="8" t="s">
        <v>392</v>
      </c>
    </row>
    <row r="3333" ht="14.25" hidden="1" customHeight="1">
      <c r="A3333" s="8" t="s">
        <v>2806</v>
      </c>
      <c r="B3333" s="8" t="s">
        <v>1265</v>
      </c>
      <c r="D3333" s="121" t="str">
        <f>HYPERLINK("http://www.orlando.va.gov/services/LGBT_PROGRAM.ASP")</f>
        <v>http://www.orlando.va.gov/services/LGBT_PROGRAM.ASP</v>
      </c>
      <c r="E3333" s="8" t="s">
        <v>392</v>
      </c>
    </row>
    <row r="3334" ht="14.25" hidden="1" customHeight="1">
      <c r="A3334" s="8" t="s">
        <v>2806</v>
      </c>
      <c r="B3334" s="8" t="s">
        <v>323</v>
      </c>
      <c r="D3334" s="121" t="str">
        <f>HYPERLINK("http://www.orlando.va.gov/services/MENTALHEALTH.ASP")</f>
        <v>http://www.orlando.va.gov/services/MENTALHEALTH.ASP</v>
      </c>
      <c r="E3334" s="8" t="s">
        <v>392</v>
      </c>
    </row>
    <row r="3335" ht="14.25" hidden="1" customHeight="1">
      <c r="A3335" s="8" t="s">
        <v>2806</v>
      </c>
      <c r="B3335" s="8" t="s">
        <v>324</v>
      </c>
      <c r="D3335" s="121" t="str">
        <f>HYPERLINK("http://www.orlando.va.gov/services/MILITARY_SEXUAL_TRAUMA.ASP")</f>
        <v>http://www.orlando.va.gov/services/MILITARY_SEXUAL_TRAUMA.ASP</v>
      </c>
      <c r="E3335" s="8" t="s">
        <v>392</v>
      </c>
    </row>
    <row r="3336" ht="14.25" hidden="1" customHeight="1">
      <c r="A3336" s="8" t="s">
        <v>2806</v>
      </c>
      <c r="B3336" s="8" t="s">
        <v>3734</v>
      </c>
      <c r="D3336" s="121" t="str">
        <f>HYPERLINK("http://www.orlando.va.gov/services/MINORITY_VETERAN_PROGRAM.ASP")</f>
        <v>http://www.orlando.va.gov/services/MINORITY_VETERAN_PROGRAM.ASP</v>
      </c>
      <c r="E3336" s="8" t="s">
        <v>392</v>
      </c>
    </row>
    <row r="3337" ht="14.25" hidden="1" customHeight="1">
      <c r="A3337" s="8" t="s">
        <v>2806</v>
      </c>
      <c r="B3337" s="8" t="s">
        <v>1172</v>
      </c>
      <c r="D3337" s="121" t="str">
        <f>HYPERLINK("http://www.orlando.va.gov/services/NEUROLOGY.ASP")</f>
        <v>http://www.orlando.va.gov/services/NEUROLOGY.ASP</v>
      </c>
      <c r="E3337" s="8" t="s">
        <v>392</v>
      </c>
    </row>
    <row r="3338" ht="14.25" hidden="1" customHeight="1">
      <c r="A3338" s="8" t="s">
        <v>2806</v>
      </c>
      <c r="B3338" s="8" t="s">
        <v>335</v>
      </c>
      <c r="D3338" s="121" t="str">
        <f>HYPERLINK("http://www.orlando.va.gov/services/NUTRITION.ASP")</f>
        <v>http://www.orlando.va.gov/services/NUTRITION.ASP</v>
      </c>
      <c r="E3338" s="8" t="s">
        <v>392</v>
      </c>
    </row>
    <row r="3339" ht="14.25" hidden="1" customHeight="1">
      <c r="A3339" s="8" t="s">
        <v>2806</v>
      </c>
      <c r="B3339" s="8" t="s">
        <v>1489</v>
      </c>
      <c r="D3339" s="121" t="str">
        <f>HYPERLINK("http://www.orlando.va.gov/services/OCCHEALTH.ASP")</f>
        <v>http://www.orlando.va.gov/services/OCCHEALTH.ASP</v>
      </c>
      <c r="E3339" s="8" t="s">
        <v>392</v>
      </c>
    </row>
    <row r="3340" ht="14.25" hidden="1" customHeight="1">
      <c r="A3340" s="8" t="s">
        <v>2806</v>
      </c>
      <c r="B3340" s="8" t="s">
        <v>314</v>
      </c>
      <c r="D3340" s="121" t="str">
        <f>HYPERLINK("http://www.orlando.va.gov/services/LABORATORY.ASP")</f>
        <v>http://www.orlando.va.gov/services/LABORATORY.ASP</v>
      </c>
      <c r="E3340" s="8" t="s">
        <v>392</v>
      </c>
    </row>
    <row r="3341" ht="14.25" hidden="1" customHeight="1">
      <c r="A3341" s="8" t="s">
        <v>2806</v>
      </c>
      <c r="B3341" s="8" t="s">
        <v>343</v>
      </c>
      <c r="D3341" s="121" t="str">
        <f>HYPERLINK("http://www.orlando.va.gov/services/PHARMACY.ASP")</f>
        <v>http://www.orlando.va.gov/services/PHARMACY.ASP</v>
      </c>
      <c r="E3341" s="8" t="s">
        <v>392</v>
      </c>
    </row>
    <row r="3342" ht="14.25" hidden="1" customHeight="1">
      <c r="A3342" s="8" t="s">
        <v>2806</v>
      </c>
      <c r="B3342" s="8" t="s">
        <v>608</v>
      </c>
      <c r="D3342" s="121" t="str">
        <f>HYPERLINK("http://www.orlando.va.gov/services/PHYSICAL_REHABILITATION_SERVICES.ASP")</f>
        <v>http://www.orlando.va.gov/services/PHYSICAL_REHABILITATION_SERVICES.ASP</v>
      </c>
      <c r="E3342" s="8" t="s">
        <v>392</v>
      </c>
    </row>
    <row r="3343" ht="14.25" hidden="1" customHeight="1">
      <c r="A3343" s="8" t="s">
        <v>2806</v>
      </c>
      <c r="B3343" s="8" t="s">
        <v>450</v>
      </c>
      <c r="D3343" s="121" t="str">
        <f>HYPERLINK("http://www.orlando.va.gov/services/PODIATRY.ASP")</f>
        <v>http://www.orlando.va.gov/services/PODIATRY.ASP</v>
      </c>
      <c r="E3343" s="8" t="s">
        <v>392</v>
      </c>
    </row>
    <row r="3344" ht="14.25" hidden="1" customHeight="1">
      <c r="A3344" s="8" t="s">
        <v>2806</v>
      </c>
      <c r="B3344" s="8" t="s">
        <v>348</v>
      </c>
      <c r="D3344" s="121" t="str">
        <f>HYPERLINK("http://www.orlando.va.gov/services/PRIMARYCARE.ASP")</f>
        <v>http://www.orlando.va.gov/services/PRIMARYCARE.ASP</v>
      </c>
      <c r="E3344" s="8" t="s">
        <v>392</v>
      </c>
    </row>
    <row r="3345" ht="14.25" hidden="1" customHeight="1">
      <c r="A3345" s="8" t="s">
        <v>2806</v>
      </c>
      <c r="B3345" s="8" t="s">
        <v>456</v>
      </c>
      <c r="D3345" s="121" t="str">
        <f>HYPERLINK("http://www.orlando.va.gov/services/PROSTHETICS_AND_SENSORY_AIDS_PROGRAM.ASP")</f>
        <v>http://www.orlando.va.gov/services/PROSTHETICS_AND_SENSORY_AIDS_PROGRAM.ASP</v>
      </c>
      <c r="E3345" s="8" t="s">
        <v>392</v>
      </c>
    </row>
    <row r="3346" ht="14.25" hidden="1" customHeight="1">
      <c r="A3346" s="8" t="s">
        <v>2806</v>
      </c>
      <c r="B3346" s="8" t="s">
        <v>717</v>
      </c>
      <c r="D3346" s="121" t="str">
        <f>HYPERLINK("http://www.orlando.va.gov/services/RADIOLOGY.ASP")</f>
        <v>http://www.orlando.va.gov/services/RADIOLOGY.ASP</v>
      </c>
      <c r="E3346" s="8" t="s">
        <v>392</v>
      </c>
    </row>
    <row r="3347" ht="14.25" hidden="1" customHeight="1">
      <c r="A3347" s="8" t="s">
        <v>2806</v>
      </c>
      <c r="B3347" s="8" t="s">
        <v>2805</v>
      </c>
      <c r="D3347" s="121" t="str">
        <f>HYPERLINK("http://www.orlando.va.gov/services/RESEARCH.ASP")</f>
        <v>http://www.orlando.va.gov/services/RESEARCH.ASP</v>
      </c>
      <c r="E3347" s="8" t="s">
        <v>392</v>
      </c>
    </row>
    <row r="3348" ht="14.25" hidden="1" customHeight="1">
      <c r="A3348" s="8" t="s">
        <v>2806</v>
      </c>
      <c r="B3348" s="8" t="s">
        <v>3662</v>
      </c>
      <c r="D3348" s="121" t="str">
        <f>HYPERLINK("http://www.orlando.va.gov/services/PULMONARY_AND_SLEEP_MEDICINE.ASP")</f>
        <v>http://www.orlando.va.gov/services/PULMONARY_AND_SLEEP_MEDICINE.ASP</v>
      </c>
      <c r="E3348" s="8" t="s">
        <v>392</v>
      </c>
    </row>
    <row r="3349" ht="14.25" hidden="1" customHeight="1">
      <c r="A3349" s="8" t="s">
        <v>2806</v>
      </c>
      <c r="B3349" s="8" t="s">
        <v>360</v>
      </c>
      <c r="D3349" s="121" t="str">
        <f>HYPERLINK("http://www.orlando.va.gov/services/SOCIAL_WORK.ASP")</f>
        <v>http://www.orlando.va.gov/services/SOCIAL_WORK.ASP</v>
      </c>
      <c r="E3349" s="8" t="s">
        <v>392</v>
      </c>
    </row>
    <row r="3350" ht="14.25" hidden="1" customHeight="1">
      <c r="A3350" s="8" t="s">
        <v>2806</v>
      </c>
      <c r="B3350" s="8" t="s">
        <v>973</v>
      </c>
      <c r="D3350" s="121" t="str">
        <f>HYPERLINK("http://www.orlando.va.gov/services/WHOLE_HEALTH.ASP")</f>
        <v>http://www.orlando.va.gov/services/WHOLE_HEALTH.ASP</v>
      </c>
      <c r="E3350" s="8" t="s">
        <v>392</v>
      </c>
    </row>
    <row r="3351" ht="14.25" hidden="1" customHeight="1">
      <c r="A3351" s="8" t="s">
        <v>2854</v>
      </c>
      <c r="B3351" s="8" t="s">
        <v>3735</v>
      </c>
      <c r="D3351" s="121" t="str">
        <f>HYPERLINK("http://www.paloalto.va.gov/services/ATS.ASP")</f>
        <v>http://www.paloalto.va.gov/services/ATS.ASP</v>
      </c>
      <c r="E3351" s="8" t="s">
        <v>392</v>
      </c>
    </row>
    <row r="3352" ht="14.25" hidden="1" customHeight="1">
      <c r="A3352" s="8" t="s">
        <v>2854</v>
      </c>
      <c r="B3352" s="8" t="s">
        <v>3736</v>
      </c>
      <c r="D3352" s="121" t="str">
        <f>HYPERLINK("http://www.paloalto.va.gov/services/ADVICENURSE.ASP")</f>
        <v>http://www.paloalto.va.gov/services/ADVICENURSE.ASP</v>
      </c>
      <c r="E3352" s="8" t="s">
        <v>392</v>
      </c>
    </row>
    <row r="3353" ht="14.25" hidden="1" customHeight="1">
      <c r="A3353" s="8" t="s">
        <v>2854</v>
      </c>
      <c r="B3353" s="8" t="s">
        <v>3737</v>
      </c>
      <c r="D3353" s="121" t="str">
        <f>HYPERLINK("http://www.paloalto.va.gov/services/VFCC.ASP")</f>
        <v>http://www.paloalto.va.gov/services/VFCC.ASP</v>
      </c>
      <c r="E3353" s="8" t="s">
        <v>595</v>
      </c>
    </row>
    <row r="3354" ht="14.25" hidden="1" customHeight="1">
      <c r="A3354" s="8" t="s">
        <v>2854</v>
      </c>
      <c r="B3354" s="8" t="s">
        <v>3738</v>
      </c>
      <c r="D3354" s="121" t="str">
        <f>HYPERLINK("http://www.paloalto.va.gov/services/ANESTHESIOLOGY.ASP")</f>
        <v>http://www.paloalto.va.gov/services/ANESTHESIOLOGY.ASP</v>
      </c>
      <c r="E3354" s="8" t="s">
        <v>392</v>
      </c>
    </row>
    <row r="3355" ht="14.25" hidden="1" customHeight="1">
      <c r="A3355" s="8" t="s">
        <v>2854</v>
      </c>
      <c r="B3355" s="8" t="s">
        <v>3739</v>
      </c>
      <c r="D3355" s="121" t="str">
        <f>HYPERLINK("http://www.paloalto.va.gov/services/AUDIOLOGY.ASP")</f>
        <v>http://www.paloalto.va.gov/services/AUDIOLOGY.ASP</v>
      </c>
      <c r="E3355" s="8" t="s">
        <v>392</v>
      </c>
    </row>
    <row r="3356" ht="14.25" hidden="1" customHeight="1">
      <c r="A3356" s="8" t="s">
        <v>2854</v>
      </c>
      <c r="B3356" s="8" t="s">
        <v>632</v>
      </c>
      <c r="D3356" s="121" t="str">
        <f>HYPERLINK("http://www.paloalto.va.gov/services/BARIATRIC.ASP")</f>
        <v>http://www.paloalto.va.gov/services/BARIATRIC.ASP</v>
      </c>
      <c r="E3356" s="8" t="s">
        <v>392</v>
      </c>
    </row>
    <row r="3357" ht="14.25" hidden="1" customHeight="1">
      <c r="A3357" s="8" t="s">
        <v>2854</v>
      </c>
      <c r="B3357" s="8" t="s">
        <v>3740</v>
      </c>
      <c r="D3357" s="121" t="str">
        <f>HYPERLINK("http://www.paloalto.va.gov/services/BEHAVIORALMEDICINE.ASP")</f>
        <v>http://www.paloalto.va.gov/services/BEHAVIORALMEDICINE.ASP</v>
      </c>
      <c r="E3357" s="8" t="s">
        <v>392</v>
      </c>
    </row>
    <row r="3358" ht="14.25" hidden="1" customHeight="1">
      <c r="A3358" s="8" t="s">
        <v>2854</v>
      </c>
      <c r="B3358" s="8" t="s">
        <v>2782</v>
      </c>
      <c r="D3358" s="121" t="str">
        <f>HYPERLINK("http://www.paloalto.va.gov/services/BIOETHICS.ASP")</f>
        <v>http://www.paloalto.va.gov/services/BIOETHICS.ASP</v>
      </c>
      <c r="E3358" s="8" t="s">
        <v>392</v>
      </c>
    </row>
    <row r="3359" ht="14.25" hidden="1" customHeight="1">
      <c r="A3359" s="8" t="s">
        <v>2854</v>
      </c>
      <c r="B3359" s="8" t="s">
        <v>478</v>
      </c>
      <c r="D3359" s="121" t="str">
        <f>HYPERLINK("http://www.paloalto.va.gov/services/CHAPLAINSERVICES.ASP")</f>
        <v>http://www.paloalto.va.gov/services/CHAPLAINSERVICES.ASP</v>
      </c>
      <c r="E3359" s="8" t="s">
        <v>392</v>
      </c>
    </row>
    <row r="3360" ht="14.25" hidden="1" customHeight="1">
      <c r="A3360" s="8" t="s">
        <v>2854</v>
      </c>
      <c r="B3360" s="8" t="s">
        <v>3741</v>
      </c>
      <c r="D3360" s="121" t="str">
        <f>HYPERLINK("http://www.paloalto.va.gov/services/CHIROPRACTIC.ASP")</f>
        <v>http://www.paloalto.va.gov/services/CHIROPRACTIC.ASP</v>
      </c>
      <c r="E3360" s="8" t="s">
        <v>392</v>
      </c>
    </row>
    <row r="3361" ht="14.25" hidden="1" customHeight="1">
      <c r="A3361" s="8" t="s">
        <v>2854</v>
      </c>
      <c r="B3361" s="8" t="s">
        <v>3742</v>
      </c>
      <c r="D3361" s="121" t="str">
        <f>HYPERLINK("http://www.paloalto.va.gov/services/CWTPROGRAM.ASP")</f>
        <v>http://www.paloalto.va.gov/services/CWTPROGRAM.ASP</v>
      </c>
      <c r="E3361" s="8" t="s">
        <v>392</v>
      </c>
    </row>
    <row r="3362" ht="14.25" hidden="1" customHeight="1">
      <c r="A3362" s="8" t="s">
        <v>2854</v>
      </c>
      <c r="B3362" s="8" t="s">
        <v>2621</v>
      </c>
      <c r="D3362" s="121" t="str">
        <f>HYPERLINK("http://www.paloalto.va.gov/services/CBI.ASP")</f>
        <v>http://www.paloalto.va.gov/services/CBI.ASP</v>
      </c>
      <c r="E3362" s="8" t="s">
        <v>392</v>
      </c>
    </row>
    <row r="3363" ht="14.25" hidden="1" customHeight="1">
      <c r="A3363" s="8" t="s">
        <v>2854</v>
      </c>
      <c r="B3363" s="8" t="s">
        <v>3743</v>
      </c>
      <c r="D3363" s="121" t="str">
        <f>HYPERLINK("http://www.paloalto.va.gov/services/DEFENDERSLODGE.ASP")</f>
        <v>http://www.paloalto.va.gov/services/DEFENDERSLODGE.ASP</v>
      </c>
      <c r="E3363" s="8" t="s">
        <v>392</v>
      </c>
    </row>
    <row r="3364" ht="14.25" hidden="1" customHeight="1">
      <c r="A3364" s="8" t="s">
        <v>2854</v>
      </c>
      <c r="B3364" s="8" t="s">
        <v>3744</v>
      </c>
      <c r="D3364" s="121" t="str">
        <f>HYPERLINK("http://www.paloalto.va.gov/services/DENTAL.ASP")</f>
        <v>http://www.paloalto.va.gov/services/DENTAL.ASP</v>
      </c>
      <c r="E3364" s="8" t="s">
        <v>392</v>
      </c>
    </row>
    <row r="3365" ht="14.25" hidden="1" customHeight="1">
      <c r="A3365" s="8" t="s">
        <v>2854</v>
      </c>
      <c r="B3365" s="8" t="s">
        <v>3745</v>
      </c>
      <c r="D3365" s="121" t="str">
        <f>HYPERLINK("http://www.paloalto.va.gov/services/DERMATOLOGY.ASP")</f>
        <v>http://www.paloalto.va.gov/services/DERMATOLOGY.ASP</v>
      </c>
      <c r="E3365" s="8" t="s">
        <v>392</v>
      </c>
    </row>
    <row r="3366" ht="14.25" hidden="1" customHeight="1">
      <c r="A3366" s="8" t="s">
        <v>2854</v>
      </c>
      <c r="B3366" s="8" t="s">
        <v>3746</v>
      </c>
      <c r="D3366" s="121" t="str">
        <f>HYPERLINK("http://www.paloalto.va.gov/services/ENT.ASP")</f>
        <v>http://www.paloalto.va.gov/services/ENT.ASP</v>
      </c>
      <c r="E3366" s="8" t="s">
        <v>595</v>
      </c>
    </row>
    <row r="3367" ht="14.25" hidden="1" customHeight="1">
      <c r="A3367" s="8" t="s">
        <v>2854</v>
      </c>
      <c r="B3367" s="8" t="s">
        <v>1075</v>
      </c>
      <c r="D3367" s="121" t="str">
        <f>HYPERLINK("http://www.paloalto.va.gov/services/EC.ASP")</f>
        <v>http://www.paloalto.va.gov/services/EC.ASP</v>
      </c>
      <c r="E3367" s="8" t="s">
        <v>392</v>
      </c>
    </row>
    <row r="3368" ht="14.25" hidden="1" customHeight="1">
      <c r="A3368" s="8" t="s">
        <v>2854</v>
      </c>
      <c r="B3368" s="8" t="s">
        <v>1344</v>
      </c>
      <c r="D3368" s="121" t="str">
        <f>HYPERLINK("http://www.paloalto.va.gov/services/FISHERHOUSE.ASP")</f>
        <v>http://www.paloalto.va.gov/services/FISHERHOUSE.ASP</v>
      </c>
      <c r="E3368" s="8" t="s">
        <v>392</v>
      </c>
    </row>
    <row r="3369" ht="14.25" hidden="1" customHeight="1">
      <c r="A3369" s="8" t="s">
        <v>2854</v>
      </c>
      <c r="B3369" s="8" t="s">
        <v>3747</v>
      </c>
      <c r="D3369" s="121" t="str">
        <f>HYPERLINK("http://www.paloalto.va.gov/services/GI.ASP")</f>
        <v>http://www.paloalto.va.gov/services/GI.ASP</v>
      </c>
      <c r="E3369" s="8" t="s">
        <v>392</v>
      </c>
    </row>
    <row r="3370" ht="14.25" hidden="1" customHeight="1">
      <c r="A3370" s="8" t="s">
        <v>2854</v>
      </c>
      <c r="B3370" s="8" t="s">
        <v>2789</v>
      </c>
      <c r="D3370" s="121" t="str">
        <f>HYPERLINK("http://www.paloalto.va.gov/services/GRECC.ASP")</f>
        <v>http://www.paloalto.va.gov/services/GRECC.ASP</v>
      </c>
      <c r="E3370" s="8" t="s">
        <v>392</v>
      </c>
    </row>
    <row r="3371" ht="14.25" hidden="1" customHeight="1">
      <c r="A3371" s="8" t="s">
        <v>2854</v>
      </c>
      <c r="B3371" s="8" t="s">
        <v>587</v>
      </c>
      <c r="D3371" s="121" t="str">
        <f>HYPERLINK("http://www.paloalto.va.gov/services/HUDVASH.ASP")</f>
        <v>http://www.paloalto.va.gov/services/HUDVASH.ASP</v>
      </c>
      <c r="E3371" s="8" t="s">
        <v>392</v>
      </c>
    </row>
    <row r="3372" ht="14.25" hidden="1" customHeight="1">
      <c r="A3372" s="8" t="s">
        <v>2854</v>
      </c>
      <c r="B3372" s="8" t="s">
        <v>3748</v>
      </c>
      <c r="D3372" s="121" t="str">
        <f>HYPERLINK("http://www.paloalto.va.gov/services/LGBT.ASP")</f>
        <v>http://www.paloalto.va.gov/services/LGBT.ASP</v>
      </c>
      <c r="E3372" s="8" t="s">
        <v>392</v>
      </c>
    </row>
    <row r="3373" ht="14.25" hidden="1" customHeight="1">
      <c r="A3373" s="8" t="s">
        <v>2854</v>
      </c>
      <c r="B3373" s="8" t="s">
        <v>3542</v>
      </c>
      <c r="D3373" s="121" t="str">
        <f>HYPERLINK("http://www.paloalto.va.gov/services/MOVE.ASP")</f>
        <v>http://www.paloalto.va.gov/services/MOVE.ASP</v>
      </c>
      <c r="E3373" s="8" t="s">
        <v>392</v>
      </c>
    </row>
    <row r="3374" ht="14.25" hidden="1" customHeight="1">
      <c r="A3374" s="8" t="s">
        <v>2854</v>
      </c>
      <c r="B3374" s="8" t="s">
        <v>476</v>
      </c>
      <c r="D3374" s="121" t="str">
        <f>HYPERLINK("http://www.paloalto.va.gov/services/MEDFOSTERHOME.ASP")</f>
        <v>http://www.paloalto.va.gov/services/MEDFOSTERHOME.ASP</v>
      </c>
      <c r="E3374" s="8" t="s">
        <v>392</v>
      </c>
    </row>
    <row r="3375" ht="14.25" hidden="1" customHeight="1">
      <c r="A3375" s="8" t="s">
        <v>2854</v>
      </c>
      <c r="B3375" s="8" t="s">
        <v>3749</v>
      </c>
      <c r="D3375" s="121" t="str">
        <f>HYPERLINK("http://www.paloalto.va.gov/services/MTRP.ASP")</f>
        <v>http://www.paloalto.va.gov/services/MTRP.ASP</v>
      </c>
      <c r="E3375" s="8" t="s">
        <v>392</v>
      </c>
    </row>
    <row r="3376" ht="14.25" hidden="1" customHeight="1">
      <c r="A3376" s="8" t="s">
        <v>2854</v>
      </c>
      <c r="B3376" s="8" t="s">
        <v>323</v>
      </c>
      <c r="D3376" s="121" t="str">
        <f>HYPERLINK("http://www.paloalto.va.gov/services/MENTAL.ASP")</f>
        <v>http://www.paloalto.va.gov/services/MENTAL.ASP</v>
      </c>
      <c r="E3376" s="8" t="s">
        <v>392</v>
      </c>
    </row>
    <row r="3377" ht="14.25" hidden="1" customHeight="1">
      <c r="A3377" s="8" t="s">
        <v>2854</v>
      </c>
      <c r="B3377" s="8" t="s">
        <v>1231</v>
      </c>
      <c r="D3377" s="121" t="str">
        <f>HYPERLINK("http://www.paloalto.va.gov/services/MST.ASP")</f>
        <v>http://www.paloalto.va.gov/services/MST.ASP</v>
      </c>
      <c r="E3377" s="8" t="s">
        <v>392</v>
      </c>
    </row>
    <row r="3378" ht="14.25" hidden="1" customHeight="1">
      <c r="A3378" s="8" t="s">
        <v>2854</v>
      </c>
      <c r="B3378" s="8" t="s">
        <v>3750</v>
      </c>
      <c r="D3378" s="121" t="str">
        <f>HYPERLINK("http://www.paloalto.va.gov/services/NCPTSD.ASP")</f>
        <v>http://www.paloalto.va.gov/services/NCPTSD.ASP</v>
      </c>
      <c r="E3378" s="8" t="s">
        <v>392</v>
      </c>
    </row>
    <row r="3379" ht="14.25" hidden="1" customHeight="1">
      <c r="A3379" s="8" t="s">
        <v>2854</v>
      </c>
      <c r="B3379" s="8" t="s">
        <v>1172</v>
      </c>
      <c r="D3379" s="121" t="str">
        <f>HYPERLINK("http://www.paloalto.va.gov/services/NEUROLOGY.ASP")</f>
        <v>http://www.paloalto.va.gov/services/NEUROLOGY.ASP</v>
      </c>
      <c r="E3379" s="8" t="s">
        <v>392</v>
      </c>
    </row>
    <row r="3380" ht="14.25" hidden="1" customHeight="1">
      <c r="A3380" s="8" t="s">
        <v>2854</v>
      </c>
      <c r="B3380" s="8" t="s">
        <v>2205</v>
      </c>
      <c r="D3380" s="121" t="str">
        <f>HYPERLINK("http://www.paloalto.va.gov/services/NEUROSURGERY.ASP")</f>
        <v>http://www.paloalto.va.gov/services/NEUROSURGERY.ASP</v>
      </c>
      <c r="E3380" s="8" t="s">
        <v>392</v>
      </c>
    </row>
    <row r="3381" ht="14.25" hidden="1" customHeight="1">
      <c r="A3381" s="8" t="s">
        <v>2854</v>
      </c>
      <c r="B3381" s="8" t="s">
        <v>603</v>
      </c>
      <c r="D3381" s="121" t="str">
        <f>HYPERLINK("http://www.paloalto.va.gov/services/NUCLEAR.ASP")</f>
        <v>http://www.paloalto.va.gov/services/NUCLEAR.ASP</v>
      </c>
      <c r="E3381" s="8" t="s">
        <v>392</v>
      </c>
    </row>
    <row r="3382" ht="14.25" hidden="1" customHeight="1">
      <c r="A3382" s="8" t="s">
        <v>2854</v>
      </c>
      <c r="B3382" s="8" t="s">
        <v>1841</v>
      </c>
      <c r="D3382" s="121" t="str">
        <f>HYPERLINK("http://www.paloalto.va.gov/services/NURSEADVICE.ASP")</f>
        <v>http://www.paloalto.va.gov/services/NURSEADVICE.ASP</v>
      </c>
      <c r="E3382" s="8" t="s">
        <v>392</v>
      </c>
    </row>
    <row r="3383" ht="14.25" hidden="1" customHeight="1">
      <c r="A3383" s="8" t="s">
        <v>2854</v>
      </c>
      <c r="B3383" s="8" t="s">
        <v>1621</v>
      </c>
      <c r="D3383" s="121" t="str">
        <f>HYPERLINK("http://www.paloalto.va.gov/services/NURSINGED.ASP")</f>
        <v>http://www.paloalto.va.gov/services/NURSINGED.ASP</v>
      </c>
      <c r="E3383" s="8" t="s">
        <v>392</v>
      </c>
    </row>
    <row r="3384" ht="14.25" hidden="1" customHeight="1">
      <c r="A3384" s="8" t="s">
        <v>2854</v>
      </c>
      <c r="B3384" s="8" t="s">
        <v>900</v>
      </c>
      <c r="D3384" s="121" t="str">
        <f>HYPERLINK("http://www.paloalto.va.gov/services/OT.ASP")</f>
        <v>http://www.paloalto.va.gov/services/OT.ASP</v>
      </c>
      <c r="E3384" s="8" t="s">
        <v>392</v>
      </c>
    </row>
    <row r="3385" ht="14.25" hidden="1" customHeight="1">
      <c r="A3385" s="8" t="s">
        <v>2854</v>
      </c>
      <c r="B3385" s="8" t="s">
        <v>3086</v>
      </c>
      <c r="D3385" s="121" t="str">
        <f>HYPERLINK("http://www.paloalto.va.gov/services/COMMUNITYCARE.ASP")</f>
        <v>http://www.paloalto.va.gov/services/COMMUNITYCARE.ASP</v>
      </c>
      <c r="E3385" s="8" t="s">
        <v>392</v>
      </c>
    </row>
    <row r="3386" ht="14.25" hidden="1" customHeight="1">
      <c r="A3386" s="8" t="s">
        <v>2854</v>
      </c>
      <c r="B3386" s="8" t="s">
        <v>839</v>
      </c>
      <c r="D3386" s="121" t="str">
        <f>HYPERLINK("http://www.paloalto.va.gov/services/ONCOLOGY.ASP")</f>
        <v>http://www.paloalto.va.gov/services/ONCOLOGY.ASP</v>
      </c>
      <c r="E3386" s="8" t="s">
        <v>392</v>
      </c>
    </row>
    <row r="3387" ht="14.25" hidden="1" customHeight="1">
      <c r="A3387" s="8" t="s">
        <v>2854</v>
      </c>
      <c r="B3387" s="8" t="s">
        <v>3751</v>
      </c>
      <c r="D3387" s="121" t="str">
        <f>HYPERLINK("http://www.paloalto.va.gov/services/OPHTHALMOLOGY.ASP")</f>
        <v>http://www.paloalto.va.gov/services/OPHTHALMOLOGY.ASP</v>
      </c>
      <c r="E3387" s="8" t="s">
        <v>392</v>
      </c>
    </row>
    <row r="3388" ht="14.25" hidden="1" customHeight="1">
      <c r="A3388" s="8" t="s">
        <v>2854</v>
      </c>
      <c r="B3388" s="8" t="s">
        <v>901</v>
      </c>
      <c r="D3388" s="121" t="str">
        <f>HYPERLINK("http://www.paloalto.va.gov/services/OPTOMETRY.ASP")</f>
        <v>http://www.paloalto.va.gov/services/OPTOMETRY.ASP</v>
      </c>
      <c r="E3388" s="8" t="s">
        <v>392</v>
      </c>
    </row>
    <row r="3389" ht="14.25" hidden="1" customHeight="1">
      <c r="A3389" s="8" t="s">
        <v>2854</v>
      </c>
      <c r="B3389" s="8" t="s">
        <v>3752</v>
      </c>
      <c r="D3389" s="121" t="str">
        <f>HYPERLINK("http://www.paloalto.va.gov/services/ORTHOPEDICS.ASP")</f>
        <v>http://www.paloalto.va.gov/services/ORTHOPEDICS.ASP</v>
      </c>
      <c r="E3389" s="8" t="s">
        <v>392</v>
      </c>
    </row>
    <row r="3390" ht="14.25" hidden="1" customHeight="1">
      <c r="A3390" s="8" t="s">
        <v>2854</v>
      </c>
      <c r="B3390" s="8" t="s">
        <v>3753</v>
      </c>
      <c r="D3390" s="121" t="str">
        <f>HYPERLINK("http://www.paloalto.va.gov/services/ENT.ASP")</f>
        <v>http://www.paloalto.va.gov/services/ENT.ASP</v>
      </c>
      <c r="E3390" s="8" t="s">
        <v>392</v>
      </c>
    </row>
    <row r="3391" ht="14.25" hidden="1" customHeight="1">
      <c r="A3391" s="8" t="s">
        <v>2854</v>
      </c>
      <c r="B3391" s="8" t="s">
        <v>3754</v>
      </c>
      <c r="D3391" s="121" t="str">
        <f>HYPERLINK("http://www.paloalto.va.gov/services/PACTPSYCHOLOGY.ASP")</f>
        <v>http://www.paloalto.va.gov/services/PACTPSYCHOLOGY.ASP</v>
      </c>
      <c r="E3391" s="8" t="s">
        <v>392</v>
      </c>
    </row>
    <row r="3392" ht="14.25" hidden="1" customHeight="1">
      <c r="A3392" s="8" t="s">
        <v>2854</v>
      </c>
      <c r="B3392" s="8" t="s">
        <v>3755</v>
      </c>
      <c r="D3392" s="121" t="str">
        <f>HYPERLINK("http://www.paloalto.va.gov/services/MTRP.ASP")</f>
        <v>http://www.paloalto.va.gov/services/MTRP.ASP</v>
      </c>
      <c r="E3392" s="8" t="s">
        <v>595</v>
      </c>
    </row>
    <row r="3393" ht="14.25" hidden="1" customHeight="1">
      <c r="A3393" s="8" t="s">
        <v>2854</v>
      </c>
      <c r="B3393" s="8" t="s">
        <v>3756</v>
      </c>
      <c r="D3393" s="121" t="str">
        <f>HYPERLINK("http://www.paloalto.va.gov/services/WTRP.ASP")</f>
        <v>http://www.paloalto.va.gov/services/WTRP.ASP</v>
      </c>
      <c r="E3393" s="8" t="s">
        <v>595</v>
      </c>
    </row>
    <row r="3394" ht="14.25" hidden="1" customHeight="1">
      <c r="A3394" s="8" t="s">
        <v>2854</v>
      </c>
      <c r="B3394" s="8" t="s">
        <v>496</v>
      </c>
      <c r="D3394" s="121" t="str">
        <f>HYPERLINK("http://www.paloalto.va.gov/services/OUTPATIENTLAB.ASP")</f>
        <v>http://www.paloalto.va.gov/services/OUTPATIENTLAB.ASP</v>
      </c>
      <c r="E3394" s="8" t="s">
        <v>392</v>
      </c>
    </row>
    <row r="3395" ht="14.25" hidden="1" customHeight="1">
      <c r="A3395" s="8" t="s">
        <v>2854</v>
      </c>
      <c r="B3395" s="8" t="s">
        <v>343</v>
      </c>
      <c r="D3395" s="121" t="str">
        <f>HYPERLINK("http://www.paloalto.va.gov/services/PHARMACY.ASP")</f>
        <v>http://www.paloalto.va.gov/services/PHARMACY.ASP</v>
      </c>
      <c r="E3395" s="8" t="s">
        <v>392</v>
      </c>
    </row>
    <row r="3396" ht="14.25" hidden="1" customHeight="1">
      <c r="A3396" s="8" t="s">
        <v>2854</v>
      </c>
      <c r="B3396" s="8" t="s">
        <v>3757</v>
      </c>
      <c r="D3396" s="121" t="str">
        <f>HYPERLINK("http://www.paloalto.va.gov/services/PMR.ASP")</f>
        <v>http://www.paloalto.va.gov/services/PMR.ASP</v>
      </c>
      <c r="E3396" s="8" t="s">
        <v>392</v>
      </c>
    </row>
    <row r="3397" ht="14.25" hidden="1" customHeight="1">
      <c r="A3397" s="8" t="s">
        <v>2854</v>
      </c>
      <c r="B3397" s="8" t="s">
        <v>608</v>
      </c>
      <c r="D3397" s="121" t="str">
        <f>HYPERLINK("http://www.paloalto.va.gov/services/PT.ASP")</f>
        <v>http://www.paloalto.va.gov/services/PT.ASP</v>
      </c>
      <c r="E3397" s="8" t="s">
        <v>392</v>
      </c>
    </row>
    <row r="3398" ht="14.25" hidden="1" customHeight="1">
      <c r="A3398" s="8" t="s">
        <v>2854</v>
      </c>
      <c r="B3398" s="8" t="s">
        <v>3758</v>
      </c>
      <c r="D3398" s="121" t="str">
        <f>HYPERLINK("http://www.paloalto.va.gov/services/POLICE.ASP")</f>
        <v>http://www.paloalto.va.gov/services/POLICE.ASP</v>
      </c>
      <c r="E3398" s="8" t="s">
        <v>392</v>
      </c>
    </row>
    <row r="3399" ht="14.25" hidden="1" customHeight="1">
      <c r="A3399" s="8" t="s">
        <v>2854</v>
      </c>
      <c r="B3399" s="8" t="s">
        <v>699</v>
      </c>
      <c r="D3399" s="121" t="str">
        <f>HYPERLINK("http://www.paloalto.va.gov/services/POLYTRAUMA.ASP")</f>
        <v>http://www.paloalto.va.gov/services/POLYTRAUMA.ASP</v>
      </c>
      <c r="E3399" s="8" t="s">
        <v>392</v>
      </c>
    </row>
    <row r="3400" ht="14.25" hidden="1" customHeight="1">
      <c r="A3400" s="8" t="s">
        <v>2854</v>
      </c>
      <c r="B3400" s="8" t="s">
        <v>918</v>
      </c>
      <c r="D3400" s="121" t="str">
        <f>HYPERLINK("http://www.paloalto.va.gov/services/PSYCHOLOGY.ASP")</f>
        <v>http://www.paloalto.va.gov/services/PSYCHOLOGY.ASP</v>
      </c>
      <c r="E3400" s="8" t="s">
        <v>392</v>
      </c>
    </row>
    <row r="3401" ht="14.25" hidden="1" customHeight="1">
      <c r="A3401" s="8" t="s">
        <v>2854</v>
      </c>
      <c r="B3401" s="8" t="s">
        <v>3759</v>
      </c>
      <c r="D3401" s="121" t="str">
        <f>HYPERLINK("http://www.paloalto.va.gov/services/PULMONARY.ASP")</f>
        <v>http://www.paloalto.va.gov/services/PULMONARY.ASP</v>
      </c>
      <c r="E3401" s="8" t="s">
        <v>392</v>
      </c>
    </row>
    <row r="3402" ht="14.25" hidden="1" customHeight="1">
      <c r="A3402" s="8" t="s">
        <v>2854</v>
      </c>
      <c r="B3402" s="8" t="s">
        <v>3760</v>
      </c>
      <c r="D3402" s="121" t="str">
        <f>HYPERLINK("http://www.paloalto.va.gov/services/RADIOLOGY.ASP")</f>
        <v>http://www.paloalto.va.gov/services/RADIOLOGY.ASP</v>
      </c>
      <c r="E3402" s="8" t="s">
        <v>392</v>
      </c>
    </row>
    <row r="3403" ht="14.25" hidden="1" customHeight="1">
      <c r="A3403" s="8" t="s">
        <v>2854</v>
      </c>
      <c r="B3403" s="8" t="s">
        <v>505</v>
      </c>
      <c r="D3403" s="121" t="str">
        <f>HYPERLINK("http://www.paloalto.va.gov/services/RECTHERAPY.ASP")</f>
        <v>http://www.paloalto.va.gov/services/RECTHERAPY.ASP</v>
      </c>
      <c r="E3403" s="8" t="s">
        <v>392</v>
      </c>
    </row>
    <row r="3404" ht="14.25" hidden="1" customHeight="1">
      <c r="A3404" s="8" t="s">
        <v>2854</v>
      </c>
      <c r="B3404" s="8" t="s">
        <v>360</v>
      </c>
      <c r="D3404" s="121" t="str">
        <f>HYPERLINK("http://www.paloalto.va.gov/services/SOCIALWORK.ASP")</f>
        <v>http://www.paloalto.va.gov/services/SOCIALWORK.ASP</v>
      </c>
      <c r="E3404" s="8" t="s">
        <v>392</v>
      </c>
    </row>
    <row r="3405" ht="14.25" hidden="1" customHeight="1">
      <c r="A3405" s="8" t="s">
        <v>2854</v>
      </c>
      <c r="B3405" s="8" t="s">
        <v>3761</v>
      </c>
      <c r="D3405" s="121" t="str">
        <f>HYPERLINK("http://www.paloalto.va.gov/services/SCI.ASP")</f>
        <v>http://www.paloalto.va.gov/services/SCI.ASP</v>
      </c>
      <c r="E3405" s="8" t="s">
        <v>392</v>
      </c>
    </row>
    <row r="3406" ht="14.25" hidden="1" customHeight="1">
      <c r="A3406" s="8" t="s">
        <v>2854</v>
      </c>
      <c r="B3406" s="8" t="s">
        <v>3309</v>
      </c>
      <c r="D3406" s="121" t="str">
        <f>HYPERLINK("http://www.paloalto.va.gov/services/SURGICAL.ASP")</f>
        <v>http://www.paloalto.va.gov/services/SURGICAL.ASP</v>
      </c>
      <c r="E3406" s="8" t="s">
        <v>392</v>
      </c>
    </row>
    <row r="3407" ht="14.25" hidden="1" customHeight="1">
      <c r="A3407" s="8" t="s">
        <v>2854</v>
      </c>
      <c r="B3407" s="8" t="s">
        <v>3762</v>
      </c>
      <c r="D3407" s="121" t="str">
        <f>HYPERLINK("http://www.paloalto.va.gov/services/TELEQUIT.ASP")</f>
        <v>http://www.paloalto.va.gov/services/TELEQUIT.ASP</v>
      </c>
      <c r="E3407" s="8" t="s">
        <v>392</v>
      </c>
    </row>
    <row r="3408" ht="14.25" hidden="1" customHeight="1">
      <c r="A3408" s="8" t="s">
        <v>2854</v>
      </c>
      <c r="B3408" s="8" t="s">
        <v>370</v>
      </c>
      <c r="D3408" s="121" t="str">
        <f>HYPERLINK("http://www.paloalto.va.gov/services/TELEHEALTH.ASP")</f>
        <v>http://www.paloalto.va.gov/services/TELEHEALTH.ASP</v>
      </c>
      <c r="E3408" s="8" t="s">
        <v>392</v>
      </c>
    </row>
    <row r="3409" ht="14.25" hidden="1" customHeight="1">
      <c r="A3409" s="8" t="s">
        <v>2854</v>
      </c>
      <c r="B3409" s="8" t="s">
        <v>3763</v>
      </c>
      <c r="D3409" s="121" t="str">
        <f>HYPERLINK("http://www.paloalto.va.gov/services/TRS.ASP")</f>
        <v>http://www.paloalto.va.gov/services/TRS.ASP</v>
      </c>
      <c r="E3409" s="8" t="s">
        <v>392</v>
      </c>
    </row>
    <row r="3410" ht="14.25" hidden="1" customHeight="1">
      <c r="A3410" s="8" t="s">
        <v>2854</v>
      </c>
      <c r="B3410" s="8" t="s">
        <v>3764</v>
      </c>
      <c r="D3410" s="121" t="str">
        <f>HYPERLINK("http://www.paloalto.va.gov/services/VFCC.ASP")</f>
        <v>http://www.paloalto.va.gov/services/VFCC.ASP</v>
      </c>
      <c r="E3410" s="8" t="s">
        <v>392</v>
      </c>
    </row>
    <row r="3411" ht="14.25" hidden="1" customHeight="1">
      <c r="A3411" s="8" t="s">
        <v>2854</v>
      </c>
      <c r="B3411" s="8" t="s">
        <v>1090</v>
      </c>
      <c r="D3411" s="121" t="str">
        <f>HYPERLINK("http://www.paloalto.va.gov/services/VIST.ASP")</f>
        <v>http://www.paloalto.va.gov/services/VIST.ASP</v>
      </c>
      <c r="E3411" s="8" t="s">
        <v>392</v>
      </c>
    </row>
    <row r="3412" ht="14.25" hidden="1" customHeight="1">
      <c r="A3412" s="8" t="s">
        <v>2854</v>
      </c>
      <c r="B3412" s="8" t="s">
        <v>3765</v>
      </c>
      <c r="D3412" s="121" t="str">
        <f>HYPERLINK("http://www.paloalto.va.gov/services/WRIISC.ASP")</f>
        <v>http://www.paloalto.va.gov/services/WRIISC.ASP</v>
      </c>
      <c r="E3412" s="8" t="s">
        <v>392</v>
      </c>
    </row>
    <row r="3413" ht="14.25" hidden="1" customHeight="1">
      <c r="A3413" s="8" t="s">
        <v>2854</v>
      </c>
      <c r="B3413" s="8" t="s">
        <v>3766</v>
      </c>
      <c r="D3413" s="121" t="str">
        <f>HYPERLINK("http://www.paloalto.va.gov/services/BARIATRIC.ASP")</f>
        <v>http://www.paloalto.va.gov/services/BARIATRIC.ASP</v>
      </c>
      <c r="E3413" s="8" t="s">
        <v>595</v>
      </c>
    </row>
    <row r="3414" ht="14.25" hidden="1" customHeight="1">
      <c r="A3414" s="8" t="s">
        <v>2854</v>
      </c>
      <c r="B3414" s="8" t="s">
        <v>3767</v>
      </c>
      <c r="D3414" s="121" t="str">
        <f>HYPERLINK("http://www.paloalto.va.gov/services/WBRC.ASP")</f>
        <v>http://www.paloalto.va.gov/services/WBRC.ASP</v>
      </c>
      <c r="E3414" s="8" t="s">
        <v>392</v>
      </c>
    </row>
    <row r="3415" ht="14.25" hidden="1" customHeight="1">
      <c r="A3415" s="8" t="s">
        <v>2854</v>
      </c>
      <c r="B3415" s="8" t="s">
        <v>3768</v>
      </c>
      <c r="D3415" s="121" t="str">
        <f>HYPERLINK("http://www.paloalto.va.gov/services/WTRP.ASP")</f>
        <v>http://www.paloalto.va.gov/services/WTRP.ASP</v>
      </c>
      <c r="E3415" s="8" t="s">
        <v>392</v>
      </c>
    </row>
    <row r="3416" ht="14.25" hidden="1" customHeight="1">
      <c r="A3416" s="8" t="s">
        <v>2854</v>
      </c>
      <c r="B3416" s="8" t="s">
        <v>3769</v>
      </c>
      <c r="D3416" s="121" t="str">
        <f>HYPERLINK("http://www.paloalto.va.gov/services/WCC.ASP")</f>
        <v>http://www.paloalto.va.gov/services/WCC.ASP</v>
      </c>
      <c r="E3416" s="8" t="s">
        <v>392</v>
      </c>
    </row>
    <row r="3417" ht="14.25" hidden="1" customHeight="1">
      <c r="A3417" s="8" t="s">
        <v>2854</v>
      </c>
      <c r="B3417" s="8" t="s">
        <v>3770</v>
      </c>
      <c r="D3417" s="121" t="str">
        <f>HYPERLINK("http://www.paloalto.va.gov/services/WOUNDCARE.ASP")</f>
        <v>http://www.paloalto.va.gov/services/WOUNDCARE.ASP</v>
      </c>
      <c r="E3417" s="8" t="s">
        <v>392</v>
      </c>
    </row>
    <row r="3418" ht="14.25" hidden="1" customHeight="1">
      <c r="A3418" s="272" t="s">
        <v>2895</v>
      </c>
      <c r="B3418" s="8" t="s">
        <v>3771</v>
      </c>
      <c r="D3418" s="121" t="str">
        <f>HYPERLINK("http://www.philadelphia.va.gov/services/ADDICTION_RECOVERY_UNIT_ARU.ASP")</f>
        <v>http://www.philadelphia.va.gov/services/ADDICTION_RECOVERY_UNIT_ARU.ASP</v>
      </c>
      <c r="E3418" s="8" t="s">
        <v>595</v>
      </c>
    </row>
    <row r="3419" ht="14.25" hidden="1" customHeight="1">
      <c r="A3419" s="272" t="s">
        <v>2895</v>
      </c>
      <c r="B3419" s="8" t="s">
        <v>415</v>
      </c>
      <c r="D3419" s="121" t="str">
        <f>HYPERLINK("http://www.philadelphia.va.gov/services/ACUPUNCTURE.ASP")</f>
        <v>http://www.philadelphia.va.gov/services/ACUPUNCTURE.ASP</v>
      </c>
      <c r="E3419" s="8" t="s">
        <v>392</v>
      </c>
    </row>
    <row r="3420" ht="14.25" hidden="1" customHeight="1">
      <c r="A3420" s="272" t="s">
        <v>2895</v>
      </c>
      <c r="B3420" s="8" t="s">
        <v>819</v>
      </c>
      <c r="D3420" s="121" t="str">
        <f>HYPERLINK("http://www.philadelphia.va.gov/services/ACUTE_CARE_INPATIENT_PSYCHIATRIC_UNIT.ASP")</f>
        <v>http://www.philadelphia.va.gov/services/ACUTE_CARE_INPATIENT_PSYCHIATRIC_UNIT.ASP</v>
      </c>
      <c r="E3420" s="8" t="s">
        <v>392</v>
      </c>
    </row>
    <row r="3421" ht="14.25" hidden="1" customHeight="1">
      <c r="A3421" s="272" t="s">
        <v>2895</v>
      </c>
      <c r="B3421" s="8" t="s">
        <v>3772</v>
      </c>
      <c r="D3421" s="121" t="str">
        <f>HYPERLINK("http://www.philadelphia.va.gov/services/BEHAVIORAL_HEALTH.ASP")</f>
        <v>http://www.philadelphia.va.gov/services/BEHAVIORAL_HEALTH.ASP</v>
      </c>
      <c r="E3421" s="8" t="s">
        <v>595</v>
      </c>
    </row>
    <row r="3422" ht="14.25" hidden="1" customHeight="1">
      <c r="A3422" s="272" t="s">
        <v>2895</v>
      </c>
      <c r="B3422" s="8" t="s">
        <v>3773</v>
      </c>
      <c r="D3422" s="121" t="str">
        <f>HYPERLINK("http://www.philadelphia.va.gov/services/ADDICTION_RECOVERY_UNIT_ARU.ASP")</f>
        <v>http://www.philadelphia.va.gov/services/ADDICTION_RECOVERY_UNIT_ARU.ASP</v>
      </c>
      <c r="E3422" s="8" t="s">
        <v>392</v>
      </c>
    </row>
    <row r="3423" ht="14.25" hidden="1" customHeight="1">
      <c r="A3423" s="272" t="s">
        <v>2895</v>
      </c>
      <c r="B3423" s="8" t="s">
        <v>994</v>
      </c>
      <c r="D3423" s="121" t="str">
        <f>HYPERLINK("http://www.philadelphia.va.gov/services/ADMISSIONS_DEPARTMENT.ASP")</f>
        <v>http://www.philadelphia.va.gov/services/ADMISSIONS_DEPARTMENT.ASP</v>
      </c>
      <c r="E3423" s="8" t="s">
        <v>392</v>
      </c>
    </row>
    <row r="3424" ht="14.25" hidden="1" customHeight="1">
      <c r="A3424" s="272" t="s">
        <v>2895</v>
      </c>
      <c r="B3424" s="8" t="s">
        <v>1801</v>
      </c>
      <c r="D3424" s="121" t="str">
        <f>HYPERLINK("http://www.philadelphia.va.gov/services/ADULT_DAY_CARE.ASP")</f>
        <v>http://www.philadelphia.va.gov/services/ADULT_DAY_CARE.ASP</v>
      </c>
      <c r="E3424" s="8" t="s">
        <v>392</v>
      </c>
    </row>
    <row r="3425" ht="14.25" hidden="1" customHeight="1">
      <c r="A3425" s="272" t="s">
        <v>2895</v>
      </c>
      <c r="B3425" s="8" t="s">
        <v>846</v>
      </c>
      <c r="D3425" s="121" t="str">
        <f>HYPERLINK("http://www.philadelphia.va.gov/services/AGENT_ORANGE.ASP")</f>
        <v>http://www.philadelphia.va.gov/services/AGENT_ORANGE.ASP</v>
      </c>
      <c r="E3425" s="8" t="s">
        <v>392</v>
      </c>
    </row>
    <row r="3426" ht="14.25" hidden="1" customHeight="1">
      <c r="A3426" s="272" t="s">
        <v>2895</v>
      </c>
      <c r="B3426" s="8" t="s">
        <v>3774</v>
      </c>
      <c r="D3426" s="121" t="str">
        <f>HYPERLINK("http://www.philadelphia.va.gov/services/ANEMIA_RENAL_CLINIC.ASP")</f>
        <v>http://www.philadelphia.va.gov/services/ANEMIA_RENAL_CLINIC.ASP</v>
      </c>
      <c r="E3426" s="8" t="s">
        <v>392</v>
      </c>
    </row>
    <row r="3427" ht="14.25" hidden="1" customHeight="1">
      <c r="A3427" s="272" t="s">
        <v>2895</v>
      </c>
      <c r="B3427" s="8" t="s">
        <v>410</v>
      </c>
      <c r="D3427" s="121" t="str">
        <f>HYPERLINK("http://www.philadelphia.va.gov/services/ANESTHIA.ASP")</f>
        <v>http://www.philadelphia.va.gov/services/ANESTHIA.ASP</v>
      </c>
      <c r="E3427" s="8" t="s">
        <v>392</v>
      </c>
    </row>
    <row r="3428" ht="14.25" hidden="1" customHeight="1">
      <c r="A3428" s="272" t="s">
        <v>2895</v>
      </c>
      <c r="B3428" s="8" t="s">
        <v>1526</v>
      </c>
      <c r="D3428" s="121" t="str">
        <f>HYPERLINK("http://www.philadelphia.va.gov/services/ANTICOAGULATION_CLINIC.ASP")</f>
        <v>http://www.philadelphia.va.gov/services/ANTICOAGULATION_CLINIC.ASP</v>
      </c>
      <c r="E3428" s="8" t="s">
        <v>392</v>
      </c>
    </row>
    <row r="3429" ht="14.25" hidden="1" customHeight="1">
      <c r="A3429" s="272" t="s">
        <v>2895</v>
      </c>
      <c r="B3429" s="8" t="s">
        <v>828</v>
      </c>
      <c r="D3429" s="121" t="str">
        <f>HYPERLINK("http://www.philadelphia.va.gov/services/AUDIOLOGY_AND_SPEECH_PATHOLOGY.ASP")</f>
        <v>http://www.philadelphia.va.gov/services/AUDIOLOGY_AND_SPEECH_PATHOLOGY.ASP</v>
      </c>
      <c r="E3429" s="8" t="s">
        <v>392</v>
      </c>
    </row>
    <row r="3430" ht="14.25" hidden="1" customHeight="1">
      <c r="A3430" s="272" t="s">
        <v>2895</v>
      </c>
      <c r="B3430" s="8" t="s">
        <v>446</v>
      </c>
      <c r="D3430" s="121" t="str">
        <f>HYPERLINK("http://www.philadelphia.va.gov/services/BEHAVIORAL_HEALTH.ASP")</f>
        <v>http://www.philadelphia.va.gov/services/BEHAVIORAL_HEALTH.ASP</v>
      </c>
      <c r="E3430" s="8" t="s">
        <v>595</v>
      </c>
    </row>
    <row r="3431" ht="14.25" hidden="1" customHeight="1">
      <c r="A3431" s="272" t="s">
        <v>2895</v>
      </c>
      <c r="B3431" s="8" t="s">
        <v>636</v>
      </c>
      <c r="D3431" s="121" t="str">
        <f>HYPERLINK("http://www.philadelphia.va.gov/services/BENEFICIAL_TRAVEL.ASP")</f>
        <v>http://www.philadelphia.va.gov/services/BENEFICIAL_TRAVEL.ASP</v>
      </c>
      <c r="E3431" s="8" t="s">
        <v>392</v>
      </c>
    </row>
    <row r="3432" ht="14.25" hidden="1" customHeight="1">
      <c r="A3432" s="272" t="s">
        <v>2895</v>
      </c>
      <c r="B3432" s="8" t="s">
        <v>3775</v>
      </c>
      <c r="D3432" s="121" t="str">
        <f>HYPERLINK("http://www.philadelphia.va.gov/services/BLOOD_BANK.ASP")</f>
        <v>http://www.philadelphia.va.gov/services/BLOOD_BANK.ASP</v>
      </c>
      <c r="E3432" s="8" t="s">
        <v>392</v>
      </c>
    </row>
    <row r="3433" ht="14.25" hidden="1" customHeight="1">
      <c r="A3433" s="272" t="s">
        <v>2895</v>
      </c>
      <c r="B3433" s="8" t="s">
        <v>3776</v>
      </c>
      <c r="D3433" s="121" t="str">
        <f>HYPERLINK("http://www.philadelphia.va.gov/services/BLOOD_DRAW_LAB.ASP")</f>
        <v>http://www.philadelphia.va.gov/services/BLOOD_DRAW_LAB.ASP</v>
      </c>
      <c r="E3433" s="8" t="s">
        <v>392</v>
      </c>
    </row>
    <row r="3434" ht="14.25" hidden="1" customHeight="1">
      <c r="A3434" s="272" t="s">
        <v>2895</v>
      </c>
      <c r="B3434" s="8" t="s">
        <v>2054</v>
      </c>
      <c r="D3434" s="121" t="str">
        <f>HYPERLINK("http://www.philadelphia.va.gov/services/BLUE_TEAM.ASP")</f>
        <v>http://www.philadelphia.va.gov/services/BLUE_TEAM.ASP</v>
      </c>
      <c r="E3434" s="8" t="s">
        <v>392</v>
      </c>
    </row>
    <row r="3435" ht="14.25" hidden="1" customHeight="1">
      <c r="A3435" s="272" t="s">
        <v>2895</v>
      </c>
      <c r="B3435" s="8" t="s">
        <v>2054</v>
      </c>
      <c r="D3435" s="121" t="str">
        <f>HYPERLINK("http://www.philadelphia.va.gov/services/PRIMARY_CARE.ASP")</f>
        <v>http://www.philadelphia.va.gov/services/PRIMARY_CARE.ASP</v>
      </c>
      <c r="E3435" s="8" t="s">
        <v>392</v>
      </c>
    </row>
    <row r="3436" ht="14.25" hidden="1" customHeight="1">
      <c r="A3436" s="272" t="s">
        <v>2895</v>
      </c>
      <c r="B3436" s="8" t="s">
        <v>3777</v>
      </c>
      <c r="D3436" s="121" t="str">
        <f>HYPERLINK("http://www.philadelphia.va.gov/services/BEHAVIORAL_HEALTH.ASP")</f>
        <v>http://www.philadelphia.va.gov/services/BEHAVIORAL_HEALTH.ASP</v>
      </c>
      <c r="E3436" s="8" t="s">
        <v>595</v>
      </c>
    </row>
    <row r="3437" ht="14.25" hidden="1" customHeight="1">
      <c r="A3437" s="272" t="s">
        <v>2895</v>
      </c>
      <c r="B3437" s="8" t="s">
        <v>3778</v>
      </c>
      <c r="D3437" s="121" t="str">
        <f>HYPERLINK("http://www.philadelphia.va.gov/services/CENTER_FOR_HEALTH_EQUITY_RESEARCH_AND_PROMOTION_CHERP.ASP")</f>
        <v>http://www.philadelphia.va.gov/services/CENTER_FOR_HEALTH_EQUITY_RESEARCH_AND_PROMOTION_CHERP.ASP</v>
      </c>
      <c r="E3437" s="8" t="s">
        <v>595</v>
      </c>
    </row>
    <row r="3438" ht="14.25" hidden="1" customHeight="1">
      <c r="A3438" s="272" t="s">
        <v>2895</v>
      </c>
      <c r="B3438" s="8" t="s">
        <v>3779</v>
      </c>
      <c r="D3438" s="121" t="str">
        <f>HYPERLINK("http://www.philadelphia.va.gov/services/COMMUNITY_LIVING_CENTER.ASP")</f>
        <v>http://www.philadelphia.va.gov/services/COMMUNITY_LIVING_CENTER.ASP</v>
      </c>
      <c r="E3438" s="8" t="s">
        <v>595</v>
      </c>
    </row>
    <row r="3439" ht="14.25" hidden="1" customHeight="1">
      <c r="A3439" s="272" t="s">
        <v>2895</v>
      </c>
      <c r="B3439" s="8" t="s">
        <v>3780</v>
      </c>
      <c r="D3439" s="121" t="str">
        <f>HYPERLINK("http://www.philadelphia.va.gov/services/COMPENSATED_WORK_THERAPY_CWT_PROGRAM.ASP")</f>
        <v>http://www.philadelphia.va.gov/services/COMPENSATED_WORK_THERAPY_CWT_PROGRAM.ASP</v>
      </c>
      <c r="E3439" s="8" t="s">
        <v>595</v>
      </c>
    </row>
    <row r="3440" ht="14.25" hidden="1" customHeight="1">
      <c r="A3440" s="272" t="s">
        <v>2895</v>
      </c>
      <c r="B3440" s="8" t="s">
        <v>3781</v>
      </c>
      <c r="D3440" s="121" t="str">
        <f>HYPERLINK("http://www.philadelphia.va.gov/services/CARDIAC_INTERVENTION_PROGRAM.ASP")</f>
        <v>http://www.philadelphia.va.gov/services/CARDIAC_INTERVENTION_PROGRAM.ASP</v>
      </c>
      <c r="E3440" s="8" t="s">
        <v>392</v>
      </c>
    </row>
    <row r="3441" ht="14.25" hidden="1" customHeight="1">
      <c r="A3441" s="272" t="s">
        <v>2895</v>
      </c>
      <c r="B3441" s="8" t="s">
        <v>414</v>
      </c>
      <c r="D3441" s="121" t="str">
        <f>HYPERLINK("http://www.philadelphia.va.gov/services/CARDIOLOGY.ASP")</f>
        <v>http://www.philadelphia.va.gov/services/CARDIOLOGY.ASP</v>
      </c>
      <c r="E3441" s="8" t="s">
        <v>392</v>
      </c>
    </row>
    <row r="3442" ht="14.25" hidden="1" customHeight="1">
      <c r="A3442" s="272" t="s">
        <v>2895</v>
      </c>
      <c r="B3442" s="8" t="s">
        <v>488</v>
      </c>
      <c r="D3442" s="121" t="str">
        <f>HYPERLINK("http://www.philadelphia.va.gov/services/CAREGIVER_SUPPORT_PROGRAM.ASP")</f>
        <v>http://www.philadelphia.va.gov/services/CAREGIVER_SUPPORT_PROGRAM.ASP</v>
      </c>
      <c r="E3442" s="8" t="s">
        <v>392</v>
      </c>
    </row>
    <row r="3443" ht="14.25" hidden="1" customHeight="1">
      <c r="A3443" s="272" t="s">
        <v>2895</v>
      </c>
      <c r="B3443" s="8" t="s">
        <v>1011</v>
      </c>
      <c r="D3443" s="121" t="str">
        <f>HYPERLINK("http://www.philadelphia.va.gov/services/CENTER_FOR_HEALTH_EQUITY_RESEARCH_AND_PROMOTION_CHERP.ASP")</f>
        <v>http://www.philadelphia.va.gov/services/CENTER_FOR_HEALTH_EQUITY_RESEARCH_AND_PROMOTION_CHERP.ASP</v>
      </c>
      <c r="E3443" s="8" t="s">
        <v>392</v>
      </c>
    </row>
    <row r="3444" ht="14.25" hidden="1" customHeight="1">
      <c r="A3444" s="272" t="s">
        <v>2895</v>
      </c>
      <c r="B3444" s="8" t="s">
        <v>468</v>
      </c>
      <c r="D3444" s="121" t="str">
        <f>HYPERLINK("http://www.philadelphia.va.gov/services/CHAPLAIN_SERVICE.ASP")</f>
        <v>http://www.philadelphia.va.gov/services/CHAPLAIN_SERVICE.ASP</v>
      </c>
      <c r="E3444" s="8" t="s">
        <v>392</v>
      </c>
    </row>
    <row r="3445" ht="14.25" hidden="1" customHeight="1">
      <c r="A3445" s="272" t="s">
        <v>2895</v>
      </c>
      <c r="B3445" s="8" t="s">
        <v>499</v>
      </c>
      <c r="D3445" s="121" t="str">
        <f>HYPERLINK("http://www.philadelphia.va.gov/services/CLOTHING_ROOM.ASP")</f>
        <v>http://www.philadelphia.va.gov/services/CLOTHING_ROOM.ASP</v>
      </c>
      <c r="E3445" s="8" t="s">
        <v>392</v>
      </c>
    </row>
    <row r="3446" ht="14.25" hidden="1" customHeight="1">
      <c r="A3446" s="272" t="s">
        <v>2895</v>
      </c>
      <c r="B3446" s="8" t="s">
        <v>1020</v>
      </c>
      <c r="D3446" s="121" t="str">
        <f>HYPERLINK("http://www.philadelphia.va.gov/services/COMMUNICATIONS_OFFICE.ASP")</f>
        <v>http://www.philadelphia.va.gov/services/COMMUNICATIONS_OFFICE.ASP</v>
      </c>
      <c r="E3446" s="8" t="s">
        <v>392</v>
      </c>
    </row>
    <row r="3447" ht="14.25" hidden="1" customHeight="1">
      <c r="A3447" s="272" t="s">
        <v>2895</v>
      </c>
      <c r="B3447" s="8" t="s">
        <v>482</v>
      </c>
      <c r="D3447" s="121" t="str">
        <f>HYPERLINK("http://www.philadelphia.va.gov/services/COMMUNITY_LIVING_CENTER.ASP")</f>
        <v>http://www.philadelphia.va.gov/services/COMMUNITY_LIVING_CENTER.ASP</v>
      </c>
      <c r="E3447" s="8" t="s">
        <v>392</v>
      </c>
    </row>
    <row r="3448" ht="14.25" hidden="1" customHeight="1">
      <c r="A3448" s="272" t="s">
        <v>2895</v>
      </c>
      <c r="B3448" s="8" t="s">
        <v>3782</v>
      </c>
      <c r="D3448" s="121" t="str">
        <f>HYPERLINK("http://www.philadelphia.va.gov/services/COMPENSATED_WORK_THERAPY_CWT_PROGRAM.ASP")</f>
        <v>http://www.philadelphia.va.gov/services/COMPENSATED_WORK_THERAPY_CWT_PROGRAM.ASP</v>
      </c>
      <c r="E3448" s="8" t="s">
        <v>392</v>
      </c>
    </row>
    <row r="3449" ht="14.25" hidden="1" customHeight="1">
      <c r="A3449" s="272" t="s">
        <v>2895</v>
      </c>
      <c r="B3449" s="8" t="s">
        <v>666</v>
      </c>
      <c r="D3449" s="121" t="str">
        <f>HYPERLINK("http://www.philadelphia.va.gov/services/COUMADIN_CLINIC.ASP")</f>
        <v>http://www.philadelphia.va.gov/services/COUMADIN_CLINIC.ASP</v>
      </c>
      <c r="E3449" s="8" t="s">
        <v>392</v>
      </c>
    </row>
    <row r="3450" ht="14.25" hidden="1" customHeight="1">
      <c r="A3450" s="272" t="s">
        <v>2895</v>
      </c>
      <c r="B3450" s="8" t="s">
        <v>3783</v>
      </c>
      <c r="D3450" s="121" t="str">
        <f>HYPERLINK("http://www.philadelphia.va.gov/services/CYTOLOGY_LAB.ASP")</f>
        <v>http://www.philadelphia.va.gov/services/CYTOLOGY_LAB.ASP</v>
      </c>
      <c r="E3450" s="8" t="s">
        <v>392</v>
      </c>
    </row>
    <row r="3451" ht="14.25" hidden="1" customHeight="1">
      <c r="A3451" s="272" t="s">
        <v>2895</v>
      </c>
      <c r="B3451" s="8" t="s">
        <v>304</v>
      </c>
      <c r="D3451" s="121" t="str">
        <f>HYPERLINK("http://www.philadelphia.va.gov/services/DENTAL.ASP")</f>
        <v>http://www.philadelphia.va.gov/services/DENTAL.ASP</v>
      </c>
      <c r="E3451" s="8" t="s">
        <v>392</v>
      </c>
    </row>
    <row r="3452" ht="14.25" hidden="1" customHeight="1">
      <c r="A3452" s="272" t="s">
        <v>2895</v>
      </c>
      <c r="B3452" s="8" t="s">
        <v>517</v>
      </c>
      <c r="D3452" s="121" t="str">
        <f>HYPERLINK("http://www.philadelphia.va.gov/services/DERMATOLOGY.ASP")</f>
        <v>http://www.philadelphia.va.gov/services/DERMATOLOGY.ASP</v>
      </c>
      <c r="E3452" s="8" t="s">
        <v>392</v>
      </c>
    </row>
    <row r="3453" ht="14.25" hidden="1" customHeight="1">
      <c r="A3453" s="272" t="s">
        <v>2895</v>
      </c>
      <c r="B3453" s="8" t="s">
        <v>525</v>
      </c>
      <c r="D3453" s="121" t="str">
        <f>HYPERLINK("http://www.philadelphia.va.gov/services/DIABETES_CLINIC_ENDOCRINOLOGY.ASP")</f>
        <v>http://www.philadelphia.va.gov/services/DIABETES_CLINIC_ENDOCRINOLOGY.ASP</v>
      </c>
      <c r="E3453" s="8" t="s">
        <v>392</v>
      </c>
    </row>
    <row r="3454" ht="14.25" hidden="1" customHeight="1">
      <c r="A3454" s="272" t="s">
        <v>2895</v>
      </c>
      <c r="B3454" s="8" t="s">
        <v>842</v>
      </c>
      <c r="D3454" s="121" t="str">
        <f>HYPERLINK("http://www.philadelphia.va.gov/services/DIAGNOSTIC_IMAGING.ASP")</f>
        <v>http://www.philadelphia.va.gov/services/DIAGNOSTIC_IMAGING.ASP</v>
      </c>
      <c r="E3454" s="8" t="s">
        <v>392</v>
      </c>
    </row>
    <row r="3455" ht="14.25" hidden="1" customHeight="1">
      <c r="A3455" s="272" t="s">
        <v>2895</v>
      </c>
      <c r="B3455" s="8" t="s">
        <v>3784</v>
      </c>
      <c r="D3455" s="121" t="str">
        <f>HYPERLINK("http://www.philadelphia.va.gov/services/DIALYSIS_INPATIENT_UNIT.ASP")</f>
        <v>http://www.philadelphia.va.gov/services/DIALYSIS_INPATIENT_UNIT.ASP</v>
      </c>
      <c r="E3455" s="8" t="s">
        <v>392</v>
      </c>
    </row>
    <row r="3456" ht="14.25" hidden="1" customHeight="1">
      <c r="A3456" s="272" t="s">
        <v>2895</v>
      </c>
      <c r="B3456" s="8" t="s">
        <v>3785</v>
      </c>
      <c r="D3456" s="121" t="str">
        <f>HYPERLINK("http://www.philadelphia.va.gov/services/DIALYSIS_VA_OUTPATIENT_CENTER.ASP")</f>
        <v>http://www.philadelphia.va.gov/services/DIALYSIS_VA_OUTPATIENT_CENTER.ASP</v>
      </c>
      <c r="E3456" s="8" t="s">
        <v>392</v>
      </c>
    </row>
    <row r="3457" ht="14.25" hidden="1" customHeight="1">
      <c r="A3457" s="272" t="s">
        <v>2895</v>
      </c>
      <c r="B3457" s="8" t="s">
        <v>3786</v>
      </c>
      <c r="D3457" s="121" t="str">
        <f>HYPERLINK("http://www.philadelphia.va.gov/services/DIALYSIS_CLINIC.ASP")</f>
        <v>http://www.philadelphia.va.gov/services/DIALYSIS_CLINIC.ASP</v>
      </c>
      <c r="E3457" s="8" t="s">
        <v>392</v>
      </c>
    </row>
    <row r="3458" ht="14.25" hidden="1" customHeight="1">
      <c r="A3458" s="272" t="s">
        <v>2895</v>
      </c>
      <c r="B3458" s="8" t="s">
        <v>1699</v>
      </c>
      <c r="D3458" s="121" t="str">
        <f t="shared" ref="D3458:D3459" si="33">HYPERLINK("http://www.philadelphia.va.gov/services/EAR_NOSE_AND_THROAT.ASP")</f>
        <v>http://www.philadelphia.va.gov/services/EAR_NOSE_AND_THROAT.ASP</v>
      </c>
      <c r="E3458" s="8" t="s">
        <v>595</v>
      </c>
    </row>
    <row r="3459" ht="14.25" hidden="1" customHeight="1">
      <c r="A3459" s="272" t="s">
        <v>2895</v>
      </c>
      <c r="B3459" s="8" t="s">
        <v>3326</v>
      </c>
      <c r="D3459" s="121" t="str">
        <f t="shared" si="33"/>
        <v>http://www.philadelphia.va.gov/services/EAR_NOSE_AND_THROAT.ASP</v>
      </c>
      <c r="E3459" s="8" t="s">
        <v>392</v>
      </c>
    </row>
    <row r="3460" ht="14.25" hidden="1" customHeight="1">
      <c r="A3460" s="272" t="s">
        <v>2895</v>
      </c>
      <c r="B3460" s="8" t="s">
        <v>3787</v>
      </c>
      <c r="D3460" s="121" t="str">
        <f>HYPERLINK("http://www.philadelphia.va.gov/services/DIAGNOSTIC_IMAGING.ASP")</f>
        <v>http://www.philadelphia.va.gov/services/DIAGNOSTIC_IMAGING.ASP</v>
      </c>
      <c r="E3460" s="8" t="s">
        <v>595</v>
      </c>
    </row>
    <row r="3461" ht="14.25" hidden="1" customHeight="1">
      <c r="A3461" s="272" t="s">
        <v>2895</v>
      </c>
      <c r="B3461" s="8" t="s">
        <v>538</v>
      </c>
      <c r="D3461" s="121" t="str">
        <f>HYPERLINK("http://www.philadelphia.va.gov/services/DIABETES_CLINIC_ENDOCRINOLOGY.ASP")</f>
        <v>http://www.philadelphia.va.gov/services/DIABETES_CLINIC_ENDOCRINOLOGY.ASP</v>
      </c>
      <c r="E3461" s="8" t="s">
        <v>595</v>
      </c>
    </row>
    <row r="3462" ht="14.25" hidden="1" customHeight="1">
      <c r="A3462" s="272" t="s">
        <v>2895</v>
      </c>
      <c r="B3462" s="8" t="s">
        <v>3788</v>
      </c>
      <c r="D3462" s="121" t="str">
        <f>HYPERLINK("http://www.philadelphia.va.gov/services/PRIMARY_CARE.ASP")</f>
        <v>http://www.philadelphia.va.gov/services/PRIMARY_CARE.ASP</v>
      </c>
      <c r="E3462" s="8" t="s">
        <v>595</v>
      </c>
    </row>
    <row r="3463" ht="14.25" hidden="1" customHeight="1">
      <c r="A3463" s="272" t="s">
        <v>2895</v>
      </c>
      <c r="B3463" s="8" t="s">
        <v>556</v>
      </c>
      <c r="D3463" s="121" t="str">
        <f>HYPERLINK("http://www.philadelphia.va.gov/services/GERIATRICS_AND_EXTENDED_CARE.ASP")</f>
        <v>http://www.philadelphia.va.gov/services/GERIATRICS_AND_EXTENDED_CARE.ASP</v>
      </c>
      <c r="E3463" s="8" t="s">
        <v>392</v>
      </c>
    </row>
    <row r="3464" ht="14.25" hidden="1" customHeight="1">
      <c r="A3464" s="272" t="s">
        <v>2895</v>
      </c>
      <c r="B3464" s="8" t="s">
        <v>2061</v>
      </c>
      <c r="D3464" s="121" t="str">
        <f t="shared" ref="D3464:D3465" si="34">HYPERLINK("http://www.philadelphia.va.gov/services/PRIMARY_CARE.ASP")</f>
        <v>http://www.philadelphia.va.gov/services/PRIMARY_CARE.ASP</v>
      </c>
      <c r="E3464" s="8" t="s">
        <v>595</v>
      </c>
    </row>
    <row r="3465" ht="14.25" hidden="1" customHeight="1">
      <c r="A3465" s="272" t="s">
        <v>2895</v>
      </c>
      <c r="B3465" s="8" t="s">
        <v>2819</v>
      </c>
      <c r="D3465" s="121" t="str">
        <f t="shared" si="34"/>
        <v>http://www.philadelphia.va.gov/services/PRIMARY_CARE.ASP</v>
      </c>
      <c r="E3465" s="8" t="s">
        <v>595</v>
      </c>
    </row>
    <row r="3466" ht="14.25" hidden="1" customHeight="1">
      <c r="A3466" s="272" t="s">
        <v>2895</v>
      </c>
      <c r="B3466" s="8" t="s">
        <v>3789</v>
      </c>
      <c r="D3466" s="121" t="str">
        <f>HYPERLINK("http://www.philadelphia.va.gov/services/AUDIOLOGY_AND_SPEECH_PATHOLOGY.ASP")</f>
        <v>http://www.philadelphia.va.gov/services/AUDIOLOGY_AND_SPEECH_PATHOLOGY.ASP</v>
      </c>
      <c r="E3466" s="8" t="s">
        <v>595</v>
      </c>
    </row>
    <row r="3467" ht="14.25" hidden="1" customHeight="1">
      <c r="A3467" s="272" t="s">
        <v>2895</v>
      </c>
      <c r="B3467" s="8" t="s">
        <v>696</v>
      </c>
      <c r="D3467" s="121" t="str">
        <f>HYPERLINK("http://www.philadelphia.va.gov/services/HEMATOLOGY_ONCOLOGY.ASP")</f>
        <v>http://www.philadelphia.va.gov/services/HEMATOLOGY_ONCOLOGY.ASP</v>
      </c>
      <c r="E3467" s="8" t="s">
        <v>392</v>
      </c>
    </row>
    <row r="3468" ht="14.25" hidden="1" customHeight="1">
      <c r="A3468" s="272" t="s">
        <v>2895</v>
      </c>
      <c r="B3468" s="8" t="s">
        <v>579</v>
      </c>
      <c r="D3468" s="121" t="str">
        <f>HYPERLINK("http://www.philadelphia.va.gov/services/RHEUMATOLOGY_AND_INFECTIOUS_DISEASE.ASP")</f>
        <v>http://www.philadelphia.va.gov/services/RHEUMATOLOGY_AND_INFECTIOUS_DISEASE.ASP</v>
      </c>
      <c r="E3468" s="8" t="s">
        <v>595</v>
      </c>
    </row>
    <row r="3469" ht="14.25" hidden="1" customHeight="1">
      <c r="A3469" s="272" t="s">
        <v>2895</v>
      </c>
      <c r="B3469" s="8" t="s">
        <v>885</v>
      </c>
      <c r="D3469" s="121" t="str">
        <f>HYPERLINK("http://www.philadelphia.va.gov/services/BEHAVIORAL_HEALTH.ASP")</f>
        <v>http://www.philadelphia.va.gov/services/BEHAVIORAL_HEALTH.ASP</v>
      </c>
      <c r="E3469" s="8" t="s">
        <v>595</v>
      </c>
    </row>
    <row r="3470" ht="14.25" hidden="1" customHeight="1">
      <c r="A3470" s="272" t="s">
        <v>2895</v>
      </c>
      <c r="B3470" s="8" t="s">
        <v>1583</v>
      </c>
      <c r="D3470" s="121" t="str">
        <f>HYPERLINK("http://www.philadelphia.va.gov/services/BLOOD_DRAW_LAB.ASP")</f>
        <v>http://www.philadelphia.va.gov/services/BLOOD_DRAW_LAB.ASP</v>
      </c>
      <c r="E3470" s="8" t="s">
        <v>595</v>
      </c>
    </row>
    <row r="3471" ht="14.25" hidden="1" customHeight="1">
      <c r="A3471" s="272" t="s">
        <v>2895</v>
      </c>
      <c r="B3471" s="8" t="s">
        <v>2201</v>
      </c>
      <c r="D3471" s="121" t="str">
        <f>HYPERLINK("http://www.philadelphia.va.gov/services/BEHAVIORAL_HEALTH.ASP")</f>
        <v>http://www.philadelphia.va.gov/services/BEHAVIORAL_HEALTH.ASP</v>
      </c>
      <c r="E3471" s="8" t="s">
        <v>595</v>
      </c>
    </row>
    <row r="3472" ht="14.25" hidden="1" customHeight="1">
      <c r="A3472" s="272" t="s">
        <v>2895</v>
      </c>
      <c r="B3472" s="8" t="s">
        <v>728</v>
      </c>
      <c r="D3472" s="121" t="str">
        <f>HYPERLINK("http://www.philadelphia.va.gov/services/DIAGNOSTIC_IMAGING.ASP")</f>
        <v>http://www.philadelphia.va.gov/services/DIAGNOSTIC_IMAGING.ASP</v>
      </c>
      <c r="E3472" s="8" t="s">
        <v>595</v>
      </c>
    </row>
    <row r="3473" ht="14.25" hidden="1" customHeight="1">
      <c r="A3473" s="272" t="s">
        <v>2895</v>
      </c>
      <c r="B3473" s="8" t="s">
        <v>1028</v>
      </c>
      <c r="D3473" s="121" t="str">
        <f>HYPERLINK("http://www.philadelphia.va.gov/services/COMMUNICATIONS_OFFICE.ASP")</f>
        <v>http://www.philadelphia.va.gov/services/COMMUNICATIONS_OFFICE.ASP</v>
      </c>
      <c r="E3473" s="8" t="s">
        <v>595</v>
      </c>
    </row>
    <row r="3474" ht="14.25" hidden="1" customHeight="1">
      <c r="A3474" s="272" t="s">
        <v>2895</v>
      </c>
      <c r="B3474" s="8" t="s">
        <v>323</v>
      </c>
      <c r="D3474" s="121" t="str">
        <f t="shared" ref="D3474:D3475" si="35">HYPERLINK("http://www.philadelphia.va.gov/services/BEHAVIORAL_HEALTH.ASP")</f>
        <v>http://www.philadelphia.va.gov/services/BEHAVIORAL_HEALTH.ASP</v>
      </c>
      <c r="E3474" s="8" t="s">
        <v>392</v>
      </c>
    </row>
    <row r="3475" ht="14.25" hidden="1" customHeight="1">
      <c r="A3475" s="272" t="s">
        <v>2895</v>
      </c>
      <c r="B3475" s="8" t="s">
        <v>3790</v>
      </c>
      <c r="D3475" s="121" t="str">
        <f t="shared" si="35"/>
        <v>http://www.philadelphia.va.gov/services/BEHAVIORAL_HEALTH.ASP</v>
      </c>
      <c r="E3475" s="8" t="s">
        <v>595</v>
      </c>
    </row>
    <row r="3476" ht="14.25" hidden="1" customHeight="1">
      <c r="A3476" s="272" t="s">
        <v>2895</v>
      </c>
      <c r="B3476" s="8" t="s">
        <v>671</v>
      </c>
      <c r="D3476" s="121" t="str">
        <f>HYPERLINK("http://www.philadelphia.va.gov/services/NATIONAL_CRISIS_LINE.ASP")</f>
        <v>http://www.philadelphia.va.gov/services/NATIONAL_CRISIS_LINE.ASP</v>
      </c>
      <c r="E3476" s="8" t="s">
        <v>392</v>
      </c>
    </row>
    <row r="3477" ht="14.25" hidden="1" customHeight="1">
      <c r="A3477" s="272" t="s">
        <v>2895</v>
      </c>
      <c r="B3477" s="8" t="s">
        <v>1172</v>
      </c>
      <c r="D3477" s="121" t="str">
        <f>HYPERLINK("http://www.philadelphia.va.gov/services/NEUROLOGY.ASP")</f>
        <v>http://www.philadelphia.va.gov/services/NEUROLOGY.ASP</v>
      </c>
      <c r="E3477" s="8" t="s">
        <v>392</v>
      </c>
    </row>
    <row r="3478" ht="14.25" hidden="1" customHeight="1">
      <c r="A3478" s="272" t="s">
        <v>2895</v>
      </c>
      <c r="B3478" s="8" t="s">
        <v>603</v>
      </c>
      <c r="D3478" s="121" t="str">
        <f>HYPERLINK("http://www.philadelphia.va.gov/services/DIAGNOSTIC_IMAGING.ASP")</f>
        <v>http://www.philadelphia.va.gov/services/DIAGNOSTIC_IMAGING.ASP</v>
      </c>
      <c r="E3478" s="8" t="s">
        <v>595</v>
      </c>
    </row>
    <row r="3479" ht="14.25" hidden="1" customHeight="1">
      <c r="A3479" s="272" t="s">
        <v>2895</v>
      </c>
      <c r="B3479" s="8" t="s">
        <v>3791</v>
      </c>
      <c r="D3479" s="121" t="str">
        <f t="shared" ref="D3479:D3480" si="36">HYPERLINK("http://www.philadelphia.va.gov/services/TRANSITION.ASP")</f>
        <v>http://www.philadelphia.va.gov/services/TRANSITION.ASP</v>
      </c>
      <c r="E3479" s="8" t="s">
        <v>595</v>
      </c>
    </row>
    <row r="3480" ht="14.25" hidden="1" customHeight="1">
      <c r="A3480" s="272" t="s">
        <v>2895</v>
      </c>
      <c r="B3480" s="8" t="s">
        <v>3792</v>
      </c>
      <c r="D3480" s="121" t="str">
        <f t="shared" si="36"/>
        <v>http://www.philadelphia.va.gov/services/TRANSITION.ASP</v>
      </c>
      <c r="E3480" s="8" t="s">
        <v>595</v>
      </c>
    </row>
    <row r="3481" ht="14.25" hidden="1" customHeight="1">
      <c r="A3481" s="272" t="s">
        <v>2895</v>
      </c>
      <c r="B3481" s="8" t="s">
        <v>337</v>
      </c>
      <c r="D3481" s="121" t="str">
        <f>HYPERLINK("http://www.philadelphia.va.gov/services/OPTOMETRY.ASP")</f>
        <v>http://www.philadelphia.va.gov/services/OPTOMETRY.ASP</v>
      </c>
      <c r="E3481" s="8" t="s">
        <v>595</v>
      </c>
    </row>
    <row r="3482" ht="14.25" hidden="1" customHeight="1">
      <c r="A3482" s="272" t="s">
        <v>2895</v>
      </c>
      <c r="B3482" s="8" t="s">
        <v>3793</v>
      </c>
      <c r="D3482" s="121" t="str">
        <f>HYPERLINK("http://www.philadelphia.va.gov/services/BEHAVIORAL_HEALTH.ASP")</f>
        <v>http://www.philadelphia.va.gov/services/BEHAVIORAL_HEALTH.ASP</v>
      </c>
      <c r="E3482" s="8" t="s">
        <v>595</v>
      </c>
    </row>
    <row r="3483" ht="14.25" hidden="1" customHeight="1">
      <c r="A3483" s="272" t="s">
        <v>2895</v>
      </c>
      <c r="B3483" s="8" t="s">
        <v>709</v>
      </c>
      <c r="D3483" s="121" t="str">
        <f>HYPERLINK("http://www.philadelphia.va.gov/services/OPTOMETRY.ASP")</f>
        <v>http://www.philadelphia.va.gov/services/OPTOMETRY.ASP</v>
      </c>
      <c r="E3483" s="8" t="s">
        <v>392</v>
      </c>
    </row>
    <row r="3484" ht="14.25" hidden="1" customHeight="1">
      <c r="A3484" s="272" t="s">
        <v>2895</v>
      </c>
      <c r="B3484" s="8" t="s">
        <v>2829</v>
      </c>
      <c r="D3484" s="121" t="str">
        <f>HYPERLINK("http://www.philadelphia.va.gov/services/PRIMARY_CARE.ASP")</f>
        <v>http://www.philadelphia.va.gov/services/PRIMARY_CARE.ASP</v>
      </c>
      <c r="E3484" s="8" t="s">
        <v>595</v>
      </c>
    </row>
    <row r="3485" ht="14.25" hidden="1" customHeight="1">
      <c r="A3485" s="272" t="s">
        <v>2895</v>
      </c>
      <c r="B3485" s="8" t="s">
        <v>725</v>
      </c>
      <c r="D3485" s="121" t="str">
        <f>HYPERLINK("http://www.philadelphia.va.gov/services/ORTHOPEDIC_SURGERY.ASP")</f>
        <v>http://www.philadelphia.va.gov/services/ORTHOPEDIC_SURGERY.ASP</v>
      </c>
      <c r="E3485" s="8" t="s">
        <v>392</v>
      </c>
    </row>
    <row r="3486" ht="14.25" hidden="1" customHeight="1">
      <c r="A3486" s="272" t="s">
        <v>2895</v>
      </c>
      <c r="B3486" s="8" t="s">
        <v>3794</v>
      </c>
      <c r="D3486" s="121" t="str">
        <f>HYPERLINK("http://www.philadelphia.va.gov/services/BEHAVIORAL_HEALTH.ASP")</f>
        <v>http://www.philadelphia.va.gov/services/BEHAVIORAL_HEALTH.ASP</v>
      </c>
      <c r="E3486" s="8" t="s">
        <v>595</v>
      </c>
    </row>
    <row r="3487" ht="14.25" hidden="1" customHeight="1">
      <c r="A3487" s="272" t="s">
        <v>2895</v>
      </c>
      <c r="B3487" s="8" t="s">
        <v>3795</v>
      </c>
      <c r="D3487" s="121" t="str">
        <f>HYPERLINK("http://www.philadelphia.va.gov/services/PARKINSON_S_DISEASE_RESEARCH_EDUCATION_AND_CLINICAL_CENTER.ASP")</f>
        <v>http://www.philadelphia.va.gov/services/PARKINSON_S_DISEASE_RESEARCH_EDUCATION_AND_CLINICAL_CENTER.ASP</v>
      </c>
      <c r="E3487" s="8" t="s">
        <v>392</v>
      </c>
    </row>
    <row r="3488" ht="14.25" hidden="1" customHeight="1">
      <c r="A3488" s="272" t="s">
        <v>2895</v>
      </c>
      <c r="B3488" s="8" t="s">
        <v>694</v>
      </c>
      <c r="D3488" s="121" t="str">
        <f>HYPERLINK("http://www.philadelphia.va.gov/services/PATIENT_ADVOCATE.ASP")</f>
        <v>http://www.philadelphia.va.gov/services/PATIENT_ADVOCATE.ASP</v>
      </c>
      <c r="E3488" s="8" t="s">
        <v>392</v>
      </c>
    </row>
    <row r="3489" ht="14.25" hidden="1" customHeight="1">
      <c r="A3489" s="272" t="s">
        <v>2895</v>
      </c>
      <c r="B3489" s="8" t="s">
        <v>343</v>
      </c>
      <c r="D3489" s="121" t="str">
        <f>HYPERLINK("http://www.philadelphia.va.gov/services/PHARMACY.ASP")</f>
        <v>http://www.philadelphia.va.gov/services/PHARMACY.ASP</v>
      </c>
      <c r="E3489" s="8" t="s">
        <v>392</v>
      </c>
    </row>
    <row r="3490" ht="14.25" hidden="1" customHeight="1">
      <c r="A3490" s="272" t="s">
        <v>2895</v>
      </c>
      <c r="B3490" s="8" t="s">
        <v>3796</v>
      </c>
      <c r="D3490" s="121" t="str">
        <f>HYPERLINK("http://www.philadelphia.va.gov/services/PHYSICAL_MEDICINE_AND_REHABILITATION_IN_PATIENT_PROGRAM.ASP")</f>
        <v>http://www.philadelphia.va.gov/services/PHYSICAL_MEDICINE_AND_REHABILITATION_IN_PATIENT_PROGRAM.ASP</v>
      </c>
      <c r="E3490" s="8" t="s">
        <v>392</v>
      </c>
    </row>
    <row r="3491" ht="14.25" hidden="1" customHeight="1">
      <c r="A3491" s="272" t="s">
        <v>2895</v>
      </c>
      <c r="B3491" s="8" t="s">
        <v>699</v>
      </c>
      <c r="D3491" s="121" t="str">
        <f>HYPERLINK("http://www.philadelphia.va.gov/services/POLYTRAUMA.ASP")</f>
        <v>http://www.philadelphia.va.gov/services/POLYTRAUMA.ASP</v>
      </c>
      <c r="E3491" s="8" t="s">
        <v>392</v>
      </c>
    </row>
    <row r="3492" ht="14.25" hidden="1" customHeight="1">
      <c r="A3492" s="272" t="s">
        <v>2895</v>
      </c>
      <c r="B3492" s="8" t="s">
        <v>348</v>
      </c>
      <c r="D3492" s="121" t="str">
        <f>HYPERLINK("http://www.philadelphia.va.gov/services/PRIMARY_CARE.ASP")</f>
        <v>http://www.philadelphia.va.gov/services/PRIMARY_CARE.ASP</v>
      </c>
      <c r="E3492" s="8" t="s">
        <v>392</v>
      </c>
    </row>
    <row r="3493" ht="14.25" hidden="1" customHeight="1">
      <c r="A3493" s="272" t="s">
        <v>2895</v>
      </c>
      <c r="B3493" s="8" t="s">
        <v>353</v>
      </c>
      <c r="D3493" s="121" t="str">
        <f>HYPERLINK("http://www.philadelphia.va.gov/services/PROSTHETICS.ASP")</f>
        <v>http://www.philadelphia.va.gov/services/PROSTHETICS.ASP</v>
      </c>
      <c r="E3493" s="8" t="s">
        <v>392</v>
      </c>
    </row>
    <row r="3494" ht="14.25" hidden="1" customHeight="1">
      <c r="A3494" s="272" t="s">
        <v>2895</v>
      </c>
      <c r="B3494" s="8" t="s">
        <v>504</v>
      </c>
      <c r="D3494" s="121" t="str">
        <f>HYPERLINK("http://www.philadelphia.va.gov/services/COMMUNICATIONS_OFFICE.ASP")</f>
        <v>http://www.philadelphia.va.gov/services/COMMUNICATIONS_OFFICE.ASP</v>
      </c>
      <c r="E3494" s="8" t="s">
        <v>595</v>
      </c>
    </row>
    <row r="3495" ht="14.25" hidden="1" customHeight="1">
      <c r="A3495" s="272" t="s">
        <v>2895</v>
      </c>
      <c r="B3495" s="8" t="s">
        <v>457</v>
      </c>
      <c r="D3495" s="121" t="str">
        <f>HYPERLINK("http://www.philadelphia.va.gov/services/RADIATION_ONCOLOGY.ASP")</f>
        <v>http://www.philadelphia.va.gov/services/RADIATION_ONCOLOGY.ASP</v>
      </c>
      <c r="E3495" s="8" t="s">
        <v>392</v>
      </c>
    </row>
    <row r="3496" ht="14.25" hidden="1" customHeight="1">
      <c r="A3496" s="272" t="s">
        <v>2895</v>
      </c>
      <c r="B3496" s="8" t="s">
        <v>717</v>
      </c>
      <c r="D3496" s="121" t="str">
        <f>HYPERLINK("http://www.philadelphia.va.gov/services/DIAGNOSTIC_IMAGING.ASP")</f>
        <v>http://www.philadelphia.va.gov/services/DIAGNOSTIC_IMAGING.ASP</v>
      </c>
      <c r="E3496" s="8" t="s">
        <v>595</v>
      </c>
    </row>
    <row r="3497" ht="14.25" hidden="1" customHeight="1">
      <c r="A3497" s="272" t="s">
        <v>2895</v>
      </c>
      <c r="B3497" s="8" t="s">
        <v>2479</v>
      </c>
      <c r="D3497" s="121" t="str">
        <f>HYPERLINK("http://www.philadelphia.va.gov/services/PRIMARY_CARE.ASP")</f>
        <v>http://www.philadelphia.va.gov/services/PRIMARY_CARE.ASP</v>
      </c>
      <c r="E3497" s="8" t="s">
        <v>595</v>
      </c>
    </row>
    <row r="3498" ht="14.25" hidden="1" customHeight="1">
      <c r="A3498" s="272" t="s">
        <v>2895</v>
      </c>
      <c r="B3498" s="8" t="s">
        <v>1675</v>
      </c>
      <c r="D3498" s="121" t="str">
        <f>HYPERLINK("http://www.philadelphia.va.gov/services/RENAL_CLINIC.ASP")</f>
        <v>http://www.philadelphia.va.gov/services/RENAL_CLINIC.ASP</v>
      </c>
      <c r="E3498" s="8" t="s">
        <v>392</v>
      </c>
    </row>
    <row r="3499" ht="14.25" hidden="1" customHeight="1">
      <c r="A3499" s="272" t="s">
        <v>2895</v>
      </c>
      <c r="B3499" s="8" t="s">
        <v>508</v>
      </c>
      <c r="D3499" s="121" t="str">
        <f>HYPERLINK("http://www.philadelphia.va.gov/services/RESEARCH.ASP")</f>
        <v>http://www.philadelphia.va.gov/services/RESEARCH.ASP</v>
      </c>
      <c r="E3499" s="8" t="s">
        <v>392</v>
      </c>
    </row>
    <row r="3500" ht="14.25" hidden="1" customHeight="1">
      <c r="A3500" s="272" t="s">
        <v>2895</v>
      </c>
      <c r="B3500" s="8" t="s">
        <v>854</v>
      </c>
      <c r="D3500" s="121" t="str">
        <f>HYPERLINK("http://www.philadelphia.va.gov/services/RHEUMATOLOGY_AND_INFECTIOUS_DISEASE.ASP")</f>
        <v>http://www.philadelphia.va.gov/services/RHEUMATOLOGY_AND_INFECTIOUS_DISEASE.ASP</v>
      </c>
      <c r="E3500" s="8" t="s">
        <v>392</v>
      </c>
    </row>
    <row r="3501" ht="14.25" hidden="1" customHeight="1">
      <c r="A3501" s="272" t="s">
        <v>2895</v>
      </c>
      <c r="B3501" s="8" t="s">
        <v>3797</v>
      </c>
      <c r="D3501" s="121" t="str">
        <f>HYPERLINK("http://www.philadelphia.va.gov/services/COMPENSATED_WORK_THERAPY_CWT_PROGRAM.ASP")</f>
        <v>http://www.philadelphia.va.gov/services/COMPENSATED_WORK_THERAPY_CWT_PROGRAM.ASP</v>
      </c>
      <c r="E3501" s="8" t="s">
        <v>595</v>
      </c>
    </row>
    <row r="3502" ht="14.25" hidden="1" customHeight="1">
      <c r="A3502" s="272" t="s">
        <v>2895</v>
      </c>
      <c r="B3502" s="8" t="s">
        <v>857</v>
      </c>
      <c r="D3502" s="121" t="str">
        <f>HYPERLINK("http://www.philadelphia.va.gov/services/SLEEP_CENTER.ASP")</f>
        <v>http://www.philadelphia.va.gov/services/SLEEP_CENTER.ASP</v>
      </c>
      <c r="E3502" s="8" t="s">
        <v>392</v>
      </c>
    </row>
    <row r="3503" ht="14.25" hidden="1" customHeight="1">
      <c r="A3503" s="272" t="s">
        <v>2895</v>
      </c>
      <c r="B3503" s="8" t="s">
        <v>360</v>
      </c>
      <c r="D3503" s="121" t="str">
        <f>HYPERLINK("http://www.philadelphia.va.gov/services/SOCIAL_WORK.ASP")</f>
        <v>http://www.philadelphia.va.gov/services/SOCIAL_WORK.ASP</v>
      </c>
      <c r="E3503" s="8" t="s">
        <v>392</v>
      </c>
    </row>
    <row r="3504" ht="14.25" hidden="1" customHeight="1">
      <c r="A3504" s="272" t="s">
        <v>2895</v>
      </c>
      <c r="B3504" s="8" t="s">
        <v>804</v>
      </c>
      <c r="D3504" s="121" t="str">
        <f>HYPERLINK("http://www.philadelphia.va.gov/services/AUDIOLOGY_AND_SPEECH_PATHOLOGY.ASP")</f>
        <v>http://www.philadelphia.va.gov/services/AUDIOLOGY_AND_SPEECH_PATHOLOGY.ASP</v>
      </c>
      <c r="E3504" s="8" t="s">
        <v>595</v>
      </c>
    </row>
    <row r="3505" ht="14.25" hidden="1" customHeight="1">
      <c r="A3505" s="272" t="s">
        <v>2895</v>
      </c>
      <c r="B3505" s="8" t="s">
        <v>879</v>
      </c>
      <c r="D3505" s="121" t="str">
        <f>HYPERLINK("http://www.philadelphia.va.gov/services/SPINAL_CORD_INJURY_DISORDERS_SUPPORT_CLINIC_TEAM.ASP")</f>
        <v>http://www.philadelphia.va.gov/services/SPINAL_CORD_INJURY_DISORDERS_SUPPORT_CLINIC_TEAM.ASP</v>
      </c>
      <c r="E3505" s="8" t="s">
        <v>392</v>
      </c>
    </row>
    <row r="3506" ht="14.25" hidden="1" customHeight="1">
      <c r="A3506" s="272" t="s">
        <v>2895</v>
      </c>
      <c r="B3506" s="8" t="s">
        <v>564</v>
      </c>
      <c r="D3506" s="121" t="str">
        <f>HYPERLINK("http://www.philadelphia.va.gov/services/SUICIDE-PREVENTION.ASP")</f>
        <v>http://www.philadelphia.va.gov/services/SUICIDE-PREVENTION.ASP</v>
      </c>
      <c r="E3506" s="8" t="s">
        <v>392</v>
      </c>
    </row>
    <row r="3507" ht="14.25" hidden="1" customHeight="1">
      <c r="A3507" s="272" t="s">
        <v>2895</v>
      </c>
      <c r="B3507" s="8" t="s">
        <v>3798</v>
      </c>
      <c r="D3507" s="121" t="str">
        <f>HYPERLINK("http://www.philadelphia.va.gov/services/COMPENSATED_WORK_THERAPY_CWT_PROGRAM.ASP")</f>
        <v>http://www.philadelphia.va.gov/services/COMPENSATED_WORK_THERAPY_CWT_PROGRAM.ASP</v>
      </c>
      <c r="E3507" s="8" t="s">
        <v>595</v>
      </c>
    </row>
    <row r="3508" ht="14.25" hidden="1" customHeight="1">
      <c r="A3508" s="272" t="s">
        <v>2895</v>
      </c>
      <c r="B3508" s="8" t="s">
        <v>3799</v>
      </c>
      <c r="D3508" s="121" t="str">
        <f>HYPERLINK("http://www.philadelphia.va.gov/services/TRANSITION.ASP")</f>
        <v>http://www.philadelphia.va.gov/services/TRANSITION.ASP</v>
      </c>
      <c r="E3508" s="8" t="s">
        <v>392</v>
      </c>
    </row>
    <row r="3509" ht="14.25" hidden="1" customHeight="1">
      <c r="A3509" s="272" t="s">
        <v>2895</v>
      </c>
      <c r="B3509" s="8" t="s">
        <v>1869</v>
      </c>
      <c r="D3509" s="121" t="str">
        <f>HYPERLINK("http://www.philadelphia.va.gov/services/BENEFICIAL_TRAVEL.ASP")</f>
        <v>http://www.philadelphia.va.gov/services/BENEFICIAL_TRAVEL.ASP</v>
      </c>
      <c r="E3509" s="8" t="s">
        <v>595</v>
      </c>
    </row>
    <row r="3510" ht="14.25" hidden="1" customHeight="1">
      <c r="A3510" s="272" t="s">
        <v>2895</v>
      </c>
      <c r="B3510" s="8" t="s">
        <v>2984</v>
      </c>
      <c r="D3510" s="121" t="str">
        <f>HYPERLINK("http://www.philadelphia.va.gov/services/VIST_COORDINATOR.ASP")</f>
        <v>http://www.philadelphia.va.gov/services/VIST_COORDINATOR.ASP</v>
      </c>
      <c r="E3510" s="8" t="s">
        <v>392</v>
      </c>
    </row>
    <row r="3511" ht="14.25" hidden="1" customHeight="1">
      <c r="A3511" s="272" t="s">
        <v>2895</v>
      </c>
      <c r="B3511" s="8" t="s">
        <v>518</v>
      </c>
      <c r="D3511" s="121" t="str">
        <f>HYPERLINK("http://www.philadelphia.va.gov/services/VOLUNTARY_SERVICE.ASP")</f>
        <v>http://www.philadelphia.va.gov/services/VOLUNTARY_SERVICE.ASP</v>
      </c>
      <c r="E3511" s="8" t="s">
        <v>392</v>
      </c>
    </row>
    <row r="3512" ht="14.25" hidden="1" customHeight="1">
      <c r="A3512" s="272" t="s">
        <v>2895</v>
      </c>
      <c r="B3512" s="8" t="s">
        <v>1046</v>
      </c>
      <c r="D3512" s="121" t="str">
        <f>HYPERLINK("http://www.philadelphia.va.gov/services/WARD_ADMINISTRATION_SERVICE.ASP")</f>
        <v>http://www.philadelphia.va.gov/services/WARD_ADMINISTRATION_SERVICE.ASP</v>
      </c>
      <c r="E3512" s="8" t="s">
        <v>392</v>
      </c>
    </row>
    <row r="3513" ht="14.25" hidden="1" customHeight="1">
      <c r="A3513" s="272" t="s">
        <v>2895</v>
      </c>
      <c r="B3513" s="8" t="s">
        <v>938</v>
      </c>
      <c r="D3513" s="121" t="str">
        <f>HYPERLINK("http://www.philadelphia.va.gov/services/WOMEN_VETERANS_HEALTH_CENTER.ASP")</f>
        <v>http://www.philadelphia.va.gov/services/WOMEN_VETERANS_HEALTH_CENTER.ASP</v>
      </c>
      <c r="E3513" s="8" t="s">
        <v>392</v>
      </c>
    </row>
    <row r="3514" ht="14.25" hidden="1" customHeight="1">
      <c r="A3514" s="272" t="s">
        <v>2895</v>
      </c>
      <c r="B3514" s="8" t="s">
        <v>3800</v>
      </c>
      <c r="D3514" s="121" t="str">
        <f t="shared" ref="D3514:D3515" si="37">HYPERLINK("http://www.philadelphia.va.gov/services/PRIMARY_CARE.ASP")</f>
        <v>http://www.philadelphia.va.gov/services/PRIMARY_CARE.ASP</v>
      </c>
      <c r="E3514" s="8" t="s">
        <v>595</v>
      </c>
    </row>
    <row r="3515" ht="14.25" hidden="1" customHeight="1">
      <c r="A3515" s="272" t="s">
        <v>2895</v>
      </c>
      <c r="B3515" s="8" t="s">
        <v>3801</v>
      </c>
      <c r="D3515" s="121" t="str">
        <f t="shared" si="37"/>
        <v>http://www.philadelphia.va.gov/services/PRIMARY_CARE.ASP</v>
      </c>
      <c r="E3515" s="8" t="s">
        <v>595</v>
      </c>
    </row>
    <row r="3516" ht="14.25" hidden="1" customHeight="1">
      <c r="A3516" s="272" t="s">
        <v>2895</v>
      </c>
      <c r="B3516" s="8" t="s">
        <v>1049</v>
      </c>
      <c r="D3516" s="121" t="str">
        <f>HYPERLINK("http://www.philadelphia.va.gov/services/WOUNDED_WARRIOR_PROGRAM.ASP")</f>
        <v>http://www.philadelphia.va.gov/services/WOUNDED_WARRIOR_PROGRAM.ASP</v>
      </c>
      <c r="E3516" s="8" t="s">
        <v>392</v>
      </c>
    </row>
    <row r="3517" ht="14.25" hidden="1" customHeight="1">
      <c r="A3517" s="272" t="s">
        <v>2895</v>
      </c>
      <c r="B3517" s="8" t="s">
        <v>3802</v>
      </c>
      <c r="D3517" s="121" t="str">
        <f>HYPERLINK("http://www.philadelphia.va.gov/services/DIAGNOSTIC_IMAGING.ASP")</f>
        <v>http://www.philadelphia.va.gov/services/DIAGNOSTIC_IMAGING.ASP</v>
      </c>
      <c r="E3517" s="8" t="s">
        <v>595</v>
      </c>
    </row>
    <row r="3518" ht="14.25" hidden="1" customHeight="1">
      <c r="A3518" s="8" t="s">
        <v>2904</v>
      </c>
      <c r="B3518" s="8" t="s">
        <v>3803</v>
      </c>
      <c r="D3518" s="121" t="str">
        <f>HYPERLINK("http://www.phoenix.va.gov/services/AMBULATORY_CARE_SERVICES.ASP")</f>
        <v>http://www.phoenix.va.gov/services/AMBULATORY_CARE_SERVICES.ASP</v>
      </c>
      <c r="E3518" s="8" t="s">
        <v>392</v>
      </c>
    </row>
    <row r="3519" ht="14.25" hidden="1" customHeight="1">
      <c r="A3519" s="8" t="s">
        <v>2904</v>
      </c>
      <c r="B3519" s="8" t="s">
        <v>244</v>
      </c>
      <c r="D3519" s="121" t="str">
        <f>HYPERLINK("http://www.phoenix.va.gov/services/AUDIOLOGY.ASP")</f>
        <v>http://www.phoenix.va.gov/services/AUDIOLOGY.ASP</v>
      </c>
      <c r="E3519" s="8" t="s">
        <v>392</v>
      </c>
    </row>
    <row r="3520" ht="14.25" hidden="1" customHeight="1">
      <c r="A3520" s="8" t="s">
        <v>2904</v>
      </c>
      <c r="B3520" s="8" t="s">
        <v>636</v>
      </c>
      <c r="D3520" s="121" t="str">
        <f>HYPERLINK("http://www.phoenix.va.gov/services/BENEFICIARY_TRAVEL.ASP")</f>
        <v>http://www.phoenix.va.gov/services/BENEFICIARY_TRAVEL.ASP</v>
      </c>
      <c r="E3520" s="8" t="s">
        <v>392</v>
      </c>
    </row>
    <row r="3521" ht="14.25" hidden="1" customHeight="1">
      <c r="A3521" s="8" t="s">
        <v>2904</v>
      </c>
      <c r="B3521" s="8" t="s">
        <v>1918</v>
      </c>
      <c r="D3521" s="121" t="str">
        <f>HYPERLINK("http://www.phoenix.va.gov/services/CANCER_PROGRAM.ASP")</f>
        <v>http://www.phoenix.va.gov/services/CANCER_PROGRAM.ASP</v>
      </c>
      <c r="E3521" s="8" t="s">
        <v>392</v>
      </c>
    </row>
    <row r="3522" ht="14.25" hidden="1" customHeight="1">
      <c r="A3522" s="8" t="s">
        <v>2904</v>
      </c>
      <c r="B3522" s="8" t="s">
        <v>3624</v>
      </c>
      <c r="D3522" s="121" t="str">
        <f>HYPERLINK("http://www.phoenix.va.gov/services/CLINICAL_SERVICES.ASP")</f>
        <v>http://www.phoenix.va.gov/services/CLINICAL_SERVICES.ASP</v>
      </c>
      <c r="E3522" s="8" t="s">
        <v>392</v>
      </c>
    </row>
    <row r="3523" ht="14.25" hidden="1" customHeight="1">
      <c r="A3523" s="8" t="s">
        <v>2904</v>
      </c>
      <c r="B3523" s="8" t="s">
        <v>3804</v>
      </c>
      <c r="D3523" s="121" t="str">
        <f>HYPERLINK("http://www.phoenix.va.gov/services/COMMUNITY_MENTAL_HEALTH.ASP")</f>
        <v>http://www.phoenix.va.gov/services/COMMUNITY_MENTAL_HEALTH.ASP</v>
      </c>
      <c r="E3523" s="8" t="s">
        <v>392</v>
      </c>
    </row>
    <row r="3524" ht="14.25" hidden="1" customHeight="1">
      <c r="A3524" s="8" t="s">
        <v>2904</v>
      </c>
      <c r="B3524" s="8" t="s">
        <v>480</v>
      </c>
      <c r="D3524" s="121" t="str">
        <f>HYPERLINK("http://www.phoenix.va.gov/services/COMPENSATION_PENSION.ASP")</f>
        <v>http://www.phoenix.va.gov/services/COMPENSATION_PENSION.ASP</v>
      </c>
      <c r="E3524" s="8" t="s">
        <v>392</v>
      </c>
    </row>
    <row r="3525" ht="14.25" hidden="1" customHeight="1">
      <c r="A3525" s="8" t="s">
        <v>2904</v>
      </c>
      <c r="B3525" s="8" t="s">
        <v>513</v>
      </c>
      <c r="D3525" s="121" t="str">
        <f>HYPERLINK("http://www.phoenix.va.gov/services/DENTAL_SERVICE.ASP")</f>
        <v>http://www.phoenix.va.gov/services/DENTAL_SERVICE.ASP</v>
      </c>
      <c r="E3525" s="8" t="s">
        <v>392</v>
      </c>
    </row>
    <row r="3526" ht="14.25" hidden="1" customHeight="1">
      <c r="A3526" s="8" t="s">
        <v>2904</v>
      </c>
      <c r="B3526" s="8" t="s">
        <v>556</v>
      </c>
      <c r="D3526" s="121" t="str">
        <f>HYPERLINK("http://www.phoenix.va.gov/services/COMMUNITY_LIVING_CENTER.ASP")</f>
        <v>http://www.phoenix.va.gov/services/COMMUNITY_LIVING_CENTER.ASP</v>
      </c>
      <c r="E3526" s="8" t="s">
        <v>392</v>
      </c>
    </row>
    <row r="3527" ht="14.25" hidden="1" customHeight="1">
      <c r="A3527" s="8" t="s">
        <v>2904</v>
      </c>
      <c r="B3527" s="8" t="s">
        <v>2085</v>
      </c>
      <c r="D3527" s="121" t="str">
        <f>HYPERLINK("http://www.phoenix.va.gov/services/HOMELESS_PROGRAM.ASP")</f>
        <v>http://www.phoenix.va.gov/services/HOMELESS_PROGRAM.ASP</v>
      </c>
      <c r="E3527" s="8" t="s">
        <v>392</v>
      </c>
    </row>
    <row r="3528" ht="14.25" hidden="1" customHeight="1">
      <c r="A3528" s="8" t="s">
        <v>2904</v>
      </c>
      <c r="B3528" s="8" t="s">
        <v>3039</v>
      </c>
      <c r="D3528" s="121" t="str">
        <f>HYPERLINK("http://www.phoenix.va.gov/services/INTIMATE_PARTNER_VIOLENCE.ASP")</f>
        <v>http://www.phoenix.va.gov/services/INTIMATE_PARTNER_VIOLENCE.ASP</v>
      </c>
      <c r="E3528" s="8" t="s">
        <v>392</v>
      </c>
    </row>
    <row r="3529" ht="14.25" hidden="1" customHeight="1">
      <c r="A3529" s="8" t="s">
        <v>2904</v>
      </c>
      <c r="B3529" s="8" t="s">
        <v>3805</v>
      </c>
      <c r="D3529" s="121" t="str">
        <f>HYPERLINK("http://www.phoenix.va.gov/services/LABORATORY.ASP")</f>
        <v>http://www.phoenix.va.gov/services/LABORATORY.ASP</v>
      </c>
      <c r="E3529" s="8" t="s">
        <v>392</v>
      </c>
    </row>
    <row r="3530" ht="14.25" hidden="1" customHeight="1">
      <c r="A3530" s="8" t="s">
        <v>2904</v>
      </c>
      <c r="B3530" s="8" t="s">
        <v>323</v>
      </c>
      <c r="D3530" s="121" t="str">
        <f>HYPERLINK("http://www.phoenix.va.gov/services/MENTAL_HEALTH.ASP")</f>
        <v>http://www.phoenix.va.gov/services/MENTAL_HEALTH.ASP</v>
      </c>
      <c r="E3530" s="8" t="s">
        <v>392</v>
      </c>
    </row>
    <row r="3531" ht="14.25" hidden="1" customHeight="1">
      <c r="A3531" s="8" t="s">
        <v>2904</v>
      </c>
      <c r="B3531" s="8" t="s">
        <v>707</v>
      </c>
      <c r="D3531" s="121" t="str">
        <f>HYPERLINK("http://www.phoenix.va.gov/services/MYHEALTHEVET.ASP")</f>
        <v>http://www.phoenix.va.gov/services/MYHEALTHEVET.ASP</v>
      </c>
      <c r="E3531" s="8" t="s">
        <v>392</v>
      </c>
    </row>
    <row r="3532" ht="14.25" hidden="1" customHeight="1">
      <c r="A3532" s="8" t="s">
        <v>2904</v>
      </c>
      <c r="B3532" s="8" t="s">
        <v>1510</v>
      </c>
      <c r="D3532" s="121" t="str">
        <f>HYPERLINK("http://www.phoenix.va.gov/services/NEUROPSYCHOLOGY.ASP")</f>
        <v>http://www.phoenix.va.gov/services/NEUROPSYCHOLOGY.ASP</v>
      </c>
      <c r="E3532" s="8" t="s">
        <v>392</v>
      </c>
    </row>
    <row r="3533" ht="14.25" hidden="1" customHeight="1">
      <c r="A3533" s="8" t="s">
        <v>2904</v>
      </c>
      <c r="B3533" s="8" t="s">
        <v>2507</v>
      </c>
      <c r="D3533" s="121" t="str">
        <f>HYPERLINK("http://www.phoenix.va.gov/services/NEW_VETERAN_ORIENTATION.ASP")</f>
        <v>http://www.phoenix.va.gov/services/NEW_VETERAN_ORIENTATION.ASP</v>
      </c>
      <c r="E3533" s="8" t="s">
        <v>392</v>
      </c>
    </row>
    <row r="3534" ht="14.25" hidden="1" customHeight="1">
      <c r="A3534" s="8" t="s">
        <v>2904</v>
      </c>
      <c r="B3534" s="8" t="s">
        <v>1719</v>
      </c>
      <c r="D3534" s="121" t="str">
        <f>HYPERLINK("http://www.phoenix.va.gov/services/NUTRITION.ASP")</f>
        <v>http://www.phoenix.va.gov/services/NUTRITION.ASP</v>
      </c>
      <c r="E3534" s="8" t="s">
        <v>392</v>
      </c>
    </row>
    <row r="3535" ht="14.25" hidden="1" customHeight="1">
      <c r="A3535" s="8" t="s">
        <v>2904</v>
      </c>
      <c r="B3535" s="8" t="s">
        <v>343</v>
      </c>
      <c r="D3535" s="121" t="str">
        <f>HYPERLINK("http://www.phoenix.va.gov/services/PHARMACY.ASP")</f>
        <v>http://www.phoenix.va.gov/services/PHARMACY.ASP</v>
      </c>
      <c r="E3535" s="8" t="s">
        <v>392</v>
      </c>
    </row>
    <row r="3536" ht="14.25" hidden="1" customHeight="1">
      <c r="A3536" s="8" t="s">
        <v>2904</v>
      </c>
      <c r="B3536" s="8" t="s">
        <v>3578</v>
      </c>
      <c r="D3536" s="121" t="str">
        <f>HYPERLINK("http://www.phoenix.va.gov/services/RADIOLOGY_DEPARTMENT.ASP")</f>
        <v>http://www.phoenix.va.gov/services/RADIOLOGY_DEPARTMENT.ASP</v>
      </c>
      <c r="E3536" s="8" t="s">
        <v>392</v>
      </c>
    </row>
    <row r="3537" ht="14.25" hidden="1" customHeight="1">
      <c r="A3537" s="8" t="s">
        <v>2904</v>
      </c>
      <c r="B3537" s="8" t="s">
        <v>505</v>
      </c>
      <c r="D3537" s="121" t="str">
        <f>HYPERLINK("http://www.phoenix.va.gov/services/RECREATION_THERAPY.ASP")</f>
        <v>http://www.phoenix.va.gov/services/RECREATION_THERAPY.ASP</v>
      </c>
      <c r="E3537" s="8" t="s">
        <v>392</v>
      </c>
    </row>
    <row r="3538" ht="14.25" hidden="1" customHeight="1">
      <c r="A3538" s="8" t="s">
        <v>2904</v>
      </c>
      <c r="B3538" s="8" t="s">
        <v>2805</v>
      </c>
      <c r="D3538" s="121" t="str">
        <f>HYPERLINK("http://www.phoenix.va.gov/services/RESEARCH_SERVICE.ASP")</f>
        <v>http://www.phoenix.va.gov/services/RESEARCH_SERVICE.ASP</v>
      </c>
      <c r="E3538" s="8" t="s">
        <v>392</v>
      </c>
    </row>
    <row r="3539" ht="14.25" hidden="1" customHeight="1">
      <c r="A3539" s="8" t="s">
        <v>2904</v>
      </c>
      <c r="B3539" s="8" t="s">
        <v>3806</v>
      </c>
      <c r="D3539" s="121" t="str">
        <f>HYPERLINK("http://www.phoenix.va.gov/services/TCM_PROGRAM_OEF_OIF_OND_POST_DEPLOYMENT.ASP")</f>
        <v>http://www.phoenix.va.gov/services/TCM_PROGRAM_OEF_OIF_OND_POST_DEPLOYMENT.ASP</v>
      </c>
      <c r="E3539" s="8" t="s">
        <v>392</v>
      </c>
    </row>
    <row r="3540" ht="14.25" hidden="1" customHeight="1">
      <c r="A3540" s="8" t="s">
        <v>2904</v>
      </c>
      <c r="B3540" s="8" t="s">
        <v>3807</v>
      </c>
      <c r="D3540" s="121" t="str">
        <f>HYPERLINK("http://www.phoenix.va.gov/services/TRAVELING_VETERAN_COORDINATOR_PROGRAM.ASP")</f>
        <v>http://www.phoenix.va.gov/services/TRAVELING_VETERAN_COORDINATOR_PROGRAM.ASP</v>
      </c>
      <c r="E3540" s="8" t="s">
        <v>392</v>
      </c>
    </row>
    <row r="3541" ht="14.25" hidden="1" customHeight="1">
      <c r="A3541" s="8" t="s">
        <v>2904</v>
      </c>
      <c r="B3541" s="8" t="s">
        <v>516</v>
      </c>
      <c r="D3541" s="121" t="str">
        <f>HYPERLINK("http://www.phoenix.va.gov/services/VETERANS_JUSTICE_OUTREACH.ASP")</f>
        <v>http://www.phoenix.va.gov/services/VETERANS_JUSTICE_OUTREACH.ASP</v>
      </c>
      <c r="E3541" s="8" t="s">
        <v>392</v>
      </c>
    </row>
    <row r="3542" ht="14.25" hidden="1" customHeight="1">
      <c r="A3542" s="8" t="s">
        <v>2904</v>
      </c>
      <c r="B3542" s="8" t="s">
        <v>3601</v>
      </c>
      <c r="D3542" s="121" t="str">
        <f>HYPERLINK("http://www.phoenix.va.gov/services/VETERANS_RESOURCE_CENTER.ASP")</f>
        <v>http://www.phoenix.va.gov/services/VETERANS_RESOURCE_CENTER.ASP</v>
      </c>
      <c r="E3542" s="8" t="s">
        <v>392</v>
      </c>
    </row>
    <row r="3543" ht="14.25" hidden="1" customHeight="1">
      <c r="A3543" s="116" t="s">
        <v>2928</v>
      </c>
      <c r="B3543" s="8" t="s">
        <v>1315</v>
      </c>
      <c r="D3543" s="121" t="str">
        <f>HYPERLINK("http://www.pittsburgh.va.gov/services/ENVIRONMENTAL-HEALTH-REGISTRY.ASP")</f>
        <v>http://www.pittsburgh.va.gov/services/ENVIRONMENTAL-HEALTH-REGISTRY.ASP</v>
      </c>
      <c r="E3543" s="8" t="s">
        <v>595</v>
      </c>
    </row>
    <row r="3544" ht="14.25" hidden="1" customHeight="1">
      <c r="A3544" s="116" t="s">
        <v>2928</v>
      </c>
      <c r="B3544" s="8" t="s">
        <v>1383</v>
      </c>
      <c r="D3544" s="121" t="str">
        <f>HYPERLINK("http://www.pittsburgh.va.gov/services/AMPUTEE-CLINIC.ASP")</f>
        <v>http://www.pittsburgh.va.gov/services/AMPUTEE-CLINIC.ASP</v>
      </c>
      <c r="E3544" s="8" t="s">
        <v>392</v>
      </c>
    </row>
    <row r="3545" ht="14.25" hidden="1" customHeight="1">
      <c r="A3545" s="116" t="s">
        <v>2928</v>
      </c>
      <c r="B3545" s="8" t="s">
        <v>244</v>
      </c>
      <c r="D3545" s="121" t="str">
        <f>HYPERLINK("http://www.pittsburgh.va.gov/services/AUDIOLOGY/INDEX.ASP")</f>
        <v>http://www.pittsburgh.va.gov/services/AUDIOLOGY/INDEX.ASP</v>
      </c>
      <c r="E3545" s="8" t="s">
        <v>392</v>
      </c>
    </row>
    <row r="3546" ht="14.25" hidden="1" customHeight="1">
      <c r="A3546" s="116" t="s">
        <v>2928</v>
      </c>
      <c r="B3546" s="8" t="s">
        <v>446</v>
      </c>
      <c r="D3546" s="121" t="str">
        <f>HYPERLINK("http://www.pittsburgh.va.gov/services/BEHAVIORAL-HEALTH.ASP")</f>
        <v>http://www.pittsburgh.va.gov/services/BEHAVIORAL-HEALTH.ASP</v>
      </c>
      <c r="E3546" s="8" t="s">
        <v>595</v>
      </c>
    </row>
    <row r="3547" ht="14.25" hidden="1" customHeight="1">
      <c r="A3547" s="116" t="s">
        <v>2928</v>
      </c>
      <c r="B3547" s="8" t="s">
        <v>636</v>
      </c>
      <c r="D3547" s="121" t="str">
        <f>HYPERLINK("http://www.pittsburgh.va.gov/services/BENEFICIARY-TRAVEL.ASP")</f>
        <v>http://www.pittsburgh.va.gov/services/BENEFICIARY-TRAVEL.ASP</v>
      </c>
      <c r="E3547" s="8" t="s">
        <v>392</v>
      </c>
    </row>
    <row r="3548" ht="14.25" hidden="1" customHeight="1">
      <c r="A3548" s="116" t="s">
        <v>2928</v>
      </c>
      <c r="B3548" s="8" t="s">
        <v>3808</v>
      </c>
      <c r="D3548" s="121" t="str">
        <f>HYPERLINK("http://www.pittsburgh.va.gov/services/CTAD.ASP")</f>
        <v>http://www.pittsburgh.va.gov/services/CTAD.ASP</v>
      </c>
      <c r="E3548" s="8" t="s">
        <v>392</v>
      </c>
    </row>
    <row r="3549" ht="14.25" hidden="1" customHeight="1">
      <c r="A3549" s="116" t="s">
        <v>2928</v>
      </c>
      <c r="B3549" s="8" t="s">
        <v>468</v>
      </c>
      <c r="D3549" s="121" t="str">
        <f>HYPERLINK("http://www.pittsburgh.va.gov/services/CHAPLAINS.ASP")</f>
        <v>http://www.pittsburgh.va.gov/services/CHAPLAINS.ASP</v>
      </c>
      <c r="E3549" s="8" t="s">
        <v>392</v>
      </c>
    </row>
    <row r="3550" ht="14.25" hidden="1" customHeight="1">
      <c r="A3550" s="116" t="s">
        <v>2928</v>
      </c>
      <c r="B3550" s="8" t="s">
        <v>3809</v>
      </c>
      <c r="D3550" s="121" t="str">
        <f>HYPERLINK("http://www.pittsburgh.va.gov/services/COMMUNITY-BASED-CARE.ASP")</f>
        <v>http://www.pittsburgh.va.gov/services/COMMUNITY-BASED-CARE.ASP</v>
      </c>
      <c r="E3550" s="8" t="s">
        <v>392</v>
      </c>
    </row>
    <row r="3551" ht="14.25" hidden="1" customHeight="1">
      <c r="A3551" s="116" t="s">
        <v>2928</v>
      </c>
      <c r="B3551" s="8" t="s">
        <v>3810</v>
      </c>
      <c r="D3551" s="121" t="str">
        <f>HYPERLINK("http://www.pittsburgh.va.gov/services/RECREATION.ASP")</f>
        <v>http://www.pittsburgh.va.gov/services/RECREATION.ASP</v>
      </c>
      <c r="E3551" s="8" t="s">
        <v>595</v>
      </c>
    </row>
    <row r="3552" ht="14.25" hidden="1" customHeight="1">
      <c r="A3552" s="116" t="s">
        <v>2928</v>
      </c>
      <c r="B3552" s="8" t="s">
        <v>3811</v>
      </c>
      <c r="D3552" s="121" t="str">
        <f>HYPERLINK("http://www.pittsburgh.va.gov/services/CRITICAL-CARE.ASP")</f>
        <v>http://www.pittsburgh.va.gov/services/CRITICAL-CARE.ASP</v>
      </c>
      <c r="E3552" s="8" t="s">
        <v>392</v>
      </c>
    </row>
    <row r="3553" ht="14.25" hidden="1" customHeight="1">
      <c r="A3553" s="116" t="s">
        <v>2928</v>
      </c>
      <c r="B3553" s="8" t="s">
        <v>3812</v>
      </c>
      <c r="D3553" s="121" t="str">
        <f>HYPERLINK("http://www.pittsburgh.va.gov/services/DAV/INDEX.ASP")</f>
        <v>http://www.pittsburgh.va.gov/services/DAV/INDEX.ASP</v>
      </c>
      <c r="E3553" s="8" t="s">
        <v>392</v>
      </c>
    </row>
    <row r="3554" ht="14.25" hidden="1" customHeight="1">
      <c r="A3554" s="116" t="s">
        <v>2928</v>
      </c>
      <c r="B3554" s="8" t="s">
        <v>304</v>
      </c>
      <c r="D3554" s="121" t="str">
        <f>HYPERLINK("http://www.pittsburgh.va.gov/services/DENTAL.ASP")</f>
        <v>http://www.pittsburgh.va.gov/services/DENTAL.ASP</v>
      </c>
      <c r="E3554" s="8" t="s">
        <v>392</v>
      </c>
    </row>
    <row r="3555" ht="14.25" hidden="1" customHeight="1">
      <c r="A3555" s="116" t="s">
        <v>2928</v>
      </c>
      <c r="B3555" s="8" t="s">
        <v>424</v>
      </c>
      <c r="D3555" s="121" t="str">
        <f>HYPERLINK("http://www.pittsburgh.va.gov/services/DIALYSIS/INDEX.ASP")</f>
        <v>http://www.pittsburgh.va.gov/services/DIALYSIS/INDEX.ASP</v>
      </c>
      <c r="E3555" s="8" t="s">
        <v>595</v>
      </c>
    </row>
    <row r="3556" ht="14.25" hidden="1" customHeight="1">
      <c r="A3556" s="116" t="s">
        <v>2928</v>
      </c>
      <c r="B3556" s="8" t="s">
        <v>3813</v>
      </c>
      <c r="D3556" s="121" t="str">
        <f>HYPERLINK("http://www.pittsburgh.va.gov/services/INTIMATE-PARTNER-VIOLENCE.ASP")</f>
        <v>http://www.pittsburgh.va.gov/services/INTIMATE-PARTNER-VIOLENCE.ASP</v>
      </c>
      <c r="E3556" s="8" t="s">
        <v>595</v>
      </c>
    </row>
    <row r="3557" ht="14.25" hidden="1" customHeight="1">
      <c r="A3557" s="116" t="s">
        <v>2928</v>
      </c>
      <c r="B3557" s="8" t="s">
        <v>308</v>
      </c>
      <c r="D3557" s="121" t="str">
        <f>HYPERLINK("http://www.pittsburgh.va.gov/services/EMERGENCY_DEPARTMENT.ASP")</f>
        <v>http://www.pittsburgh.va.gov/services/EMERGENCY_DEPARTMENT.ASP</v>
      </c>
      <c r="E3557" s="8" t="s">
        <v>392</v>
      </c>
    </row>
    <row r="3558" ht="14.25" hidden="1" customHeight="1">
      <c r="A3558" s="116" t="s">
        <v>2928</v>
      </c>
      <c r="B3558" s="8" t="s">
        <v>3814</v>
      </c>
      <c r="D3558" s="121" t="str">
        <f>HYPERLINK("http://www.pittsburgh.va.gov/services/EMPLOYMENT-VERIFICATION.ASP")</f>
        <v>http://www.pittsburgh.va.gov/services/EMPLOYMENT-VERIFICATION.ASP</v>
      </c>
      <c r="E3558" s="8" t="s">
        <v>392</v>
      </c>
    </row>
    <row r="3559" ht="14.25" hidden="1" customHeight="1">
      <c r="A3559" s="116" t="s">
        <v>2928</v>
      </c>
      <c r="B3559" s="8" t="s">
        <v>719</v>
      </c>
      <c r="D3559" s="121" t="str">
        <f>HYPERLINK("http://www.pittsburgh.va.gov/services/EYE_CLINIC.ASP")</f>
        <v>http://www.pittsburgh.va.gov/services/EYE_CLINIC.ASP</v>
      </c>
      <c r="E3559" s="8" t="s">
        <v>392</v>
      </c>
    </row>
    <row r="3560" ht="14.25" hidden="1" customHeight="1">
      <c r="A3560" s="116" t="s">
        <v>2928</v>
      </c>
      <c r="B3560" s="8" t="s">
        <v>2743</v>
      </c>
      <c r="D3560" s="121" t="str">
        <f>HYPERLINK("http://www.pittsburgh.va.gov/services/FOIA.ASP")</f>
        <v>http://www.pittsburgh.va.gov/services/FOIA.ASP</v>
      </c>
      <c r="E3560" s="8" t="s">
        <v>392</v>
      </c>
    </row>
    <row r="3561" ht="14.25" hidden="1" customHeight="1">
      <c r="A3561" s="116" t="s">
        <v>2928</v>
      </c>
      <c r="B3561" s="8" t="s">
        <v>3815</v>
      </c>
      <c r="D3561" s="121" t="str">
        <f>HYPERLINK("http://www.pittsburgh.va.gov/services/GASTROENTEROLOGY/INDEX.ASP")</f>
        <v>http://www.pittsburgh.va.gov/services/GASTROENTEROLOGY/INDEX.ASP</v>
      </c>
      <c r="E3561" s="8" t="s">
        <v>392</v>
      </c>
    </row>
    <row r="3562" ht="14.25" hidden="1" customHeight="1">
      <c r="A3562" s="116" t="s">
        <v>2928</v>
      </c>
      <c r="B3562" s="8" t="s">
        <v>3816</v>
      </c>
      <c r="D3562" s="121" t="str">
        <f>HYPERLINK("http://www.pittsburgh.va.gov/services/GRECC/INDEX.ASP")</f>
        <v>http://www.pittsburgh.va.gov/services/GRECC/INDEX.ASP</v>
      </c>
      <c r="E3562" s="8" t="s">
        <v>392</v>
      </c>
    </row>
    <row r="3563" ht="14.25" hidden="1" customHeight="1">
      <c r="A3563" s="116" t="s">
        <v>2928</v>
      </c>
      <c r="B3563" s="8" t="s">
        <v>3817</v>
      </c>
      <c r="D3563" s="121" t="str">
        <f>HYPERLINK("http://www.pittsburgh.va.gov/services/AUDIOLOGY/HEARING-AID-REPAIR-CLINIC.ASP")</f>
        <v>http://www.pittsburgh.va.gov/services/AUDIOLOGY/HEARING-AID-REPAIR-CLINIC.ASP</v>
      </c>
      <c r="E3563" s="8" t="s">
        <v>392</v>
      </c>
    </row>
    <row r="3564" ht="14.25" hidden="1" customHeight="1">
      <c r="A3564" s="116" t="s">
        <v>2928</v>
      </c>
      <c r="B3564" s="8" t="s">
        <v>3818</v>
      </c>
      <c r="D3564" s="121" t="str">
        <f>HYPERLINK("http://www.pittsburgh.va.gov/services/HEPC-SCREENING-TREATMENT.ASP")</f>
        <v>http://www.pittsburgh.va.gov/services/HEPC-SCREENING-TREATMENT.ASP</v>
      </c>
      <c r="E3564" s="8" t="s">
        <v>392</v>
      </c>
    </row>
    <row r="3565" ht="14.25" hidden="1" customHeight="1">
      <c r="A3565" s="116" t="s">
        <v>2928</v>
      </c>
      <c r="B3565" s="8" t="s">
        <v>1704</v>
      </c>
      <c r="D3565" s="121" t="str">
        <f>HYPERLINK("http://www.pittsburgh.va.gov/services/GASTROENTEROLOGY/INDEX.ASP")</f>
        <v>http://www.pittsburgh.va.gov/services/GASTROENTEROLOGY/INDEX.ASP</v>
      </c>
      <c r="E3565" s="8" t="s">
        <v>595</v>
      </c>
    </row>
    <row r="3566" ht="14.25" hidden="1" customHeight="1">
      <c r="A3566" s="116" t="s">
        <v>2928</v>
      </c>
      <c r="B3566" s="8" t="s">
        <v>312</v>
      </c>
      <c r="D3566" s="121" t="str">
        <f>HYPERLINK("http://www.pittsburgh.va.gov/services/HOMELESS.ASP")</f>
        <v>http://www.pittsburgh.va.gov/services/HOMELESS.ASP</v>
      </c>
      <c r="E3566" s="8" t="s">
        <v>392</v>
      </c>
    </row>
    <row r="3567" ht="14.25" hidden="1" customHeight="1">
      <c r="A3567" s="116" t="s">
        <v>2928</v>
      </c>
      <c r="B3567" s="8" t="s">
        <v>3819</v>
      </c>
      <c r="D3567" s="121" t="str">
        <f>HYPERLINK("http://www.pittsburgh.va.gov/services/HOPTEL-PROGRAM.ASP")</f>
        <v>http://www.pittsburgh.va.gov/services/HOPTEL-PROGRAM.ASP</v>
      </c>
      <c r="E3567" s="8" t="s">
        <v>392</v>
      </c>
    </row>
    <row r="3568" ht="14.25" hidden="1" customHeight="1">
      <c r="A3568" s="116" t="s">
        <v>2928</v>
      </c>
      <c r="B3568" s="8" t="s">
        <v>3080</v>
      </c>
      <c r="D3568" s="121" t="str">
        <f>HYPERLINK("http://www.pittsburgh.va.gov/services/INTIMATE-PARTNER-VIOLENCE.ASP")</f>
        <v>http://www.pittsburgh.va.gov/services/INTIMATE-PARTNER-VIOLENCE.ASP</v>
      </c>
      <c r="E3568" s="8" t="s">
        <v>392</v>
      </c>
    </row>
    <row r="3569" ht="14.25" hidden="1" customHeight="1">
      <c r="A3569" s="116" t="s">
        <v>2928</v>
      </c>
      <c r="B3569" s="8" t="s">
        <v>3820</v>
      </c>
      <c r="D3569" s="121" t="str">
        <f>HYPERLINK("http://www.pittsburgh.va.gov/services/DIALYSIS/INDEX.ASP")</f>
        <v>http://www.pittsburgh.va.gov/services/DIALYSIS/INDEX.ASP</v>
      </c>
      <c r="E3569" s="8" t="s">
        <v>392</v>
      </c>
    </row>
    <row r="3570" ht="14.25" hidden="1" customHeight="1">
      <c r="A3570" s="116" t="s">
        <v>2928</v>
      </c>
      <c r="B3570" s="8" t="s">
        <v>3821</v>
      </c>
      <c r="D3570" s="121" t="str">
        <f>HYPERLINK("http://www.pittsburgh.va.gov/services/LIBRARY_SERVICES.ASP")</f>
        <v>http://www.pittsburgh.va.gov/services/LIBRARY_SERVICES.ASP</v>
      </c>
      <c r="E3570" s="8" t="s">
        <v>392</v>
      </c>
    </row>
    <row r="3571" ht="14.25" hidden="1" customHeight="1">
      <c r="A3571" s="116" t="s">
        <v>2928</v>
      </c>
      <c r="B3571" s="8" t="s">
        <v>3822</v>
      </c>
      <c r="D3571" s="121" t="str">
        <f>HYPERLINK("http://www.pittsburgh.va.gov/services/HOPTEL-PROGRAM.ASP")</f>
        <v>http://www.pittsburgh.va.gov/services/HOPTEL-PROGRAM.ASP</v>
      </c>
      <c r="E3571" s="8" t="s">
        <v>595</v>
      </c>
    </row>
    <row r="3572" ht="14.25" hidden="1" customHeight="1">
      <c r="A3572" s="116" t="s">
        <v>2928</v>
      </c>
      <c r="B3572" s="8" t="s">
        <v>598</v>
      </c>
      <c r="D3572" s="121" t="str">
        <f>HYPERLINK("http://www.pittsburgh.va.gov/services/MOVE.ASP")</f>
        <v>http://www.pittsburgh.va.gov/services/MOVE.ASP</v>
      </c>
      <c r="E3572" s="8" t="s">
        <v>392</v>
      </c>
    </row>
    <row r="3573" ht="14.25" hidden="1" customHeight="1">
      <c r="A3573" s="116" t="s">
        <v>2928</v>
      </c>
      <c r="B3573" s="8" t="s">
        <v>3823</v>
      </c>
      <c r="D3573" s="121" t="str">
        <f>HYPERLINK("http://www.pittsburgh.va.gov/services/PUBLIC-AFFAIRS.ASP")</f>
        <v>http://www.pittsburgh.va.gov/services/PUBLIC-AFFAIRS.ASP</v>
      </c>
      <c r="E3573" s="8" t="s">
        <v>595</v>
      </c>
    </row>
    <row r="3574" ht="14.25" hidden="1" customHeight="1">
      <c r="A3574" s="116" t="s">
        <v>2928</v>
      </c>
      <c r="B3574" s="8" t="s">
        <v>323</v>
      </c>
      <c r="D3574" s="121" t="str">
        <f>HYPERLINK("http://www.pittsburgh.va.gov/services/BEHAVIORAL-HEALTH.ASP")</f>
        <v>http://www.pittsburgh.va.gov/services/BEHAVIORAL-HEALTH.ASP</v>
      </c>
      <c r="E3574" s="8" t="s">
        <v>392</v>
      </c>
    </row>
    <row r="3575" ht="14.25" hidden="1" customHeight="1">
      <c r="A3575" s="116" t="s">
        <v>2928</v>
      </c>
      <c r="B3575" s="8" t="s">
        <v>3824</v>
      </c>
      <c r="D3575" s="121" t="str">
        <f>HYPERLINK("http://www.pittsburgh.va.gov/services/BENEFICIARY-TRAVEL.ASP")</f>
        <v>http://www.pittsburgh.va.gov/services/BENEFICIARY-TRAVEL.ASP</v>
      </c>
      <c r="E3575" s="8" t="s">
        <v>595</v>
      </c>
    </row>
    <row r="3576" ht="14.25" hidden="1" customHeight="1">
      <c r="A3576" s="116" t="s">
        <v>2928</v>
      </c>
      <c r="B3576" s="8" t="s">
        <v>326</v>
      </c>
      <c r="D3576" s="121" t="str">
        <f>HYPERLINK("http://www.pittsburgh.va.gov/services/MINORITY-VETERANS.ASP")</f>
        <v>http://www.pittsburgh.va.gov/services/MINORITY-VETERANS.ASP</v>
      </c>
      <c r="E3576" s="8" t="s">
        <v>392</v>
      </c>
    </row>
    <row r="3577" ht="14.25" hidden="1" customHeight="1">
      <c r="A3577" s="116" t="s">
        <v>2928</v>
      </c>
      <c r="B3577" s="8" t="s">
        <v>494</v>
      </c>
      <c r="D3577" s="121" t="str">
        <f>HYPERLINK("http://www.pittsburgh.va.gov/services/MYHEALTHEVET.ASP")</f>
        <v>http://www.pittsburgh.va.gov/services/MYHEALTHEVET.ASP</v>
      </c>
      <c r="E3577" s="8" t="s">
        <v>392</v>
      </c>
    </row>
    <row r="3578" ht="14.25" hidden="1" customHeight="1">
      <c r="A3578" s="116" t="s">
        <v>2928</v>
      </c>
      <c r="B3578" s="8" t="s">
        <v>671</v>
      </c>
      <c r="D3578" s="121" t="str">
        <f>HYPERLINK("http://www.pittsburgh.va.gov/services/VETERANS-CRISIS-LINE.ASP")</f>
        <v>http://www.pittsburgh.va.gov/services/VETERANS-CRISIS-LINE.ASP</v>
      </c>
      <c r="E3578" s="8" t="s">
        <v>595</v>
      </c>
    </row>
    <row r="3579" ht="14.25" hidden="1" customHeight="1">
      <c r="A3579" s="116" t="s">
        <v>2928</v>
      </c>
      <c r="B3579" s="8" t="s">
        <v>653</v>
      </c>
      <c r="D3579" s="121" t="str">
        <f>HYPERLINK("http://www.pittsburgh.va.gov/services/DIALYSIS/INDEX.ASP")</f>
        <v>http://www.pittsburgh.va.gov/services/DIALYSIS/INDEX.ASP</v>
      </c>
      <c r="E3579" s="8" t="s">
        <v>595</v>
      </c>
    </row>
    <row r="3580" ht="14.25" hidden="1" customHeight="1">
      <c r="A3580" s="116" t="s">
        <v>2928</v>
      </c>
      <c r="B3580" s="8" t="s">
        <v>1310</v>
      </c>
      <c r="D3580" s="121" t="str">
        <f>HYPERLINK("http://www.pittsburgh.va.gov/services/NUTRITION-SERVICES.ASP")</f>
        <v>http://www.pittsburgh.va.gov/services/NUTRITION-SERVICES.ASP</v>
      </c>
      <c r="E3580" s="8" t="s">
        <v>392</v>
      </c>
    </row>
    <row r="3581" ht="14.25" hidden="1" customHeight="1">
      <c r="A3581" s="116" t="s">
        <v>2928</v>
      </c>
      <c r="B3581" s="8" t="s">
        <v>314</v>
      </c>
      <c r="D3581" s="121" t="str">
        <f>HYPERLINK("http://www.pittsburgh.va.gov/services/PATHOLOGY_AND_LABORATORY_MEDICINE.ASP")</f>
        <v>http://www.pittsburgh.va.gov/services/PATHOLOGY_AND_LABORATORY_MEDICINE.ASP</v>
      </c>
      <c r="E3581" s="8" t="s">
        <v>392</v>
      </c>
    </row>
    <row r="3582" ht="14.25" hidden="1" customHeight="1">
      <c r="A3582" s="116" t="s">
        <v>2928</v>
      </c>
      <c r="B3582" s="8" t="s">
        <v>3825</v>
      </c>
      <c r="D3582" s="121" t="str">
        <f>HYPERLINK("http://www.pittsburgh.va.gov/services/PHARMACY.ASP")</f>
        <v>http://www.pittsburgh.va.gov/services/PHARMACY.ASP</v>
      </c>
      <c r="E3582" s="8" t="s">
        <v>392</v>
      </c>
    </row>
    <row r="3583" ht="14.25" hidden="1" customHeight="1">
      <c r="A3583" s="116" t="s">
        <v>2928</v>
      </c>
      <c r="B3583" s="8" t="s">
        <v>344</v>
      </c>
      <c r="D3583" s="121" t="str">
        <f>HYPERLINK("http://www.pittsburgh.va.gov/services/REHAB/INDEX.ASP")</f>
        <v>http://www.pittsburgh.va.gov/services/REHAB/INDEX.ASP</v>
      </c>
      <c r="E3583" s="8" t="s">
        <v>392</v>
      </c>
    </row>
    <row r="3584" ht="14.25" hidden="1" customHeight="1">
      <c r="A3584" s="116" t="s">
        <v>2928</v>
      </c>
      <c r="B3584" s="8" t="s">
        <v>3826</v>
      </c>
      <c r="D3584" s="121" t="str">
        <f>HYPERLINK("http://www.pittsburgh.va.gov/services/VET-CENTERS.ASP")</f>
        <v>http://www.pittsburgh.va.gov/services/VET-CENTERS.ASP</v>
      </c>
      <c r="E3584" s="8" t="s">
        <v>595</v>
      </c>
    </row>
    <row r="3585" ht="14.25" hidden="1" customHeight="1">
      <c r="A3585" s="116" t="s">
        <v>2928</v>
      </c>
      <c r="B3585" s="8" t="s">
        <v>450</v>
      </c>
      <c r="D3585" s="121" t="str">
        <f>HYPERLINK("http://www.pittsburgh.va.gov/services/PODIATRY.ASP")</f>
        <v>http://www.pittsburgh.va.gov/services/PODIATRY.ASP</v>
      </c>
      <c r="E3585" s="8" t="s">
        <v>392</v>
      </c>
    </row>
    <row r="3586" ht="14.25" hidden="1" customHeight="1">
      <c r="A3586" s="116" t="s">
        <v>2928</v>
      </c>
      <c r="B3586" s="8" t="s">
        <v>348</v>
      </c>
      <c r="D3586" s="121" t="str">
        <f>HYPERLINK("http://www.pittsburgh.va.gov/services/PRIMARY_CARE.ASP")</f>
        <v>http://www.pittsburgh.va.gov/services/PRIMARY_CARE.ASP</v>
      </c>
      <c r="E3586" s="8" t="s">
        <v>392</v>
      </c>
    </row>
    <row r="3587" ht="14.25" hidden="1" customHeight="1">
      <c r="A3587" s="116" t="s">
        <v>2928</v>
      </c>
      <c r="B3587" s="8" t="s">
        <v>963</v>
      </c>
      <c r="D3587" s="121" t="str">
        <f>HYPERLINK("http://www.pittsburgh.va.gov/services/PRIVACY.ASP")</f>
        <v>http://www.pittsburgh.va.gov/services/PRIVACY.ASP</v>
      </c>
      <c r="E3587" s="8" t="s">
        <v>392</v>
      </c>
    </row>
    <row r="3588" ht="14.25" hidden="1" customHeight="1">
      <c r="A3588" s="116" t="s">
        <v>2928</v>
      </c>
      <c r="B3588" s="8" t="s">
        <v>353</v>
      </c>
      <c r="D3588" s="121" t="str">
        <f>HYPERLINK("http://www.pittsburgh.va.gov/services/PROSTHETICS.ASP")</f>
        <v>http://www.pittsburgh.va.gov/services/PROSTHETICS.ASP</v>
      </c>
      <c r="E3588" s="8" t="s">
        <v>392</v>
      </c>
    </row>
    <row r="3589" ht="14.25" hidden="1" customHeight="1">
      <c r="A3589" s="116" t="s">
        <v>2928</v>
      </c>
      <c r="B3589" s="8" t="s">
        <v>684</v>
      </c>
      <c r="D3589" s="121" t="str">
        <f>HYPERLINK("http://www.pittsburgh.va.gov/services/PUBLIC-AFFAIRS.ASP")</f>
        <v>http://www.pittsburgh.va.gov/services/PUBLIC-AFFAIRS.ASP</v>
      </c>
      <c r="E3589" s="8" t="s">
        <v>392</v>
      </c>
    </row>
    <row r="3590" ht="14.25" hidden="1" customHeight="1">
      <c r="A3590" s="116" t="s">
        <v>2928</v>
      </c>
      <c r="B3590" s="8" t="s">
        <v>3827</v>
      </c>
      <c r="D3590" s="121" t="str">
        <f>HYPERLINK("http://www.pittsburgh.va.gov/services/RECREATION.ASP")</f>
        <v>http://www.pittsburgh.va.gov/services/RECREATION.ASP</v>
      </c>
      <c r="E3590" s="8" t="s">
        <v>392</v>
      </c>
    </row>
    <row r="3591" ht="14.25" hidden="1" customHeight="1">
      <c r="A3591" s="116" t="s">
        <v>2928</v>
      </c>
      <c r="B3591" s="8" t="s">
        <v>708</v>
      </c>
      <c r="D3591" s="121" t="str">
        <f>HYPERLINK("http://www.pittsburgh.va.gov/services/RELEASE-OF-INFORMATION.ASP")</f>
        <v>http://www.pittsburgh.va.gov/services/RELEASE-OF-INFORMATION.ASP</v>
      </c>
      <c r="E3591" s="8" t="s">
        <v>392</v>
      </c>
    </row>
    <row r="3592" ht="14.25" hidden="1" customHeight="1">
      <c r="A3592" s="116" t="s">
        <v>2928</v>
      </c>
      <c r="B3592" s="8" t="s">
        <v>3828</v>
      </c>
      <c r="D3592" s="121" t="str">
        <f>HYPERLINK("http://www.pittsburgh.va.gov/services/DIALYSIS/INDEX.ASP")</f>
        <v>http://www.pittsburgh.va.gov/services/DIALYSIS/INDEX.ASP</v>
      </c>
      <c r="E3592" s="8" t="s">
        <v>595</v>
      </c>
    </row>
    <row r="3593" ht="14.25" hidden="1" customHeight="1">
      <c r="A3593" s="116" t="s">
        <v>2928</v>
      </c>
      <c r="B3593" s="8" t="s">
        <v>349</v>
      </c>
      <c r="D3593" s="121" t="str">
        <f>HYPERLINK("http://www.pittsburgh.va.gov/services/RESPIRATORY_THERAPY.ASP")</f>
        <v>http://www.pittsburgh.va.gov/services/RESPIRATORY_THERAPY.ASP</v>
      </c>
      <c r="E3593" s="8" t="s">
        <v>392</v>
      </c>
    </row>
    <row r="3594" ht="14.25" hidden="1" customHeight="1">
      <c r="A3594" s="116" t="s">
        <v>2928</v>
      </c>
      <c r="B3594" s="8" t="s">
        <v>355</v>
      </c>
      <c r="D3594" s="121" t="str">
        <f>HYPERLINK("http://www.pittsburgh.va.gov/services/RETURNING-SERVICE-MEMBERS.ASP")</f>
        <v>http://www.pittsburgh.va.gov/services/RETURNING-SERVICE-MEMBERS.ASP</v>
      </c>
      <c r="E3594" s="8" t="s">
        <v>392</v>
      </c>
    </row>
    <row r="3595" ht="14.25" hidden="1" customHeight="1">
      <c r="A3595" s="116" t="s">
        <v>2928</v>
      </c>
      <c r="B3595" s="8" t="s">
        <v>1210</v>
      </c>
      <c r="D3595" s="121" t="str">
        <f>HYPERLINK("http://www.pittsburgh.va.gov/services/TOBACCO-CESSATION.ASP")</f>
        <v>http://www.pittsburgh.va.gov/services/TOBACCO-CESSATION.ASP</v>
      </c>
      <c r="E3595" s="8" t="s">
        <v>595</v>
      </c>
    </row>
    <row r="3596" ht="14.25" hidden="1" customHeight="1">
      <c r="A3596" s="116" t="s">
        <v>2928</v>
      </c>
      <c r="B3596" s="8" t="s">
        <v>3829</v>
      </c>
      <c r="D3596" s="121" t="str">
        <f>HYPERLINK("http://www.pittsburgh.va.gov/services/ENVIRONMENTAL-HEALTH-REGISTRY.ASP")</f>
        <v>http://www.pittsburgh.va.gov/services/ENVIRONMENTAL-HEALTH-REGISTRY.ASP</v>
      </c>
      <c r="E3596" s="8" t="s">
        <v>392</v>
      </c>
    </row>
    <row r="3597" ht="14.25" hidden="1" customHeight="1">
      <c r="A3597" s="116" t="s">
        <v>2928</v>
      </c>
      <c r="B3597" s="8" t="s">
        <v>804</v>
      </c>
      <c r="D3597" s="121" t="str">
        <f>HYPERLINK("http://www.pittsburgh.va.gov/services/SPEECH_PATHOLOGY.ASP")</f>
        <v>http://www.pittsburgh.va.gov/services/SPEECH_PATHOLOGY.ASP</v>
      </c>
      <c r="E3597" s="8" t="s">
        <v>392</v>
      </c>
    </row>
    <row r="3598" ht="14.25" hidden="1" customHeight="1">
      <c r="A3598" s="116" t="s">
        <v>2928</v>
      </c>
      <c r="B3598" s="8" t="s">
        <v>364</v>
      </c>
      <c r="D3598" s="121" t="str">
        <f>HYPERLINK("http://www.pittsburgh.va.gov/services/SPINAL_CORD_INJURY.ASP")</f>
        <v>http://www.pittsburgh.va.gov/services/SPINAL_CORD_INJURY.ASP</v>
      </c>
      <c r="E3598" s="8" t="s">
        <v>392</v>
      </c>
    </row>
    <row r="3599" ht="14.25" hidden="1" customHeight="1">
      <c r="A3599" s="116" t="s">
        <v>2928</v>
      </c>
      <c r="B3599" s="8" t="s">
        <v>3830</v>
      </c>
      <c r="D3599" s="121" t="str">
        <f>HYPERLINK("http://www.pittsburgh.va.gov/services/CRITICAL-CARE.ASP")</f>
        <v>http://www.pittsburgh.va.gov/services/CRITICAL-CARE.ASP</v>
      </c>
      <c r="E3599" s="8" t="s">
        <v>595</v>
      </c>
    </row>
    <row r="3600" ht="14.25" hidden="1" customHeight="1">
      <c r="A3600" s="116" t="s">
        <v>2928</v>
      </c>
      <c r="B3600" s="8" t="s">
        <v>3831</v>
      </c>
      <c r="D3600" s="121" t="str">
        <f>HYPERLINK("http://www.pittsburgh.va.gov/services/SUBSTANCE_ABUSE_TREATMENT_TEAM_AND_OPIOID_RENEWAL_CLINIC.ASP")</f>
        <v>http://www.pittsburgh.va.gov/services/SUBSTANCE_ABUSE_TREATMENT_TEAM_AND_OPIOID_RENEWAL_CLINIC.ASP</v>
      </c>
      <c r="E3600" s="8" t="s">
        <v>392</v>
      </c>
    </row>
    <row r="3601" ht="14.25" hidden="1" customHeight="1">
      <c r="A3601" s="116" t="s">
        <v>2928</v>
      </c>
      <c r="B3601" s="8" t="s">
        <v>564</v>
      </c>
      <c r="D3601" s="121" t="str">
        <f>HYPERLINK("http://www.pittsburgh.va.gov/services/SUICIDE-PREVENTION.ASP")</f>
        <v>http://www.pittsburgh.va.gov/services/SUICIDE-PREVENTION.ASP</v>
      </c>
      <c r="E3601" s="8" t="s">
        <v>392</v>
      </c>
    </row>
    <row r="3602" ht="14.25" hidden="1" customHeight="1">
      <c r="A3602" s="116" t="s">
        <v>2928</v>
      </c>
      <c r="B3602" s="8" t="s">
        <v>2934</v>
      </c>
      <c r="D3602" s="121" t="str">
        <f>HYPERLINK("http://www.pittsburgh.va.gov/services/VETERANS-CRISIS-LINE.ASP")</f>
        <v>http://www.pittsburgh.va.gov/services/VETERANS-CRISIS-LINE.ASP</v>
      </c>
      <c r="E3602" s="8" t="s">
        <v>595</v>
      </c>
    </row>
    <row r="3603" ht="14.25" hidden="1" customHeight="1">
      <c r="A3603" s="116" t="s">
        <v>2928</v>
      </c>
      <c r="B3603" s="8" t="s">
        <v>1520</v>
      </c>
      <c r="D3603" s="121" t="str">
        <f>HYPERLINK("http://www.pittsburgh.va.gov/services/SURGERY/INDEX.ASP")</f>
        <v>http://www.pittsburgh.va.gov/services/SURGERY/INDEX.ASP</v>
      </c>
      <c r="E3603" s="8" t="s">
        <v>392</v>
      </c>
    </row>
    <row r="3604" ht="14.25" hidden="1" customHeight="1">
      <c r="A3604" s="116" t="s">
        <v>2928</v>
      </c>
      <c r="B3604" s="8" t="s">
        <v>370</v>
      </c>
      <c r="D3604" s="121" t="str">
        <f>HYPERLINK("http://www.pittsburgh.va.gov/services/TELEHEALTH.ASP")</f>
        <v>http://www.pittsburgh.va.gov/services/TELEHEALTH.ASP</v>
      </c>
      <c r="E3604" s="8" t="s">
        <v>392</v>
      </c>
    </row>
    <row r="3605" ht="14.25" hidden="1" customHeight="1">
      <c r="A3605" s="116" t="s">
        <v>2928</v>
      </c>
      <c r="B3605" s="8" t="s">
        <v>735</v>
      </c>
      <c r="D3605" s="121" t="str">
        <f>HYPERLINK("http://www.pittsburgh.va.gov/services/TOBACCO-CESSATION.ASP")</f>
        <v>http://www.pittsburgh.va.gov/services/TOBACCO-CESSATION.ASP</v>
      </c>
      <c r="E3605" s="8" t="s">
        <v>392</v>
      </c>
    </row>
    <row r="3606" ht="14.25" hidden="1" customHeight="1">
      <c r="A3606" s="116" t="s">
        <v>2928</v>
      </c>
      <c r="B3606" s="8" t="s">
        <v>1202</v>
      </c>
      <c r="D3606" s="121" t="str">
        <f>HYPERLINK("http://www.pittsburgh.va.gov/services/TRANSITION-CARE.ASP")</f>
        <v>http://www.pittsburgh.va.gov/services/TRANSITION-CARE.ASP</v>
      </c>
      <c r="E3606" s="8" t="s">
        <v>392</v>
      </c>
    </row>
    <row r="3607" ht="14.25" hidden="1" customHeight="1">
      <c r="A3607" s="116" t="s">
        <v>2928</v>
      </c>
      <c r="B3607" s="8" t="s">
        <v>501</v>
      </c>
      <c r="D3607" s="121" t="str">
        <f>HYPERLINK("http://www.pittsburgh.va.gov/services/VET-CENTERS.ASP")</f>
        <v>http://www.pittsburgh.va.gov/services/VET-CENTERS.ASP</v>
      </c>
      <c r="E3607" s="8" t="s">
        <v>392</v>
      </c>
    </row>
    <row r="3608" ht="14.25" hidden="1" customHeight="1">
      <c r="A3608" s="116" t="s">
        <v>2928</v>
      </c>
      <c r="B3608" s="8" t="s">
        <v>569</v>
      </c>
      <c r="D3608" s="121" t="str">
        <f>HYPERLINK("http://www.pittsburgh.va.gov/services/VETERANS-CRISIS-LINE.ASP")</f>
        <v>http://www.pittsburgh.va.gov/services/VETERANS-CRISIS-LINE.ASP</v>
      </c>
      <c r="E3608" s="8" t="s">
        <v>392</v>
      </c>
    </row>
    <row r="3609" ht="14.25" hidden="1" customHeight="1">
      <c r="A3609" s="116" t="s">
        <v>2928</v>
      </c>
      <c r="B3609" s="8" t="s">
        <v>2664</v>
      </c>
      <c r="D3609" s="121" t="str">
        <f>HYPERLINK("http://www.pittsburgh.va.gov/services/WHEELCHAIR-SEATING-POWERMOBILITY-CLINIC.ASP")</f>
        <v>http://www.pittsburgh.va.gov/services/WHEELCHAIR-SEATING-POWERMOBILITY-CLINIC.ASP</v>
      </c>
      <c r="E3609" s="8" t="s">
        <v>392</v>
      </c>
    </row>
    <row r="3610" ht="14.25" hidden="1" customHeight="1">
      <c r="A3610" s="116" t="s">
        <v>2928</v>
      </c>
      <c r="B3610" s="8" t="s">
        <v>3832</v>
      </c>
      <c r="D3610" s="121" t="str">
        <f t="shared" ref="D3610:D3611" si="38">HYPERLINK("http://www.pittsburgh.va.gov/services/VET-CENTERS.ASP")</f>
        <v>http://www.pittsburgh.va.gov/services/VET-CENTERS.ASP</v>
      </c>
      <c r="E3610" s="8" t="s">
        <v>595</v>
      </c>
    </row>
    <row r="3611" ht="14.25" hidden="1" customHeight="1">
      <c r="A3611" s="116" t="s">
        <v>2928</v>
      </c>
      <c r="B3611" s="8" t="s">
        <v>3833</v>
      </c>
      <c r="D3611" s="121" t="str">
        <f t="shared" si="38"/>
        <v>http://www.pittsburgh.va.gov/services/VET-CENTERS.ASP</v>
      </c>
      <c r="E3611" s="8" t="s">
        <v>595</v>
      </c>
    </row>
    <row r="3612" ht="14.25" hidden="1" customHeight="1">
      <c r="A3612" s="116" t="s">
        <v>2928</v>
      </c>
      <c r="B3612" s="8" t="s">
        <v>1413</v>
      </c>
      <c r="D3612" s="121" t="str">
        <f>HYPERLINK("http://www.pittsburgh.va.gov/services/WOMENS-HEALTH.ASP")</f>
        <v>http://www.pittsburgh.va.gov/services/WOMENS-HEALTH.ASP</v>
      </c>
      <c r="E3612" s="8" t="s">
        <v>392</v>
      </c>
    </row>
    <row r="3613" ht="14.25" hidden="1" customHeight="1">
      <c r="A3613" s="8" t="s">
        <v>2937</v>
      </c>
      <c r="B3613" s="8" t="s">
        <v>3834</v>
      </c>
      <c r="D3613" s="121" t="str">
        <f>HYPERLINK("http://www.poplarbluff.va.gov/services/COMMUNITY_LIVING_CENTER.ASP")</f>
        <v>http://www.poplarbluff.va.gov/services/COMMUNITY_LIVING_CENTER.ASP</v>
      </c>
      <c r="E3613" s="8" t="s">
        <v>392</v>
      </c>
    </row>
    <row r="3614" ht="14.25" hidden="1" customHeight="1">
      <c r="A3614" s="8" t="s">
        <v>2937</v>
      </c>
      <c r="B3614" s="8" t="s">
        <v>3835</v>
      </c>
      <c r="D3614" s="121" t="str">
        <f>HYPERLINK("http://www.poplarbluff.va.gov/services/COMPLIANCE_BUSINESS_INTEGRITY.ASP")</f>
        <v>http://www.poplarbluff.va.gov/services/COMPLIANCE_BUSINESS_INTEGRITY.ASP</v>
      </c>
      <c r="E3614" s="8" t="s">
        <v>392</v>
      </c>
    </row>
    <row r="3615" ht="14.25" hidden="1" customHeight="1">
      <c r="A3615" s="8" t="s">
        <v>2937</v>
      </c>
      <c r="B3615" s="8" t="s">
        <v>1304</v>
      </c>
      <c r="D3615" s="121" t="str">
        <f>HYPERLINK("http://www.poplarbluff.va.gov/services/EQUAL_EMPLOYMENT_OPPORTUNITY.ASP")</f>
        <v>http://www.poplarbluff.va.gov/services/EQUAL_EMPLOYMENT_OPPORTUNITY.ASP</v>
      </c>
      <c r="E3615" s="8" t="s">
        <v>392</v>
      </c>
    </row>
    <row r="3616" ht="14.25" hidden="1" customHeight="1">
      <c r="A3616" s="8" t="s">
        <v>2937</v>
      </c>
      <c r="B3616" s="8" t="s">
        <v>323</v>
      </c>
      <c r="D3616" s="121" t="str">
        <f>HYPERLINK("http://www.poplarbluff.va.gov/services/MENTALHEALTH.ASP")</f>
        <v>http://www.poplarbluff.va.gov/services/MENTALHEALTH.ASP</v>
      </c>
      <c r="E3616" s="8" t="s">
        <v>392</v>
      </c>
    </row>
    <row r="3617" ht="14.25" hidden="1" customHeight="1">
      <c r="A3617" s="8" t="s">
        <v>2937</v>
      </c>
      <c r="B3617" s="8" t="s">
        <v>343</v>
      </c>
      <c r="D3617" s="121" t="str">
        <f>HYPERLINK("http://www.poplarbluff.va.gov/services/PHARMACY.ASP")</f>
        <v>http://www.poplarbluff.va.gov/services/PHARMACY.ASP</v>
      </c>
      <c r="E3617" s="8" t="s">
        <v>392</v>
      </c>
    </row>
    <row r="3618" ht="14.25" hidden="1" customHeight="1">
      <c r="A3618" s="8" t="s">
        <v>2937</v>
      </c>
      <c r="B3618" s="8" t="s">
        <v>348</v>
      </c>
      <c r="D3618" s="121" t="str">
        <f>HYPERLINK("http://www.poplarbluff.va.gov/services/PRIMARY.ASP")</f>
        <v>http://www.poplarbluff.va.gov/services/PRIMARY.ASP</v>
      </c>
      <c r="E3618" s="8" t="s">
        <v>392</v>
      </c>
    </row>
    <row r="3619" ht="14.25" hidden="1" customHeight="1">
      <c r="A3619" s="8" t="s">
        <v>2937</v>
      </c>
      <c r="B3619" s="8" t="s">
        <v>360</v>
      </c>
      <c r="D3619" s="121" t="str">
        <f>HYPERLINK("http://www.poplarbluff.va.gov/services/SOCIALWORK.ASP")</f>
        <v>http://www.poplarbluff.va.gov/services/SOCIALWORK.ASP</v>
      </c>
      <c r="E3619" s="8" t="s">
        <v>392</v>
      </c>
    </row>
    <row r="3620" ht="14.25" hidden="1" customHeight="1">
      <c r="A3620" s="8" t="s">
        <v>2937</v>
      </c>
      <c r="B3620" s="8" t="s">
        <v>363</v>
      </c>
      <c r="D3620" s="121" t="str">
        <f>HYPERLINK("http://www.poplarbluff.va.gov/services/SPECIALTY.ASP")</f>
        <v>http://www.poplarbluff.va.gov/services/SPECIALTY.ASP</v>
      </c>
      <c r="E3620" s="8" t="s">
        <v>392</v>
      </c>
    </row>
    <row r="3621" ht="14.25" hidden="1" customHeight="1">
      <c r="A3621" s="8" t="s">
        <v>2958</v>
      </c>
      <c r="B3621" s="8" t="s">
        <v>1383</v>
      </c>
      <c r="D3621" s="121" t="str">
        <f>HYPERLINK("http://www.portland.va.gov/services/AMPUTEE_CLINIC.ASP")</f>
        <v>http://www.portland.va.gov/services/AMPUTEE_CLINIC.ASP</v>
      </c>
      <c r="E3621" s="8" t="s">
        <v>392</v>
      </c>
    </row>
    <row r="3622" ht="14.25" hidden="1" customHeight="1">
      <c r="A3622" s="8" t="s">
        <v>2958</v>
      </c>
      <c r="B3622" s="8" t="s">
        <v>3836</v>
      </c>
      <c r="D3622" s="121" t="str">
        <f>HYPERLINK("http://www.portland.va.gov/services/AUDIOLOGY_SPEECH_PATHOLOGY.ASP")</f>
        <v>http://www.portland.va.gov/services/AUDIOLOGY_SPEECH_PATHOLOGY.ASP</v>
      </c>
      <c r="E3622" s="8" t="s">
        <v>392</v>
      </c>
    </row>
    <row r="3623" ht="14.25" hidden="1" customHeight="1">
      <c r="A3623" s="8" t="s">
        <v>2958</v>
      </c>
      <c r="B3623" s="8" t="s">
        <v>636</v>
      </c>
      <c r="D3623" s="121" t="str">
        <f>HYPERLINK("http://www.portland.va.gov/services/VETERANS_TRANSPORTATION_PROGRAM.ASP")</f>
        <v>http://www.portland.va.gov/services/VETERANS_TRANSPORTATION_PROGRAM.ASP</v>
      </c>
      <c r="E3623" s="8" t="s">
        <v>595</v>
      </c>
    </row>
    <row r="3624" ht="14.25" hidden="1" customHeight="1">
      <c r="A3624" s="8" t="s">
        <v>2958</v>
      </c>
      <c r="B3624" s="8" t="s">
        <v>3837</v>
      </c>
      <c r="D3624" s="121" t="str">
        <f>HYPERLINK("http://www.portland.va.gov/services/CANCER_CARE_NAVIGATION_TEAM.ASP")</f>
        <v>http://www.portland.va.gov/services/CANCER_CARE_NAVIGATION_TEAM.ASP</v>
      </c>
      <c r="E3624" s="8" t="s">
        <v>392</v>
      </c>
    </row>
    <row r="3625" ht="14.25" hidden="1" customHeight="1">
      <c r="A3625" s="8" t="s">
        <v>2958</v>
      </c>
      <c r="B3625" s="8" t="s">
        <v>3838</v>
      </c>
      <c r="D3625" s="121" t="str">
        <f>HYPERLINK("http://www.portland.va.gov/services/CANCER_CARE_SERVICES.ASP")</f>
        <v>http://www.portland.va.gov/services/CANCER_CARE_SERVICES.ASP</v>
      </c>
      <c r="E3625" s="8" t="s">
        <v>392</v>
      </c>
    </row>
    <row r="3626" ht="14.25" hidden="1" customHeight="1">
      <c r="A3626" s="8" t="s">
        <v>2958</v>
      </c>
      <c r="B3626" s="8" t="s">
        <v>3839</v>
      </c>
      <c r="D3626" s="121" t="str">
        <f>HYPERLINK("http://www.portland.va.gov/services/WOMEN_VETERANS.ASP")</f>
        <v>http://www.portland.va.gov/services/WOMEN_VETERANS.ASP</v>
      </c>
      <c r="E3626" s="8" t="s">
        <v>595</v>
      </c>
    </row>
    <row r="3627" ht="14.25" hidden="1" customHeight="1">
      <c r="A3627" s="8" t="s">
        <v>2958</v>
      </c>
      <c r="B3627" s="8" t="s">
        <v>3840</v>
      </c>
      <c r="D3627" s="121" t="str">
        <f>HYPERLINK("http://www.portland.va.gov/services/CHAPLAIN_SERVICE_AND_CHAPEL.ASP")</f>
        <v>http://www.portland.va.gov/services/CHAPLAIN_SERVICE_AND_CHAPEL.ASP</v>
      </c>
      <c r="E3627" s="8" t="s">
        <v>392</v>
      </c>
    </row>
    <row r="3628" ht="14.25" hidden="1" customHeight="1">
      <c r="A3628" s="8" t="s">
        <v>2958</v>
      </c>
      <c r="B3628" s="8" t="s">
        <v>304</v>
      </c>
      <c r="D3628" s="121" t="str">
        <f>HYPERLINK("http://www.portland.va.gov/services/DENTAL.ASP")</f>
        <v>http://www.portland.va.gov/services/DENTAL.ASP</v>
      </c>
      <c r="E3628" s="8" t="s">
        <v>392</v>
      </c>
    </row>
    <row r="3629" ht="14.25" hidden="1" customHeight="1">
      <c r="A3629" s="8" t="s">
        <v>2958</v>
      </c>
      <c r="B3629" s="8" t="s">
        <v>3841</v>
      </c>
      <c r="D3629" s="121" t="str">
        <f>HYPERLINK("http://www.portland.va.gov/services/DIETITIAN.ASP")</f>
        <v>http://www.portland.va.gov/services/DIETITIAN.ASP</v>
      </c>
      <c r="E3629" s="8" t="s">
        <v>392</v>
      </c>
    </row>
    <row r="3630" ht="14.25" hidden="1" customHeight="1">
      <c r="A3630" s="8" t="s">
        <v>2958</v>
      </c>
      <c r="B3630" s="8" t="s">
        <v>3842</v>
      </c>
      <c r="D3630" s="121" t="str">
        <f>HYPERLINK("http://www.portland.va.gov/services/DOMESTIC_VIOLENCE_ASSISTANCE_KNOWN_AT_VA_AS_INTIMATE_PARTNER_VIOLENCE_ASSISTANCE_PROGRAM.ASP")</f>
        <v>http://www.portland.va.gov/services/DOMESTIC_VIOLENCE_ASSISTANCE_KNOWN_AT_VA_AS_INTIMATE_PARTNER_VIOLENCE_ASSISTANCE_PROGRAM.ASP</v>
      </c>
      <c r="E3630" s="8" t="s">
        <v>392</v>
      </c>
    </row>
    <row r="3631" ht="14.25" hidden="1" customHeight="1">
      <c r="A3631" s="8" t="s">
        <v>2958</v>
      </c>
      <c r="B3631" s="8" t="s">
        <v>3843</v>
      </c>
      <c r="D3631" s="121" t="str">
        <f>HYPERLINK("http://www.portland.va.gov/services/ELIGIBILITY_HOTLINE.ASP")</f>
        <v>http://www.portland.va.gov/services/ELIGIBILITY_HOTLINE.ASP</v>
      </c>
      <c r="E3631" s="8" t="s">
        <v>392</v>
      </c>
    </row>
    <row r="3632" ht="14.25" hidden="1" customHeight="1">
      <c r="A3632" s="8" t="s">
        <v>2958</v>
      </c>
      <c r="B3632" s="8" t="s">
        <v>1344</v>
      </c>
      <c r="D3632" s="121" t="str">
        <f>HYPERLINK("http://www.portland.va.gov/services/FISHER_HOUSE.ASP")</f>
        <v>http://www.portland.va.gov/services/FISHER_HOUSE.ASP</v>
      </c>
      <c r="E3632" s="8" t="s">
        <v>392</v>
      </c>
    </row>
    <row r="3633" ht="14.25" hidden="1" customHeight="1">
      <c r="A3633" s="8" t="s">
        <v>2958</v>
      </c>
      <c r="B3633" s="8" t="s">
        <v>3844</v>
      </c>
      <c r="D3633" s="121" t="str">
        <f>HYPERLINK("http://www.portland.va.gov/services/PSYCHOSOCIAL_REHABILITATION_AND_RECOVERY_CENTER.ASP")</f>
        <v>http://www.portland.va.gov/services/PSYCHOSOCIAL_REHABILITATION_AND_RECOVERY_CENTER.ASP</v>
      </c>
      <c r="E3633" s="8" t="s">
        <v>595</v>
      </c>
    </row>
    <row r="3634" ht="14.25" hidden="1" customHeight="1">
      <c r="A3634" s="8" t="s">
        <v>2958</v>
      </c>
      <c r="B3634" s="8" t="s">
        <v>3845</v>
      </c>
      <c r="D3634" s="121" t="str">
        <f>HYPERLINK("http://www.portland.va.gov/services/HOMELESS_VETERANS_SERVICES.ASP")</f>
        <v>http://www.portland.va.gov/services/HOMELESS_VETERANS_SERVICES.ASP</v>
      </c>
      <c r="E3634" s="8" t="s">
        <v>392</v>
      </c>
    </row>
    <row r="3635" ht="14.25" hidden="1" customHeight="1">
      <c r="A3635" s="8" t="s">
        <v>2958</v>
      </c>
      <c r="B3635" s="8" t="s">
        <v>3846</v>
      </c>
      <c r="D3635" s="121" t="str">
        <f>HYPERLINK("http://www.portland.va.gov/services/IVF_IN_VITRO_FERTILIZATION.ASP")</f>
        <v>http://www.portland.va.gov/services/IVF_IN_VITRO_FERTILIZATION.ASP</v>
      </c>
      <c r="E3635" s="8" t="s">
        <v>392</v>
      </c>
    </row>
    <row r="3636" ht="14.25" hidden="1" customHeight="1">
      <c r="A3636" s="8" t="s">
        <v>2958</v>
      </c>
      <c r="B3636" s="8" t="s">
        <v>3847</v>
      </c>
      <c r="D3636" s="121" t="str">
        <f>HYPERLINK("http://www.portland.va.gov/services/IMAGING_SERVICE.ASP")</f>
        <v>http://www.portland.va.gov/services/IMAGING_SERVICE.ASP</v>
      </c>
      <c r="E3636" s="8" t="s">
        <v>392</v>
      </c>
    </row>
    <row r="3637" ht="14.25" hidden="1" customHeight="1">
      <c r="A3637" s="8" t="s">
        <v>2958</v>
      </c>
      <c r="B3637" s="8" t="s">
        <v>3848</v>
      </c>
      <c r="D3637" s="121" t="str">
        <f>HYPERLINK("http://www.portland.va.gov/services/INPATIENT_AND_EMERGENCY_CARE_DIVISION.ASP")</f>
        <v>http://www.portland.va.gov/services/INPATIENT_AND_EMERGENCY_CARE_DIVISION.ASP</v>
      </c>
      <c r="E3637" s="8" t="s">
        <v>392</v>
      </c>
    </row>
    <row r="3638" ht="14.25" hidden="1" customHeight="1">
      <c r="A3638" s="8" t="s">
        <v>2958</v>
      </c>
      <c r="B3638" s="8" t="s">
        <v>3849</v>
      </c>
      <c r="D3638" s="121" t="str">
        <f>HYPERLINK("http://www.portland.va.gov/services/INTIMATE_PARTNER_VIOLENCE_ASSISTANCE_PROGRAM.ASP")</f>
        <v>http://www.portland.va.gov/services/INTIMATE_PARTNER_VIOLENCE_ASSISTANCE_PROGRAM.ASP</v>
      </c>
      <c r="E3638" s="8" t="s">
        <v>392</v>
      </c>
    </row>
    <row r="3639" ht="14.25" hidden="1" customHeight="1">
      <c r="A3639" s="8" t="s">
        <v>2958</v>
      </c>
      <c r="B3639" s="8" t="s">
        <v>2183</v>
      </c>
      <c r="D3639" s="121" t="str">
        <f>HYPERLINK("http://www.portland.va.gov/services/LESBIAN_GAY_BISEXUAL_AND_TRANSGENDER_VETERANS.ASP")</f>
        <v>http://www.portland.va.gov/services/LESBIAN_GAY_BISEXUAL_AND_TRANSGENDER_VETERANS.ASP</v>
      </c>
      <c r="E3639" s="8" t="s">
        <v>392</v>
      </c>
    </row>
    <row r="3640" ht="14.25" hidden="1" customHeight="1">
      <c r="A3640" s="8" t="s">
        <v>2958</v>
      </c>
      <c r="B3640" s="8" t="s">
        <v>481</v>
      </c>
      <c r="D3640" s="121" t="str">
        <f>HYPERLINK("http://www.portland.va.gov/services/MEDICAL_LIBRARY.ASP")</f>
        <v>http://www.portland.va.gov/services/MEDICAL_LIBRARY.ASP</v>
      </c>
      <c r="E3640" s="8" t="s">
        <v>595</v>
      </c>
    </row>
    <row r="3641" ht="14.25" hidden="1" customHeight="1">
      <c r="A3641" s="8" t="s">
        <v>2958</v>
      </c>
      <c r="B3641" s="8" t="s">
        <v>3850</v>
      </c>
      <c r="D3641" s="121" t="str">
        <f>HYPERLINK("http://www.portland.va.gov/services/LOWVISIONCLINIC.ASP")</f>
        <v>http://www.portland.va.gov/services/LOWVISIONCLINIC.ASP</v>
      </c>
      <c r="E3641" s="8" t="s">
        <v>392</v>
      </c>
    </row>
    <row r="3642" ht="14.25" hidden="1" customHeight="1">
      <c r="A3642" s="8" t="s">
        <v>2958</v>
      </c>
      <c r="B3642" s="8" t="s">
        <v>1506</v>
      </c>
      <c r="D3642" s="121" t="str">
        <f>HYPERLINK("http://www.portland.va.gov/services/MOVE.ASP")</f>
        <v>http://www.portland.va.gov/services/MOVE.ASP</v>
      </c>
      <c r="E3642" s="8" t="s">
        <v>392</v>
      </c>
    </row>
    <row r="3643" ht="14.25" hidden="1" customHeight="1">
      <c r="A3643" s="8" t="s">
        <v>2958</v>
      </c>
      <c r="B3643" s="8" t="s">
        <v>3851</v>
      </c>
      <c r="D3643" s="121" t="str">
        <f>HYPERLINK("http://www.portland.va.gov/services/MAMMOGRAMS.ASP")</f>
        <v>http://www.portland.va.gov/services/MAMMOGRAMS.ASP</v>
      </c>
      <c r="E3643" s="8" t="s">
        <v>392</v>
      </c>
    </row>
    <row r="3644" ht="14.25" hidden="1" customHeight="1">
      <c r="A3644" s="8" t="s">
        <v>2958</v>
      </c>
      <c r="B3644" s="8" t="s">
        <v>3852</v>
      </c>
      <c r="D3644" s="121" t="str">
        <f>HYPERLINK("http://www.portland.va.gov/services/MATERNITY_BENEFITS.ASP")</f>
        <v>http://www.portland.va.gov/services/MATERNITY_BENEFITS.ASP</v>
      </c>
      <c r="E3644" s="8" t="s">
        <v>392</v>
      </c>
    </row>
    <row r="3645" ht="14.25" hidden="1" customHeight="1">
      <c r="A3645" s="8" t="s">
        <v>2958</v>
      </c>
      <c r="B3645" s="8" t="s">
        <v>738</v>
      </c>
      <c r="D3645" s="121" t="str">
        <f>HYPERLINK("http://www.portland.va.gov/services/MEDICAL_LIBRARY.ASP")</f>
        <v>http://www.portland.va.gov/services/MEDICAL_LIBRARY.ASP</v>
      </c>
      <c r="E3645" s="8" t="s">
        <v>392</v>
      </c>
    </row>
    <row r="3646" ht="14.25" hidden="1" customHeight="1">
      <c r="A3646" s="8" t="s">
        <v>2958</v>
      </c>
      <c r="B3646" s="8" t="s">
        <v>743</v>
      </c>
      <c r="D3646" s="121" t="str">
        <f>HYPERLINK("http://www.portland.va.gov/services/MEDICAL_RECORDS.ASP")</f>
        <v>http://www.portland.va.gov/services/MEDICAL_RECORDS.ASP</v>
      </c>
      <c r="E3646" s="8" t="s">
        <v>392</v>
      </c>
    </row>
    <row r="3647" ht="14.25" hidden="1" customHeight="1">
      <c r="A3647" s="8" t="s">
        <v>2958</v>
      </c>
      <c r="B3647" s="8" t="s">
        <v>323</v>
      </c>
      <c r="D3647" s="121" t="str">
        <f t="shared" ref="D3647:D3648" si="39">HYPERLINK("http://www.portland.va.gov/services/MENTALHEALTH.ASP")</f>
        <v>http://www.portland.va.gov/services/MENTALHEALTH.ASP</v>
      </c>
      <c r="E3647" s="8" t="s">
        <v>392</v>
      </c>
    </row>
    <row r="3648" ht="14.25" hidden="1" customHeight="1">
      <c r="A3648" s="8" t="s">
        <v>2958</v>
      </c>
      <c r="B3648" s="8" t="s">
        <v>3853</v>
      </c>
      <c r="D3648" s="121" t="str">
        <f t="shared" si="39"/>
        <v>http://www.portland.va.gov/services/MENTALHEALTH.ASP</v>
      </c>
      <c r="E3648" s="8" t="s">
        <v>595</v>
      </c>
    </row>
    <row r="3649" ht="14.25" hidden="1" customHeight="1">
      <c r="A3649" s="8" t="s">
        <v>2958</v>
      </c>
      <c r="B3649" s="8" t="s">
        <v>324</v>
      </c>
      <c r="D3649" s="121" t="str">
        <f>HYPERLINK("http://www.portland.va.gov/services/MST.ASP")</f>
        <v>http://www.portland.va.gov/services/MST.ASP</v>
      </c>
      <c r="E3649" s="8" t="s">
        <v>392</v>
      </c>
    </row>
    <row r="3650" ht="14.25" hidden="1" customHeight="1">
      <c r="A3650" s="8" t="s">
        <v>2958</v>
      </c>
      <c r="B3650" s="8" t="s">
        <v>3854</v>
      </c>
      <c r="D3650" s="121" t="str">
        <f>HYPERLINK("http://www.portland.va.gov/services/MYHEALTHEVET_MHV.ASP")</f>
        <v>http://www.portland.va.gov/services/MYHEALTHEVET_MHV.ASP</v>
      </c>
      <c r="E3650" s="8" t="s">
        <v>392</v>
      </c>
    </row>
    <row r="3651" ht="14.25" hidden="1" customHeight="1">
      <c r="A3651" s="8" t="s">
        <v>2958</v>
      </c>
      <c r="B3651" s="8" t="s">
        <v>3855</v>
      </c>
      <c r="D3651" s="121" t="str">
        <f>HYPERLINK("http://www.portland.va.gov/services/NATIONAL_ALLIANCE_ON_MENTAL_ILLNESS_NAMI_VA_PARTNERSHIP.ASP")</f>
        <v>http://www.portland.va.gov/services/NATIONAL_ALLIANCE_ON_MENTAL_ILLNESS_NAMI_VA_PARTNERSHIP.ASP</v>
      </c>
      <c r="E3651" s="8" t="s">
        <v>392</v>
      </c>
    </row>
    <row r="3652" ht="14.25" hidden="1" customHeight="1">
      <c r="A3652" s="8" t="s">
        <v>2958</v>
      </c>
      <c r="B3652" s="8" t="s">
        <v>3856</v>
      </c>
      <c r="D3652" s="121" t="str">
        <f>HYPERLINK("http://www.portland.va.gov/services/TRANSITION_AND_CARE_MANAGEMENT_TCM_PROGRAM.ASP")</f>
        <v>http://www.portland.va.gov/services/TRANSITION_AND_CARE_MANAGEMENT_TCM_PROGRAM.ASP</v>
      </c>
      <c r="E3652" s="8" t="s">
        <v>595</v>
      </c>
    </row>
    <row r="3653" ht="14.25" hidden="1" customHeight="1">
      <c r="A3653" s="8" t="s">
        <v>2958</v>
      </c>
      <c r="B3653" s="8" t="s">
        <v>3857</v>
      </c>
      <c r="D3653" s="121" t="str">
        <f>HYPERLINK("http://www.portland.va.gov/services/OPERATIVE_CARE_DIVISION.ASP")</f>
        <v>http://www.portland.va.gov/services/OPERATIVE_CARE_DIVISION.ASP</v>
      </c>
      <c r="E3653" s="8" t="s">
        <v>392</v>
      </c>
    </row>
    <row r="3654" ht="14.25" hidden="1" customHeight="1">
      <c r="A3654" s="8" t="s">
        <v>2958</v>
      </c>
      <c r="B3654" s="8" t="s">
        <v>3858</v>
      </c>
      <c r="D3654" s="121" t="str">
        <f>HYPERLINK("http://www.portland.va.gov/services/VA_PAIN_CENTER_CENTER_FOR_INTEGRATIVE_PAIN_CARE_CIPC.ASP")</f>
        <v>http://www.portland.va.gov/services/VA_PAIN_CENTER_CENTER_FOR_INTEGRATIVE_PAIN_CARE_CIPC.ASP</v>
      </c>
      <c r="E3654" s="8" t="s">
        <v>392</v>
      </c>
    </row>
    <row r="3655" ht="14.25" hidden="1" customHeight="1">
      <c r="A3655" s="8" t="s">
        <v>2958</v>
      </c>
      <c r="B3655" s="8" t="s">
        <v>3859</v>
      </c>
      <c r="D3655" s="121" t="str">
        <f>HYPERLINK("http://www.portland.va.gov/services/PAP_SMEAR.ASP")</f>
        <v>http://www.portland.va.gov/services/PAP_SMEAR.ASP</v>
      </c>
      <c r="E3655" s="8" t="s">
        <v>392</v>
      </c>
    </row>
    <row r="3656" ht="14.25" hidden="1" customHeight="1">
      <c r="A3656" s="8" t="s">
        <v>2958</v>
      </c>
      <c r="B3656" s="8" t="s">
        <v>1324</v>
      </c>
      <c r="D3656" s="121" t="str">
        <f>HYPERLINK("http://www.portland.va.gov/services/PATHOLOGY_AND_LABORATORY_SERVICES.ASP")</f>
        <v>http://www.portland.va.gov/services/PATHOLOGY_AND_LABORATORY_SERVICES.ASP</v>
      </c>
      <c r="E3656" s="8" t="s">
        <v>392</v>
      </c>
    </row>
    <row r="3657" ht="14.25" hidden="1" customHeight="1">
      <c r="A3657" s="8" t="s">
        <v>2958</v>
      </c>
      <c r="B3657" s="8" t="s">
        <v>343</v>
      </c>
      <c r="D3657" s="121" t="str">
        <f>HYPERLINK("http://www.portland.va.gov/services/PHARMACY.ASP")</f>
        <v>http://www.portland.va.gov/services/PHARMACY.ASP</v>
      </c>
      <c r="E3657" s="8" t="s">
        <v>392</v>
      </c>
    </row>
    <row r="3658" ht="14.25" hidden="1" customHeight="1">
      <c r="A3658" s="8" t="s">
        <v>2958</v>
      </c>
      <c r="B3658" s="8" t="s">
        <v>3860</v>
      </c>
      <c r="D3658" s="121" t="str">
        <f>HYPERLINK("http://www.portland.va.gov/services/PHYSICAL_OCCUPATIONAL_THERAPY_PORTLAND_DIVISION.ASP")</f>
        <v>http://www.portland.va.gov/services/PHYSICAL_OCCUPATIONAL_THERAPY_PORTLAND_DIVISION.ASP</v>
      </c>
      <c r="E3658" s="8" t="s">
        <v>392</v>
      </c>
    </row>
    <row r="3659" ht="14.25" hidden="1" customHeight="1">
      <c r="A3659" s="8" t="s">
        <v>2958</v>
      </c>
      <c r="B3659" s="8" t="s">
        <v>3861</v>
      </c>
      <c r="D3659" s="121" t="str">
        <f>HYPERLINK("http://www.portland.va.gov/services/PHYSICAL_OCCUPATIONAL_THERAPY_VANCOUVER_DIVISION.ASP")</f>
        <v>http://www.portland.va.gov/services/PHYSICAL_OCCUPATIONAL_THERAPY_VANCOUVER_DIVISION.ASP</v>
      </c>
      <c r="E3659" s="8" t="s">
        <v>392</v>
      </c>
    </row>
    <row r="3660" ht="14.25" hidden="1" customHeight="1">
      <c r="A3660" s="8" t="s">
        <v>2958</v>
      </c>
      <c r="B3660" s="8" t="s">
        <v>450</v>
      </c>
      <c r="D3660" s="121" t="str">
        <f>HYPERLINK("http://www.portland.va.gov/services/PODIATRY.ASP")</f>
        <v>http://www.portland.va.gov/services/PODIATRY.ASP</v>
      </c>
      <c r="E3660" s="8" t="s">
        <v>392</v>
      </c>
    </row>
    <row r="3661" ht="14.25" hidden="1" customHeight="1">
      <c r="A3661" s="8" t="s">
        <v>2958</v>
      </c>
      <c r="B3661" s="8" t="s">
        <v>348</v>
      </c>
      <c r="D3661" s="121" t="str">
        <f>HYPERLINK("http://www.portland.va.gov/services/PRIMARY.ASP")</f>
        <v>http://www.portland.va.gov/services/PRIMARY.ASP</v>
      </c>
      <c r="E3661" s="8" t="s">
        <v>392</v>
      </c>
    </row>
    <row r="3662" ht="14.25" hidden="1" customHeight="1">
      <c r="A3662" s="8" t="s">
        <v>2958</v>
      </c>
      <c r="B3662" s="8" t="s">
        <v>963</v>
      </c>
      <c r="D3662" s="121" t="str">
        <f>HYPERLINK("http://www.portland.va.gov/services/RELEASE_OF_INFORMATION.ASP")</f>
        <v>http://www.portland.va.gov/services/RELEASE_OF_INFORMATION.ASP</v>
      </c>
      <c r="E3662" s="8" t="s">
        <v>595</v>
      </c>
    </row>
    <row r="3663" ht="14.25" hidden="1" customHeight="1">
      <c r="A3663" s="8" t="s">
        <v>2958</v>
      </c>
      <c r="B3663" s="8" t="s">
        <v>353</v>
      </c>
      <c r="D3663" s="121" t="str">
        <f>HYPERLINK("http://www.portland.va.gov/services/PROSTHETICS.ASP")</f>
        <v>http://www.portland.va.gov/services/PROSTHETICS.ASP</v>
      </c>
      <c r="E3663" s="8" t="s">
        <v>392</v>
      </c>
    </row>
    <row r="3664" ht="14.25" hidden="1" customHeight="1">
      <c r="A3664" s="8" t="s">
        <v>2958</v>
      </c>
      <c r="B3664" s="8" t="s">
        <v>1661</v>
      </c>
      <c r="D3664" s="121" t="str">
        <f>HYPERLINK("http://www.portland.va.gov/services/PSYCHOSOCIAL_REHABILITATION_AND_RECOVERY_CENTER.ASP")</f>
        <v>http://www.portland.va.gov/services/PSYCHOSOCIAL_REHABILITATION_AND_RECOVERY_CENTER.ASP</v>
      </c>
      <c r="E3664" s="8" t="s">
        <v>392</v>
      </c>
    </row>
    <row r="3665" ht="14.25" hidden="1" customHeight="1">
      <c r="A3665" s="8" t="s">
        <v>2958</v>
      </c>
      <c r="B3665" s="8" t="s">
        <v>3862</v>
      </c>
      <c r="D3665" s="121" t="str">
        <f>HYPERLINK("http://www.portland.va.gov/services/PUBLIC_AND_CONGRESSIONAL_AFFAIRS_PVAMC.ASP")</f>
        <v>http://www.portland.va.gov/services/PUBLIC_AND_CONGRESSIONAL_AFFAIRS_PVAMC.ASP</v>
      </c>
      <c r="E3665" s="8" t="s">
        <v>392</v>
      </c>
    </row>
    <row r="3666" ht="14.25" hidden="1" customHeight="1">
      <c r="A3666" s="8" t="s">
        <v>2958</v>
      </c>
      <c r="B3666" s="8" t="s">
        <v>3863</v>
      </c>
      <c r="D3666" s="121" t="str">
        <f t="shared" ref="D3666:D3667" si="40">HYPERLINK("http://www.portland.va.gov/services/REHABILITATION_VETERANS_RECOVERY_HOUSE_A_RESIDENTIAL_REHABILITATION_TREATMENT_PROGRAM_RRTP.ASP")</f>
        <v>http://www.portland.va.gov/services/REHABILITATION_VETERANS_RECOVERY_HOUSE_A_RESIDENTIAL_REHABILITATION_TREATMENT_PROGRAM_RRTP.ASP</v>
      </c>
      <c r="E3666" s="8" t="s">
        <v>595</v>
      </c>
    </row>
    <row r="3667" ht="14.25" hidden="1" customHeight="1">
      <c r="A3667" s="8" t="s">
        <v>2958</v>
      </c>
      <c r="B3667" s="8" t="s">
        <v>3864</v>
      </c>
      <c r="D3667" s="121" t="str">
        <f t="shared" si="40"/>
        <v>http://www.portland.va.gov/services/REHABILITATION_VETERANS_RECOVERY_HOUSE_A_RESIDENTIAL_REHABILITATION_TREATMENT_PROGRAM_RRTP.ASP</v>
      </c>
      <c r="E3667" s="8" t="s">
        <v>392</v>
      </c>
    </row>
    <row r="3668" ht="14.25" hidden="1" customHeight="1">
      <c r="A3668" s="8" t="s">
        <v>2958</v>
      </c>
      <c r="B3668" s="8" t="s">
        <v>3865</v>
      </c>
      <c r="D3668" s="121" t="str">
        <f>HYPERLINK("http://www.portland.va.gov/services/REHABILITATION_AND_LONG_TERM_CARE.ASP")</f>
        <v>http://www.portland.va.gov/services/REHABILITATION_AND_LONG_TERM_CARE.ASP</v>
      </c>
      <c r="E3668" s="8" t="s">
        <v>392</v>
      </c>
    </row>
    <row r="3669" ht="14.25" hidden="1" customHeight="1">
      <c r="A3669" s="8" t="s">
        <v>2958</v>
      </c>
      <c r="B3669" s="8" t="s">
        <v>708</v>
      </c>
      <c r="D3669" s="121" t="str">
        <f>HYPERLINK("http://www.portland.va.gov/services/MEDICAL_RECORDS.ASP")</f>
        <v>http://www.portland.va.gov/services/MEDICAL_RECORDS.ASP</v>
      </c>
      <c r="E3669" s="8" t="s">
        <v>392</v>
      </c>
    </row>
    <row r="3670" ht="14.25" hidden="1" customHeight="1">
      <c r="A3670" s="8" t="s">
        <v>2958</v>
      </c>
      <c r="B3670" s="8" t="s">
        <v>708</v>
      </c>
      <c r="D3670" s="121" t="str">
        <f>HYPERLINK("http://www.portland.va.gov/services/RELEASE_OF_INFORMATION.ASP")</f>
        <v>http://www.portland.va.gov/services/RELEASE_OF_INFORMATION.ASP</v>
      </c>
      <c r="E3670" s="8" t="s">
        <v>392</v>
      </c>
    </row>
    <row r="3671" ht="14.25" hidden="1" customHeight="1">
      <c r="A3671" s="8" t="s">
        <v>2958</v>
      </c>
      <c r="B3671" s="8" t="s">
        <v>360</v>
      </c>
      <c r="D3671" s="121" t="str">
        <f>HYPERLINK("http://www.portland.va.gov/services/SOCIALWORK.ASP")</f>
        <v>http://www.portland.va.gov/services/SOCIALWORK.ASP</v>
      </c>
      <c r="E3671" s="8" t="s">
        <v>392</v>
      </c>
    </row>
    <row r="3672" ht="14.25" hidden="1" customHeight="1">
      <c r="A3672" s="8" t="s">
        <v>2958</v>
      </c>
      <c r="B3672" s="8" t="s">
        <v>363</v>
      </c>
      <c r="D3672" s="121" t="str">
        <f>HYPERLINK("http://www.portland.va.gov/services/SPECIALTY.ASP")</f>
        <v>http://www.portland.va.gov/services/SPECIALTY.ASP</v>
      </c>
      <c r="E3672" s="8" t="s">
        <v>392</v>
      </c>
    </row>
    <row r="3673" ht="14.25" hidden="1" customHeight="1">
      <c r="A3673" s="8" t="s">
        <v>2958</v>
      </c>
      <c r="B3673" s="8" t="s">
        <v>3866</v>
      </c>
      <c r="D3673" s="121" t="str">
        <f>HYPERLINK("http://www.portland.va.gov/services/TTY.ASP")</f>
        <v>http://www.portland.va.gov/services/TTY.ASP</v>
      </c>
      <c r="E3673" s="8" t="s">
        <v>392</v>
      </c>
    </row>
    <row r="3674" ht="14.25" hidden="1" customHeight="1">
      <c r="A3674" s="8" t="s">
        <v>2958</v>
      </c>
      <c r="B3674" s="8" t="s">
        <v>3462</v>
      </c>
      <c r="D3674" s="121" t="str">
        <f>HYPERLINK("http://www.portland.va.gov/services/VOCATIONAL_REHABILITATION_SERVICES.ASP")</f>
        <v>http://www.portland.va.gov/services/VOCATIONAL_REHABILITATION_SERVICES.ASP</v>
      </c>
      <c r="E3674" s="8" t="s">
        <v>595</v>
      </c>
    </row>
    <row r="3675" ht="14.25" hidden="1" customHeight="1">
      <c r="A3675" s="8" t="s">
        <v>2958</v>
      </c>
      <c r="B3675" s="8" t="s">
        <v>3867</v>
      </c>
      <c r="D3675" s="121" t="str">
        <f>HYPERLINK("http://www.portland.va.gov/services/TRANSITION_AND_CARE_MANAGEMENT_TCM_PROGRAM.ASP")</f>
        <v>http://www.portland.va.gov/services/TRANSITION_AND_CARE_MANAGEMENT_TCM_PROGRAM.ASP</v>
      </c>
      <c r="E3675" s="8" t="s">
        <v>392</v>
      </c>
    </row>
    <row r="3676" ht="14.25" hidden="1" customHeight="1">
      <c r="A3676" s="8" t="s">
        <v>2958</v>
      </c>
      <c r="B3676" s="8" t="s">
        <v>3868</v>
      </c>
      <c r="D3676" s="121" t="str">
        <f>HYPERLINK("http://www.portland.va.gov/services/TRANSPLANT_SERVICES_LIVER_AND_KIDNEY.ASP")</f>
        <v>http://www.portland.va.gov/services/TRANSPLANT_SERVICES_LIVER_AND_KIDNEY.ASP</v>
      </c>
      <c r="E3676" s="8" t="s">
        <v>392</v>
      </c>
    </row>
    <row r="3677" ht="14.25" hidden="1" customHeight="1">
      <c r="A3677" s="8" t="s">
        <v>2958</v>
      </c>
      <c r="B3677" s="8" t="s">
        <v>3869</v>
      </c>
      <c r="D3677" s="121" t="str">
        <f>HYPERLINK("http://www.portland.va.gov/services/VETERAN_SERVICE_OFFICER.ASP")</f>
        <v>http://www.portland.va.gov/services/VETERAN_SERVICE_OFFICER.ASP</v>
      </c>
      <c r="E3677" s="8" t="s">
        <v>392</v>
      </c>
    </row>
    <row r="3678" ht="14.25" hidden="1" customHeight="1">
      <c r="A3678" s="8" t="s">
        <v>2958</v>
      </c>
      <c r="B3678" s="8" t="s">
        <v>3870</v>
      </c>
      <c r="D3678" s="121" t="str">
        <f>HYPERLINK("http://www.portland.va.gov/services/VETERANS_JUSTICE_OUTREACH_VJO_PROGRAM.ASP")</f>
        <v>http://www.portland.va.gov/services/VETERANS_JUSTICE_OUTREACH_VJO_PROGRAM.ASP</v>
      </c>
      <c r="E3678" s="8" t="s">
        <v>392</v>
      </c>
    </row>
    <row r="3679" ht="14.25" hidden="1" customHeight="1">
      <c r="A3679" s="8" t="s">
        <v>2958</v>
      </c>
      <c r="B3679" s="8" t="s">
        <v>3871</v>
      </c>
      <c r="D3679" s="121" t="str">
        <f t="shared" ref="D3679:D3680" si="41">HYPERLINK("http://www.portland.va.gov/services/VETERANS_TRANSPORTATION_PROGRAM.ASP")</f>
        <v>http://www.portland.va.gov/services/VETERANS_TRANSPORTATION_PROGRAM.ASP</v>
      </c>
      <c r="E3679" s="8" t="s">
        <v>392</v>
      </c>
    </row>
    <row r="3680" ht="14.25" hidden="1" customHeight="1">
      <c r="A3680" s="8" t="s">
        <v>2958</v>
      </c>
      <c r="B3680" s="8" t="s">
        <v>742</v>
      </c>
      <c r="D3680" s="121" t="str">
        <f t="shared" si="41"/>
        <v>http://www.portland.va.gov/services/VETERANS_TRANSPORTATION_PROGRAM.ASP</v>
      </c>
      <c r="E3680" s="8" t="s">
        <v>595</v>
      </c>
    </row>
    <row r="3681" ht="14.25" hidden="1" customHeight="1">
      <c r="A3681" s="8" t="s">
        <v>2958</v>
      </c>
      <c r="B3681" s="8" t="s">
        <v>3872</v>
      </c>
      <c r="D3681" s="121" t="str">
        <f>HYPERLINK("http://www.portland.va.gov/services/VOCATIONAL_REHABILITATION_SERVICES.ASP")</f>
        <v>http://www.portland.va.gov/services/VOCATIONAL_REHABILITATION_SERVICES.ASP</v>
      </c>
      <c r="E3681" s="8" t="s">
        <v>392</v>
      </c>
    </row>
    <row r="3682" ht="14.25" hidden="1" customHeight="1">
      <c r="A3682" s="8" t="s">
        <v>2958</v>
      </c>
      <c r="B3682" s="8" t="s">
        <v>3873</v>
      </c>
      <c r="D3682" s="121" t="str">
        <f>HYPERLINK("http://www.portland.va.gov/services/WHEELCHAIR_CLINIC.ASP")</f>
        <v>http://www.portland.va.gov/services/WHEELCHAIR_CLINIC.ASP</v>
      </c>
      <c r="E3682" s="8" t="s">
        <v>392</v>
      </c>
    </row>
    <row r="3683" ht="14.25" hidden="1" customHeight="1">
      <c r="A3683" s="8" t="s">
        <v>2958</v>
      </c>
      <c r="B3683" s="8" t="s">
        <v>379</v>
      </c>
      <c r="D3683" s="121" t="str">
        <f>HYPERLINK("http://www.portland.va.gov/services/WOMEN_VETERANS.ASP")</f>
        <v>http://www.portland.va.gov/services/WOMEN_VETERANS.ASP</v>
      </c>
      <c r="E3683" s="8" t="s">
        <v>392</v>
      </c>
    </row>
    <row r="3684" ht="14.25" hidden="1" customHeight="1">
      <c r="A3684" s="8" t="s">
        <v>2986</v>
      </c>
      <c r="B3684" s="8" t="s">
        <v>244</v>
      </c>
      <c r="D3684" s="121" t="str">
        <f>HYPERLINK("http://www.prescott.va.gov/services/AUDIOLOGY.ASP")</f>
        <v>http://www.prescott.va.gov/services/AUDIOLOGY.ASP</v>
      </c>
      <c r="E3684" s="8" t="s">
        <v>392</v>
      </c>
    </row>
    <row r="3685" ht="14.25" hidden="1" customHeight="1">
      <c r="A3685" s="8" t="s">
        <v>2986</v>
      </c>
      <c r="B3685" s="8" t="s">
        <v>488</v>
      </c>
      <c r="D3685" s="121" t="str">
        <f>HYPERLINK("http://www.prescott.va.gov/services/CARGIVER_SUPPORT_PROGRAM.ASP")</f>
        <v>http://www.prescott.va.gov/services/CARGIVER_SUPPORT_PROGRAM.ASP</v>
      </c>
      <c r="E3685" s="8" t="s">
        <v>392</v>
      </c>
    </row>
    <row r="3686" ht="14.25" hidden="1" customHeight="1">
      <c r="A3686" s="8" t="s">
        <v>2986</v>
      </c>
      <c r="B3686" s="8" t="s">
        <v>478</v>
      </c>
      <c r="D3686" s="121" t="str">
        <f>HYPERLINK("http://www.prescott.va.gov/services/CHAPLAIN_SERVICE.ASP")</f>
        <v>http://www.prescott.va.gov/services/CHAPLAIN_SERVICE.ASP</v>
      </c>
      <c r="E3686" s="8" t="s">
        <v>392</v>
      </c>
    </row>
    <row r="3687" ht="14.25" hidden="1" customHeight="1">
      <c r="A3687" s="8" t="s">
        <v>2986</v>
      </c>
      <c r="B3687" s="8" t="s">
        <v>482</v>
      </c>
      <c r="D3687" s="121" t="str">
        <f>HYPERLINK("http://www.prescott.va.gov/services/COMMUNITY_LIVING_CENTER.ASP")</f>
        <v>http://www.prescott.va.gov/services/COMMUNITY_LIVING_CENTER.ASP</v>
      </c>
      <c r="E3687" s="8" t="s">
        <v>392</v>
      </c>
    </row>
    <row r="3688" ht="14.25" hidden="1" customHeight="1">
      <c r="A3688" s="8" t="s">
        <v>2986</v>
      </c>
      <c r="B3688" s="8" t="s">
        <v>497</v>
      </c>
      <c r="D3688" s="121" t="str">
        <f>HYPERLINK("http://www.prescott.va.gov/services/COMPENSATED_WORK_THERAPY.ASP")</f>
        <v>http://www.prescott.va.gov/services/COMPENSATED_WORK_THERAPY.ASP</v>
      </c>
      <c r="E3688" s="8" t="s">
        <v>392</v>
      </c>
    </row>
    <row r="3689" ht="14.25" hidden="1" customHeight="1">
      <c r="A3689" s="8" t="s">
        <v>2986</v>
      </c>
      <c r="B3689" s="8" t="s">
        <v>583</v>
      </c>
      <c r="D3689" s="121" t="str">
        <f>HYPERLINK("http://www.prescott.va.gov/services/CONTRACT_NURSING_HOME_PROGRAM.ASP")</f>
        <v>http://www.prescott.va.gov/services/CONTRACT_NURSING_HOME_PROGRAM.ASP</v>
      </c>
      <c r="E3689" s="8" t="s">
        <v>392</v>
      </c>
    </row>
    <row r="3690" ht="14.25" hidden="1" customHeight="1">
      <c r="A3690" s="8" t="s">
        <v>2986</v>
      </c>
      <c r="B3690" s="8" t="s">
        <v>483</v>
      </c>
      <c r="D3690" s="121" t="str">
        <f>HYPERLINK("http://www.prescott.va.gov/services/DECEDENT_AFFAIRS.ASP")</f>
        <v>http://www.prescott.va.gov/services/DECEDENT_AFFAIRS.ASP</v>
      </c>
      <c r="E3690" s="8" t="s">
        <v>392</v>
      </c>
    </row>
    <row r="3691" ht="14.25" hidden="1" customHeight="1">
      <c r="A3691" s="8" t="s">
        <v>2986</v>
      </c>
      <c r="B3691" s="8" t="s">
        <v>513</v>
      </c>
      <c r="D3691" s="121" t="str">
        <f>HYPERLINK("http://www.prescott.va.gov/services/DENTAL_SERVICE.ASP")</f>
        <v>http://www.prescott.va.gov/services/DENTAL_SERVICE.ASP</v>
      </c>
      <c r="E3691" s="8" t="s">
        <v>392</v>
      </c>
    </row>
    <row r="3692" ht="14.25" hidden="1" customHeight="1">
      <c r="A3692" s="8" t="s">
        <v>2986</v>
      </c>
      <c r="B3692" s="8" t="s">
        <v>875</v>
      </c>
      <c r="D3692" s="121" t="str">
        <f>HYPERLINK("http://www.prescott.va.gov/services/DOMICILIARY.ASP")</f>
        <v>http://www.prescott.va.gov/services/DOMICILIARY.ASP</v>
      </c>
      <c r="E3692" s="8" t="s">
        <v>392</v>
      </c>
    </row>
    <row r="3693" ht="14.25" hidden="1" customHeight="1">
      <c r="A3693" s="8" t="s">
        <v>2986</v>
      </c>
      <c r="B3693" s="8" t="s">
        <v>308</v>
      </c>
      <c r="D3693" s="121" t="str">
        <f>HYPERLINK("http://www.prescott.va.gov/services/EMERGENCY_DEPARTMENT.ASP")</f>
        <v>http://www.prescott.va.gov/services/EMERGENCY_DEPARTMENT.ASP</v>
      </c>
      <c r="E3693" s="8" t="s">
        <v>392</v>
      </c>
    </row>
    <row r="3694" ht="14.25" hidden="1" customHeight="1">
      <c r="A3694" s="8" t="s">
        <v>2986</v>
      </c>
      <c r="B3694" s="8" t="s">
        <v>486</v>
      </c>
      <c r="D3694" s="121" t="str">
        <f>HYPERLINK("http://www.prescott.va.gov/services/FORMER_PRISONER_OF_WAR_ADVOCATE.ASP")</f>
        <v>http://www.prescott.va.gov/services/FORMER_PRISONER_OF_WAR_ADVOCATE.ASP</v>
      </c>
      <c r="E3694" s="8" t="s">
        <v>392</v>
      </c>
    </row>
    <row r="3695" ht="14.25" hidden="1" customHeight="1">
      <c r="A3695" s="8" t="s">
        <v>2986</v>
      </c>
      <c r="B3695" s="8" t="s">
        <v>1373</v>
      </c>
      <c r="D3695" s="121" t="str">
        <f>HYPERLINK("http://www.prescott.va.gov/services/GENERAL_SURGERY.ASP")</f>
        <v>http://www.prescott.va.gov/services/GENERAL_SURGERY.ASP</v>
      </c>
      <c r="E3695" s="8" t="s">
        <v>392</v>
      </c>
    </row>
    <row r="3696" ht="14.25" hidden="1" customHeight="1">
      <c r="A3696" s="8" t="s">
        <v>2986</v>
      </c>
      <c r="B3696" s="8" t="s">
        <v>587</v>
      </c>
      <c r="D3696" s="121" t="str">
        <f>HYPERLINK("http://www.prescott.va.gov/services/HUD_VASH_PROGRAM.ASP")</f>
        <v>http://www.prescott.va.gov/services/HUD_VASH_PROGRAM.ASP</v>
      </c>
      <c r="E3696" s="8" t="s">
        <v>392</v>
      </c>
    </row>
    <row r="3697" ht="14.25" hidden="1" customHeight="1">
      <c r="A3697" s="8" t="s">
        <v>2986</v>
      </c>
      <c r="B3697" s="8" t="s">
        <v>588</v>
      </c>
      <c r="D3697" s="121" t="str">
        <f>HYPERLINK("http://www.prescott.va.gov/services/HEALTH_CARE_FOR_HOMELESS_VETERANS.ASP")</f>
        <v>http://www.prescott.va.gov/services/HEALTH_CARE_FOR_HOMELESS_VETERANS.ASP</v>
      </c>
      <c r="E3697" s="8" t="s">
        <v>392</v>
      </c>
    </row>
    <row r="3698" ht="14.25" hidden="1" customHeight="1">
      <c r="A3698" s="8" t="s">
        <v>2986</v>
      </c>
      <c r="B3698" s="8" t="s">
        <v>3705</v>
      </c>
      <c r="D3698" s="121" t="str">
        <f>HYPERLINK("http://www.prescott.va.gov/services/HEALTH_PROMOTION_DISEASE_PREVENTION_HPDP_PROGRAM.ASP")</f>
        <v>http://www.prescott.va.gov/services/HEALTH_PROMOTION_DISEASE_PREVENTION_HPDP_PROGRAM.ASP</v>
      </c>
      <c r="E3698" s="8" t="s">
        <v>392</v>
      </c>
    </row>
    <row r="3699" ht="14.25" hidden="1" customHeight="1">
      <c r="A3699" s="8" t="s">
        <v>2986</v>
      </c>
      <c r="B3699" s="8" t="s">
        <v>431</v>
      </c>
      <c r="D3699" s="121" t="str">
        <f>HYPERLINK("http://www.prescott.va.gov/services/HOME_BASED_PRIMARY_CARE.ASP")</f>
        <v>http://www.prescott.va.gov/services/HOME_BASED_PRIMARY_CARE.ASP</v>
      </c>
      <c r="E3699" s="8" t="s">
        <v>392</v>
      </c>
    </row>
    <row r="3700" ht="14.25" hidden="1" customHeight="1">
      <c r="A3700" s="8" t="s">
        <v>2986</v>
      </c>
      <c r="B3700" s="8" t="s">
        <v>437</v>
      </c>
      <c r="D3700" s="121" t="str">
        <f>HYPERLINK("http://www.prescott.va.gov/services/HOSPICE_AND_PALLIATIVE_CARE.ASP")</f>
        <v>http://www.prescott.va.gov/services/HOSPICE_AND_PALLIATIVE_CARE.ASP</v>
      </c>
      <c r="E3700" s="8" t="s">
        <v>392</v>
      </c>
    </row>
    <row r="3701" ht="14.25" hidden="1" customHeight="1">
      <c r="A3701" s="8" t="s">
        <v>2986</v>
      </c>
      <c r="B3701" s="8" t="s">
        <v>1567</v>
      </c>
      <c r="D3701" s="121" t="str">
        <f>HYPERLINK("http://www.prescott.va.gov/services/INFECTION_CONTROL.ASP")</f>
        <v>http://www.prescott.va.gov/services/INFECTION_CONTROL.ASP</v>
      </c>
      <c r="E3701" s="8" t="s">
        <v>392</v>
      </c>
    </row>
    <row r="3702" ht="14.25" hidden="1" customHeight="1">
      <c r="A3702" s="8" t="s">
        <v>2986</v>
      </c>
      <c r="B3702" s="8" t="s">
        <v>886</v>
      </c>
      <c r="D3702" s="121" t="str">
        <f>HYPERLINK("http://www.prescott.va.gov/services/KINESIOTHERAPY.ASP")</f>
        <v>http://www.prescott.va.gov/services/KINESIOTHERAPY.ASP</v>
      </c>
      <c r="E3702" s="8" t="s">
        <v>392</v>
      </c>
    </row>
    <row r="3703" ht="14.25" hidden="1" customHeight="1">
      <c r="A3703" s="8" t="s">
        <v>2986</v>
      </c>
      <c r="B3703" s="8" t="s">
        <v>584</v>
      </c>
      <c r="D3703" s="121" t="str">
        <f>HYPERLINK("http://www.prescott.va.gov/services/LABORATORY.ASP")</f>
        <v>http://www.prescott.va.gov/services/LABORATORY.ASP</v>
      </c>
      <c r="E3703" s="8" t="s">
        <v>392</v>
      </c>
    </row>
    <row r="3704" ht="14.25" hidden="1" customHeight="1">
      <c r="A3704" s="8" t="s">
        <v>2986</v>
      </c>
      <c r="B3704" s="8" t="s">
        <v>2130</v>
      </c>
      <c r="D3704" s="121" t="str">
        <f>HYPERLINK("http://www.prescott.va.gov/services/LOW_VISION_CLINIC.ASP")</f>
        <v>http://www.prescott.va.gov/services/LOW_VISION_CLINIC.ASP</v>
      </c>
      <c r="E3704" s="8" t="s">
        <v>392</v>
      </c>
    </row>
    <row r="3705" ht="14.25" hidden="1" customHeight="1">
      <c r="A3705" s="8" t="s">
        <v>2986</v>
      </c>
      <c r="B3705" s="8" t="s">
        <v>476</v>
      </c>
      <c r="D3705" s="121" t="str">
        <f>HYPERLINK("http://www.prescott.va.gov/services/MEDICAL_FOSTER_HOME.ASP")</f>
        <v>http://www.prescott.va.gov/services/MEDICAL_FOSTER_HOME.ASP</v>
      </c>
      <c r="E3705" s="8" t="s">
        <v>392</v>
      </c>
    </row>
    <row r="3706" ht="14.25" hidden="1" customHeight="1">
      <c r="A3706" s="8" t="s">
        <v>2986</v>
      </c>
      <c r="B3706" s="8" t="s">
        <v>323</v>
      </c>
      <c r="D3706" s="121" t="str">
        <f>HYPERLINK("http://www.prescott.va.gov/services/MENTAL_HEALTH_SERVICES.ASP")</f>
        <v>http://www.prescott.va.gov/services/MENTAL_HEALTH_SERVICES.ASP</v>
      </c>
      <c r="E3706" s="8" t="s">
        <v>392</v>
      </c>
    </row>
    <row r="3707" ht="14.25" hidden="1" customHeight="1">
      <c r="A3707" s="8" t="s">
        <v>2986</v>
      </c>
      <c r="B3707" s="8" t="s">
        <v>2001</v>
      </c>
      <c r="D3707" s="121" t="str">
        <f>HYPERLINK("http://www.prescott.va.gov/services/MENTAL_HEALTH_INTENSIVE_CASE_MANAGEMENT_MHICM.ASP")</f>
        <v>http://www.prescott.va.gov/services/MENTAL_HEALTH_INTENSIVE_CASE_MANAGEMENT_MHICM.ASP</v>
      </c>
      <c r="E3707" s="8" t="s">
        <v>392</v>
      </c>
    </row>
    <row r="3708" ht="14.25" hidden="1" customHeight="1">
      <c r="A3708" s="8" t="s">
        <v>2986</v>
      </c>
      <c r="B3708" s="8" t="s">
        <v>3874</v>
      </c>
      <c r="D3708" s="121" t="str">
        <f>HYPERLINK("http://www.prescott.va.gov/services/MENTAL_HEALTH_RESIDENTIAL_REHABILITATION_TREATMENT_PROGRAM_MH_RRTP.ASP")</f>
        <v>http://www.prescott.va.gov/services/MENTAL_HEALTH_RESIDENTIAL_REHABILITATION_TREATMENT_PROGRAM_MH_RRTP.ASP</v>
      </c>
      <c r="E3708" s="8" t="s">
        <v>392</v>
      </c>
    </row>
    <row r="3709" ht="14.25" hidden="1" customHeight="1">
      <c r="A3709" s="8" t="s">
        <v>2986</v>
      </c>
      <c r="B3709" s="8" t="s">
        <v>3875</v>
      </c>
      <c r="D3709" s="121" t="str">
        <f>HYPERLINK("http://www.prescott.va.gov/services/MENTAL_HEALTH_SERVICES.ASP")</f>
        <v>http://www.prescott.va.gov/services/MENTAL_HEALTH_SERVICES.ASP</v>
      </c>
      <c r="E3709" s="8" t="s">
        <v>595</v>
      </c>
    </row>
    <row r="3710" ht="14.25" hidden="1" customHeight="1">
      <c r="A3710" s="8" t="s">
        <v>2986</v>
      </c>
      <c r="B3710" s="8" t="s">
        <v>1231</v>
      </c>
      <c r="D3710" s="121" t="str">
        <f>HYPERLINK("http://www.prescott.va.gov/services/MILITARY_SEXUAL_TRAUMA_MST.ASP")</f>
        <v>http://www.prescott.va.gov/services/MILITARY_SEXUAL_TRAUMA_MST.ASP</v>
      </c>
      <c r="E3710" s="8" t="s">
        <v>392</v>
      </c>
    </row>
    <row r="3711" ht="14.25" hidden="1" customHeight="1">
      <c r="A3711" s="8" t="s">
        <v>2986</v>
      </c>
      <c r="B3711" s="8" t="s">
        <v>598</v>
      </c>
      <c r="D3711" s="121" t="str">
        <f>HYPERLINK("http://www.prescott.va.gov/services/MOVE.ASP")</f>
        <v>http://www.prescott.va.gov/services/MOVE.ASP</v>
      </c>
      <c r="E3711" s="8" t="s">
        <v>392</v>
      </c>
    </row>
    <row r="3712" ht="14.25" hidden="1" customHeight="1">
      <c r="A3712" s="8" t="s">
        <v>2986</v>
      </c>
      <c r="B3712" s="8" t="s">
        <v>707</v>
      </c>
      <c r="D3712" s="121" t="str">
        <f>HYPERLINK("http://www.prescott.va.gov/services/MYHEALTHEVET.ASP")</f>
        <v>http://www.prescott.va.gov/services/MYHEALTHEVET.ASP</v>
      </c>
      <c r="E3712" s="8" t="s">
        <v>392</v>
      </c>
    </row>
    <row r="3713" ht="14.25" hidden="1" customHeight="1">
      <c r="A3713" s="8" t="s">
        <v>2986</v>
      </c>
      <c r="B3713" s="8" t="s">
        <v>603</v>
      </c>
      <c r="D3713" s="121" t="str">
        <f>HYPERLINK("http://www.prescott.va.gov/services/NUCLEAR_MEDICINE.ASP")</f>
        <v>http://www.prescott.va.gov/services/NUCLEAR_MEDICINE.ASP</v>
      </c>
      <c r="E3713" s="8" t="s">
        <v>392</v>
      </c>
    </row>
    <row r="3714" ht="14.25" hidden="1" customHeight="1">
      <c r="A3714" s="8" t="s">
        <v>2986</v>
      </c>
      <c r="B3714" s="8" t="s">
        <v>335</v>
      </c>
      <c r="D3714" s="121" t="str">
        <f>HYPERLINK("http://www.prescott.va.gov/services/NUTRITION_AND_FOOD_SERVICE.ASP")</f>
        <v>http://www.prescott.va.gov/services/NUTRITION_AND_FOOD_SERVICE.ASP</v>
      </c>
      <c r="E3714" s="8" t="s">
        <v>392</v>
      </c>
    </row>
    <row r="3715" ht="14.25" hidden="1" customHeight="1">
      <c r="A3715" s="8" t="s">
        <v>2986</v>
      </c>
      <c r="B3715" s="8" t="s">
        <v>839</v>
      </c>
      <c r="D3715" s="121" t="str">
        <f>HYPERLINK("http://www.prescott.va.gov/services/ONCOLOGY.ASP")</f>
        <v>http://www.prescott.va.gov/services/ONCOLOGY.ASP</v>
      </c>
      <c r="E3715" s="8" t="s">
        <v>392</v>
      </c>
    </row>
    <row r="3716" ht="14.25" hidden="1" customHeight="1">
      <c r="A3716" s="8" t="s">
        <v>2986</v>
      </c>
      <c r="B3716" s="8" t="s">
        <v>694</v>
      </c>
      <c r="D3716" s="121" t="str">
        <f>HYPERLINK("http://www.prescott.va.gov/services/PATIENT_ADVOCATE.ASP")</f>
        <v>http://www.prescott.va.gov/services/PATIENT_ADVOCATE.ASP</v>
      </c>
      <c r="E3716" s="8" t="s">
        <v>392</v>
      </c>
    </row>
    <row r="3717" ht="14.25" hidden="1" customHeight="1">
      <c r="A3717" s="8" t="s">
        <v>2986</v>
      </c>
      <c r="B3717" s="8" t="s">
        <v>3876</v>
      </c>
      <c r="D3717" s="121" t="str">
        <f>HYPERLINK("http://www.prescott.va.gov/services/PATIENT_ALIGNED_CARE_TEAMS_PACT.ASP")</f>
        <v>http://www.prescott.va.gov/services/PATIENT_ALIGNED_CARE_TEAMS_PACT.ASP</v>
      </c>
      <c r="E3717" s="8" t="s">
        <v>392</v>
      </c>
    </row>
    <row r="3718" ht="14.25" hidden="1" customHeight="1">
      <c r="A3718" s="8" t="s">
        <v>2986</v>
      </c>
      <c r="B3718" s="8" t="s">
        <v>500</v>
      </c>
      <c r="D3718" s="121" t="str">
        <f>HYPERLINK("http://www.prescott.va.gov/services/TRAVEL_CLERK_PATIENT_TRAVEL.ASP")</f>
        <v>http://www.prescott.va.gov/services/TRAVEL_CLERK_PATIENT_TRAVEL.ASP</v>
      </c>
      <c r="E3718" s="8" t="s">
        <v>392</v>
      </c>
    </row>
    <row r="3719" ht="14.25" hidden="1" customHeight="1">
      <c r="A3719" s="8" t="s">
        <v>2986</v>
      </c>
      <c r="B3719" s="8" t="s">
        <v>3877</v>
      </c>
      <c r="D3719" s="121" t="str">
        <f>HYPERLINK("http://www.prescott.va.gov/services/PHYSICAL_MEDICINE_AND_REHABILITATION_PM_R_CLINIC.ASP")</f>
        <v>http://www.prescott.va.gov/services/PHYSICAL_MEDICINE_AND_REHABILITATION_PM_R_CLINIC.ASP</v>
      </c>
      <c r="E3719" s="8" t="s">
        <v>392</v>
      </c>
    </row>
    <row r="3720" ht="14.25" hidden="1" customHeight="1">
      <c r="A3720" s="8" t="s">
        <v>2986</v>
      </c>
      <c r="B3720" s="8" t="s">
        <v>608</v>
      </c>
      <c r="D3720" s="121" t="str">
        <f>HYPERLINK("http://www.prescott.va.gov/services/PHYSICAL_THERAPY.ASP")</f>
        <v>http://www.prescott.va.gov/services/PHYSICAL_THERAPY.ASP</v>
      </c>
      <c r="E3720" s="8" t="s">
        <v>392</v>
      </c>
    </row>
    <row r="3721" ht="14.25" hidden="1" customHeight="1">
      <c r="A3721" s="8" t="s">
        <v>2986</v>
      </c>
      <c r="B3721" s="8" t="s">
        <v>450</v>
      </c>
      <c r="D3721" s="121" t="str">
        <f>HYPERLINK("http://www.prescott.va.gov/services/PODIATRY.ASP")</f>
        <v>http://www.prescott.va.gov/services/PODIATRY.ASP</v>
      </c>
      <c r="E3721" s="8" t="s">
        <v>392</v>
      </c>
    </row>
    <row r="3722" ht="14.25" hidden="1" customHeight="1">
      <c r="A3722" s="8" t="s">
        <v>2986</v>
      </c>
      <c r="B3722" s="8" t="s">
        <v>916</v>
      </c>
      <c r="D3722" s="121" t="str">
        <f>HYPERLINK("http://www.prescott.va.gov/services/PROSTHETICS_AND_SENSORY_AIDS_SERVICE.ASP")</f>
        <v>http://www.prescott.va.gov/services/PROSTHETICS_AND_SENSORY_AIDS_SERVICE.ASP</v>
      </c>
      <c r="E3722" s="8" t="s">
        <v>392</v>
      </c>
    </row>
    <row r="3723" ht="14.25" hidden="1" customHeight="1">
      <c r="A3723" s="8" t="s">
        <v>2986</v>
      </c>
      <c r="B3723" s="8" t="s">
        <v>2558</v>
      </c>
      <c r="D3723" s="121" t="str">
        <f>HYPERLINK("http://www.prescott.va.gov/services/PYSCHOSOCIAL_REHABILITATION_AND_RECOVERY_CENTER_PRRC.ASP")</f>
        <v>http://www.prescott.va.gov/services/PYSCHOSOCIAL_REHABILITATION_AND_RECOVERY_CENTER_PRRC.ASP</v>
      </c>
      <c r="E3723" s="8" t="s">
        <v>392</v>
      </c>
    </row>
    <row r="3724" ht="14.25" hidden="1" customHeight="1">
      <c r="A3724" s="8" t="s">
        <v>2986</v>
      </c>
      <c r="B3724" s="8" t="s">
        <v>505</v>
      </c>
      <c r="D3724" s="121" t="str">
        <f>HYPERLINK("http://www.prescott.va.gov/services/RECREATION_THERAPY.ASP")</f>
        <v>http://www.prescott.va.gov/services/RECREATION_THERAPY.ASP</v>
      </c>
      <c r="E3724" s="8" t="s">
        <v>392</v>
      </c>
    </row>
    <row r="3725" ht="14.25" hidden="1" customHeight="1">
      <c r="A3725" s="8" t="s">
        <v>2986</v>
      </c>
      <c r="B3725" s="8" t="s">
        <v>1069</v>
      </c>
      <c r="D3725" s="121" t="str">
        <f>HYPERLINK("http://www.prescott.va.gov/services/RESPITE_CARE_PROGRAM.ASP")</f>
        <v>http://www.prescott.va.gov/services/RESPITE_CARE_PROGRAM.ASP</v>
      </c>
      <c r="E3725" s="8" t="s">
        <v>392</v>
      </c>
    </row>
    <row r="3726" ht="14.25" hidden="1" customHeight="1">
      <c r="A3726" s="8" t="s">
        <v>2986</v>
      </c>
      <c r="B3726" s="8" t="s">
        <v>355</v>
      </c>
      <c r="D3726" s="121" t="str">
        <f>HYPERLINK("http://www.prescott.va.gov/services/RETURNING_SERVICE_MEMBERS.ASP")</f>
        <v>http://www.prescott.va.gov/services/RETURNING_SERVICE_MEMBERS.ASP</v>
      </c>
      <c r="E3726" s="8" t="s">
        <v>392</v>
      </c>
    </row>
    <row r="3727" ht="14.25" hidden="1" customHeight="1">
      <c r="A3727" s="8" t="s">
        <v>2986</v>
      </c>
      <c r="B3727" s="8" t="s">
        <v>925</v>
      </c>
      <c r="D3727" s="121" t="str">
        <f>HYPERLINK("http://www.prescott.va.gov/services/SOCIAL_WORK_SERVICE.ASP")</f>
        <v>http://www.prescott.va.gov/services/SOCIAL_WORK_SERVICE.ASP</v>
      </c>
      <c r="E3727" s="8" t="s">
        <v>392</v>
      </c>
    </row>
    <row r="3728" ht="14.25" hidden="1" customHeight="1">
      <c r="A3728" s="8" t="s">
        <v>2986</v>
      </c>
      <c r="B3728" s="8" t="s">
        <v>3878</v>
      </c>
      <c r="D3728" s="121" t="str">
        <f>HYPERLINK("http://www.prescott.va.gov/services/SPECIALTY_CLINIC_LAB_MICROBIOLOGY.ASP")</f>
        <v>http://www.prescott.va.gov/services/SPECIALTY_CLINIC_LAB_MICROBIOLOGY.ASP</v>
      </c>
      <c r="E3728" s="8" t="s">
        <v>392</v>
      </c>
    </row>
    <row r="3729" ht="14.25" hidden="1" customHeight="1">
      <c r="A3729" s="8" t="s">
        <v>2986</v>
      </c>
      <c r="B3729" s="8" t="s">
        <v>804</v>
      </c>
      <c r="D3729" s="121" t="str">
        <f>HYPERLINK("http://www.prescott.va.gov/services/SPEECH_PATHOLOGY.ASP")</f>
        <v>http://www.prescott.va.gov/services/SPEECH_PATHOLOGY.ASP</v>
      </c>
      <c r="E3729" s="8" t="s">
        <v>392</v>
      </c>
    </row>
    <row r="3730" ht="14.25" hidden="1" customHeight="1">
      <c r="A3730" s="8" t="s">
        <v>2986</v>
      </c>
      <c r="B3730" s="8" t="s">
        <v>617</v>
      </c>
      <c r="D3730" s="121" t="str">
        <f>HYPERLINK("http://www.prescott.va.gov/services/SUICIDE_PREVENTION_PROGRAM.ASP")</f>
        <v>http://www.prescott.va.gov/services/SUICIDE_PREVENTION_PROGRAM.ASP</v>
      </c>
      <c r="E3730" s="8" t="s">
        <v>392</v>
      </c>
    </row>
    <row r="3731" ht="14.25" hidden="1" customHeight="1">
      <c r="A3731" s="8" t="s">
        <v>2986</v>
      </c>
      <c r="B3731" s="8" t="s">
        <v>620</v>
      </c>
      <c r="D3731" s="121" t="str">
        <f>HYPERLINK("http://www.prescott.va.gov/services/TELE_NURSE_TRIAGE_AFTER_HOURS_PROGRAM.ASP")</f>
        <v>http://www.prescott.va.gov/services/TELE_NURSE_TRIAGE_AFTER_HOURS_PROGRAM.ASP</v>
      </c>
      <c r="E3731" s="8" t="s">
        <v>392</v>
      </c>
    </row>
    <row r="3732" ht="14.25" hidden="1" customHeight="1">
      <c r="A3732" s="8" t="s">
        <v>2986</v>
      </c>
      <c r="B3732" s="8" t="s">
        <v>3879</v>
      </c>
      <c r="D3732" s="121" t="str">
        <f>HYPERLINK("http://www.prescott.va.gov/services/TELEHEALTH_HOME_TELEHEALTH_OVERVIEW.ASP")</f>
        <v>http://www.prescott.va.gov/services/TELEHEALTH_HOME_TELEHEALTH_OVERVIEW.ASP</v>
      </c>
      <c r="E3732" s="8" t="s">
        <v>392</v>
      </c>
    </row>
    <row r="3733" ht="14.25" hidden="1" customHeight="1">
      <c r="A3733" s="8" t="s">
        <v>2986</v>
      </c>
      <c r="B3733" s="8" t="s">
        <v>735</v>
      </c>
      <c r="D3733" s="121" t="str">
        <f>HYPERLINK("http://www.prescott.va.gov/services/TOBACCO_CESSATION.ASP")</f>
        <v>http://www.prescott.va.gov/services/TOBACCO_CESSATION.ASP</v>
      </c>
      <c r="E3733" s="8" t="s">
        <v>392</v>
      </c>
    </row>
    <row r="3734" ht="14.25" hidden="1" customHeight="1">
      <c r="A3734" s="8" t="s">
        <v>2986</v>
      </c>
      <c r="B3734" s="8" t="s">
        <v>3012</v>
      </c>
      <c r="D3734" s="121" t="str">
        <f>HYPERLINK("http://www.prescott.va.gov/services/TRANSPLANT_PROGRAM.ASP")</f>
        <v>http://www.prescott.va.gov/services/TRANSPLANT_PROGRAM.ASP</v>
      </c>
      <c r="E3734" s="8" t="s">
        <v>392</v>
      </c>
    </row>
    <row r="3735" ht="14.25" hidden="1" customHeight="1">
      <c r="A3735" s="8" t="s">
        <v>2986</v>
      </c>
      <c r="B3735" s="8" t="s">
        <v>469</v>
      </c>
      <c r="D3735" s="121" t="str">
        <f>HYPERLINK("http://www.prescott.va.gov/services/UROLOGY.ASP")</f>
        <v>http://www.prescott.va.gov/services/UROLOGY.ASP</v>
      </c>
      <c r="E3735" s="8" t="s">
        <v>392</v>
      </c>
    </row>
    <row r="3736" ht="14.25" hidden="1" customHeight="1">
      <c r="A3736" s="8" t="s">
        <v>2986</v>
      </c>
      <c r="B3736" s="8" t="s">
        <v>1273</v>
      </c>
      <c r="D3736" s="121" t="str">
        <f>HYPERLINK("http://www.prescott.va.gov/services/PATIENT_HEALTH_EDUCATION.ASP")</f>
        <v>http://www.prescott.va.gov/services/PATIENT_HEALTH_EDUCATION.ASP</v>
      </c>
      <c r="E3736" s="8" t="s">
        <v>392</v>
      </c>
    </row>
    <row r="3737" ht="14.25" hidden="1" customHeight="1">
      <c r="A3737" s="8" t="s">
        <v>2986</v>
      </c>
      <c r="B3737" s="8" t="s">
        <v>512</v>
      </c>
      <c r="D3737" s="121" t="str">
        <f>HYPERLINK("http://www.prescott.va.gov/services/VETERAN_SERVICE_ORGANIZATIONS.ASP")</f>
        <v>http://www.prescott.va.gov/services/VETERAN_SERVICE_ORGANIZATIONS.ASP</v>
      </c>
      <c r="E3737" s="8" t="s">
        <v>392</v>
      </c>
    </row>
    <row r="3738" ht="14.25" hidden="1" customHeight="1">
      <c r="A3738" s="8" t="s">
        <v>2986</v>
      </c>
      <c r="B3738" s="8" t="s">
        <v>3880</v>
      </c>
      <c r="D3738" s="121" t="str">
        <f>HYPERLINK("http://www.prescott.va.gov/services/VETERANS_JUSTICE_OUTREACH_PROGRAM_VJO.ASP")</f>
        <v>http://www.prescott.va.gov/services/VETERANS_JUSTICE_OUTREACH_PROGRAM_VJO.ASP</v>
      </c>
      <c r="E3738" s="8" t="s">
        <v>392</v>
      </c>
    </row>
    <row r="3739" ht="14.25" hidden="1" customHeight="1">
      <c r="A3739" s="8" t="s">
        <v>2986</v>
      </c>
      <c r="B3739" s="8" t="s">
        <v>518</v>
      </c>
      <c r="D3739" s="121" t="str">
        <f>HYPERLINK("http://www.prescott.va.gov/services/VOLUNTARY_SERVICE.ASP")</f>
        <v>http://www.prescott.va.gov/services/VOLUNTARY_SERVICE.ASP</v>
      </c>
      <c r="E3739" s="8" t="s">
        <v>392</v>
      </c>
    </row>
    <row r="3740" ht="14.25" hidden="1" customHeight="1">
      <c r="A3740" s="8" t="s">
        <v>2986</v>
      </c>
      <c r="B3740" s="8" t="s">
        <v>472</v>
      </c>
      <c r="D3740" s="121" t="str">
        <f>HYPERLINK("http://www.prescott.va.gov/services/WOMEN_S_HEALTH.ASP")</f>
        <v>http://www.prescott.va.gov/services/WOMEN_S_HEALTH.ASP</v>
      </c>
      <c r="E3740" s="8" t="s">
        <v>392</v>
      </c>
    </row>
    <row r="3741" ht="14.25" hidden="1" customHeight="1">
      <c r="A3741" s="8" t="s">
        <v>2990</v>
      </c>
      <c r="B3741" s="8" t="s">
        <v>3881</v>
      </c>
      <c r="D3741" s="121" t="str">
        <f>HYPERLINK("http://www.providence.va.gov/services/ALS.ASP")</f>
        <v>http://www.providence.va.gov/services/ALS.ASP</v>
      </c>
      <c r="E3741" s="8" t="s">
        <v>392</v>
      </c>
    </row>
    <row r="3742" ht="14.25" hidden="1" customHeight="1">
      <c r="A3742" s="8" t="s">
        <v>2990</v>
      </c>
      <c r="B3742" s="8" t="s">
        <v>244</v>
      </c>
      <c r="D3742" s="121" t="str">
        <f>HYPERLINK("http://www.providence.va.gov/services/AUDIOLOGY.ASP")</f>
        <v>http://www.providence.va.gov/services/AUDIOLOGY.ASP</v>
      </c>
      <c r="E3742" s="8" t="s">
        <v>392</v>
      </c>
    </row>
    <row r="3743" ht="14.25" hidden="1" customHeight="1">
      <c r="A3743" s="8" t="s">
        <v>2990</v>
      </c>
      <c r="B3743" s="8" t="s">
        <v>300</v>
      </c>
      <c r="D3743" s="121" t="str">
        <f>HYPERLINK("http://www.providence.va.gov/services/CAREGIVER_PROGRAM.ASP")</f>
        <v>http://www.providence.va.gov/services/CAREGIVER_PROGRAM.ASP</v>
      </c>
      <c r="E3743" s="8" t="s">
        <v>392</v>
      </c>
    </row>
    <row r="3744" ht="14.25" hidden="1" customHeight="1">
      <c r="A3744" s="8" t="s">
        <v>2990</v>
      </c>
      <c r="B3744" s="8" t="s">
        <v>478</v>
      </c>
      <c r="D3744" s="121" t="str">
        <f>HYPERLINK("http://www.providence.va.gov/services/CHAPEL.ASP")</f>
        <v>http://www.providence.va.gov/services/CHAPEL.ASP</v>
      </c>
      <c r="E3744" s="8" t="s">
        <v>392</v>
      </c>
    </row>
    <row r="3745" ht="14.25" hidden="1" customHeight="1">
      <c r="A3745" s="8" t="s">
        <v>2990</v>
      </c>
      <c r="B3745" s="8" t="s">
        <v>556</v>
      </c>
      <c r="D3745" s="121" t="str">
        <f>HYPERLINK("http://www.providence.va.gov/services/GERIATRICS_AND_EXTENDED_CARE.ASP")</f>
        <v>http://www.providence.va.gov/services/GERIATRICS_AND_EXTENDED_CARE.ASP</v>
      </c>
      <c r="E3745" s="8" t="s">
        <v>392</v>
      </c>
    </row>
    <row r="3746" ht="14.25" hidden="1" customHeight="1">
      <c r="A3746" s="8" t="s">
        <v>2990</v>
      </c>
      <c r="B3746" s="8" t="s">
        <v>3882</v>
      </c>
      <c r="D3746" s="121" t="str">
        <f>HYPERLINK("http://www.providence.va.gov/services/INTEGRATIVE_HEALTH_AND_WELLNESS_CENTER.ASP")</f>
        <v>http://www.providence.va.gov/services/INTEGRATIVE_HEALTH_AND_WELLNESS_CENTER.ASP</v>
      </c>
      <c r="E3746" s="8" t="s">
        <v>392</v>
      </c>
    </row>
    <row r="3747" ht="14.25" hidden="1" customHeight="1">
      <c r="A3747" s="8" t="s">
        <v>2990</v>
      </c>
      <c r="B3747" s="8" t="s">
        <v>952</v>
      </c>
      <c r="D3747" s="121" t="str">
        <f>HYPERLINK("http://www.providence.va.gov/services/GAY_LESBIAN_BISEXUAL_AND_TRANSGENDER_VETERANS.ASP")</f>
        <v>http://www.providence.va.gov/services/GAY_LESBIAN_BISEXUAL_AND_TRANSGENDER_VETERANS.ASP</v>
      </c>
      <c r="E3747" s="8" t="s">
        <v>392</v>
      </c>
    </row>
    <row r="3748" ht="14.25" hidden="1" customHeight="1">
      <c r="A3748" s="8" t="s">
        <v>2990</v>
      </c>
      <c r="B3748" s="8" t="s">
        <v>481</v>
      </c>
      <c r="D3748" s="121" t="str">
        <f>HYPERLINK("http://www.providence.va.gov/services/LIBRARY.ASP")</f>
        <v>http://www.providence.va.gov/services/LIBRARY.ASP</v>
      </c>
      <c r="E3748" s="8" t="s">
        <v>392</v>
      </c>
    </row>
    <row r="3749" ht="14.25" hidden="1" customHeight="1">
      <c r="A3749" s="8" t="s">
        <v>2990</v>
      </c>
      <c r="B3749" s="8" t="s">
        <v>323</v>
      </c>
      <c r="D3749" s="121" t="str">
        <f t="shared" ref="D3749:D3750" si="42">HYPERLINK("http://www.providence.va.gov/services/MENTAL_HEALTH_BEHAVIORAL_SERVICE_MHBS.ASP")</f>
        <v>http://www.providence.va.gov/services/MENTAL_HEALTH_BEHAVIORAL_SERVICE_MHBS.ASP</v>
      </c>
      <c r="E3749" s="8" t="s">
        <v>392</v>
      </c>
    </row>
    <row r="3750" ht="14.25" hidden="1" customHeight="1">
      <c r="A3750" s="8" t="s">
        <v>2990</v>
      </c>
      <c r="B3750" s="8" t="s">
        <v>3883</v>
      </c>
      <c r="D3750" s="121" t="str">
        <f t="shared" si="42"/>
        <v>http://www.providence.va.gov/services/MENTAL_HEALTH_BEHAVIORAL_SERVICE_MHBS.ASP</v>
      </c>
      <c r="E3750" s="8" t="s">
        <v>595</v>
      </c>
    </row>
    <row r="3751" ht="14.25" hidden="1" customHeight="1">
      <c r="A3751" s="8" t="s">
        <v>2990</v>
      </c>
      <c r="B3751" s="8" t="s">
        <v>3884</v>
      </c>
      <c r="D3751" s="121" t="str">
        <f>HYPERLINK("http://www.providence.va.gov/services/ONCOLOGY_HEMATOLOGY.ASP")</f>
        <v>http://www.providence.va.gov/services/ONCOLOGY_HEMATOLOGY.ASP</v>
      </c>
      <c r="E3751" s="8" t="s">
        <v>392</v>
      </c>
    </row>
    <row r="3752" ht="14.25" hidden="1" customHeight="1">
      <c r="A3752" s="8" t="s">
        <v>2990</v>
      </c>
      <c r="B3752" s="8" t="s">
        <v>343</v>
      </c>
      <c r="D3752" s="121" t="str">
        <f>HYPERLINK("http://www.providence.va.gov/services/PHARMACY.ASP")</f>
        <v>http://www.providence.va.gov/services/PHARMACY.ASP</v>
      </c>
      <c r="E3752" s="8" t="s">
        <v>392</v>
      </c>
    </row>
    <row r="3753" ht="14.25" hidden="1" customHeight="1">
      <c r="A3753" s="8" t="s">
        <v>2990</v>
      </c>
      <c r="B3753" s="8" t="s">
        <v>964</v>
      </c>
      <c r="D3753" s="121" t="str">
        <f>HYPERLINK("http://www.providence.va.gov/services/PSYCHOSOCIAL_REHABILITATION_AND_RECOVERY_CENTER_PRRC.ASP")</f>
        <v>http://www.providence.va.gov/services/PSYCHOSOCIAL_REHABILITATION_AND_RECOVERY_CENTER_PRRC.ASP</v>
      </c>
      <c r="E3753" s="8" t="s">
        <v>392</v>
      </c>
    </row>
    <row r="3754" ht="14.25" hidden="1" customHeight="1">
      <c r="A3754" s="8" t="s">
        <v>2990</v>
      </c>
      <c r="B3754" s="8" t="s">
        <v>708</v>
      </c>
      <c r="D3754" s="121" t="str">
        <f>HYPERLINK("http://www.providence.va.gov/services/RELEASE_OF_INFORMATION.ASP")</f>
        <v>http://www.providence.va.gov/services/RELEASE_OF_INFORMATION.ASP</v>
      </c>
      <c r="E3754" s="8" t="s">
        <v>392</v>
      </c>
    </row>
    <row r="3755" ht="14.25" hidden="1" customHeight="1">
      <c r="A3755" s="8" t="s">
        <v>2990</v>
      </c>
      <c r="B3755" s="8" t="s">
        <v>3885</v>
      </c>
      <c r="D3755" s="121" t="str">
        <f>HYPERLINK("http://www.providence.va.gov/services/SENSORY_PHYSICAL_REHABILITATION_SERVICE_LINE_SPRSL.ASP")</f>
        <v>http://www.providence.va.gov/services/SENSORY_PHYSICAL_REHABILITATION_SERVICE_LINE_SPRSL.ASP</v>
      </c>
      <c r="E3755" s="8" t="s">
        <v>392</v>
      </c>
    </row>
    <row r="3756" ht="14.25" hidden="1" customHeight="1">
      <c r="A3756" s="8" t="s">
        <v>2990</v>
      </c>
      <c r="B3756" s="8" t="s">
        <v>866</v>
      </c>
      <c r="D3756" s="121" t="str">
        <f>HYPERLINK("http://www.providence.va.gov/services/SOCIAL_WORK_SERVICES.ASP")</f>
        <v>http://www.providence.va.gov/services/SOCIAL_WORK_SERVICES.ASP</v>
      </c>
      <c r="E3756" s="8" t="s">
        <v>392</v>
      </c>
    </row>
    <row r="3757" ht="14.25" hidden="1" customHeight="1">
      <c r="A3757" s="8" t="s">
        <v>2990</v>
      </c>
      <c r="B3757" s="8" t="s">
        <v>1202</v>
      </c>
      <c r="D3757" s="121" t="str">
        <f t="shared" ref="D3757:D3758" si="43">HYPERLINK("http://www.providence.va.gov/services/RETURNING_SERVICE_MEMBERS.ASP")</f>
        <v>http://www.providence.va.gov/services/RETURNING_SERVICE_MEMBERS.ASP</v>
      </c>
      <c r="E3757" s="8" t="s">
        <v>595</v>
      </c>
    </row>
    <row r="3758" ht="14.25" hidden="1" customHeight="1">
      <c r="A3758" s="8" t="s">
        <v>2990</v>
      </c>
      <c r="B3758" s="8" t="s">
        <v>3886</v>
      </c>
      <c r="D3758" s="121" t="str">
        <f t="shared" si="43"/>
        <v>http://www.providence.va.gov/services/RETURNING_SERVICE_MEMBERS.ASP</v>
      </c>
      <c r="E3758" s="8" t="s">
        <v>392</v>
      </c>
    </row>
    <row r="3759" ht="14.25" hidden="1" customHeight="1">
      <c r="A3759" s="8" t="s">
        <v>2990</v>
      </c>
      <c r="B3759" s="8" t="s">
        <v>1950</v>
      </c>
      <c r="D3759" s="121" t="str">
        <f>HYPERLINK("http://www.providence.va.gov/services/TRANSPORTATION.ASP")</f>
        <v>http://www.providence.va.gov/services/TRANSPORTATION.ASP</v>
      </c>
      <c r="E3759" s="8" t="s">
        <v>392</v>
      </c>
    </row>
    <row r="3760" ht="14.25" hidden="1" customHeight="1">
      <c r="A3760" s="8" t="s">
        <v>3051</v>
      </c>
      <c r="B3760" s="8" t="s">
        <v>3887</v>
      </c>
      <c r="D3760" s="121" t="str">
        <f>HYPERLINK("http://www.pugetsound.va.gov/services/ADDICTION_TREATMENT_CENTER.ASP")</f>
        <v>http://www.pugetsound.va.gov/services/ADDICTION_TREATMENT_CENTER.ASP</v>
      </c>
      <c r="E3760" s="8" t="s">
        <v>392</v>
      </c>
    </row>
    <row r="3761" ht="14.25" hidden="1" customHeight="1">
      <c r="A3761" s="8" t="s">
        <v>3051</v>
      </c>
      <c r="B3761" s="8" t="s">
        <v>244</v>
      </c>
      <c r="D3761" s="121" t="str">
        <f>HYPERLINK("http://www.pugetsound.va.gov/services/AUDIOLOGY.ASP")</f>
        <v>http://www.pugetsound.va.gov/services/AUDIOLOGY.ASP</v>
      </c>
      <c r="E3761" s="8" t="s">
        <v>392</v>
      </c>
    </row>
    <row r="3762" ht="14.25" hidden="1" customHeight="1">
      <c r="A3762" s="8" t="s">
        <v>3051</v>
      </c>
      <c r="B3762" s="8" t="s">
        <v>3888</v>
      </c>
      <c r="D3762" s="121" t="str">
        <f>HYPERLINK("http://www.pugetsound.va.gov/services/HEALTH_PLAN_MANAGEMENT.ASP")</f>
        <v>http://www.pugetsound.va.gov/services/HEALTH_PLAN_MANAGEMENT.ASP</v>
      </c>
      <c r="E3762" s="8" t="s">
        <v>595</v>
      </c>
    </row>
    <row r="3763" ht="14.25" hidden="1" customHeight="1">
      <c r="A3763" s="8" t="s">
        <v>3051</v>
      </c>
      <c r="B3763" s="8" t="s">
        <v>862</v>
      </c>
      <c r="D3763" s="121" t="str">
        <f>HYPERLINK("http://www.pugetsound.va.gov/services/BLINDREHAB.ASP")</f>
        <v>http://www.pugetsound.va.gov/services/BLINDREHAB.ASP</v>
      </c>
      <c r="E3763" s="8" t="s">
        <v>392</v>
      </c>
    </row>
    <row r="3764" ht="14.25" hidden="1" customHeight="1">
      <c r="A3764" s="8" t="s">
        <v>3051</v>
      </c>
      <c r="B3764" s="8" t="s">
        <v>1918</v>
      </c>
      <c r="D3764" s="121" t="str">
        <f>HYPERLINK("http://www.pugetsound.va.gov/services/CANCERPROGRAM.ASP")</f>
        <v>http://www.pugetsound.va.gov/services/CANCERPROGRAM.ASP</v>
      </c>
      <c r="E3764" s="8" t="s">
        <v>392</v>
      </c>
    </row>
    <row r="3765" ht="14.25" hidden="1" customHeight="1">
      <c r="A3765" s="8" t="s">
        <v>3051</v>
      </c>
      <c r="B3765" s="8" t="s">
        <v>478</v>
      </c>
      <c r="D3765" s="121" t="str">
        <f>HYPERLINK("http://www.pugetsound.va.gov/services/CHAPLAIN.ASP")</f>
        <v>http://www.pugetsound.va.gov/services/CHAPLAIN.ASP</v>
      </c>
      <c r="E3765" s="8" t="s">
        <v>392</v>
      </c>
    </row>
    <row r="3766" ht="14.25" hidden="1" customHeight="1">
      <c r="A3766" s="8" t="s">
        <v>3051</v>
      </c>
      <c r="B3766" s="8" t="s">
        <v>2651</v>
      </c>
      <c r="D3766" s="121" t="str">
        <f>HYPERLINK("http://www.pugetsound.va.gov/services/CLINICAL_PASTORAL_EDUCATION.ASP")</f>
        <v>http://www.pugetsound.va.gov/services/CLINICAL_PASTORAL_EDUCATION.ASP</v>
      </c>
      <c r="E3766" s="8" t="s">
        <v>392</v>
      </c>
    </row>
    <row r="3767" ht="14.25" hidden="1" customHeight="1">
      <c r="A3767" s="8" t="s">
        <v>3051</v>
      </c>
      <c r="B3767" s="8" t="s">
        <v>2966</v>
      </c>
      <c r="D3767" s="121" t="str">
        <f>HYPERLINK("http://www.pugetsound.va.gov/services/CRS.ASP")</f>
        <v>http://www.pugetsound.va.gov/services/CRS.ASP</v>
      </c>
      <c r="E3767" s="8" t="s">
        <v>392</v>
      </c>
    </row>
    <row r="3768" ht="14.25" hidden="1" customHeight="1">
      <c r="A3768" s="8" t="s">
        <v>3051</v>
      </c>
      <c r="B3768" s="8" t="s">
        <v>483</v>
      </c>
      <c r="D3768" s="121" t="str">
        <f>HYPERLINK("http://www.pugetsound.va.gov/services/DECEDENT_AFFAIRS.ASP")</f>
        <v>http://www.pugetsound.va.gov/services/DECEDENT_AFFAIRS.ASP</v>
      </c>
      <c r="E3768" s="8" t="s">
        <v>392</v>
      </c>
    </row>
    <row r="3769" ht="14.25" hidden="1" customHeight="1">
      <c r="A3769" s="8" t="s">
        <v>3051</v>
      </c>
      <c r="B3769" s="8" t="s">
        <v>842</v>
      </c>
      <c r="D3769" s="121" t="str">
        <f>HYPERLINK("http://www.pugetsound.va.gov/services/DIAGNOSTIC_IMAGING.ASP")</f>
        <v>http://www.pugetsound.va.gov/services/DIAGNOSTIC_IMAGING.ASP</v>
      </c>
      <c r="E3769" s="8" t="s">
        <v>392</v>
      </c>
    </row>
    <row r="3770" ht="14.25" hidden="1" customHeight="1">
      <c r="A3770" s="8" t="s">
        <v>3051</v>
      </c>
      <c r="B3770" s="8" t="s">
        <v>1481</v>
      </c>
      <c r="D3770" s="121" t="str">
        <f>HYPERLINK("http://www.pugetsound.va.gov/services/EPILEPSY.ASP")</f>
        <v>http://www.pugetsound.va.gov/services/EPILEPSY.ASP</v>
      </c>
      <c r="E3770" s="8" t="s">
        <v>392</v>
      </c>
    </row>
    <row r="3771" ht="14.25" hidden="1" customHeight="1">
      <c r="A3771" s="8" t="s">
        <v>3051</v>
      </c>
      <c r="B3771" s="8" t="s">
        <v>987</v>
      </c>
      <c r="D3771" s="121" t="str">
        <f>HYPERLINK("http://www.pugetsound.va.gov/services/FITNESS_CENTER.ASP")</f>
        <v>http://www.pugetsound.va.gov/services/FITNESS_CENTER.ASP</v>
      </c>
      <c r="E3771" s="8" t="s">
        <v>392</v>
      </c>
    </row>
    <row r="3772" ht="14.25" hidden="1" customHeight="1">
      <c r="A3772" s="8" t="s">
        <v>3051</v>
      </c>
      <c r="B3772" s="8" t="s">
        <v>3889</v>
      </c>
      <c r="D3772" s="121" t="str">
        <f>HYPERLINK("http://www.pugetsound.va.gov/services/HEALTH_PLAN_MANAGEMENT.ASP")</f>
        <v>http://www.pugetsound.va.gov/services/HEALTH_PLAN_MANAGEMENT.ASP</v>
      </c>
      <c r="E3772" s="8" t="s">
        <v>392</v>
      </c>
    </row>
    <row r="3773" ht="14.25" hidden="1" customHeight="1">
      <c r="A3773" s="8" t="s">
        <v>3051</v>
      </c>
      <c r="B3773" s="8" t="s">
        <v>2183</v>
      </c>
      <c r="D3773" s="121" t="str">
        <f>HYPERLINK("http://www.pugetsound.va.gov/services/LESBIAN_GAY_BISEXUAL_AND_TRANSGENDER_VETERANS.ASP")</f>
        <v>http://www.pugetsound.va.gov/services/LESBIAN_GAY_BISEXUAL_AND_TRANSGENDER_VETERANS.ASP</v>
      </c>
      <c r="E3773" s="8" t="s">
        <v>392</v>
      </c>
    </row>
    <row r="3774" ht="14.25" hidden="1" customHeight="1">
      <c r="A3774" s="8" t="s">
        <v>3051</v>
      </c>
      <c r="B3774" s="8" t="s">
        <v>658</v>
      </c>
      <c r="D3774" s="121" t="str">
        <f>HYPERLINK("http://www.pugetsound.va.gov/services/MOVE_PROGRAM.ASP")</f>
        <v>http://www.pugetsound.va.gov/services/MOVE_PROGRAM.ASP</v>
      </c>
      <c r="E3774" s="8" t="s">
        <v>392</v>
      </c>
    </row>
    <row r="3775" ht="14.25" hidden="1" customHeight="1">
      <c r="A3775" s="8" t="s">
        <v>3051</v>
      </c>
      <c r="B3775" s="8" t="s">
        <v>323</v>
      </c>
      <c r="D3775" s="121" t="str">
        <f>HYPERLINK("http://www.pugetsound.va.gov/services/MENTALHEALTH.ASP")</f>
        <v>http://www.pugetsound.va.gov/services/MENTALHEALTH.ASP</v>
      </c>
      <c r="E3775" s="8" t="s">
        <v>392</v>
      </c>
    </row>
    <row r="3776" ht="14.25" hidden="1" customHeight="1">
      <c r="A3776" s="8" t="s">
        <v>3051</v>
      </c>
      <c r="B3776" s="8" t="s">
        <v>3890</v>
      </c>
      <c r="D3776" s="121" t="str">
        <f>HYPERLINK("http://www.pugetsound.va.gov/services/MINDFULNESS.ASP")</f>
        <v>http://www.pugetsound.va.gov/services/MINDFULNESS.ASP</v>
      </c>
      <c r="E3776" s="8" t="s">
        <v>392</v>
      </c>
    </row>
    <row r="3777" ht="14.25" hidden="1" customHeight="1">
      <c r="A3777" s="8" t="s">
        <v>3051</v>
      </c>
      <c r="B3777" s="8" t="s">
        <v>326</v>
      </c>
      <c r="D3777" s="121" t="str">
        <f>HYPERLINK("http://www.pugetsound.va.gov/services/MINORITYVETSPROGRAM.ASP")</f>
        <v>http://www.pugetsound.va.gov/services/MINORITYVETSPROGRAM.ASP</v>
      </c>
      <c r="E3777" s="8" t="s">
        <v>392</v>
      </c>
    </row>
    <row r="3778" ht="14.25" hidden="1" customHeight="1">
      <c r="A3778" s="8" t="s">
        <v>3051</v>
      </c>
      <c r="B3778" s="8" t="s">
        <v>1257</v>
      </c>
      <c r="D3778" s="121" t="str">
        <f>HYPERLINK("http://www.pugetsound.va.gov/services/PTSD.ASP")</f>
        <v>http://www.pugetsound.va.gov/services/PTSD.ASP</v>
      </c>
      <c r="E3778" s="8" t="s">
        <v>392</v>
      </c>
    </row>
    <row r="3779" ht="14.25" hidden="1" customHeight="1">
      <c r="A3779" s="8" t="s">
        <v>3051</v>
      </c>
      <c r="B3779" s="8" t="s">
        <v>2065</v>
      </c>
      <c r="D3779" s="121" t="str">
        <f>HYPERLINK("http://www.pugetsound.va.gov/services/FUNCTIONAL_RESTORATION_PROGRAM_FRP.ASP")</f>
        <v>http://www.pugetsound.va.gov/services/FUNCTIONAL_RESTORATION_PROGRAM_FRP.ASP</v>
      </c>
      <c r="E3779" s="8" t="s">
        <v>392</v>
      </c>
    </row>
    <row r="3780" ht="14.25" hidden="1" customHeight="1">
      <c r="A3780" s="8" t="s">
        <v>3051</v>
      </c>
      <c r="B3780" s="8" t="s">
        <v>2463</v>
      </c>
      <c r="D3780" s="121" t="str">
        <f>HYPERLINK("http://www.pugetsound.va.gov/services/HEALTHY_LIVING_CLASSES.ASP")</f>
        <v>http://www.pugetsound.va.gov/services/HEALTHY_LIVING_CLASSES.ASP</v>
      </c>
      <c r="E3780" s="8" t="s">
        <v>392</v>
      </c>
    </row>
    <row r="3781" ht="14.25" hidden="1" customHeight="1">
      <c r="A3781" s="8" t="s">
        <v>3051</v>
      </c>
      <c r="B3781" s="8" t="s">
        <v>343</v>
      </c>
      <c r="D3781" s="121" t="str">
        <f>HYPERLINK("http://www.pugetsound.va.gov/services/PHARMACY.ASP")</f>
        <v>http://www.pugetsound.va.gov/services/PHARMACY.ASP</v>
      </c>
      <c r="E3781" s="8" t="s">
        <v>392</v>
      </c>
    </row>
    <row r="3782" ht="14.25" hidden="1" customHeight="1">
      <c r="A3782" s="8" t="s">
        <v>3051</v>
      </c>
      <c r="B3782" s="8" t="s">
        <v>348</v>
      </c>
      <c r="D3782" s="121" t="str">
        <f>HYPERLINK("http://www.pugetsound.va.gov/services/PRIMARY.ASP")</f>
        <v>http://www.pugetsound.va.gov/services/PRIMARY.ASP</v>
      </c>
      <c r="E3782" s="8" t="s">
        <v>392</v>
      </c>
    </row>
    <row r="3783" ht="14.25" hidden="1" customHeight="1">
      <c r="A3783" s="8" t="s">
        <v>3051</v>
      </c>
      <c r="B3783" s="8" t="s">
        <v>3891</v>
      </c>
      <c r="D3783" s="121" t="str">
        <f>HYPERLINK("http://www.pugetsound.va.gov/services/REHABCARE.ASP")</f>
        <v>http://www.pugetsound.va.gov/services/REHABCARE.ASP</v>
      </c>
      <c r="E3783" s="8" t="s">
        <v>392</v>
      </c>
    </row>
    <row r="3784" ht="14.25" hidden="1" customHeight="1">
      <c r="A3784" s="8" t="s">
        <v>3051</v>
      </c>
      <c r="B3784" s="8" t="s">
        <v>1312</v>
      </c>
      <c r="D3784" s="121" t="str">
        <f>HYPERLINK("http://www.pugetsound.va.gov/services/RESEARCH.ASP")</f>
        <v>http://www.pugetsound.va.gov/services/RESEARCH.ASP</v>
      </c>
      <c r="E3784" s="8" t="s">
        <v>392</v>
      </c>
    </row>
    <row r="3785" ht="14.25" hidden="1" customHeight="1">
      <c r="A3785" s="8" t="s">
        <v>3051</v>
      </c>
      <c r="B3785" s="8" t="s">
        <v>360</v>
      </c>
      <c r="D3785" s="121" t="str">
        <f>HYPERLINK("http://www.pugetsound.va.gov/services/SOCIALWORK.ASP")</f>
        <v>http://www.pugetsound.va.gov/services/SOCIALWORK.ASP</v>
      </c>
      <c r="E3785" s="8" t="s">
        <v>392</v>
      </c>
    </row>
    <row r="3786" ht="14.25" hidden="1" customHeight="1">
      <c r="A3786" s="8" t="s">
        <v>3051</v>
      </c>
      <c r="B3786" s="8" t="s">
        <v>363</v>
      </c>
      <c r="D3786" s="121" t="str">
        <f>HYPERLINK("http://www.pugetsound.va.gov/services/SPECIALTY.ASP")</f>
        <v>http://www.pugetsound.va.gov/services/SPECIALTY.ASP</v>
      </c>
      <c r="E3786" s="8" t="s">
        <v>392</v>
      </c>
    </row>
    <row r="3787" ht="14.25" hidden="1" customHeight="1">
      <c r="A3787" s="8" t="s">
        <v>3051</v>
      </c>
      <c r="B3787" s="8" t="s">
        <v>364</v>
      </c>
      <c r="D3787" s="121" t="str">
        <f>HYPERLINK("http://www.pugetsound.va.gov/services/SCI.ASP")</f>
        <v>http://www.pugetsound.va.gov/services/SCI.ASP</v>
      </c>
      <c r="E3787" s="8" t="s">
        <v>392</v>
      </c>
    </row>
    <row r="3788" ht="14.25" hidden="1" customHeight="1">
      <c r="A3788" s="8" t="s">
        <v>3051</v>
      </c>
      <c r="B3788" s="8" t="s">
        <v>3892</v>
      </c>
      <c r="D3788" s="121" t="str">
        <f>HYPERLINK("http://www.pugetsound.va.gov/services/URGENTCARE.ASP")</f>
        <v>http://www.pugetsound.va.gov/services/URGENTCARE.ASP</v>
      </c>
      <c r="E3788" s="8" t="s">
        <v>392</v>
      </c>
    </row>
    <row r="3789" ht="14.25" hidden="1" customHeight="1">
      <c r="A3789" s="8" t="s">
        <v>3085</v>
      </c>
      <c r="B3789" s="8" t="s">
        <v>300</v>
      </c>
      <c r="D3789" s="121" t="str">
        <f>HYPERLINK("http://www.reno.va.gov/services/CAREGIVER_PROGRAM.ASP")</f>
        <v>http://www.reno.va.gov/services/CAREGIVER_PROGRAM.ASP</v>
      </c>
      <c r="E3789" s="8" t="s">
        <v>392</v>
      </c>
    </row>
    <row r="3790" ht="14.25" hidden="1" customHeight="1">
      <c r="A3790" s="8" t="s">
        <v>3085</v>
      </c>
      <c r="B3790" s="8" t="s">
        <v>312</v>
      </c>
      <c r="D3790" s="121" t="str">
        <f>HYPERLINK("http://www.reno.va.gov/services/HOMELESS_VETERANS.ASP")</f>
        <v>http://www.reno.va.gov/services/HOMELESS_VETERANS.ASP</v>
      </c>
      <c r="E3790" s="8" t="s">
        <v>392</v>
      </c>
    </row>
    <row r="3791" ht="14.25" hidden="1" customHeight="1">
      <c r="A3791" s="8" t="s">
        <v>3085</v>
      </c>
      <c r="B3791" s="8" t="s">
        <v>437</v>
      </c>
      <c r="D3791" s="121" t="str">
        <f>HYPERLINK("http://www.reno.va.gov/services/HOSPICE_AND_PALLIATIVE_CARE.ASP")</f>
        <v>http://www.reno.va.gov/services/HOSPICE_AND_PALLIATIVE_CARE.ASP</v>
      </c>
      <c r="E3791" s="8" t="s">
        <v>392</v>
      </c>
    </row>
    <row r="3792" ht="14.25" hidden="1" customHeight="1">
      <c r="A3792" s="8" t="s">
        <v>3085</v>
      </c>
      <c r="B3792" s="8" t="s">
        <v>523</v>
      </c>
      <c r="D3792" s="121" t="str">
        <f>HYPERLINK("http://www.reno.va.gov/services/LGBT/LGBT.ASP")</f>
        <v>http://www.reno.va.gov/services/LGBT/LGBT.ASP</v>
      </c>
      <c r="E3792" s="8" t="s">
        <v>392</v>
      </c>
    </row>
    <row r="3793" ht="14.25" hidden="1" customHeight="1">
      <c r="A3793" s="8" t="s">
        <v>3085</v>
      </c>
      <c r="B3793" s="8" t="s">
        <v>323</v>
      </c>
      <c r="D3793" s="121" t="str">
        <f>HYPERLINK("http://www.reno.va.gov/services/MENTAL_HEALTH.ASP")</f>
        <v>http://www.reno.va.gov/services/MENTAL_HEALTH.ASP</v>
      </c>
      <c r="E3793" s="8" t="s">
        <v>392</v>
      </c>
    </row>
    <row r="3794" ht="14.25" hidden="1" customHeight="1">
      <c r="A3794" s="8" t="s">
        <v>3085</v>
      </c>
      <c r="B3794" s="8" t="s">
        <v>1719</v>
      </c>
      <c r="D3794" s="121" t="str">
        <f>HYPERLINK("http://www.reno.va.gov/services/NUTRITION.ASP")</f>
        <v>http://www.reno.va.gov/services/NUTRITION.ASP</v>
      </c>
      <c r="E3794" s="8" t="s">
        <v>392</v>
      </c>
    </row>
    <row r="3795" ht="14.25" hidden="1" customHeight="1">
      <c r="A3795" s="8" t="s">
        <v>3085</v>
      </c>
      <c r="B3795" s="8" t="s">
        <v>1267</v>
      </c>
      <c r="D3795" s="121" t="str">
        <f>HYPERLINK("http://www.reno.va.gov/services/PARKINSON_S_DISEASE.ASP")</f>
        <v>http://www.reno.va.gov/services/PARKINSON_S_DISEASE.ASP</v>
      </c>
      <c r="E3795" s="8" t="s">
        <v>392</v>
      </c>
    </row>
    <row r="3796" ht="14.25" hidden="1" customHeight="1">
      <c r="A3796" s="8" t="s">
        <v>3085</v>
      </c>
      <c r="B3796" s="8" t="s">
        <v>343</v>
      </c>
      <c r="D3796" s="121" t="str">
        <f>HYPERLINK("http://www.reno.va.gov/services/PHARMACY.ASP")</f>
        <v>http://www.reno.va.gov/services/PHARMACY.ASP</v>
      </c>
      <c r="E3796" s="8" t="s">
        <v>392</v>
      </c>
    </row>
    <row r="3797" ht="14.25" hidden="1" customHeight="1">
      <c r="A3797" s="8" t="s">
        <v>3093</v>
      </c>
      <c r="B3797" s="8" t="s">
        <v>3095</v>
      </c>
      <c r="D3797" s="121" t="str">
        <f>HYPERLINK("http://www.richmond.va.gov/services/ASSISTIVE_TECHNOLOGY_AT_MCGUIRE_VA_MEDICAL_CENTER.ASP")</f>
        <v>http://www.richmond.va.gov/services/ASSISTIVE_TECHNOLOGY_AT_MCGUIRE_VA_MEDICAL_CENTER.ASP</v>
      </c>
      <c r="E3797" s="8" t="s">
        <v>392</v>
      </c>
    </row>
    <row r="3798" ht="14.25" hidden="1" customHeight="1">
      <c r="A3798" s="8" t="s">
        <v>3093</v>
      </c>
      <c r="B3798" s="8" t="s">
        <v>478</v>
      </c>
      <c r="D3798" s="121" t="str">
        <f>HYPERLINK("http://www.richmond.va.gov/services/CHAPLAIN_SERVICE_AT_RICHMOND_VAMC.ASP")</f>
        <v>http://www.richmond.va.gov/services/CHAPLAIN_SERVICE_AT_RICHMOND_VAMC.ASP</v>
      </c>
      <c r="E3798" s="8" t="s">
        <v>392</v>
      </c>
    </row>
    <row r="3799" ht="14.25" hidden="1" customHeight="1">
      <c r="A3799" s="8" t="s">
        <v>3093</v>
      </c>
      <c r="B3799" s="8" t="s">
        <v>513</v>
      </c>
      <c r="D3799" s="121" t="str">
        <f>HYPERLINK("http://www.richmond.va.gov/services/DENTAL_SERVICE.ASP")</f>
        <v>http://www.richmond.va.gov/services/DENTAL_SERVICE.ASP</v>
      </c>
      <c r="E3799" s="8" t="s">
        <v>392</v>
      </c>
    </row>
    <row r="3800" ht="14.25" hidden="1" customHeight="1">
      <c r="A3800" s="8" t="s">
        <v>3093</v>
      </c>
      <c r="B3800" s="8" t="s">
        <v>556</v>
      </c>
      <c r="D3800" s="121" t="str">
        <f>HYPERLINK("http://www.richmond.va.gov/services/GEC.ASP")</f>
        <v>http://www.richmond.va.gov/services/GEC.ASP</v>
      </c>
      <c r="E3800" s="8" t="s">
        <v>392</v>
      </c>
    </row>
    <row r="3801" ht="14.25" hidden="1" customHeight="1">
      <c r="A3801" s="8" t="s">
        <v>3093</v>
      </c>
      <c r="B3801" s="8" t="s">
        <v>1306</v>
      </c>
      <c r="D3801" s="121" t="str">
        <f>HYPERLINK("http://www.richmond.va.gov/services/HEALTH_PROMOTION_AND_DISEASE_PREVENTION_HPDP.ASP")</f>
        <v>http://www.richmond.va.gov/services/HEALTH_PROMOTION_AND_DISEASE_PREVENTION_HPDP.ASP</v>
      </c>
      <c r="E3801" s="8" t="s">
        <v>392</v>
      </c>
    </row>
    <row r="3802" ht="14.25" hidden="1" customHeight="1">
      <c r="A3802" s="8" t="s">
        <v>3093</v>
      </c>
      <c r="B3802" s="8" t="s">
        <v>2502</v>
      </c>
      <c r="D3802" s="121" t="str">
        <f>HYPERLINK("http://www.richmond.va.gov/services/INTERVENTIONAL_PAIN_CLINIC.ASP")</f>
        <v>http://www.richmond.va.gov/services/INTERVENTIONAL_PAIN_CLINIC.ASP</v>
      </c>
      <c r="E3802" s="8" t="s">
        <v>392</v>
      </c>
    </row>
    <row r="3803" ht="14.25" hidden="1" customHeight="1">
      <c r="A3803" s="8" t="s">
        <v>3093</v>
      </c>
      <c r="B3803" s="8" t="s">
        <v>678</v>
      </c>
      <c r="D3803" s="121" t="str">
        <f>HYPERLINK("http://www.richmond.va.gov/services/LESBIAN_GAY_BISEXUAL_AND_TRANSGENDER_VETERAN_CARE.ASP")</f>
        <v>http://www.richmond.va.gov/services/LESBIAN_GAY_BISEXUAL_AND_TRANSGENDER_VETERAN_CARE.ASP</v>
      </c>
      <c r="E3803" s="8" t="s">
        <v>392</v>
      </c>
    </row>
    <row r="3804" ht="14.25" hidden="1" customHeight="1">
      <c r="A3804" s="8" t="s">
        <v>3093</v>
      </c>
      <c r="B3804" s="8" t="s">
        <v>599</v>
      </c>
      <c r="D3804" s="121" t="str">
        <f>HYPERLINK("http://www.richmond.va.gov/services/MEDICAL_SERVICE.ASP")</f>
        <v>http://www.richmond.va.gov/services/MEDICAL_SERVICE.ASP</v>
      </c>
      <c r="E3804" s="8" t="s">
        <v>392</v>
      </c>
    </row>
    <row r="3805" ht="14.25" hidden="1" customHeight="1">
      <c r="A3805" s="8" t="s">
        <v>3093</v>
      </c>
      <c r="B3805" s="8" t="s">
        <v>323</v>
      </c>
      <c r="D3805" s="121" t="str">
        <f>HYPERLINK("http://www.richmond.va.gov/services/MENTALHEALTH.ASP")</f>
        <v>http://www.richmond.va.gov/services/MENTALHEALTH.ASP</v>
      </c>
      <c r="E3805" s="8" t="s">
        <v>392</v>
      </c>
    </row>
    <row r="3806" ht="14.25" hidden="1" customHeight="1">
      <c r="A3806" s="8" t="s">
        <v>3093</v>
      </c>
      <c r="B3806" s="8" t="s">
        <v>900</v>
      </c>
      <c r="D3806" s="121" t="str">
        <f>HYPERLINK("http://www.richmond.va.gov/services/OCCUPATIONAL_THERAPY.ASP")</f>
        <v>http://www.richmond.va.gov/services/OCCUPATIONAL_THERAPY.ASP</v>
      </c>
      <c r="E3806" s="8" t="s">
        <v>392</v>
      </c>
    </row>
    <row r="3807" ht="14.25" hidden="1" customHeight="1">
      <c r="A3807" s="8" t="s">
        <v>3093</v>
      </c>
      <c r="B3807" s="8" t="s">
        <v>1267</v>
      </c>
      <c r="D3807" s="121" t="str">
        <f>HYPERLINK("http://www.richmond.va.gov/services/PADRECC.ASP")</f>
        <v>http://www.richmond.va.gov/services/PADRECC.ASP</v>
      </c>
      <c r="E3807" s="8" t="s">
        <v>392</v>
      </c>
    </row>
    <row r="3808" ht="14.25" hidden="1" customHeight="1">
      <c r="A3808" s="8" t="s">
        <v>3093</v>
      </c>
      <c r="B3808" s="8" t="s">
        <v>343</v>
      </c>
      <c r="D3808" s="121" t="str">
        <f>HYPERLINK("http://www.richmond.va.gov/services/PHARMACY.ASP")</f>
        <v>http://www.richmond.va.gov/services/PHARMACY.ASP</v>
      </c>
      <c r="E3808" s="8" t="s">
        <v>392</v>
      </c>
    </row>
    <row r="3809" ht="14.25" hidden="1" customHeight="1">
      <c r="A3809" s="8" t="s">
        <v>3093</v>
      </c>
      <c r="B3809" s="8" t="s">
        <v>344</v>
      </c>
      <c r="D3809" s="121" t="str">
        <f>HYPERLINK("http://www.richmond.va.gov/services/PMR.ASP")</f>
        <v>http://www.richmond.va.gov/services/PMR.ASP</v>
      </c>
      <c r="E3809" s="8" t="s">
        <v>392</v>
      </c>
    </row>
    <row r="3810" ht="14.25" hidden="1" customHeight="1">
      <c r="A3810" s="8" t="s">
        <v>3093</v>
      </c>
      <c r="B3810" s="8" t="s">
        <v>608</v>
      </c>
      <c r="D3810" s="121" t="str">
        <f>HYPERLINK("http://www.richmond.va.gov/services/PHYSICAL_THERAPY.ASP")</f>
        <v>http://www.richmond.va.gov/services/PHYSICAL_THERAPY.ASP</v>
      </c>
      <c r="E3810" s="8" t="s">
        <v>392</v>
      </c>
    </row>
    <row r="3811" ht="14.25" hidden="1" customHeight="1">
      <c r="A3811" s="8" t="s">
        <v>3093</v>
      </c>
      <c r="B3811" s="8" t="s">
        <v>1099</v>
      </c>
      <c r="D3811" s="121" t="str">
        <f>HYPERLINK("http://www.richmond.va.gov/services/POLYTRAUMA.ASP")</f>
        <v>http://www.richmond.va.gov/services/POLYTRAUMA.ASP</v>
      </c>
      <c r="E3811" s="8" t="s">
        <v>392</v>
      </c>
    </row>
    <row r="3812" ht="14.25" hidden="1" customHeight="1">
      <c r="A3812" s="8" t="s">
        <v>3093</v>
      </c>
      <c r="B3812" s="8" t="s">
        <v>348</v>
      </c>
      <c r="D3812" s="121" t="str">
        <f>HYPERLINK("http://www.richmond.va.gov/services/PRIMARY.ASP")</f>
        <v>http://www.richmond.va.gov/services/PRIMARY.ASP</v>
      </c>
      <c r="E3812" s="8" t="s">
        <v>392</v>
      </c>
    </row>
    <row r="3813" ht="14.25" hidden="1" customHeight="1">
      <c r="A3813" s="8" t="s">
        <v>3093</v>
      </c>
      <c r="B3813" s="8" t="s">
        <v>721</v>
      </c>
      <c r="D3813" s="121" t="str">
        <f>HYPERLINK("http://www.richmond.va.gov/services/PSYCHOLOGY.ASP")</f>
        <v>http://www.richmond.va.gov/services/PSYCHOLOGY.ASP</v>
      </c>
      <c r="E3813" s="8" t="s">
        <v>392</v>
      </c>
    </row>
    <row r="3814" ht="14.25" hidden="1" customHeight="1">
      <c r="A3814" s="8" t="s">
        <v>3093</v>
      </c>
      <c r="B3814" s="8" t="s">
        <v>717</v>
      </c>
      <c r="D3814" s="121" t="str">
        <f>HYPERLINK("http://www.richmond.va.gov/services/RADIOLOGY.ASP")</f>
        <v>http://www.richmond.va.gov/services/RADIOLOGY.ASP</v>
      </c>
      <c r="E3814" s="8" t="s">
        <v>392</v>
      </c>
    </row>
    <row r="3815" ht="14.25" hidden="1" customHeight="1">
      <c r="A3815" s="8" t="s">
        <v>3093</v>
      </c>
      <c r="B3815" s="8" t="s">
        <v>508</v>
      </c>
      <c r="D3815" s="121" t="str">
        <f>HYPERLINK("http://www.richmond.va.gov/services/RESEARCH.ASP")</f>
        <v>http://www.richmond.va.gov/services/RESEARCH.ASP</v>
      </c>
      <c r="E3815" s="8" t="s">
        <v>392</v>
      </c>
    </row>
    <row r="3816" ht="14.25" hidden="1" customHeight="1">
      <c r="A3816" s="8" t="s">
        <v>3093</v>
      </c>
      <c r="B3816" s="8" t="s">
        <v>3893</v>
      </c>
      <c r="D3816" s="121" t="str">
        <f>HYPERLINK("http://www.richmond.va.gov/services/SERVICE_TRANSITIONAL_ADVANCED_REHABILITATION_STAR.ASP")</f>
        <v>http://www.richmond.va.gov/services/SERVICE_TRANSITIONAL_ADVANCED_REHABILITATION_STAR.ASP</v>
      </c>
      <c r="E3816" s="8" t="s">
        <v>392</v>
      </c>
    </row>
    <row r="3817" ht="14.25" hidden="1" customHeight="1">
      <c r="A3817" s="8" t="s">
        <v>3093</v>
      </c>
      <c r="B3817" s="8" t="s">
        <v>360</v>
      </c>
      <c r="D3817" s="121" t="str">
        <f>HYPERLINK("http://www.richmond.va.gov/services/SOCIALWORK.ASP")</f>
        <v>http://www.richmond.va.gov/services/SOCIALWORK.ASP</v>
      </c>
      <c r="E3817" s="8" t="s">
        <v>392</v>
      </c>
    </row>
    <row r="3818" ht="14.25" hidden="1" customHeight="1">
      <c r="A3818" s="8" t="s">
        <v>3093</v>
      </c>
      <c r="B3818" s="8" t="s">
        <v>672</v>
      </c>
      <c r="D3818" s="121" t="str">
        <f>HYPERLINK("http://www.richmond.va.gov/services/SCI.ASP")</f>
        <v>http://www.richmond.va.gov/services/SCI.ASP</v>
      </c>
      <c r="E3818" s="8" t="s">
        <v>392</v>
      </c>
    </row>
    <row r="3819" ht="14.25" hidden="1" customHeight="1">
      <c r="A3819" s="8" t="s">
        <v>3093</v>
      </c>
      <c r="B3819" s="8" t="s">
        <v>3894</v>
      </c>
      <c r="D3819" s="121" t="str">
        <f>HYPERLINK("http://www.richmond.va.gov/services/SCIRESEARCH.ASP")</f>
        <v>http://www.richmond.va.gov/services/SCIRESEARCH.ASP</v>
      </c>
      <c r="E3819" s="8" t="s">
        <v>392</v>
      </c>
    </row>
    <row r="3820" ht="14.25" hidden="1" customHeight="1">
      <c r="A3820" s="8" t="s">
        <v>3093</v>
      </c>
      <c r="B3820" s="8" t="s">
        <v>3363</v>
      </c>
      <c r="D3820" s="121" t="str">
        <f>HYPERLINK("http://www.richmond.va.gov/services/SPECIALTY.ASP")</f>
        <v>http://www.richmond.va.gov/services/SPECIALTY.ASP</v>
      </c>
      <c r="E3820" s="8" t="s">
        <v>392</v>
      </c>
    </row>
    <row r="3821" ht="14.25" hidden="1" customHeight="1">
      <c r="A3821" s="8" t="s">
        <v>3093</v>
      </c>
      <c r="B3821" s="8" t="s">
        <v>3895</v>
      </c>
      <c r="D3821" s="121" t="str">
        <f>HYPERLINK("http://www.richmond.va.gov/services/TELEREHABILITATION.ASP")</f>
        <v>http://www.richmond.va.gov/services/TELEREHABILITATION.ASP</v>
      </c>
      <c r="E3821" s="8" t="s">
        <v>392</v>
      </c>
    </row>
    <row r="3822" ht="14.25" hidden="1" customHeight="1">
      <c r="A3822" s="8" t="s">
        <v>3093</v>
      </c>
      <c r="B3822" s="8" t="s">
        <v>735</v>
      </c>
      <c r="D3822" s="121" t="str">
        <f>HYPERLINK("http://www.richmond.va.gov/services/TOBACCO_CESSATION.ASP")</f>
        <v>http://www.richmond.va.gov/services/TOBACCO_CESSATION.ASP</v>
      </c>
      <c r="E3822" s="8" t="s">
        <v>392</v>
      </c>
    </row>
    <row r="3823" ht="14.25" hidden="1" customHeight="1">
      <c r="A3823" s="8" t="s">
        <v>3093</v>
      </c>
      <c r="B3823" s="8" t="s">
        <v>3896</v>
      </c>
      <c r="D3823" s="121" t="str">
        <f>HYPERLINK("http://www.richmond.va.gov/services/URGENT_CARE_MISSION_ACT.ASP")</f>
        <v>http://www.richmond.va.gov/services/URGENT_CARE_MISSION_ACT.ASP</v>
      </c>
      <c r="E3823" s="8" t="s">
        <v>392</v>
      </c>
    </row>
    <row r="3824" ht="14.25" hidden="1" customHeight="1">
      <c r="A3824" s="8" t="s">
        <v>3093</v>
      </c>
      <c r="B3824" s="8" t="s">
        <v>3897</v>
      </c>
      <c r="D3824" s="121" t="str">
        <f>HYPERLINK("http://www.richmond.va.gov/services/VISION_AND_BLIND_REHABILITATION_VISOR.ASP")</f>
        <v>http://www.richmond.va.gov/services/VISION_AND_BLIND_REHABILITATION_VISOR.ASP</v>
      </c>
      <c r="E3824" s="8" t="s">
        <v>392</v>
      </c>
    </row>
    <row r="3825" ht="14.25" hidden="1" customHeight="1">
      <c r="A3825" s="8" t="s">
        <v>3093</v>
      </c>
      <c r="B3825" s="8" t="s">
        <v>3898</v>
      </c>
      <c r="D3825" s="121" t="str">
        <f>HYPERLINK("http://www.richmond.va.gov/services/WHOLEHEALTH.ASP")</f>
        <v>http://www.richmond.va.gov/services/WHOLEHEALTH.ASP</v>
      </c>
      <c r="E3825" s="8" t="s">
        <v>392</v>
      </c>
    </row>
    <row r="3826" ht="14.25" hidden="1" customHeight="1">
      <c r="A3826" s="8" t="s">
        <v>3093</v>
      </c>
      <c r="B3826" s="8" t="s">
        <v>520</v>
      </c>
      <c r="D3826" s="121" t="str">
        <f>HYPERLINK("http://www.richmond.va.gov/services/WOMEN/INDEX.ASP")</f>
        <v>http://www.richmond.va.gov/services/WOMEN/INDEX.ASP</v>
      </c>
      <c r="E3826" s="8" t="s">
        <v>392</v>
      </c>
    </row>
    <row r="3827" ht="14.25" hidden="1" customHeight="1">
      <c r="A3827" s="8" t="s">
        <v>3105</v>
      </c>
      <c r="B3827" s="8" t="s">
        <v>3899</v>
      </c>
      <c r="D3827" s="121" t="str">
        <f>HYPERLINK("http://www.roseburg.va.gov/services/AMBULATORY_CARE_CLINICS.ASP")</f>
        <v>http://www.roseburg.va.gov/services/AMBULATORY_CARE_CLINICS.ASP</v>
      </c>
      <c r="E3827" s="8" t="s">
        <v>392</v>
      </c>
    </row>
    <row r="3828" ht="14.25" hidden="1" customHeight="1">
      <c r="A3828" s="8" t="s">
        <v>3105</v>
      </c>
      <c r="B3828" s="8" t="s">
        <v>1137</v>
      </c>
      <c r="D3828" s="121" t="str">
        <f>HYPERLINK("http://www.roseburg.va.gov/services/CANTEEN_SERVICE.ASP")</f>
        <v>http://www.roseburg.va.gov/services/CANTEEN_SERVICE.ASP</v>
      </c>
      <c r="E3828" s="8" t="s">
        <v>392</v>
      </c>
    </row>
    <row r="3829" ht="14.25" hidden="1" customHeight="1">
      <c r="A3829" s="8" t="s">
        <v>3105</v>
      </c>
      <c r="B3829" s="8" t="s">
        <v>638</v>
      </c>
      <c r="D3829" s="121" t="str">
        <f>HYPERLINK("http://www.roseburg.va.gov/services/CAREERS.ASP")</f>
        <v>http://www.roseburg.va.gov/services/CAREERS.ASP</v>
      </c>
      <c r="E3829" s="8" t="s">
        <v>392</v>
      </c>
    </row>
    <row r="3830" ht="14.25" hidden="1" customHeight="1">
      <c r="A3830" s="8" t="s">
        <v>3105</v>
      </c>
      <c r="B3830" s="8" t="s">
        <v>683</v>
      </c>
      <c r="D3830" s="121" t="str">
        <f>HYPERLINK("http://www.roseburg.va.gov/services/LOST_AND_FOUND.ASP")</f>
        <v>http://www.roseburg.va.gov/services/LOST_AND_FOUND.ASP</v>
      </c>
      <c r="E3830" s="8" t="s">
        <v>392</v>
      </c>
    </row>
    <row r="3831" ht="14.25" hidden="1" customHeight="1">
      <c r="A3831" s="8" t="s">
        <v>3105</v>
      </c>
      <c r="B3831" s="8" t="s">
        <v>323</v>
      </c>
      <c r="D3831" s="121" t="str">
        <f>HYPERLINK("http://www.roseburg.va.gov/services/MENTAL_HEALTH.ASP")</f>
        <v>http://www.roseburg.va.gov/services/MENTAL_HEALTH.ASP</v>
      </c>
      <c r="E3831" s="8" t="s">
        <v>392</v>
      </c>
    </row>
    <row r="3832" ht="14.25" hidden="1" customHeight="1">
      <c r="A3832" s="8" t="s">
        <v>3105</v>
      </c>
      <c r="B3832" s="8" t="s">
        <v>691</v>
      </c>
      <c r="D3832" s="121" t="str">
        <f>HYPERLINK("http://www.roseburg.va.gov/services/NEWS_MEDIA.ASP")</f>
        <v>http://www.roseburg.va.gov/services/NEWS_MEDIA.ASP</v>
      </c>
      <c r="E3832" s="8" t="s">
        <v>392</v>
      </c>
    </row>
    <row r="3833" ht="14.25" hidden="1" customHeight="1">
      <c r="A3833" s="8" t="s">
        <v>3105</v>
      </c>
      <c r="B3833" s="8" t="s">
        <v>907</v>
      </c>
      <c r="D3833" s="121" t="str">
        <f>HYPERLINK("http://www.roseburg.va.gov/services/PATIENT_ADVOCATES.ASP")</f>
        <v>http://www.roseburg.va.gov/services/PATIENT_ADVOCATES.ASP</v>
      </c>
      <c r="E3833" s="8" t="s">
        <v>392</v>
      </c>
    </row>
    <row r="3834" ht="14.25" hidden="1" customHeight="1">
      <c r="A3834" s="8" t="s">
        <v>3105</v>
      </c>
      <c r="B3834" s="8" t="s">
        <v>343</v>
      </c>
      <c r="D3834" s="121" t="str">
        <f>HYPERLINK("http://www.roseburg.va.gov/services/PHARMACY.ASP")</f>
        <v>http://www.roseburg.va.gov/services/PHARMACY.ASP</v>
      </c>
      <c r="E3834" s="8" t="s">
        <v>392</v>
      </c>
    </row>
    <row r="3835" ht="14.25" hidden="1" customHeight="1">
      <c r="A3835" s="8" t="s">
        <v>3105</v>
      </c>
      <c r="B3835" s="8" t="s">
        <v>2684</v>
      </c>
      <c r="D3835" s="121" t="str">
        <f>HYPERLINK("http://www.roseburg.va.gov/services/PROSTHETIC.ASP")</f>
        <v>http://www.roseburg.va.gov/services/PROSTHETIC.ASP</v>
      </c>
      <c r="E3835" s="8" t="s">
        <v>392</v>
      </c>
    </row>
    <row r="3836" ht="14.25" hidden="1" customHeight="1">
      <c r="A3836" s="8" t="s">
        <v>3121</v>
      </c>
      <c r="B3836" s="8" t="s">
        <v>627</v>
      </c>
      <c r="D3836" s="121" t="str">
        <f>HYPERLINK("http://www.saginaw.va.gov/services/AMBULATORY_SURGERY.ASP")</f>
        <v>http://www.saginaw.va.gov/services/AMBULATORY_SURGERY.ASP</v>
      </c>
      <c r="E3836" s="8" t="s">
        <v>392</v>
      </c>
    </row>
    <row r="3837" ht="14.25" hidden="1" customHeight="1">
      <c r="A3837" s="8" t="s">
        <v>3121</v>
      </c>
      <c r="B3837" s="8" t="s">
        <v>2231</v>
      </c>
      <c r="D3837" s="121" t="str">
        <f>HYPERLINK("http://www.saginaw.va.gov/services/AUDIOLOGY_CLINIC.ASP")</f>
        <v>http://www.saginaw.va.gov/services/AUDIOLOGY_CLINIC.ASP</v>
      </c>
      <c r="E3837" s="8" t="s">
        <v>392</v>
      </c>
    </row>
    <row r="3838" ht="14.25" hidden="1" customHeight="1">
      <c r="A3838" s="8" t="s">
        <v>3121</v>
      </c>
      <c r="B3838" s="8" t="s">
        <v>414</v>
      </c>
      <c r="D3838" s="121" t="str">
        <f>HYPERLINK("http://www.saginaw.va.gov/services/CARDIOLOGY.ASP")</f>
        <v>http://www.saginaw.va.gov/services/CARDIOLOGY.ASP</v>
      </c>
      <c r="E3838" s="8" t="s">
        <v>392</v>
      </c>
    </row>
    <row r="3839" ht="14.25" hidden="1" customHeight="1">
      <c r="A3839" s="8" t="s">
        <v>3121</v>
      </c>
      <c r="B3839" s="8" t="s">
        <v>3900</v>
      </c>
      <c r="D3839" s="121" t="str">
        <f>HYPERLINK("http://www.saginaw.va.gov/services/CARE_INTEGRATION_SERVICES.ASP")</f>
        <v>http://www.saginaw.va.gov/services/CARE_INTEGRATION_SERVICES.ASP</v>
      </c>
      <c r="E3839" s="8" t="s">
        <v>392</v>
      </c>
    </row>
    <row r="3840" ht="14.25" hidden="1" customHeight="1">
      <c r="A3840" s="8" t="s">
        <v>3121</v>
      </c>
      <c r="B3840" s="8" t="s">
        <v>303</v>
      </c>
      <c r="D3840" s="121" t="str">
        <f>HYPERLINK("http://www.saginaw.va.gov/services/DENTAL_CLINIC.ASP")</f>
        <v>http://www.saginaw.va.gov/services/DENTAL_CLINIC.ASP</v>
      </c>
      <c r="E3840" s="8" t="s">
        <v>392</v>
      </c>
    </row>
    <row r="3841" ht="14.25" hidden="1" customHeight="1">
      <c r="A3841" s="8" t="s">
        <v>3121</v>
      </c>
      <c r="B3841" s="8" t="s">
        <v>3901</v>
      </c>
      <c r="D3841" s="121" t="str">
        <f>HYPERLINK("http://www.saginaw.va.gov/services/EYE_CLINIC_OPTOMETRY.ASP")</f>
        <v>http://www.saginaw.va.gov/services/EYE_CLINIC_OPTOMETRY.ASP</v>
      </c>
      <c r="E3841" s="8" t="s">
        <v>392</v>
      </c>
    </row>
    <row r="3842" ht="14.25" hidden="1" customHeight="1">
      <c r="A3842" s="8" t="s">
        <v>3121</v>
      </c>
      <c r="B3842" s="8" t="s">
        <v>641</v>
      </c>
      <c r="D3842" s="121" t="str">
        <f>HYPERLINK("http://www.saginaw.va.gov/services/FORMER_PRISONERS_OF_WAR_INFORMATION.ASP")</f>
        <v>http://www.saginaw.va.gov/services/FORMER_PRISONERS_OF_WAR_INFORMATION.ASP</v>
      </c>
      <c r="E3842" s="8" t="s">
        <v>392</v>
      </c>
    </row>
    <row r="3843" ht="14.25" hidden="1" customHeight="1">
      <c r="A3843" s="8" t="s">
        <v>3121</v>
      </c>
      <c r="B3843" s="8" t="s">
        <v>989</v>
      </c>
      <c r="D3843" s="121" t="str">
        <f>HYPERLINK("http://www.saginaw.va.gov/services/ECRC.ASP")</f>
        <v>http://www.saginaw.va.gov/services/ECRC.ASP</v>
      </c>
      <c r="E3843" s="8" t="s">
        <v>392</v>
      </c>
    </row>
    <row r="3844" ht="14.25" hidden="1" customHeight="1">
      <c r="A3844" s="8" t="s">
        <v>3121</v>
      </c>
      <c r="B3844" s="8" t="s">
        <v>990</v>
      </c>
      <c r="D3844" s="121" t="str">
        <f>HYPERLINK("http://www.saginaw.va.gov/services/HEALTH_PROMOTION_DISEASE_PREVENTION.ASP")</f>
        <v>http://www.saginaw.va.gov/services/HEALTH_PROMOTION_DISEASE_PREVENTION.ASP</v>
      </c>
      <c r="E3844" s="8" t="s">
        <v>392</v>
      </c>
    </row>
    <row r="3845" ht="14.25" hidden="1" customHeight="1">
      <c r="A3845" s="8" t="s">
        <v>3121</v>
      </c>
      <c r="B3845" s="8" t="s">
        <v>2085</v>
      </c>
      <c r="D3845" s="121" t="str">
        <f>HYPERLINK("http://www.saginaw.va.gov/services/HOMELESS_PROGRAM.ASP")</f>
        <v>http://www.saginaw.va.gov/services/HOMELESS_PROGRAM.ASP</v>
      </c>
      <c r="E3845" s="8" t="s">
        <v>392</v>
      </c>
    </row>
    <row r="3846" ht="14.25" hidden="1" customHeight="1">
      <c r="A3846" s="8" t="s">
        <v>3121</v>
      </c>
      <c r="B3846" s="8" t="s">
        <v>579</v>
      </c>
      <c r="D3846" s="121" t="str">
        <f>HYPERLINK("http://www.saginaw.va.gov/services/INFECTIOUS_DISEASE.ASP")</f>
        <v>http://www.saginaw.va.gov/services/INFECTIOUS_DISEASE.ASP</v>
      </c>
      <c r="E3846" s="8" t="s">
        <v>392</v>
      </c>
    </row>
    <row r="3847" ht="14.25" hidden="1" customHeight="1">
      <c r="A3847" s="8" t="s">
        <v>3121</v>
      </c>
      <c r="B3847" s="8" t="s">
        <v>3902</v>
      </c>
      <c r="D3847" s="121" t="str">
        <f>HYPERLINK("http://www.saginaw.va.gov/services/INPATIENT_REHABILITATION_UNIT.ASP")</f>
        <v>http://www.saginaw.va.gov/services/INPATIENT_REHABILITATION_UNIT.ASP</v>
      </c>
      <c r="E3847" s="8" t="s">
        <v>392</v>
      </c>
    </row>
    <row r="3848" ht="14.25" hidden="1" customHeight="1">
      <c r="A3848" s="8" t="s">
        <v>3121</v>
      </c>
      <c r="B3848" s="8" t="s">
        <v>2092</v>
      </c>
      <c r="D3848" s="121" t="str">
        <f>HYPERLINK("http://www.saginaw.va.gov/services/LABORATORY_SERVICES.ASP")</f>
        <v>http://www.saginaw.va.gov/services/LABORATORY_SERVICES.ASP</v>
      </c>
      <c r="E3848" s="8" t="s">
        <v>392</v>
      </c>
    </row>
    <row r="3849" ht="14.25" hidden="1" customHeight="1">
      <c r="A3849" s="8" t="s">
        <v>3121</v>
      </c>
      <c r="B3849" s="8" t="s">
        <v>3903</v>
      </c>
      <c r="D3849" s="121" t="str">
        <f>HYPERLINK("http://www.saginaw.va.gov/services/LESBIAN_GAY_BISEXUAL_TRANSGENDER_LGBT.ASP")</f>
        <v>http://www.saginaw.va.gov/services/LESBIAN_GAY_BISEXUAL_TRANSGENDER_LGBT.ASP</v>
      </c>
      <c r="E3849" s="8" t="s">
        <v>392</v>
      </c>
    </row>
    <row r="3850" ht="14.25" hidden="1" customHeight="1">
      <c r="A3850" s="8" t="s">
        <v>3121</v>
      </c>
      <c r="B3850" s="8" t="s">
        <v>3904</v>
      </c>
      <c r="D3850" s="121" t="str">
        <f>HYPERLINK("http://www.saginaw.va.gov/services/BLIND_REHABILITATION.ASP")</f>
        <v>http://www.saginaw.va.gov/services/BLIND_REHABILITATION.ASP</v>
      </c>
      <c r="E3850" s="8" t="s">
        <v>392</v>
      </c>
    </row>
    <row r="3851" ht="14.25" hidden="1" customHeight="1">
      <c r="A3851" s="8" t="s">
        <v>3121</v>
      </c>
      <c r="B3851" s="8" t="s">
        <v>323</v>
      </c>
      <c r="D3851" s="121" t="str">
        <f>HYPERLINK("http://www.saginaw.va.gov/services/MENTALHEALTH.ASP")</f>
        <v>http://www.saginaw.va.gov/services/MENTALHEALTH.ASP</v>
      </c>
      <c r="E3851" s="8" t="s">
        <v>392</v>
      </c>
    </row>
    <row r="3852" ht="14.25" hidden="1" customHeight="1">
      <c r="A3852" s="8" t="s">
        <v>3121</v>
      </c>
      <c r="B3852" s="8" t="s">
        <v>325</v>
      </c>
      <c r="D3852" s="121" t="str">
        <f>HYPERLINK("http://www.saginaw.va.gov/services/MINORITY_VETERANS_PROGRAM_COORDINATOR.ASP")</f>
        <v>http://www.saginaw.va.gov/services/MINORITY_VETERANS_PROGRAM_COORDINATOR.ASP</v>
      </c>
      <c r="E3852" s="8" t="s">
        <v>392</v>
      </c>
    </row>
    <row r="3853" ht="14.25" hidden="1" customHeight="1">
      <c r="A3853" s="8" t="s">
        <v>3121</v>
      </c>
      <c r="B3853" s="8" t="s">
        <v>707</v>
      </c>
      <c r="D3853" s="121" t="str">
        <f>HYPERLINK("http://www.saginaw.va.gov/services/MYHEALTHEVET.ASP")</f>
        <v>http://www.saginaw.va.gov/services/MYHEALTHEVET.ASP</v>
      </c>
      <c r="E3853" s="8" t="s">
        <v>392</v>
      </c>
    </row>
    <row r="3854" ht="14.25" hidden="1" customHeight="1">
      <c r="A3854" s="8" t="s">
        <v>3121</v>
      </c>
      <c r="B3854" s="8" t="s">
        <v>540</v>
      </c>
      <c r="D3854" s="121" t="str">
        <f>HYPERLINK("http://www.saginaw.va.gov/services/NEW_PATIENT_ORIENTATION.ASP")</f>
        <v>http://www.saginaw.va.gov/services/NEW_PATIENT_ORIENTATION.ASP</v>
      </c>
      <c r="E3854" s="8" t="s">
        <v>392</v>
      </c>
    </row>
    <row r="3855" ht="14.25" hidden="1" customHeight="1">
      <c r="A3855" s="8" t="s">
        <v>3121</v>
      </c>
      <c r="B3855" s="8" t="s">
        <v>900</v>
      </c>
      <c r="D3855" s="121" t="str">
        <f>HYPERLINK("http://www.saginaw.va.gov/services/OCCUPATIONAL_THERAPY.ASP")</f>
        <v>http://www.saginaw.va.gov/services/OCCUPATIONAL_THERAPY.ASP</v>
      </c>
      <c r="E3855" s="8" t="s">
        <v>392</v>
      </c>
    </row>
    <row r="3856" ht="14.25" hidden="1" customHeight="1">
      <c r="A3856" s="8" t="s">
        <v>3121</v>
      </c>
      <c r="B3856" s="8" t="s">
        <v>3905</v>
      </c>
      <c r="D3856" s="121" t="str">
        <f>HYPERLINK("http://www.saginaw.va.gov/services/PALLIATIVE_CARE.ASP")</f>
        <v>http://www.saginaw.va.gov/services/PALLIATIVE_CARE.ASP</v>
      </c>
      <c r="E3856" s="8" t="s">
        <v>392</v>
      </c>
    </row>
    <row r="3857" ht="14.25" hidden="1" customHeight="1">
      <c r="A3857" s="8" t="s">
        <v>3121</v>
      </c>
      <c r="B3857" s="8" t="s">
        <v>542</v>
      </c>
      <c r="D3857" s="121" t="str">
        <f>HYPERLINK("http://www.saginaw.va.gov/services/PASTORAL_CARE.ASP")</f>
        <v>http://www.saginaw.va.gov/services/PASTORAL_CARE.ASP</v>
      </c>
      <c r="E3857" s="8" t="s">
        <v>392</v>
      </c>
    </row>
    <row r="3858" ht="14.25" hidden="1" customHeight="1">
      <c r="A3858" s="8" t="s">
        <v>3121</v>
      </c>
      <c r="B3858" s="8" t="s">
        <v>343</v>
      </c>
      <c r="D3858" s="121" t="str">
        <f>HYPERLINK("http://www.saginaw.va.gov/services/PHARMACY.ASP")</f>
        <v>http://www.saginaw.va.gov/services/PHARMACY.ASP</v>
      </c>
      <c r="E3858" s="8" t="s">
        <v>392</v>
      </c>
    </row>
    <row r="3859" ht="14.25" hidden="1" customHeight="1">
      <c r="A3859" s="8" t="s">
        <v>3121</v>
      </c>
      <c r="B3859" s="8" t="s">
        <v>3906</v>
      </c>
      <c r="D3859" s="121" t="str">
        <f>HYPERLINK("http://www.saginaw.va.gov/services/PHYSIATRY.ASP")</f>
        <v>http://www.saginaw.va.gov/services/PHYSIATRY.ASP</v>
      </c>
      <c r="E3859" s="8" t="s">
        <v>392</v>
      </c>
    </row>
    <row r="3860" ht="14.25" hidden="1" customHeight="1">
      <c r="A3860" s="8" t="s">
        <v>3121</v>
      </c>
      <c r="B3860" s="8" t="s">
        <v>608</v>
      </c>
      <c r="D3860" s="121" t="str">
        <f>HYPERLINK("http://www.saginaw.va.gov/services/PHYSICAL_THERAPY_SERVICE.ASP")</f>
        <v>http://www.saginaw.va.gov/services/PHYSICAL_THERAPY_SERVICE.ASP</v>
      </c>
      <c r="E3860" s="8" t="s">
        <v>392</v>
      </c>
    </row>
    <row r="3861" ht="14.25" hidden="1" customHeight="1">
      <c r="A3861" s="8" t="s">
        <v>3121</v>
      </c>
      <c r="B3861" s="8" t="s">
        <v>3907</v>
      </c>
      <c r="D3861" s="121" t="str">
        <f>HYPERLINK("http://www.saginaw.va.gov/services/PACT.ASP")</f>
        <v>http://www.saginaw.va.gov/services/PACT.ASP</v>
      </c>
      <c r="E3861" s="8" t="s">
        <v>392</v>
      </c>
    </row>
    <row r="3862" ht="14.25" hidden="1" customHeight="1">
      <c r="A3862" s="8" t="s">
        <v>3121</v>
      </c>
      <c r="B3862" s="8" t="s">
        <v>3908</v>
      </c>
      <c r="D3862" s="121" t="str">
        <f>HYPERLINK("http://www.saginaw.va.gov/services/PRIMARY_CARE_MENTAL_HEALTH_INTEGRATION_PC_MHI.ASP")</f>
        <v>http://www.saginaw.va.gov/services/PRIMARY_CARE_MENTAL_HEALTH_INTEGRATION_PC_MHI.ASP</v>
      </c>
      <c r="E3862" s="8" t="s">
        <v>392</v>
      </c>
    </row>
    <row r="3863" ht="14.25" hidden="1" customHeight="1">
      <c r="A3863" s="8" t="s">
        <v>3121</v>
      </c>
      <c r="B3863" s="8" t="s">
        <v>2921</v>
      </c>
      <c r="D3863" s="121" t="str">
        <f>HYPERLINK("http://www.saginaw.va.gov/services/PULMONARY.ASP")</f>
        <v>http://www.saginaw.va.gov/services/PULMONARY.ASP</v>
      </c>
      <c r="E3863" s="8" t="s">
        <v>392</v>
      </c>
    </row>
    <row r="3864" ht="14.25" hidden="1" customHeight="1">
      <c r="A3864" s="8" t="s">
        <v>3121</v>
      </c>
      <c r="B3864" s="8" t="s">
        <v>2633</v>
      </c>
      <c r="D3864" s="121" t="str">
        <f>HYPERLINK("http://www.saginaw.va.gov/services/PULMONARY_REHABILITATION.ASP")</f>
        <v>http://www.saginaw.va.gov/services/PULMONARY_REHABILITATION.ASP</v>
      </c>
      <c r="E3864" s="8" t="s">
        <v>392</v>
      </c>
    </row>
    <row r="3865" ht="14.25" hidden="1" customHeight="1">
      <c r="A3865" s="8" t="s">
        <v>3121</v>
      </c>
      <c r="B3865" s="8" t="s">
        <v>1288</v>
      </c>
      <c r="D3865" s="121" t="str">
        <f>HYPERLINK("http://www.saginaw.va.gov/services/RECREATIONAL_THERAPY.ASP")</f>
        <v>http://www.saginaw.va.gov/services/RECREATIONAL_THERAPY.ASP</v>
      </c>
      <c r="E3865" s="8" t="s">
        <v>392</v>
      </c>
    </row>
    <row r="3866" ht="14.25" hidden="1" customHeight="1">
      <c r="A3866" s="8" t="s">
        <v>3121</v>
      </c>
      <c r="B3866" s="8" t="s">
        <v>360</v>
      </c>
      <c r="D3866" s="121" t="str">
        <f>HYPERLINK("http://www.saginaw.va.gov/services/SOCIALWORK.ASP")</f>
        <v>http://www.saginaw.va.gov/services/SOCIALWORK.ASP</v>
      </c>
      <c r="E3866" s="8" t="s">
        <v>392</v>
      </c>
    </row>
    <row r="3867" ht="14.25" hidden="1" customHeight="1">
      <c r="A3867" s="8" t="s">
        <v>3121</v>
      </c>
      <c r="B3867" s="8" t="s">
        <v>363</v>
      </c>
      <c r="D3867" s="121" t="str">
        <f>HYPERLINK("http://www.saginaw.va.gov/services/SPECIALTY.ASP")</f>
        <v>http://www.saginaw.va.gov/services/SPECIALTY.ASP</v>
      </c>
      <c r="E3867" s="8" t="s">
        <v>392</v>
      </c>
    </row>
    <row r="3868" ht="14.25" hidden="1" customHeight="1">
      <c r="A3868" s="8" t="s">
        <v>3121</v>
      </c>
      <c r="B3868" s="8" t="s">
        <v>3909</v>
      </c>
      <c r="D3868" s="121" t="str">
        <f>HYPERLINK("http://www.saginaw.va.gov/services/SPEECH_CLINIC.ASP")</f>
        <v>http://www.saginaw.va.gov/services/SPEECH_CLINIC.ASP</v>
      </c>
      <c r="E3868" s="8" t="s">
        <v>392</v>
      </c>
    </row>
    <row r="3869" ht="14.25" hidden="1" customHeight="1">
      <c r="A3869" s="8" t="s">
        <v>3121</v>
      </c>
      <c r="B3869" s="8" t="s">
        <v>3910</v>
      </c>
      <c r="D3869" s="121" t="str">
        <f>HYPERLINK("http://www.saginaw.va.gov/services/SUICIDE_AND_CRISIS_PREVENTION.ASP")</f>
        <v>http://www.saginaw.va.gov/services/SUICIDE_AND_CRISIS_PREVENTION.ASP</v>
      </c>
      <c r="E3869" s="8" t="s">
        <v>392</v>
      </c>
    </row>
    <row r="3870" ht="14.25" hidden="1" customHeight="1">
      <c r="A3870" s="8" t="s">
        <v>3121</v>
      </c>
      <c r="B3870" s="8" t="s">
        <v>722</v>
      </c>
      <c r="D3870" s="121" t="str">
        <f>HYPERLINK("http://www.saginaw.va.gov/services/SURGERY.ASP")</f>
        <v>http://www.saginaw.va.gov/services/SURGERY.ASP</v>
      </c>
      <c r="E3870" s="8" t="s">
        <v>392</v>
      </c>
    </row>
    <row r="3871" ht="14.25" hidden="1" customHeight="1">
      <c r="A3871" s="8" t="s">
        <v>3121</v>
      </c>
      <c r="B3871" s="8" t="s">
        <v>370</v>
      </c>
      <c r="D3871" s="121" t="str">
        <f>HYPERLINK("http://www.saginaw.va.gov/services/TELEHEALTH.ASP")</f>
        <v>http://www.saginaw.va.gov/services/TELEHEALTH.ASP</v>
      </c>
      <c r="E3871" s="8" t="s">
        <v>392</v>
      </c>
    </row>
    <row r="3872" ht="14.25" hidden="1" customHeight="1">
      <c r="A3872" s="8" t="s">
        <v>3121</v>
      </c>
      <c r="B3872" s="8" t="s">
        <v>3911</v>
      </c>
      <c r="D3872" s="121" t="str">
        <f>HYPERLINK("http://www.saginaw.va.gov/services/VETERANS_MENTAL_HEALTH_ADVOCACY_COUNCIL_OF_MID_MICHIGAN.ASP")</f>
        <v>http://www.saginaw.va.gov/services/VETERANS_MENTAL_HEALTH_ADVOCACY_COUNCIL_OF_MID_MICHIGAN.ASP</v>
      </c>
      <c r="E3872" s="8" t="s">
        <v>392</v>
      </c>
    </row>
    <row r="3873" ht="14.25" hidden="1" customHeight="1">
      <c r="A3873" s="8" t="s">
        <v>3121</v>
      </c>
      <c r="B3873" s="8" t="s">
        <v>3912</v>
      </c>
      <c r="D3873" s="121" t="str">
        <f>HYPERLINK("http://www.saginaw.va.gov/services/WEIGHT_MANAGEMENT_MOVE_PROGRAM_FOR_VETERANS_AND_EMPLOYEES.ASP")</f>
        <v>http://www.saginaw.va.gov/services/WEIGHT_MANAGEMENT_MOVE_PROGRAM_FOR_VETERANS_AND_EMPLOYEES.ASP</v>
      </c>
      <c r="E3873" s="8" t="s">
        <v>392</v>
      </c>
    </row>
    <row r="3874" ht="14.25" hidden="1" customHeight="1">
      <c r="A3874" s="8" t="s">
        <v>3138</v>
      </c>
      <c r="B3874" s="8" t="s">
        <v>636</v>
      </c>
      <c r="D3874" s="121" t="str">
        <f>HYPERLINK("http://www.salem.va.gov/services/BENEFICIARY_TRAVEL.ASP")</f>
        <v>http://www.salem.va.gov/services/BENEFICIARY_TRAVEL.ASP</v>
      </c>
      <c r="E3874" s="8" t="s">
        <v>392</v>
      </c>
    </row>
    <row r="3875" ht="14.25" hidden="1" customHeight="1">
      <c r="A3875" s="8" t="s">
        <v>3138</v>
      </c>
      <c r="B3875" s="8" t="s">
        <v>3913</v>
      </c>
      <c r="D3875" s="121" t="str">
        <f>HYPERLINK("http://www.salem.va.gov/services/BILLING_AND_INSURANCE.ASP")</f>
        <v>http://www.salem.va.gov/services/BILLING_AND_INSURANCE.ASP</v>
      </c>
      <c r="E3875" s="8" t="s">
        <v>392</v>
      </c>
    </row>
    <row r="3876" ht="14.25" hidden="1" customHeight="1">
      <c r="A3876" s="8" t="s">
        <v>3138</v>
      </c>
      <c r="B3876" s="8" t="s">
        <v>862</v>
      </c>
      <c r="D3876" s="121" t="str">
        <f>HYPERLINK("http://www.salem.va.gov/services/VISUAL_IMPAIRMENT_SERVICES_TEAM_VIST.ASP")</f>
        <v>http://www.salem.va.gov/services/VISUAL_IMPAIRMENT_SERVICES_TEAM_VIST.ASP</v>
      </c>
      <c r="E3876" s="8" t="s">
        <v>595</v>
      </c>
    </row>
    <row r="3877" ht="14.25" hidden="1" customHeight="1">
      <c r="A3877" s="8" t="s">
        <v>3138</v>
      </c>
      <c r="B3877" s="8" t="s">
        <v>830</v>
      </c>
      <c r="D3877" s="121" t="str">
        <f>HYPERLINK("http://www.salem.va.gov/services/CLINICAL_PASTORAL_EDUCATION_CPE_PROGRAM.ASP")</f>
        <v>http://www.salem.va.gov/services/CLINICAL_PASTORAL_EDUCATION_CPE_PROGRAM.ASP</v>
      </c>
      <c r="E3877" s="8" t="s">
        <v>392</v>
      </c>
    </row>
    <row r="3878" ht="14.25" hidden="1" customHeight="1">
      <c r="A3878" s="8" t="s">
        <v>3138</v>
      </c>
      <c r="B3878" s="8" t="s">
        <v>309</v>
      </c>
      <c r="D3878" s="121" t="str">
        <f>HYPERLINK("http://www.salem.va.gov/services/ECRC.ASP")</f>
        <v>http://www.salem.va.gov/services/ECRC.ASP</v>
      </c>
      <c r="E3878" s="8" t="s">
        <v>392</v>
      </c>
    </row>
    <row r="3879" ht="14.25" hidden="1" customHeight="1">
      <c r="A3879" s="8" t="s">
        <v>3138</v>
      </c>
      <c r="B3879" s="8" t="s">
        <v>437</v>
      </c>
      <c r="D3879" s="121" t="str">
        <f>HYPERLINK("http://www.salem.va.gov/services/HOSPICE_PALLIATIVECARE.ASP")</f>
        <v>http://www.salem.va.gov/services/HOSPICE_PALLIATIVECARE.ASP</v>
      </c>
      <c r="E3879" s="8" t="s">
        <v>392</v>
      </c>
    </row>
    <row r="3880" ht="14.25" hidden="1" customHeight="1">
      <c r="A3880" s="8" t="s">
        <v>3138</v>
      </c>
      <c r="B3880" s="8" t="s">
        <v>3914</v>
      </c>
      <c r="D3880" s="121" t="str">
        <f>HYPERLINK("http://www.salem.va.gov/services/LGBT_PROGRAM_LESBIAN_GAY_BISEXUAL_TRANSGENDER.ASP")</f>
        <v>http://www.salem.va.gov/services/LGBT_PROGRAM_LESBIAN_GAY_BISEXUAL_TRANSGENDER.ASP</v>
      </c>
      <c r="E3880" s="8" t="s">
        <v>392</v>
      </c>
    </row>
    <row r="3881" ht="14.25" hidden="1" customHeight="1">
      <c r="A3881" s="8" t="s">
        <v>3138</v>
      </c>
      <c r="B3881" s="8" t="s">
        <v>3915</v>
      </c>
      <c r="D3881" s="121" t="str">
        <f>HYPERLINK("http://www.salem.va.gov/services/MISSION_ACT_QUESTIONS.ASP")</f>
        <v>http://www.salem.va.gov/services/MISSION_ACT_QUESTIONS.ASP</v>
      </c>
      <c r="E3881" s="8" t="s">
        <v>392</v>
      </c>
    </row>
    <row r="3882" ht="14.25" hidden="1" customHeight="1">
      <c r="A3882" s="8" t="s">
        <v>3138</v>
      </c>
      <c r="B3882" s="8" t="s">
        <v>323</v>
      </c>
      <c r="D3882" s="121" t="str">
        <f>HYPERLINK("http://www.salem.va.gov/services/MENTALHEALTH.ASP")</f>
        <v>http://www.salem.va.gov/services/MENTALHEALTH.ASP</v>
      </c>
      <c r="E3882" s="8" t="s">
        <v>392</v>
      </c>
    </row>
    <row r="3883" ht="14.25" hidden="1" customHeight="1">
      <c r="A3883" s="8" t="s">
        <v>3138</v>
      </c>
      <c r="B3883" s="8" t="s">
        <v>326</v>
      </c>
      <c r="D3883" s="121" t="str">
        <f>HYPERLINK("http://www.salem.va.gov/services/MINORITY_VETERANS_PROGRAM.ASP")</f>
        <v>http://www.salem.va.gov/services/MINORITY_VETERANS_PROGRAM.ASP</v>
      </c>
      <c r="E3883" s="8" t="s">
        <v>392</v>
      </c>
    </row>
    <row r="3884" ht="14.25" hidden="1" customHeight="1">
      <c r="A3884" s="8" t="s">
        <v>3138</v>
      </c>
      <c r="B3884" s="8" t="s">
        <v>343</v>
      </c>
      <c r="D3884" s="121" t="str">
        <f>HYPERLINK("http://www.salem.va.gov/services/PHARMACY.ASP")</f>
        <v>http://www.salem.va.gov/services/PHARMACY.ASP</v>
      </c>
      <c r="E3884" s="8" t="s">
        <v>392</v>
      </c>
    </row>
    <row r="3885" ht="14.25" hidden="1" customHeight="1">
      <c r="A3885" s="8" t="s">
        <v>3138</v>
      </c>
      <c r="B3885" s="8" t="s">
        <v>348</v>
      </c>
      <c r="D3885" s="121" t="str">
        <f>HYPERLINK("http://www.salem.va.gov/services/PRIMARY.ASP")</f>
        <v>http://www.salem.va.gov/services/PRIMARY.ASP</v>
      </c>
      <c r="E3885" s="8" t="s">
        <v>392</v>
      </c>
    </row>
    <row r="3886" ht="14.25" hidden="1" customHeight="1">
      <c r="A3886" s="8" t="s">
        <v>3138</v>
      </c>
      <c r="B3886" s="8" t="s">
        <v>721</v>
      </c>
      <c r="D3886" s="121" t="str">
        <f>HYPERLINK("http://www.salem.va.gov/services/PSYCHOLOGY.ASP")</f>
        <v>http://www.salem.va.gov/services/PSYCHOLOGY.ASP</v>
      </c>
      <c r="E3886" s="8" t="s">
        <v>392</v>
      </c>
    </row>
    <row r="3887" ht="14.25" hidden="1" customHeight="1">
      <c r="A3887" s="8" t="s">
        <v>3138</v>
      </c>
      <c r="B3887" s="8" t="s">
        <v>508</v>
      </c>
      <c r="D3887" s="121" t="str">
        <f>HYPERLINK("http://www.salem.va.gov/services/RESEARCH.ASP")</f>
        <v>http://www.salem.va.gov/services/RESEARCH.ASP</v>
      </c>
      <c r="E3887" s="8" t="s">
        <v>392</v>
      </c>
    </row>
    <row r="3888" ht="14.25" hidden="1" customHeight="1">
      <c r="A3888" s="8" t="s">
        <v>3138</v>
      </c>
      <c r="B3888" s="8" t="s">
        <v>3916</v>
      </c>
      <c r="D3888" s="121" t="str">
        <f>HYPERLINK("http://www.salem.va.gov/services/SAFETY_SERVICE.ASP")</f>
        <v>http://www.salem.va.gov/services/SAFETY_SERVICE.ASP</v>
      </c>
      <c r="E3888" s="8" t="s">
        <v>392</v>
      </c>
    </row>
    <row r="3889" ht="14.25" hidden="1" customHeight="1">
      <c r="A3889" s="8" t="s">
        <v>3138</v>
      </c>
      <c r="B3889" s="8" t="s">
        <v>360</v>
      </c>
      <c r="D3889" s="121" t="str">
        <f>HYPERLINK("http://www.salem.va.gov/services/SOCIALWORK.ASP")</f>
        <v>http://www.salem.va.gov/services/SOCIALWORK.ASP</v>
      </c>
      <c r="E3889" s="8" t="s">
        <v>392</v>
      </c>
    </row>
    <row r="3890" ht="14.25" hidden="1" customHeight="1">
      <c r="A3890" s="8" t="s">
        <v>3138</v>
      </c>
      <c r="B3890" s="8" t="s">
        <v>363</v>
      </c>
      <c r="D3890" s="121" t="str">
        <f>HYPERLINK("http://www.salem.va.gov/services/SPECIALTY.ASP")</f>
        <v>http://www.salem.va.gov/services/SPECIALTY.ASP</v>
      </c>
      <c r="E3890" s="8" t="s">
        <v>392</v>
      </c>
    </row>
    <row r="3891" ht="14.25" hidden="1" customHeight="1">
      <c r="A3891" s="8" t="s">
        <v>3138</v>
      </c>
      <c r="B3891" s="8" t="s">
        <v>364</v>
      </c>
      <c r="D3891" s="121" t="str">
        <f>HYPERLINK("http://www.salem.va.gov/services/SCI.ASP")</f>
        <v>http://www.salem.va.gov/services/SCI.ASP</v>
      </c>
      <c r="E3891" s="8" t="s">
        <v>392</v>
      </c>
    </row>
    <row r="3892" ht="14.25" hidden="1" customHeight="1">
      <c r="A3892" s="8" t="s">
        <v>3138</v>
      </c>
      <c r="B3892" s="8" t="s">
        <v>729</v>
      </c>
      <c r="D3892" s="121" t="str">
        <f>HYPERLINK("http://www.salem.va.gov/services/URGENT_CARE.ASP")</f>
        <v>http://www.salem.va.gov/services/URGENT_CARE.ASP</v>
      </c>
      <c r="E3892" s="8" t="s">
        <v>392</v>
      </c>
    </row>
    <row r="3893" ht="14.25" hidden="1" customHeight="1">
      <c r="A3893" s="8" t="s">
        <v>3138</v>
      </c>
      <c r="B3893" s="8" t="s">
        <v>1341</v>
      </c>
      <c r="D3893" s="121" t="str">
        <f>HYPERLINK("http://www.salem.va.gov/services/VIRTUAL_LIFETIME_ELECTRONIC_RECORD.ASP")</f>
        <v>http://www.salem.va.gov/services/VIRTUAL_LIFETIME_ELECTRONIC_RECORD.ASP</v>
      </c>
      <c r="E3893" s="8" t="s">
        <v>392</v>
      </c>
    </row>
    <row r="3894" ht="14.25" hidden="1" customHeight="1">
      <c r="A3894" s="8" t="s">
        <v>3138</v>
      </c>
      <c r="B3894" s="8" t="s">
        <v>680</v>
      </c>
      <c r="D3894" s="121" t="str">
        <f>HYPERLINK("http://www.salem.va.gov/services/VISUAL_IMPAIRMENT_SERVICES_TEAM_VIST.ASP")</f>
        <v>http://www.salem.va.gov/services/VISUAL_IMPAIRMENT_SERVICES_TEAM_VIST.ASP</v>
      </c>
      <c r="E3894" s="8" t="s">
        <v>392</v>
      </c>
    </row>
    <row r="3895" ht="14.25" hidden="1" customHeight="1">
      <c r="A3895" s="8" t="s">
        <v>3138</v>
      </c>
      <c r="B3895" s="8" t="s">
        <v>973</v>
      </c>
      <c r="D3895" s="121" t="str">
        <f>HYPERLINK("http://www.salem.va.gov/services/WHOLE_HEALTH.ASP")</f>
        <v>http://www.salem.va.gov/services/WHOLE_HEALTH.ASP</v>
      </c>
      <c r="E3895" s="8" t="s">
        <v>392</v>
      </c>
    </row>
    <row r="3896" ht="14.25" hidden="1" customHeight="1">
      <c r="A3896" s="8" t="s">
        <v>3138</v>
      </c>
      <c r="B3896" s="8" t="s">
        <v>520</v>
      </c>
      <c r="D3896" s="121" t="str">
        <f>HYPERLINK("http://www.salem.va.gov/services/WOMEN_VETERANS_HEALTH_PROGRAM.ASP")</f>
        <v>http://www.salem.va.gov/services/WOMEN_VETERANS_HEALTH_PROGRAM.ASP</v>
      </c>
      <c r="E3896" s="8" t="s">
        <v>392</v>
      </c>
    </row>
    <row r="3897" ht="14.25" hidden="1" customHeight="1">
      <c r="A3897" s="8" t="s">
        <v>3147</v>
      </c>
      <c r="B3897" s="8" t="s">
        <v>3917</v>
      </c>
      <c r="D3897" s="121" t="str">
        <f>HYPERLINK("http://www.salisbury.va.gov/services/ADVANCED_LOW_VISION_CLINIC.ASP")</f>
        <v>http://www.salisbury.va.gov/services/ADVANCED_LOW_VISION_CLINIC.ASP</v>
      </c>
      <c r="E3897" s="8" t="s">
        <v>392</v>
      </c>
    </row>
    <row r="3898" ht="14.25" hidden="1" customHeight="1">
      <c r="A3898" s="8" t="s">
        <v>3147</v>
      </c>
      <c r="B3898" s="8" t="s">
        <v>3918</v>
      </c>
      <c r="D3898" s="121" t="str">
        <f>HYPERLINK("http://www.salisbury.va.gov/services/CARDIOLOGY.ASP")</f>
        <v>http://www.salisbury.va.gov/services/CARDIOLOGY.ASP</v>
      </c>
      <c r="E3898" s="8" t="s">
        <v>392</v>
      </c>
    </row>
    <row r="3899" ht="14.25" hidden="1" customHeight="1">
      <c r="A3899" s="8" t="s">
        <v>3147</v>
      </c>
      <c r="B3899" s="8" t="s">
        <v>1053</v>
      </c>
      <c r="D3899" s="121" t="str">
        <f>HYPERLINK("http://www.salisbury.va.gov/services/GERIATRICS.ASP")</f>
        <v>http://www.salisbury.va.gov/services/GERIATRICS.ASP</v>
      </c>
      <c r="E3899" s="8" t="s">
        <v>595</v>
      </c>
    </row>
    <row r="3900" ht="14.25" hidden="1" customHeight="1">
      <c r="A3900" s="8" t="s">
        <v>3147</v>
      </c>
      <c r="B3900" s="8" t="s">
        <v>309</v>
      </c>
      <c r="D3900" s="121" t="str">
        <f>HYPERLINK("http://www.salisbury.va.gov/services/ECRC.ASP")</f>
        <v>http://www.salisbury.va.gov/services/ECRC.ASP</v>
      </c>
      <c r="E3900" s="8" t="s">
        <v>392</v>
      </c>
    </row>
    <row r="3901" ht="14.25" hidden="1" customHeight="1">
      <c r="A3901" s="8" t="s">
        <v>3147</v>
      </c>
      <c r="B3901" s="8" t="s">
        <v>3919</v>
      </c>
      <c r="D3901" s="121" t="str">
        <f>HYPERLINK("http://www.salisbury.va.gov/services/FROM_WARRIOR_TO_SOUL_MATE.ASP")</f>
        <v>http://www.salisbury.va.gov/services/FROM_WARRIOR_TO_SOUL_MATE.ASP</v>
      </c>
      <c r="E3901" s="8" t="s">
        <v>392</v>
      </c>
    </row>
    <row r="3902" ht="14.25" hidden="1" customHeight="1">
      <c r="A3902" s="8" t="s">
        <v>3147</v>
      </c>
      <c r="B3902" s="8" t="s">
        <v>3920</v>
      </c>
      <c r="D3902" s="121" t="str">
        <f>HYPERLINK("http://www.salisbury.va.gov/services/MENTALHEALTH.ASP")</f>
        <v>http://www.salisbury.va.gov/services/MENTALHEALTH.ASP</v>
      </c>
      <c r="E3902" s="8" t="s">
        <v>595</v>
      </c>
    </row>
    <row r="3903" ht="14.25" hidden="1" customHeight="1">
      <c r="A3903" s="8" t="s">
        <v>3147</v>
      </c>
      <c r="B3903" s="8" t="s">
        <v>556</v>
      </c>
      <c r="D3903" s="121" t="str">
        <f>HYPERLINK("http://www.salisbury.va.gov/services/GERIATRICS.ASP")</f>
        <v>http://www.salisbury.va.gov/services/GERIATRICS.ASP</v>
      </c>
      <c r="E3903" s="8" t="s">
        <v>392</v>
      </c>
    </row>
    <row r="3904" ht="14.25" hidden="1" customHeight="1">
      <c r="A3904" s="8" t="s">
        <v>3147</v>
      </c>
      <c r="B3904" s="8" t="s">
        <v>3921</v>
      </c>
      <c r="D3904" s="121" t="str">
        <f t="shared" ref="D3904:D3905" si="44">HYPERLINK("http://www.salisbury.va.gov/services/SLEEP.ASP")</f>
        <v>http://www.salisbury.va.gov/services/SLEEP.ASP</v>
      </c>
      <c r="E3904" s="8" t="s">
        <v>595</v>
      </c>
    </row>
    <row r="3905" ht="14.25" hidden="1" customHeight="1">
      <c r="A3905" s="8" t="s">
        <v>3147</v>
      </c>
      <c r="B3905" s="8" t="s">
        <v>3922</v>
      </c>
      <c r="D3905" s="121" t="str">
        <f t="shared" si="44"/>
        <v>http://www.salisbury.va.gov/services/SLEEP.ASP</v>
      </c>
      <c r="E3905" s="8" t="s">
        <v>595</v>
      </c>
    </row>
    <row r="3906" ht="14.25" hidden="1" customHeight="1">
      <c r="A3906" s="8" t="s">
        <v>3147</v>
      </c>
      <c r="B3906" s="8" t="s">
        <v>2304</v>
      </c>
      <c r="D3906" s="121" t="str">
        <f>HYPERLINK("http://www.salisbury.va.gov/services/HOPTEL.ASP")</f>
        <v>http://www.salisbury.va.gov/services/HOPTEL.ASP</v>
      </c>
      <c r="E3906" s="8" t="s">
        <v>392</v>
      </c>
    </row>
    <row r="3907" ht="14.25" hidden="1" customHeight="1">
      <c r="A3907" s="8" t="s">
        <v>3147</v>
      </c>
      <c r="B3907" s="8" t="s">
        <v>755</v>
      </c>
      <c r="D3907" s="121" t="str">
        <f>HYPERLINK("http://www.salisbury.va.gov/services/GERIATRICS.ASP")</f>
        <v>http://www.salisbury.va.gov/services/GERIATRICS.ASP</v>
      </c>
      <c r="E3907" s="8" t="s">
        <v>595</v>
      </c>
    </row>
    <row r="3908" ht="14.25" hidden="1" customHeight="1">
      <c r="A3908" s="8" t="s">
        <v>3147</v>
      </c>
      <c r="B3908" s="8" t="s">
        <v>3923</v>
      </c>
      <c r="D3908" s="121" t="str">
        <f>HYPERLINK("http://www.salisbury.va.gov/services/IMAGING_RADIOLOGY.ASP")</f>
        <v>http://www.salisbury.va.gov/services/IMAGING_RADIOLOGY.ASP</v>
      </c>
      <c r="E3908" s="8" t="s">
        <v>392</v>
      </c>
    </row>
    <row r="3909" ht="14.25" hidden="1" customHeight="1">
      <c r="A3909" s="8" t="s">
        <v>3147</v>
      </c>
      <c r="B3909" s="8" t="s">
        <v>523</v>
      </c>
      <c r="D3909" s="121" t="str">
        <f t="shared" ref="D3909:D3910" si="45">HYPERLINK("http://www.salisbury.va.gov/services/LGBT.ASP")</f>
        <v>http://www.salisbury.va.gov/services/LGBT.ASP</v>
      </c>
      <c r="E3909" s="8" t="s">
        <v>595</v>
      </c>
    </row>
    <row r="3910" ht="14.25" hidden="1" customHeight="1">
      <c r="A3910" s="8" t="s">
        <v>3147</v>
      </c>
      <c r="B3910" s="8" t="s">
        <v>952</v>
      </c>
      <c r="D3910" s="121" t="str">
        <f t="shared" si="45"/>
        <v>http://www.salisbury.va.gov/services/LGBT.ASP</v>
      </c>
      <c r="E3910" s="8" t="s">
        <v>392</v>
      </c>
    </row>
    <row r="3911" ht="14.25" hidden="1" customHeight="1">
      <c r="A3911" s="8" t="s">
        <v>3147</v>
      </c>
      <c r="B3911" s="8" t="s">
        <v>683</v>
      </c>
      <c r="D3911" s="121" t="str">
        <f>HYPERLINK("http://www.salisbury.va.gov/services/LOST_AND_FOUND.ASP")</f>
        <v>http://www.salisbury.va.gov/services/LOST_AND_FOUND.ASP</v>
      </c>
      <c r="E3911" s="8" t="s">
        <v>392</v>
      </c>
    </row>
    <row r="3912" ht="14.25" hidden="1" customHeight="1">
      <c r="A3912" s="8" t="s">
        <v>3147</v>
      </c>
      <c r="B3912" s="8" t="s">
        <v>728</v>
      </c>
      <c r="D3912" s="121" t="str">
        <f>HYPERLINK("http://www.salisbury.va.gov/services/IMAGING_RADIOLOGY.ASP")</f>
        <v>http://www.salisbury.va.gov/services/IMAGING_RADIOLOGY.ASP</v>
      </c>
      <c r="E3912" s="8" t="s">
        <v>595</v>
      </c>
    </row>
    <row r="3913" ht="14.25" hidden="1" customHeight="1">
      <c r="A3913" s="8" t="s">
        <v>3147</v>
      </c>
      <c r="B3913" s="8" t="s">
        <v>3924</v>
      </c>
      <c r="D3913" s="121" t="str">
        <f>HYPERLINK("http://www.salisbury.va.gov/services/MENTAL_HEALTH_CHARLOTTE_HCC.ASP")</f>
        <v>http://www.salisbury.va.gov/services/MENTAL_HEALTH_CHARLOTTE_HCC.ASP</v>
      </c>
      <c r="E3913" s="8" t="s">
        <v>392</v>
      </c>
    </row>
    <row r="3914" ht="14.25" hidden="1" customHeight="1">
      <c r="A3914" s="8" t="s">
        <v>3147</v>
      </c>
      <c r="B3914" s="8" t="s">
        <v>3925</v>
      </c>
      <c r="D3914" s="121" t="str">
        <f>HYPERLINK("http://www.salisbury.va.gov/services/MENTAL_HEALTH.ASP")</f>
        <v>http://www.salisbury.va.gov/services/MENTAL_HEALTH.ASP</v>
      </c>
      <c r="E3914" s="8" t="s">
        <v>392</v>
      </c>
    </row>
    <row r="3915" ht="14.25" hidden="1" customHeight="1">
      <c r="A3915" s="8" t="s">
        <v>3147</v>
      </c>
      <c r="B3915" s="8" t="s">
        <v>3926</v>
      </c>
      <c r="D3915" s="121" t="str">
        <f>HYPERLINK("http://www.salisbury.va.gov/services/MENTALHEALTH.ASP")</f>
        <v>http://www.salisbury.va.gov/services/MENTALHEALTH.ASP</v>
      </c>
      <c r="E3915" s="8" t="s">
        <v>392</v>
      </c>
    </row>
    <row r="3916" ht="14.25" hidden="1" customHeight="1">
      <c r="A3916" s="8" t="s">
        <v>3147</v>
      </c>
      <c r="B3916" s="8" t="s">
        <v>1025</v>
      </c>
      <c r="D3916" s="121" t="str">
        <f>HYPERLINK("http://www.salisbury.va.gov/services/GERIATRICS.ASP")</f>
        <v>http://www.salisbury.va.gov/services/GERIATRICS.ASP</v>
      </c>
      <c r="E3916" s="8" t="s">
        <v>595</v>
      </c>
    </row>
    <row r="3917" ht="14.25" hidden="1" customHeight="1">
      <c r="A3917" s="8" t="s">
        <v>3147</v>
      </c>
      <c r="B3917" s="8" t="s">
        <v>3927</v>
      </c>
      <c r="D3917" s="121" t="str">
        <f>HYPERLINK("http://www.salisbury.va.gov/services/OBSTETRICS.ASP")</f>
        <v>http://www.salisbury.va.gov/services/OBSTETRICS.ASP</v>
      </c>
      <c r="E3917" s="8" t="s">
        <v>392</v>
      </c>
    </row>
    <row r="3918" ht="14.25" hidden="1" customHeight="1">
      <c r="A3918" s="8" t="s">
        <v>3147</v>
      </c>
      <c r="B3918" s="8" t="s">
        <v>3928</v>
      </c>
      <c r="D3918" s="121" t="str">
        <f>HYPERLINK("http://www.salisbury.va.gov/services/SLEEP.ASP")</f>
        <v>http://www.salisbury.va.gov/services/SLEEP.ASP</v>
      </c>
      <c r="E3918" s="8" t="s">
        <v>595</v>
      </c>
    </row>
    <row r="3919" ht="14.25" hidden="1" customHeight="1">
      <c r="A3919" s="8" t="s">
        <v>3147</v>
      </c>
      <c r="B3919" s="8" t="s">
        <v>3929</v>
      </c>
      <c r="D3919" s="121" t="str">
        <f>HYPERLINK("http://www.salisbury.va.gov/services/PTSD_CLINICAL_TEAM_OUTPATIENT_SERVICES.ASP")</f>
        <v>http://www.salisbury.va.gov/services/PTSD_CLINICAL_TEAM_OUTPATIENT_SERVICES.ASP</v>
      </c>
      <c r="E3919" s="8" t="s">
        <v>392</v>
      </c>
    </row>
    <row r="3920" ht="14.25" hidden="1" customHeight="1">
      <c r="A3920" s="8" t="s">
        <v>3147</v>
      </c>
      <c r="B3920" s="8" t="s">
        <v>904</v>
      </c>
      <c r="D3920" s="121" t="str">
        <f>HYPERLINK("http://www.salisbury.va.gov/services/PTSD_RRTP.ASP")</f>
        <v>http://www.salisbury.va.gov/services/PTSD_RRTP.ASP</v>
      </c>
      <c r="E3920" s="8" t="s">
        <v>392</v>
      </c>
    </row>
    <row r="3921" ht="14.25" hidden="1" customHeight="1">
      <c r="A3921" s="8" t="s">
        <v>3147</v>
      </c>
      <c r="B3921" s="8" t="s">
        <v>3930</v>
      </c>
      <c r="D3921" s="121" t="str">
        <f>HYPERLINK("http://www.salisbury.va.gov/services/PATRIOT_SERVICES_CANTEEN.ASP")</f>
        <v>http://www.salisbury.va.gov/services/PATRIOT_SERVICES_CANTEEN.ASP</v>
      </c>
      <c r="E3921" s="8" t="s">
        <v>392</v>
      </c>
    </row>
    <row r="3922" ht="14.25" hidden="1" customHeight="1">
      <c r="A3922" s="8" t="s">
        <v>3147</v>
      </c>
      <c r="B3922" s="8" t="s">
        <v>3931</v>
      </c>
      <c r="D3922" s="121" t="str">
        <f>HYPERLINK("http://www.salisbury.va.gov/services/PHYSICAL_MEDICINE_REHABILITATION_SERVICE.ASP")</f>
        <v>http://www.salisbury.va.gov/services/PHYSICAL_MEDICINE_REHABILITATION_SERVICE.ASP</v>
      </c>
      <c r="E3922" s="8" t="s">
        <v>392</v>
      </c>
    </row>
    <row r="3923" ht="14.25" hidden="1" customHeight="1">
      <c r="A3923" s="8" t="s">
        <v>3147</v>
      </c>
      <c r="B3923" s="8" t="s">
        <v>3932</v>
      </c>
      <c r="D3923" s="121" t="str">
        <f>HYPERLINK("http://www.salisbury.va.gov/services/POST_TRAUMATIC_STRESS_DISORDER.ASP")</f>
        <v>http://www.salisbury.va.gov/services/POST_TRAUMATIC_STRESS_DISORDER.ASP</v>
      </c>
      <c r="E3923" s="8" t="s">
        <v>392</v>
      </c>
    </row>
    <row r="3924" ht="14.25" hidden="1" customHeight="1">
      <c r="A3924" s="8" t="s">
        <v>3147</v>
      </c>
      <c r="B3924" s="8" t="s">
        <v>721</v>
      </c>
      <c r="D3924" s="121" t="str">
        <f>HYPERLINK("http://www.salisbury.va.gov/services/PSYCHOLOGY.ASP")</f>
        <v>http://www.salisbury.va.gov/services/PSYCHOLOGY.ASP</v>
      </c>
      <c r="E3924" s="8" t="s">
        <v>392</v>
      </c>
    </row>
    <row r="3925" ht="14.25" hidden="1" customHeight="1">
      <c r="A3925" s="8" t="s">
        <v>3147</v>
      </c>
      <c r="B3925" s="8" t="s">
        <v>717</v>
      </c>
      <c r="D3925" s="121" t="str">
        <f>HYPERLINK("http://www.salisbury.va.gov/services/IMAGING_RADIOLOGY.ASP")</f>
        <v>http://www.salisbury.va.gov/services/IMAGING_RADIOLOGY.ASP</v>
      </c>
      <c r="E3925" s="8" t="s">
        <v>595</v>
      </c>
    </row>
    <row r="3926" ht="14.25" hidden="1" customHeight="1">
      <c r="A3926" s="8" t="s">
        <v>3147</v>
      </c>
      <c r="B3926" s="8" t="s">
        <v>1288</v>
      </c>
      <c r="D3926" s="121" t="str">
        <f>HYPERLINK("http://www.salisbury.va.gov/services/RECREATIONAL_THERAPY.ASP")</f>
        <v>http://www.salisbury.va.gov/services/RECREATIONAL_THERAPY.ASP</v>
      </c>
      <c r="E3926" s="8" t="s">
        <v>392</v>
      </c>
    </row>
    <row r="3927" ht="14.25" hidden="1" customHeight="1">
      <c r="A3927" s="8" t="s">
        <v>3147</v>
      </c>
      <c r="B3927" s="8" t="s">
        <v>3933</v>
      </c>
      <c r="D3927" s="121" t="str">
        <f t="shared" ref="D3927:D3929" si="46">HYPERLINK("http://www.salisbury.va.gov/services/SLEEP.ASP")</f>
        <v>http://www.salisbury.va.gov/services/SLEEP.ASP</v>
      </c>
      <c r="E3927" s="8" t="s">
        <v>595</v>
      </c>
    </row>
    <row r="3928" ht="14.25" hidden="1" customHeight="1">
      <c r="A3928" s="8" t="s">
        <v>3147</v>
      </c>
      <c r="B3928" s="8" t="s">
        <v>3934</v>
      </c>
      <c r="D3928" s="121" t="str">
        <f t="shared" si="46"/>
        <v>http://www.salisbury.va.gov/services/SLEEP.ASP</v>
      </c>
      <c r="E3928" s="8" t="s">
        <v>392</v>
      </c>
    </row>
    <row r="3929" ht="14.25" hidden="1" customHeight="1">
      <c r="A3929" s="8" t="s">
        <v>3147</v>
      </c>
      <c r="B3929" s="8" t="s">
        <v>1429</v>
      </c>
      <c r="D3929" s="121" t="str">
        <f t="shared" si="46"/>
        <v>http://www.salisbury.va.gov/services/SLEEP.ASP</v>
      </c>
      <c r="E3929" s="8" t="s">
        <v>595</v>
      </c>
    </row>
    <row r="3930" ht="14.25" hidden="1" customHeight="1">
      <c r="A3930" s="8" t="s">
        <v>3147</v>
      </c>
      <c r="B3930" s="8" t="s">
        <v>363</v>
      </c>
      <c r="D3930" s="121" t="str">
        <f>HYPERLINK("http://www.salisbury.va.gov/services/SPECIALTY.ASP")</f>
        <v>http://www.salisbury.va.gov/services/SPECIALTY.ASP</v>
      </c>
      <c r="E3930" s="8" t="s">
        <v>392</v>
      </c>
    </row>
    <row r="3931" ht="14.25" hidden="1" customHeight="1">
      <c r="A3931" s="8" t="s">
        <v>3147</v>
      </c>
      <c r="B3931" s="8" t="s">
        <v>810</v>
      </c>
      <c r="D3931" s="121" t="str">
        <f>HYPERLINK("http://www.salisbury.va.gov/services/IMAGING_RADIOLOGY.ASP")</f>
        <v>http://www.salisbury.va.gov/services/IMAGING_RADIOLOGY.ASP</v>
      </c>
      <c r="E3931" s="8" t="s">
        <v>595</v>
      </c>
    </row>
    <row r="3932" ht="14.25" hidden="1" customHeight="1">
      <c r="A3932" s="8" t="s">
        <v>3147</v>
      </c>
      <c r="B3932" s="8" t="s">
        <v>729</v>
      </c>
      <c r="D3932" s="121" t="str">
        <f>HYPERLINK("http://www.salisbury.va.gov/services/URGENT_CARE.ASP")</f>
        <v>http://www.salisbury.va.gov/services/URGENT_CARE.ASP</v>
      </c>
      <c r="E3932" s="8" t="s">
        <v>392</v>
      </c>
    </row>
    <row r="3933" ht="14.25" hidden="1" customHeight="1">
      <c r="A3933" s="8" t="s">
        <v>3147</v>
      </c>
      <c r="B3933" s="8" t="s">
        <v>3935</v>
      </c>
      <c r="D3933" s="121" t="str">
        <f>HYPERLINK("http://www.salisbury.va.gov/services/VISUAL_IMPAIRMENT_SERVICES_TEAM.ASP")</f>
        <v>http://www.salisbury.va.gov/services/VISUAL_IMPAIRMENT_SERVICES_TEAM.ASP</v>
      </c>
      <c r="E3933" s="8" t="s">
        <v>392</v>
      </c>
    </row>
    <row r="3934" ht="14.25" hidden="1" customHeight="1">
      <c r="A3934" s="8" t="s">
        <v>3147</v>
      </c>
      <c r="B3934" s="8" t="s">
        <v>741</v>
      </c>
      <c r="D3934" s="121" t="str">
        <f>HYPERLINK("http://www.salisbury.va.gov/services/VOLUNTEER_OR_GIVE.ASP")</f>
        <v>http://www.salisbury.va.gov/services/VOLUNTEER_OR_GIVE.ASP</v>
      </c>
      <c r="E3934" s="8" t="s">
        <v>392</v>
      </c>
    </row>
    <row r="3935" ht="14.25" hidden="1" customHeight="1">
      <c r="A3935" s="8" t="s">
        <v>3147</v>
      </c>
      <c r="B3935" s="8" t="s">
        <v>747</v>
      </c>
      <c r="D3935" s="121" t="str">
        <f>HYPERLINK("http://www.salisbury.va.gov/services/WOMEN_VETERANS_HEALTH.ASP")</f>
        <v>http://www.salisbury.va.gov/services/WOMEN_VETERANS_HEALTH.ASP</v>
      </c>
      <c r="E3935" s="8" t="s">
        <v>392</v>
      </c>
    </row>
    <row r="3936" ht="14.25" hidden="1" customHeight="1">
      <c r="A3936" s="8" t="s">
        <v>3147</v>
      </c>
      <c r="B3936" s="8" t="s">
        <v>824</v>
      </c>
      <c r="D3936" s="121" t="str">
        <f>HYPERLINK("http://www.salisbury.va.gov/services/IMAGING_RADIOLOGY.ASP")</f>
        <v>http://www.salisbury.va.gov/services/IMAGING_RADIOLOGY.ASP</v>
      </c>
      <c r="E3936" s="8" t="s">
        <v>595</v>
      </c>
    </row>
    <row r="3937" ht="14.25" hidden="1" customHeight="1">
      <c r="A3937" s="8" t="s">
        <v>3302</v>
      </c>
      <c r="B3937" s="8" t="s">
        <v>576</v>
      </c>
      <c r="D3937" s="121" t="str">
        <f>HYPERLINK("http://www.saltlakecity.va.gov/services/LOW_VISION.ASP")</f>
        <v>http://www.saltlakecity.va.gov/services/LOW_VISION.ASP</v>
      </c>
      <c r="E3937" s="8" t="s">
        <v>392</v>
      </c>
    </row>
    <row r="3938" ht="14.25" hidden="1" customHeight="1">
      <c r="A3938" s="8" t="s">
        <v>3302</v>
      </c>
      <c r="B3938" s="8" t="s">
        <v>3936</v>
      </c>
      <c r="D3938" s="121" t="str">
        <f>HYPERLINK("http://www.saltlakecity.va.gov/services/AUDIOLOGY_AND_SPEECH_LANGUAGE_PATHOLOGY.ASP")</f>
        <v>http://www.saltlakecity.va.gov/services/AUDIOLOGY_AND_SPEECH_LANGUAGE_PATHOLOGY.ASP</v>
      </c>
      <c r="E3938" s="8" t="s">
        <v>392</v>
      </c>
    </row>
    <row r="3939" ht="14.25" hidden="1" customHeight="1">
      <c r="A3939" s="8" t="s">
        <v>3302</v>
      </c>
      <c r="B3939" s="8" t="s">
        <v>304</v>
      </c>
      <c r="D3939" s="121" t="str">
        <f>HYPERLINK("http://www.saltlakecity.va.gov/services/DENTAL.ASP")</f>
        <v>http://www.saltlakecity.va.gov/services/DENTAL.ASP</v>
      </c>
      <c r="E3939" s="8" t="s">
        <v>392</v>
      </c>
    </row>
    <row r="3940" ht="14.25" hidden="1" customHeight="1">
      <c r="A3940" s="8" t="s">
        <v>3302</v>
      </c>
      <c r="B3940" s="8" t="s">
        <v>1418</v>
      </c>
      <c r="D3940" s="121" t="str">
        <f>HYPERLINK("http://www.saltlakecity.va.gov/services/EMERGENCY_CARE.ASP")</f>
        <v>http://www.saltlakecity.va.gov/services/EMERGENCY_CARE.ASP</v>
      </c>
      <c r="E3940" s="8" t="s">
        <v>392</v>
      </c>
    </row>
    <row r="3941" ht="14.25" hidden="1" customHeight="1">
      <c r="A3941" s="8" t="s">
        <v>3302</v>
      </c>
      <c r="B3941" s="8" t="s">
        <v>3515</v>
      </c>
      <c r="D3941" s="121" t="str">
        <f>HYPERLINK("http://www.saltlakecity.va.gov/services/GRECC.ASP")</f>
        <v>http://www.saltlakecity.va.gov/services/GRECC.ASP</v>
      </c>
      <c r="E3941" s="8" t="s">
        <v>392</v>
      </c>
    </row>
    <row r="3942" ht="14.25" hidden="1" customHeight="1">
      <c r="A3942" s="8" t="s">
        <v>3302</v>
      </c>
      <c r="B3942" s="8" t="s">
        <v>1056</v>
      </c>
      <c r="D3942" s="121" t="str">
        <f>HYPERLINK("http://www.saltlakecity.va.gov/services/HEALTH_PROMOTION_DISEASE_PREVENTION.ASP")</f>
        <v>http://www.saltlakecity.va.gov/services/HEALTH_PROMOTION_DISEASE_PREVENTION.ASP</v>
      </c>
      <c r="E3942" s="8" t="s">
        <v>392</v>
      </c>
    </row>
    <row r="3943" ht="14.25" hidden="1" customHeight="1">
      <c r="A3943" s="8" t="s">
        <v>3302</v>
      </c>
      <c r="B3943" s="8" t="s">
        <v>3937</v>
      </c>
      <c r="D3943" s="121" t="str">
        <f>HYPERLINK("http://www.saltlakecity.va.gov/services/LGBT_PROGRAM.ASP")</f>
        <v>http://www.saltlakecity.va.gov/services/LGBT_PROGRAM.ASP</v>
      </c>
      <c r="E3943" s="8" t="s">
        <v>392</v>
      </c>
    </row>
    <row r="3944" ht="14.25" hidden="1" customHeight="1">
      <c r="A3944" s="8" t="s">
        <v>3302</v>
      </c>
      <c r="B3944" s="8" t="s">
        <v>1016</v>
      </c>
      <c r="D3944" s="121" t="str">
        <f>HYPERLINK("http://www.saltlakecity.va.gov/services/MEDICAL_FOSTER_CARE_PROGRAM.ASP")</f>
        <v>http://www.saltlakecity.va.gov/services/MEDICAL_FOSTER_CARE_PROGRAM.ASP</v>
      </c>
      <c r="E3944" s="8" t="s">
        <v>392</v>
      </c>
    </row>
    <row r="3945" ht="14.25" hidden="1" customHeight="1">
      <c r="A3945" s="8" t="s">
        <v>3302</v>
      </c>
      <c r="B3945" s="8" t="s">
        <v>323</v>
      </c>
      <c r="D3945" s="121" t="str">
        <f>HYPERLINK("http://www.saltlakecity.va.gov/services/MENTAL_HEALTH.ASP")</f>
        <v>http://www.saltlakecity.va.gov/services/MENTAL_HEALTH.ASP</v>
      </c>
      <c r="E3945" s="8" t="s">
        <v>392</v>
      </c>
    </row>
    <row r="3946" ht="14.25" hidden="1" customHeight="1">
      <c r="A3946" s="8" t="s">
        <v>3302</v>
      </c>
      <c r="B3946" s="8" t="s">
        <v>3938</v>
      </c>
      <c r="D3946" s="121" t="str">
        <f>HYPERLINK("http://www.saltlakecity.va.gov/services/MINDFULNESS_CENTER.ASP")</f>
        <v>http://www.saltlakecity.va.gov/services/MINDFULNESS_CENTER.ASP</v>
      </c>
      <c r="E3946" s="8" t="s">
        <v>392</v>
      </c>
    </row>
    <row r="3947" ht="14.25" hidden="1" customHeight="1">
      <c r="A3947" s="8" t="s">
        <v>3302</v>
      </c>
      <c r="B3947" s="8" t="s">
        <v>1940</v>
      </c>
      <c r="D3947" s="121" t="str">
        <f>HYPERLINK("http://www.saltlakecity.va.gov/services/NURSING.ASP")</f>
        <v>http://www.saltlakecity.va.gov/services/NURSING.ASP</v>
      </c>
      <c r="E3947" s="8" t="s">
        <v>392</v>
      </c>
    </row>
    <row r="3948" ht="14.25" hidden="1" customHeight="1">
      <c r="A3948" s="8" t="s">
        <v>3302</v>
      </c>
      <c r="B3948" s="8" t="s">
        <v>3939</v>
      </c>
      <c r="D3948" s="121" t="str">
        <f>HYPERLINK("http://www.saltlakecity.va.gov/services/PATIENTTRAVEL.ASP")</f>
        <v>http://www.saltlakecity.va.gov/services/PATIENTTRAVEL.ASP</v>
      </c>
      <c r="E3948" s="8" t="s">
        <v>392</v>
      </c>
    </row>
    <row r="3949" ht="14.25" hidden="1" customHeight="1">
      <c r="A3949" s="8" t="s">
        <v>3302</v>
      </c>
      <c r="B3949" s="8" t="s">
        <v>343</v>
      </c>
      <c r="D3949" s="121" t="str">
        <f>HYPERLINK("http://www.saltlakecity.va.gov/services/PHARMACY.ASP")</f>
        <v>http://www.saltlakecity.va.gov/services/PHARMACY.ASP</v>
      </c>
      <c r="E3949" s="8" t="s">
        <v>392</v>
      </c>
    </row>
    <row r="3950" ht="14.25" hidden="1" customHeight="1">
      <c r="A3950" s="8" t="s">
        <v>3302</v>
      </c>
      <c r="B3950" s="8" t="s">
        <v>3940</v>
      </c>
      <c r="D3950" s="121" t="str">
        <f>HYPERLINK("http://www.saltlakecity.va.gov/services/PULMONARY_AND_CRITICAL_CARE_MEDICINE.ASP")</f>
        <v>http://www.saltlakecity.va.gov/services/PULMONARY_AND_CRITICAL_CARE_MEDICINE.ASP</v>
      </c>
      <c r="E3950" s="8" t="s">
        <v>392</v>
      </c>
    </row>
    <row r="3951" ht="14.25" hidden="1" customHeight="1">
      <c r="A3951" s="8" t="s">
        <v>3302</v>
      </c>
      <c r="B3951" s="8" t="s">
        <v>1288</v>
      </c>
      <c r="D3951" s="121" t="str">
        <f>HYPERLINK("http://www.saltlakecity.va.gov/services/REC_THERAPY.ASP")</f>
        <v>http://www.saltlakecity.va.gov/services/REC_THERAPY.ASP</v>
      </c>
      <c r="E3951" s="8" t="s">
        <v>392</v>
      </c>
    </row>
    <row r="3952" ht="14.25" hidden="1" customHeight="1">
      <c r="A3952" s="8" t="s">
        <v>3302</v>
      </c>
      <c r="B3952" s="8" t="s">
        <v>508</v>
      </c>
      <c r="D3952" s="121" t="str">
        <f>HYPERLINK("http://www.saltlakecity.va.gov/services/RESEARCH.ASP")</f>
        <v>http://www.saltlakecity.va.gov/services/RESEARCH.ASP</v>
      </c>
      <c r="E3952" s="8" t="s">
        <v>392</v>
      </c>
    </row>
    <row r="3953" ht="14.25" hidden="1" customHeight="1">
      <c r="A3953" s="8" t="s">
        <v>3302</v>
      </c>
      <c r="B3953" s="8" t="s">
        <v>370</v>
      </c>
      <c r="D3953" s="121" t="str">
        <f>HYPERLINK("http://www.saltlakecity.va.gov/services/TELEHEALTH.ASP")</f>
        <v>http://www.saltlakecity.va.gov/services/TELEHEALTH.ASP</v>
      </c>
      <c r="E3953" s="8" t="s">
        <v>392</v>
      </c>
    </row>
    <row r="3954" ht="14.25" hidden="1" customHeight="1">
      <c r="A3954" s="8" t="s">
        <v>3302</v>
      </c>
      <c r="B3954" s="8" t="s">
        <v>910</v>
      </c>
      <c r="D3954" s="121" t="str">
        <f>HYPERLINK("http://www.saltlakecity.va.gov/services/TRAVELBENEFITS.ASP")</f>
        <v>http://www.saltlakecity.va.gov/services/TRAVELBENEFITS.ASP</v>
      </c>
      <c r="E3954" s="8" t="s">
        <v>392</v>
      </c>
    </row>
    <row r="3955" ht="14.25" hidden="1" customHeight="1">
      <c r="A3955" s="8" t="s">
        <v>3302</v>
      </c>
      <c r="B3955" s="8" t="s">
        <v>501</v>
      </c>
      <c r="D3955" s="121" t="str">
        <f>HYPERLINK("http://www.saltlakecity.va.gov/services/VET_CENTERS.ASP")</f>
        <v>http://www.saltlakecity.va.gov/services/VET_CENTERS.ASP</v>
      </c>
      <c r="E3955" s="8" t="s">
        <v>392</v>
      </c>
    </row>
    <row r="3956" ht="14.25" hidden="1" customHeight="1">
      <c r="A3956" s="8" t="s">
        <v>3302</v>
      </c>
      <c r="B3956" s="8" t="s">
        <v>3880</v>
      </c>
      <c r="D3956" s="121" t="str">
        <f>HYPERLINK("http://www.saltlakecity.va.gov/services/VETERANS_JUSTICE_OUTREACH_PROGRAM_VJO.ASP")</f>
        <v>http://www.saltlakecity.va.gov/services/VETERANS_JUSTICE_OUTREACH_PROGRAM_VJO.ASP</v>
      </c>
      <c r="E3956" s="8" t="s">
        <v>392</v>
      </c>
    </row>
    <row r="3957" ht="14.25" hidden="1" customHeight="1">
      <c r="A3957" s="8" t="s">
        <v>3302</v>
      </c>
      <c r="B3957" s="8" t="s">
        <v>3941</v>
      </c>
      <c r="D3957" s="121" t="str">
        <f>HYPERLINK("http://www.saltlakecity.va.gov/services/VLER_HEALTH.ASP")</f>
        <v>http://www.saltlakecity.va.gov/services/VLER_HEALTH.ASP</v>
      </c>
      <c r="E3957" s="8" t="s">
        <v>392</v>
      </c>
    </row>
    <row r="3958" ht="14.25" hidden="1" customHeight="1">
      <c r="A3958" s="8" t="s">
        <v>3302</v>
      </c>
      <c r="B3958" s="8" t="s">
        <v>973</v>
      </c>
      <c r="D3958" s="121" t="str">
        <f>HYPERLINK("http://www.saltlakecity.va.gov/services/WHOLE_HEALTH.ASP")</f>
        <v>http://www.saltlakecity.va.gov/services/WHOLE_HEALTH.ASP</v>
      </c>
      <c r="E3958" s="8" t="s">
        <v>392</v>
      </c>
    </row>
    <row r="3959" ht="14.25" hidden="1" customHeight="1">
      <c r="A3959" s="8" t="s">
        <v>3310</v>
      </c>
      <c r="B3959" s="8" t="s">
        <v>3942</v>
      </c>
      <c r="D3959" s="121" t="str">
        <f>HYPERLINK("http://www.sandiego.va.gov/services/ASPIRE_CENTER.ASP")</f>
        <v>http://www.sandiego.va.gov/services/ASPIRE_CENTER.ASP</v>
      </c>
      <c r="E3959" s="8" t="s">
        <v>392</v>
      </c>
    </row>
    <row r="3960" ht="14.25" hidden="1" customHeight="1">
      <c r="A3960" s="8" t="s">
        <v>3310</v>
      </c>
      <c r="B3960" s="8" t="s">
        <v>3943</v>
      </c>
      <c r="D3960" s="121" t="str">
        <f>HYPERLINK("http://www.sandiego.va.gov/services/AGENT_ORANGE.ASP")</f>
        <v>http://www.sandiego.va.gov/services/AGENT_ORANGE.ASP</v>
      </c>
      <c r="E3960" s="8" t="s">
        <v>392</v>
      </c>
    </row>
    <row r="3961" ht="14.25" hidden="1" customHeight="1">
      <c r="A3961" s="8" t="s">
        <v>3310</v>
      </c>
      <c r="B3961" s="8" t="s">
        <v>3944</v>
      </c>
      <c r="D3961" s="121" t="str">
        <f>HYPERLINK("http://www.sandiego.va.gov/services/ALCOHOL_DRUG_TREATMENT_CENTER.ASP")</f>
        <v>http://www.sandiego.va.gov/services/ALCOHOL_DRUG_TREATMENT_CENTER.ASP</v>
      </c>
      <c r="E3961" s="8" t="s">
        <v>392</v>
      </c>
    </row>
    <row r="3962" ht="14.25" hidden="1" customHeight="1">
      <c r="A3962" s="8" t="s">
        <v>3310</v>
      </c>
      <c r="B3962" s="8" t="s">
        <v>2162</v>
      </c>
      <c r="D3962" s="121" t="str">
        <f>HYPERLINK("http://www.sandiego.va.gov/services/AUDIOLOGY_SPEECH_PATHOLOGY_SERVICE.ASP")</f>
        <v>http://www.sandiego.va.gov/services/AUDIOLOGY_SPEECH_PATHOLOGY_SERVICE.ASP</v>
      </c>
      <c r="E3962" s="8" t="s">
        <v>392</v>
      </c>
    </row>
    <row r="3963" ht="14.25" hidden="1" customHeight="1">
      <c r="A3963" s="8" t="s">
        <v>3310</v>
      </c>
      <c r="B3963" s="8" t="s">
        <v>636</v>
      </c>
      <c r="D3963" s="121" t="str">
        <f>HYPERLINK("http://www.sandiego.va.gov/services/VETERANS_TRANSPORTATION.ASP")</f>
        <v>http://www.sandiego.va.gov/services/VETERANS_TRANSPORTATION.ASP</v>
      </c>
      <c r="E3963" s="8" t="s">
        <v>595</v>
      </c>
    </row>
    <row r="3964" ht="14.25" hidden="1" customHeight="1">
      <c r="A3964" s="8" t="s">
        <v>3310</v>
      </c>
      <c r="B3964" s="8" t="s">
        <v>3945</v>
      </c>
      <c r="D3964" s="121" t="str">
        <f t="shared" ref="D3964:D3965" si="47">HYPERLINK("http://www.sandiego.va.gov/services/VETERAN_CANCER_SURVIVORS.ASP")</f>
        <v>http://www.sandiego.va.gov/services/VETERAN_CANCER_SURVIVORS.ASP</v>
      </c>
      <c r="E3964" s="8" t="s">
        <v>595</v>
      </c>
    </row>
    <row r="3965" ht="14.25" hidden="1" customHeight="1">
      <c r="A3965" s="8" t="s">
        <v>3310</v>
      </c>
      <c r="B3965" s="8" t="s">
        <v>3946</v>
      </c>
      <c r="D3965" s="121" t="str">
        <f t="shared" si="47"/>
        <v>http://www.sandiego.va.gov/services/VETERAN_CANCER_SURVIVORS.ASP</v>
      </c>
      <c r="E3965" s="8" t="s">
        <v>392</v>
      </c>
    </row>
    <row r="3966" ht="14.25" hidden="1" customHeight="1">
      <c r="A3966" s="8" t="s">
        <v>3310</v>
      </c>
      <c r="B3966" s="8" t="s">
        <v>3947</v>
      </c>
      <c r="D3966" s="121" t="str">
        <f>HYPERLINK("http://www.sandiego.va.gov/services/CHAPLAIN_SERVICE.ASP")</f>
        <v>http://www.sandiego.va.gov/services/CHAPLAIN_SERVICE.ASP</v>
      </c>
      <c r="E3966" s="8" t="s">
        <v>392</v>
      </c>
    </row>
    <row r="3967" ht="14.25" hidden="1" customHeight="1">
      <c r="A3967" s="8" t="s">
        <v>3310</v>
      </c>
      <c r="B3967" s="8" t="s">
        <v>3948</v>
      </c>
      <c r="D3967" s="121" t="str">
        <f>HYPERLINK("http://www.sandiego.va.gov/services/COMMUNITY_CARE_FOR_VETERANS.ASP")</f>
        <v>http://www.sandiego.va.gov/services/COMMUNITY_CARE_FOR_VETERANS.ASP</v>
      </c>
      <c r="E3967" s="8" t="s">
        <v>392</v>
      </c>
    </row>
    <row r="3968" ht="14.25" hidden="1" customHeight="1">
      <c r="A3968" s="8" t="s">
        <v>3310</v>
      </c>
      <c r="B3968" s="8" t="s">
        <v>3949</v>
      </c>
      <c r="D3968" s="121" t="str">
        <f>HYPERLINK("http://www.sandiego.va.gov/services/VIRTUAL_LIFETIME_ELECTRONIC_RECORD.ASP")</f>
        <v>http://www.sandiego.va.gov/services/VIRTUAL_LIFETIME_ELECTRONIC_RECORD.ASP</v>
      </c>
      <c r="E3968" s="8" t="s">
        <v>595</v>
      </c>
    </row>
    <row r="3969" ht="14.25" hidden="1" customHeight="1">
      <c r="A3969" s="8" t="s">
        <v>3310</v>
      </c>
      <c r="B3969" s="8" t="s">
        <v>483</v>
      </c>
      <c r="D3969" s="121" t="str">
        <f>HYPERLINK("http://www.sandiego.va.gov/services/DECEDENT_AFFAIRS.ASP")</f>
        <v>http://www.sandiego.va.gov/services/DECEDENT_AFFAIRS.ASP</v>
      </c>
      <c r="E3969" s="8" t="s">
        <v>392</v>
      </c>
    </row>
    <row r="3970" ht="14.25" hidden="1" customHeight="1">
      <c r="A3970" s="8" t="s">
        <v>3310</v>
      </c>
      <c r="B3970" s="8" t="s">
        <v>513</v>
      </c>
      <c r="D3970" s="121" t="str">
        <f>HYPERLINK("http://www.sandiego.va.gov/services/DENTAL_SERVICES.ASP")</f>
        <v>http://www.sandiego.va.gov/services/DENTAL_SERVICES.ASP</v>
      </c>
      <c r="E3970" s="8" t="s">
        <v>392</v>
      </c>
    </row>
    <row r="3971" ht="14.25" hidden="1" customHeight="1">
      <c r="A3971" s="8" t="s">
        <v>3310</v>
      </c>
      <c r="B3971" s="8" t="s">
        <v>3950</v>
      </c>
      <c r="D3971" s="121" t="str">
        <f>HYPERLINK("http://www.sandiego.va.gov/services/SELF_REFERRAL_PROGRAMS.ASP")</f>
        <v>http://www.sandiego.va.gov/services/SELF_REFERRAL_PROGRAMS.ASP</v>
      </c>
      <c r="E3971" s="8" t="s">
        <v>595</v>
      </c>
    </row>
    <row r="3972" ht="14.25" hidden="1" customHeight="1">
      <c r="A3972" s="8" t="s">
        <v>3310</v>
      </c>
      <c r="B3972" s="8" t="s">
        <v>1245</v>
      </c>
      <c r="D3972" s="121" t="str">
        <f>HYPERLINK("http://www.sandiego.va.gov/services/FORMER_PRISONERS_OF_WAR.ASP")</f>
        <v>http://www.sandiego.va.gov/services/FORMER_PRISONERS_OF_WAR.ASP</v>
      </c>
      <c r="E3972" s="8" t="s">
        <v>392</v>
      </c>
    </row>
    <row r="3973" ht="14.25" hidden="1" customHeight="1">
      <c r="A3973" s="8" t="s">
        <v>3310</v>
      </c>
      <c r="B3973" s="8" t="s">
        <v>3951</v>
      </c>
      <c r="D3973" s="121" t="str">
        <f>HYPERLINK("http://www.sandiego.va.gov/services/GULF_WAR.ASP")</f>
        <v>http://www.sandiego.va.gov/services/GULF_WAR.ASP</v>
      </c>
      <c r="E3973" s="8" t="s">
        <v>392</v>
      </c>
    </row>
    <row r="3974" ht="14.25" hidden="1" customHeight="1">
      <c r="A3974" s="8" t="s">
        <v>3310</v>
      </c>
      <c r="B3974" s="8" t="s">
        <v>1306</v>
      </c>
      <c r="D3974" s="121" t="str">
        <f t="shared" ref="D3974:D3975" si="48">HYPERLINK("http://www.sandiego.va.gov/services/HEALTHY_LIVING.ASP")</f>
        <v>http://www.sandiego.va.gov/services/HEALTHY_LIVING.ASP</v>
      </c>
      <c r="E3974" s="8" t="s">
        <v>595</v>
      </c>
    </row>
    <row r="3975" ht="14.25" hidden="1" customHeight="1">
      <c r="A3975" s="8" t="s">
        <v>3310</v>
      </c>
      <c r="B3975" s="8" t="s">
        <v>1298</v>
      </c>
      <c r="D3975" s="121" t="str">
        <f t="shared" si="48"/>
        <v>http://www.sandiego.va.gov/services/HEALTHY_LIVING.ASP</v>
      </c>
      <c r="E3975" s="8" t="s">
        <v>392</v>
      </c>
    </row>
    <row r="3976" ht="14.25" hidden="1" customHeight="1">
      <c r="A3976" s="8" t="s">
        <v>3310</v>
      </c>
      <c r="B3976" s="8" t="s">
        <v>2496</v>
      </c>
      <c r="D3976" s="121" t="str">
        <f>HYPERLINK("http://www.sandiego.va.gov/services/HOME_AND_COMMUNITY_BASED_CARE.ASP")</f>
        <v>http://www.sandiego.va.gov/services/HOME_AND_COMMUNITY_BASED_CARE.ASP</v>
      </c>
      <c r="E3976" s="8" t="s">
        <v>392</v>
      </c>
    </row>
    <row r="3977" ht="14.25" hidden="1" customHeight="1">
      <c r="A3977" s="8" t="s">
        <v>3310</v>
      </c>
      <c r="B3977" s="8" t="s">
        <v>3952</v>
      </c>
      <c r="D3977" s="121" t="str">
        <f>HYPERLINK("http://www.sandiego.va.gov/services/IONIZING_RADIATION.ASP")</f>
        <v>http://www.sandiego.va.gov/services/IONIZING_RADIATION.ASP</v>
      </c>
      <c r="E3977" s="8" t="s">
        <v>392</v>
      </c>
    </row>
    <row r="3978" ht="14.25" hidden="1" customHeight="1">
      <c r="A3978" s="8" t="s">
        <v>3310</v>
      </c>
      <c r="B3978" s="8" t="s">
        <v>2183</v>
      </c>
      <c r="D3978" s="121" t="str">
        <f>HYPERLINK("http://www.sandiego.va.gov/services/LGBT_SERVICES.ASP")</f>
        <v>http://www.sandiego.va.gov/services/LGBT_SERVICES.ASP</v>
      </c>
      <c r="E3978" s="8" t="s">
        <v>392</v>
      </c>
    </row>
    <row r="3979" ht="14.25" hidden="1" customHeight="1">
      <c r="A3979" s="8" t="s">
        <v>3310</v>
      </c>
      <c r="B3979" s="8" t="s">
        <v>2279</v>
      </c>
      <c r="D3979" s="121" t="str">
        <f>HYPERLINK("http://www.sandiego.va.gov/services/COMMUNITY_CARE_FOR_VETERANS.ASP")</f>
        <v>http://www.sandiego.va.gov/services/COMMUNITY_CARE_FOR_VETERANS.ASP</v>
      </c>
      <c r="E3979" s="8" t="s">
        <v>595</v>
      </c>
    </row>
    <row r="3980" ht="14.25" hidden="1" customHeight="1">
      <c r="A3980" s="8" t="s">
        <v>3310</v>
      </c>
      <c r="B3980" s="8" t="s">
        <v>3953</v>
      </c>
      <c r="D3980" s="121" t="str">
        <f>HYPERLINK("http://www.sandiego.va.gov/services/MOVE_WEIGHT_CONTROL.ASP")</f>
        <v>http://www.sandiego.va.gov/services/MOVE_WEIGHT_CONTROL.ASP</v>
      </c>
      <c r="E3980" s="8" t="s">
        <v>392</v>
      </c>
    </row>
    <row r="3981" ht="14.25" hidden="1" customHeight="1">
      <c r="A3981" s="8" t="s">
        <v>3310</v>
      </c>
      <c r="B3981" s="8" t="s">
        <v>323</v>
      </c>
      <c r="D3981" s="121" t="str">
        <f>HYPERLINK("http://www.sandiego.va.gov/services/MENTAL_HEALTH_SERVICES.ASP")</f>
        <v>http://www.sandiego.va.gov/services/MENTAL_HEALTH_SERVICES.ASP</v>
      </c>
      <c r="E3981" s="8" t="s">
        <v>392</v>
      </c>
    </row>
    <row r="3982" ht="14.25" hidden="1" customHeight="1">
      <c r="A3982" s="8" t="s">
        <v>3310</v>
      </c>
      <c r="B3982" s="8" t="s">
        <v>324</v>
      </c>
      <c r="D3982" s="121" t="str">
        <f>HYPERLINK("http://www.sandiego.va.gov/services/MILITARY_SEXUAL_TRAUMA.ASP")</f>
        <v>http://www.sandiego.va.gov/services/MILITARY_SEXUAL_TRAUMA.ASP</v>
      </c>
      <c r="E3982" s="8" t="s">
        <v>392</v>
      </c>
    </row>
    <row r="3983" ht="14.25" hidden="1" customHeight="1">
      <c r="A3983" s="8" t="s">
        <v>3310</v>
      </c>
      <c r="B3983" s="8" t="s">
        <v>326</v>
      </c>
      <c r="D3983" s="121" t="str">
        <f>HYPERLINK("http://www.sandiego.va.gov/services/MINORITY_VETERANS_PROGRAM.ASP")</f>
        <v>http://www.sandiego.va.gov/services/MINORITY_VETERANS_PROGRAM.ASP</v>
      </c>
      <c r="E3983" s="8" t="s">
        <v>392</v>
      </c>
    </row>
    <row r="3984" ht="14.25" hidden="1" customHeight="1">
      <c r="A3984" s="8" t="s">
        <v>3310</v>
      </c>
      <c r="B3984" s="8" t="s">
        <v>494</v>
      </c>
      <c r="D3984" s="121" t="str">
        <f>HYPERLINK("http://www.sandiego.va.gov/services/MY_HEALTHEVET.ASP")</f>
        <v>http://www.sandiego.va.gov/services/MY_HEALTHEVET.ASP</v>
      </c>
      <c r="E3984" s="8" t="s">
        <v>392</v>
      </c>
    </row>
    <row r="3985" ht="14.25" hidden="1" customHeight="1">
      <c r="A3985" s="8" t="s">
        <v>3310</v>
      </c>
      <c r="B3985" s="8" t="s">
        <v>3954</v>
      </c>
      <c r="D3985" s="121" t="str">
        <f>HYPERLINK("http://www.sandiego.va.gov/services/NVSSC.ASP")</f>
        <v>http://www.sandiego.va.gov/services/NVSSC.ASP</v>
      </c>
      <c r="E3985" s="8" t="s">
        <v>392</v>
      </c>
    </row>
    <row r="3986" ht="14.25" hidden="1" customHeight="1">
      <c r="A3986" s="8" t="s">
        <v>3310</v>
      </c>
      <c r="B3986" s="8" t="s">
        <v>2507</v>
      </c>
      <c r="D3986" s="121" t="str">
        <f>HYPERLINK("http://www.sandiego.va.gov/services/NEW_VETERAN_ORIENTATION.ASP")</f>
        <v>http://www.sandiego.va.gov/services/NEW_VETERAN_ORIENTATION.ASP</v>
      </c>
      <c r="E3986" s="8" t="s">
        <v>392</v>
      </c>
    </row>
    <row r="3987" ht="14.25" hidden="1" customHeight="1">
      <c r="A3987" s="8" t="s">
        <v>3310</v>
      </c>
      <c r="B3987" s="8" t="s">
        <v>335</v>
      </c>
      <c r="D3987" s="121" t="str">
        <f>HYPERLINK("http://www.sandiego.va.gov/services/NUTRITION_AND_FOOD_SERVICE.ASP")</f>
        <v>http://www.sandiego.va.gov/services/NUTRITION_AND_FOOD_SERVICE.ASP</v>
      </c>
      <c r="E3987" s="8" t="s">
        <v>392</v>
      </c>
    </row>
    <row r="3988" ht="14.25" hidden="1" customHeight="1">
      <c r="A3988" s="8" t="s">
        <v>3310</v>
      </c>
      <c r="B3988" s="8" t="s">
        <v>3955</v>
      </c>
      <c r="D3988" s="121" t="str">
        <f>HYPERLINK("http://www.sandiego.va.gov/services/PIVOTT_LAB.ASP")</f>
        <v>http://www.sandiego.va.gov/services/PIVOTT_LAB.ASP</v>
      </c>
      <c r="E3988" s="8" t="s">
        <v>392</v>
      </c>
    </row>
    <row r="3989" ht="14.25" hidden="1" customHeight="1">
      <c r="A3989" s="8" t="s">
        <v>3310</v>
      </c>
      <c r="B3989" s="8" t="s">
        <v>3956</v>
      </c>
      <c r="D3989" s="121" t="str">
        <f>HYPERLINK("http://www.sandiego.va.gov/services/PHYSICAL_THERAPY.ASP")</f>
        <v>http://www.sandiego.va.gov/services/PHYSICAL_THERAPY.ASP</v>
      </c>
      <c r="E3989" s="8" t="s">
        <v>595</v>
      </c>
    </row>
    <row r="3990" ht="14.25" hidden="1" customHeight="1">
      <c r="A3990" s="8" t="s">
        <v>3310</v>
      </c>
      <c r="B3990" s="8" t="s">
        <v>3957</v>
      </c>
      <c r="D3990" s="121" t="str">
        <f>HYPERLINK("http://www.sandiego.va.gov/services/PATHOLOGY_LABORATORY.ASP")</f>
        <v>http://www.sandiego.va.gov/services/PATHOLOGY_LABORATORY.ASP</v>
      </c>
      <c r="E3990" s="8" t="s">
        <v>392</v>
      </c>
    </row>
    <row r="3991" ht="14.25" hidden="1" customHeight="1">
      <c r="A3991" s="8" t="s">
        <v>3310</v>
      </c>
      <c r="B3991" s="8" t="s">
        <v>343</v>
      </c>
      <c r="D3991" s="121" t="str">
        <f>HYPERLINK("http://www.sandiego.va.gov/services/PHARMACY.ASP")</f>
        <v>http://www.sandiego.va.gov/services/PHARMACY.ASP</v>
      </c>
      <c r="E3991" s="8" t="s">
        <v>392</v>
      </c>
    </row>
    <row r="3992" ht="14.25" hidden="1" customHeight="1">
      <c r="A3992" s="8" t="s">
        <v>3310</v>
      </c>
      <c r="B3992" s="8" t="s">
        <v>3958</v>
      </c>
      <c r="D3992" s="121" t="str">
        <f>HYPERLINK("http://www.sandiego.va.gov/services/PHYSICAL_MEDICINE_REHABILITATION_SERVICE.ASP")</f>
        <v>http://www.sandiego.va.gov/services/PHYSICAL_MEDICINE_REHABILITATION_SERVICE.ASP</v>
      </c>
      <c r="E3992" s="8" t="s">
        <v>392</v>
      </c>
    </row>
    <row r="3993" ht="14.25" hidden="1" customHeight="1">
      <c r="A3993" s="8" t="s">
        <v>3310</v>
      </c>
      <c r="B3993" s="8" t="s">
        <v>608</v>
      </c>
      <c r="D3993" s="121" t="str">
        <f>HYPERLINK("http://www.sandiego.va.gov/services/PHYSICAL_THERAPY.ASP")</f>
        <v>http://www.sandiego.va.gov/services/PHYSICAL_THERAPY.ASP</v>
      </c>
      <c r="E3993" s="8" t="s">
        <v>392</v>
      </c>
    </row>
    <row r="3994" ht="14.25" hidden="1" customHeight="1">
      <c r="A3994" s="8" t="s">
        <v>3310</v>
      </c>
      <c r="B3994" s="8" t="s">
        <v>3959</v>
      </c>
      <c r="D3994" s="121" t="str">
        <f>HYPERLINK("http://www.sandiego.va.gov/services/POST_TRAUMATIC_STRESS_DISORDER.ASP")</f>
        <v>http://www.sandiego.va.gov/services/POST_TRAUMATIC_STRESS_DISORDER.ASP</v>
      </c>
      <c r="E3994" s="8" t="s">
        <v>392</v>
      </c>
    </row>
    <row r="3995" ht="14.25" hidden="1" customHeight="1">
      <c r="A3995" s="8" t="s">
        <v>3310</v>
      </c>
      <c r="B3995" s="8" t="s">
        <v>348</v>
      </c>
      <c r="D3995" s="121" t="str">
        <f>HYPERLINK("http://www.sandiego.va.gov/services/PRIMARY_CARE.ASP")</f>
        <v>http://www.sandiego.va.gov/services/PRIMARY_CARE.ASP</v>
      </c>
      <c r="E3995" s="8" t="s">
        <v>392</v>
      </c>
    </row>
    <row r="3996" ht="14.25" hidden="1" customHeight="1">
      <c r="A3996" s="8" t="s">
        <v>3310</v>
      </c>
      <c r="B3996" s="8" t="s">
        <v>3960</v>
      </c>
      <c r="D3996" s="121" t="str">
        <f>HYPERLINK("http://www.sandiego.va.gov/services/PROSTHETIC_AND_SENSORY_AIDS.ASP")</f>
        <v>http://www.sandiego.va.gov/services/PROSTHETIC_AND_SENSORY_AIDS.ASP</v>
      </c>
      <c r="E3996" s="8" t="s">
        <v>392</v>
      </c>
    </row>
    <row r="3997" ht="14.25" hidden="1" customHeight="1">
      <c r="A3997" s="8" t="s">
        <v>3310</v>
      </c>
      <c r="B3997" s="8" t="s">
        <v>2805</v>
      </c>
      <c r="D3997" s="121" t="str">
        <f>HYPERLINK("http://www.sandiego.va.gov/services/RESEARCH_SERVICE.ASP")</f>
        <v>http://www.sandiego.va.gov/services/RESEARCH_SERVICE.ASP</v>
      </c>
      <c r="E3997" s="8" t="s">
        <v>392</v>
      </c>
    </row>
    <row r="3998" ht="14.25" hidden="1" customHeight="1">
      <c r="A3998" s="8" t="s">
        <v>3310</v>
      </c>
      <c r="B3998" s="8" t="s">
        <v>3961</v>
      </c>
      <c r="D3998" s="121" t="str">
        <f>HYPERLINK("http://www.sandiego.va.gov/services/SELF_REFERRAL_PROGRAMS.ASP")</f>
        <v>http://www.sandiego.va.gov/services/SELF_REFERRAL_PROGRAMS.ASP</v>
      </c>
      <c r="E3998" s="8" t="s">
        <v>392</v>
      </c>
    </row>
    <row r="3999" ht="14.25" hidden="1" customHeight="1">
      <c r="A3999" s="8" t="s">
        <v>3310</v>
      </c>
      <c r="B3999" s="8" t="s">
        <v>3962</v>
      </c>
      <c r="D3999" s="121" t="str">
        <f>HYPERLINK("http://www.sandiego.va.gov/services/SMOKING_CESSATION_PROGRAM.ASP")</f>
        <v>http://www.sandiego.va.gov/services/SMOKING_CESSATION_PROGRAM.ASP</v>
      </c>
      <c r="E3999" s="8" t="s">
        <v>392</v>
      </c>
    </row>
    <row r="4000" ht="14.25" hidden="1" customHeight="1">
      <c r="A4000" s="8" t="s">
        <v>3310</v>
      </c>
      <c r="B4000" s="8" t="s">
        <v>360</v>
      </c>
      <c r="D4000" s="121" t="str">
        <f>HYPERLINK("http://www.sandiego.va.gov/services/SOCIAL_WORK.ASP")</f>
        <v>http://www.sandiego.va.gov/services/SOCIAL_WORK.ASP</v>
      </c>
      <c r="E4000" s="8" t="s">
        <v>392</v>
      </c>
    </row>
    <row r="4001" ht="14.25" hidden="1" customHeight="1">
      <c r="A4001" s="8" t="s">
        <v>3310</v>
      </c>
      <c r="B4001" s="8" t="s">
        <v>3963</v>
      </c>
      <c r="D4001" s="121" t="str">
        <f>HYPERLINK("http://www.sandiego.va.gov/services/SPINAL_CORD_INJURY.ASP")</f>
        <v>http://www.sandiego.va.gov/services/SPINAL_CORD_INJURY.ASP</v>
      </c>
      <c r="E4001" s="8" t="s">
        <v>392</v>
      </c>
    </row>
    <row r="4002" ht="14.25" hidden="1" customHeight="1">
      <c r="A4002" s="8" t="s">
        <v>3310</v>
      </c>
      <c r="B4002" s="8" t="s">
        <v>3964</v>
      </c>
      <c r="D4002" s="121" t="str">
        <f>HYPERLINK("http://www.sandiego.va.gov/services/NVSSC.ASP")</f>
        <v>http://www.sandiego.va.gov/services/NVSSC.ASP</v>
      </c>
      <c r="E4002" s="8" t="s">
        <v>595</v>
      </c>
    </row>
    <row r="4003" ht="14.25" hidden="1" customHeight="1">
      <c r="A4003" s="8" t="s">
        <v>3310</v>
      </c>
      <c r="B4003" s="8" t="s">
        <v>370</v>
      </c>
      <c r="D4003" s="121" t="str">
        <f>HYPERLINK("http://www.sandiego.va.gov/services/TELEHEALTH.ASP")</f>
        <v>http://www.sandiego.va.gov/services/TELEHEALTH.ASP</v>
      </c>
      <c r="E4003" s="8" t="s">
        <v>392</v>
      </c>
    </row>
    <row r="4004" ht="14.25" hidden="1" customHeight="1">
      <c r="A4004" s="8" t="s">
        <v>3310</v>
      </c>
      <c r="B4004" s="8" t="s">
        <v>622</v>
      </c>
      <c r="D4004" s="121" t="str">
        <f>HYPERLINK("http://www.sandiego.va.gov/services/SMOKING_CESSATION_PROGRAM.ASP")</f>
        <v>http://www.sandiego.va.gov/services/SMOKING_CESSATION_PROGRAM.ASP</v>
      </c>
      <c r="E4004" s="8" t="s">
        <v>595</v>
      </c>
    </row>
    <row r="4005" ht="14.25" hidden="1" customHeight="1">
      <c r="A4005" s="8" t="s">
        <v>3310</v>
      </c>
      <c r="B4005" s="8" t="s">
        <v>1294</v>
      </c>
      <c r="D4005" s="121" t="str">
        <f>HYPERLINK("http://www.sandiego.va.gov/services/TRAUMATIC_BRAIN_INJURY.ASP")</f>
        <v>http://www.sandiego.va.gov/services/TRAUMATIC_BRAIN_INJURY.ASP</v>
      </c>
      <c r="E4005" s="8" t="s">
        <v>392</v>
      </c>
    </row>
    <row r="4006" ht="14.25" hidden="1" customHeight="1">
      <c r="A4006" s="8" t="s">
        <v>3310</v>
      </c>
      <c r="B4006" s="8" t="s">
        <v>3965</v>
      </c>
      <c r="D4006" s="121" t="str">
        <f>HYPERLINK("http://www.sandiego.va.gov/services/COMMUNITY_CARE_FOR_VETERANS.ASP")</f>
        <v>http://www.sandiego.va.gov/services/COMMUNITY_CARE_FOR_VETERANS.ASP</v>
      </c>
      <c r="E4006" s="8" t="s">
        <v>595</v>
      </c>
    </row>
    <row r="4007" ht="14.25" hidden="1" customHeight="1">
      <c r="A4007" s="8" t="s">
        <v>3310</v>
      </c>
      <c r="B4007" s="8" t="s">
        <v>1980</v>
      </c>
      <c r="D4007" s="121" t="str">
        <f>HYPERLINK("http://www.sandiego.va.gov/services/VIRTUAL_LIFETIME_ELECTRONIC_RECORD.ASP")</f>
        <v>http://www.sandiego.va.gov/services/VIRTUAL_LIFETIME_ELECTRONIC_RECORD.ASP</v>
      </c>
      <c r="E4007" s="8" t="s">
        <v>595</v>
      </c>
    </row>
    <row r="4008" ht="14.25" hidden="1" customHeight="1">
      <c r="A4008" s="8" t="s">
        <v>3310</v>
      </c>
      <c r="B4008" s="8" t="s">
        <v>3966</v>
      </c>
      <c r="D4008" s="121" t="str">
        <f>HYPERLINK("http://www.sandiego.va.gov/services/VETERANS_TRANSPORTATION.ASP")</f>
        <v>http://www.sandiego.va.gov/services/VETERANS_TRANSPORTATION.ASP</v>
      </c>
      <c r="E4008" s="8" t="s">
        <v>392</v>
      </c>
    </row>
    <row r="4009" ht="14.25" hidden="1" customHeight="1">
      <c r="A4009" s="8" t="s">
        <v>3310</v>
      </c>
      <c r="B4009" s="8" t="s">
        <v>1365</v>
      </c>
      <c r="D4009" s="121" t="str">
        <f>HYPERLINK("http://www.sandiego.va.gov/services/VIRTUAL_LIFETIME_ELECTRONIC_RECORD.ASP")</f>
        <v>http://www.sandiego.va.gov/services/VIRTUAL_LIFETIME_ELECTRONIC_RECORD.ASP</v>
      </c>
      <c r="E4009" s="8" t="s">
        <v>392</v>
      </c>
    </row>
    <row r="4010" ht="14.25" hidden="1" customHeight="1">
      <c r="A4010" s="8" t="s">
        <v>3310</v>
      </c>
      <c r="B4010" s="8" t="s">
        <v>3967</v>
      </c>
      <c r="D4010" s="121" t="str">
        <f>HYPERLINK("http://www.sandiego.va.gov/services/WARRIOR_TO_SOUL_MATE.ASP")</f>
        <v>http://www.sandiego.va.gov/services/WARRIOR_TO_SOUL_MATE.ASP</v>
      </c>
      <c r="E4010" s="8" t="s">
        <v>392</v>
      </c>
    </row>
    <row r="4011" ht="14.25" hidden="1" customHeight="1">
      <c r="A4011" s="8" t="s">
        <v>3310</v>
      </c>
      <c r="B4011" s="8" t="s">
        <v>3968</v>
      </c>
      <c r="D4011" s="121" t="str">
        <f>HYPERLINK("http://www.sandiego.va.gov/services/MOVE_WEIGHT_CONTROL.ASP")</f>
        <v>http://www.sandiego.va.gov/services/MOVE_WEIGHT_CONTROL.ASP</v>
      </c>
      <c r="E4011" s="8" t="s">
        <v>595</v>
      </c>
    </row>
    <row r="4012" ht="14.25" hidden="1" customHeight="1">
      <c r="A4012" s="8" t="s">
        <v>3322</v>
      </c>
      <c r="B4012" s="8" t="s">
        <v>3004</v>
      </c>
      <c r="D4012" s="121" t="str">
        <f>HYPERLINK("http://www.sanfrancisco.va.gov/services/COMMUNITY_CARE.ASP")</f>
        <v>http://www.sanfrancisco.va.gov/services/COMMUNITY_CARE.ASP</v>
      </c>
      <c r="E4012" s="8" t="s">
        <v>392</v>
      </c>
    </row>
    <row r="4013" ht="14.25" hidden="1" customHeight="1">
      <c r="A4013" s="8" t="s">
        <v>3322</v>
      </c>
      <c r="B4013" s="8" t="s">
        <v>513</v>
      </c>
      <c r="D4013" s="121" t="str">
        <f>HYPERLINK("http://www.sanfrancisco.va.gov/services/DENTAL.ASP")</f>
        <v>http://www.sanfrancisco.va.gov/services/DENTAL.ASP</v>
      </c>
      <c r="E4013" s="8" t="s">
        <v>392</v>
      </c>
    </row>
    <row r="4014" ht="14.25" hidden="1" customHeight="1">
      <c r="A4014" s="8" t="s">
        <v>3322</v>
      </c>
      <c r="B4014" s="8" t="s">
        <v>1481</v>
      </c>
      <c r="D4014" s="121" t="str">
        <f>HYPERLINK("http://www.sanfrancisco.va.gov/services/EPILEPSY.ASP")</f>
        <v>http://www.sanfrancisco.va.gov/services/EPILEPSY.ASP</v>
      </c>
      <c r="E4014" s="8" t="s">
        <v>392</v>
      </c>
    </row>
    <row r="4015" ht="14.25" hidden="1" customHeight="1">
      <c r="A4015" s="8" t="s">
        <v>3322</v>
      </c>
      <c r="B4015" s="8" t="s">
        <v>2276</v>
      </c>
      <c r="D4015" s="121" t="str">
        <f>HYPERLINK("http://www.sanfrancisco.va.gov/services/POW.ASP")</f>
        <v>http://www.sanfrancisco.va.gov/services/POW.ASP</v>
      </c>
      <c r="E4015" s="8" t="s">
        <v>392</v>
      </c>
    </row>
    <row r="4016" ht="14.25" hidden="1" customHeight="1">
      <c r="A4016" s="8" t="s">
        <v>3322</v>
      </c>
      <c r="B4016" s="8" t="s">
        <v>1138</v>
      </c>
      <c r="D4016" s="121" t="str">
        <f>HYPERLINK("http://www.sanfrancisco.va.gov/services/GASTRO.ASP")</f>
        <v>http://www.sanfrancisco.va.gov/services/GASTRO.ASP</v>
      </c>
      <c r="E4016" s="8" t="s">
        <v>392</v>
      </c>
    </row>
    <row r="4017" ht="14.25" hidden="1" customHeight="1">
      <c r="A4017" s="8" t="s">
        <v>3322</v>
      </c>
      <c r="B4017" s="8" t="s">
        <v>3969</v>
      </c>
      <c r="D4017" s="121" t="str">
        <f>HYPERLINK("http://www.sanfrancisco.va.gov/services/DENTAL/DENTAL-GPR.ASP")</f>
        <v>http://www.sanfrancisco.va.gov/services/DENTAL/DENTAL-GPR.ASP</v>
      </c>
      <c r="E4017" s="8" t="s">
        <v>392</v>
      </c>
    </row>
    <row r="4018" ht="14.25" hidden="1" customHeight="1">
      <c r="A4018" s="8" t="s">
        <v>3322</v>
      </c>
      <c r="B4018" s="8" t="s">
        <v>3026</v>
      </c>
      <c r="D4018" s="121" t="str">
        <f>HYPERLINK("http://www.sanfrancisco.va.gov/services/GERIATRICS.ASP")</f>
        <v>http://www.sanfrancisco.va.gov/services/GERIATRICS.ASP</v>
      </c>
      <c r="E4018" s="8" t="s">
        <v>392</v>
      </c>
    </row>
    <row r="4019" ht="14.25" hidden="1" customHeight="1">
      <c r="A4019" s="8" t="s">
        <v>3322</v>
      </c>
      <c r="B4019" s="8" t="s">
        <v>3970</v>
      </c>
      <c r="D4019" s="121" t="str">
        <f>HYPERLINK("http://www.sanfrancisco.va.gov/services/HEALTHYHEART_.ASP")</f>
        <v>http://www.sanfrancisco.va.gov/services/HEALTHYHEART_.ASP</v>
      </c>
      <c r="E4019" s="8" t="s">
        <v>392</v>
      </c>
    </row>
    <row r="4020" ht="14.25" hidden="1" customHeight="1">
      <c r="A4020" s="8" t="s">
        <v>3322</v>
      </c>
      <c r="B4020" s="8" t="s">
        <v>2304</v>
      </c>
      <c r="D4020" s="121" t="str">
        <f>HYPERLINK("http://www.sanfrancisco.va.gov/services/HOPTEL.ASP")</f>
        <v>http://www.sanfrancisco.va.gov/services/HOPTEL.ASP</v>
      </c>
      <c r="E4020" s="8" t="s">
        <v>392</v>
      </c>
    </row>
    <row r="4021" ht="14.25" hidden="1" customHeight="1">
      <c r="A4021" s="8" t="s">
        <v>3322</v>
      </c>
      <c r="B4021" s="8" t="s">
        <v>3971</v>
      </c>
      <c r="D4021" s="121" t="str">
        <f>HYPERLINK("http://www.sanfrancisco.va.gov/services/HOSPITALMEDICINE.ASP")</f>
        <v>http://www.sanfrancisco.va.gov/services/HOSPITALMEDICINE.ASP</v>
      </c>
      <c r="E4021" s="8" t="s">
        <v>392</v>
      </c>
    </row>
    <row r="4022" ht="14.25" hidden="1" customHeight="1">
      <c r="A4022" s="8" t="s">
        <v>3322</v>
      </c>
      <c r="B4022" s="8" t="s">
        <v>3972</v>
      </c>
      <c r="D4022" s="121" t="str">
        <f>HYPERLINK("http://www.sanfrancisco.va.gov/services/IDCLINIC.ASP")</f>
        <v>http://www.sanfrancisco.va.gov/services/IDCLINIC.ASP</v>
      </c>
      <c r="E4022" s="8" t="s">
        <v>392</v>
      </c>
    </row>
    <row r="4023" ht="14.25" hidden="1" customHeight="1">
      <c r="A4023" s="8" t="s">
        <v>3322</v>
      </c>
      <c r="B4023" s="8" t="s">
        <v>3973</v>
      </c>
      <c r="D4023" s="121" t="str">
        <f>HYPERLINK("http://www.sanfrancisco.va.gov/services/LABORATORY.ASP")</f>
        <v>http://www.sanfrancisco.va.gov/services/LABORATORY.ASP</v>
      </c>
      <c r="E4023" s="8" t="s">
        <v>392</v>
      </c>
    </row>
    <row r="4024" ht="14.25" hidden="1" customHeight="1">
      <c r="A4024" s="8" t="s">
        <v>3322</v>
      </c>
      <c r="B4024" s="8" t="s">
        <v>1265</v>
      </c>
      <c r="D4024" s="121" t="str">
        <f>HYPERLINK("http://www.sanfrancisco.va.gov/services/LGBT_OUTREACH.ASP")</f>
        <v>http://www.sanfrancisco.va.gov/services/LGBT_OUTREACH.ASP</v>
      </c>
      <c r="E4024" s="8" t="s">
        <v>392</v>
      </c>
    </row>
    <row r="4025" ht="14.25" hidden="1" customHeight="1">
      <c r="A4025" s="8" t="s">
        <v>3322</v>
      </c>
      <c r="B4025" s="8" t="s">
        <v>323</v>
      </c>
      <c r="D4025" s="121" t="str">
        <f>HYPERLINK("http://www.sanfrancisco.va.gov/services/MENTALHEALTH.ASP")</f>
        <v>http://www.sanfrancisco.va.gov/services/MENTALHEALTH.ASP</v>
      </c>
      <c r="E4025" s="8" t="s">
        <v>392</v>
      </c>
    </row>
    <row r="4026" ht="14.25" hidden="1" customHeight="1">
      <c r="A4026" s="8" t="s">
        <v>3322</v>
      </c>
      <c r="B4026" s="8" t="s">
        <v>1231</v>
      </c>
      <c r="D4026" s="121" t="str">
        <f>HYPERLINK("http://www.sanfrancisco.va.gov/services/MST.ASP")</f>
        <v>http://www.sanfrancisco.va.gov/services/MST.ASP</v>
      </c>
      <c r="E4026" s="8" t="s">
        <v>392</v>
      </c>
    </row>
    <row r="4027" ht="14.25" hidden="1" customHeight="1">
      <c r="A4027" s="8" t="s">
        <v>3322</v>
      </c>
      <c r="B4027" s="8" t="s">
        <v>3974</v>
      </c>
      <c r="D4027" s="121" t="str">
        <f>HYPERLINK("http://www.sanfrancisco.va.gov/services/NEUROINTERVENTIONAL_RADIOLOGY.ASP")</f>
        <v>http://www.sanfrancisco.va.gov/services/NEUROINTERVENTIONAL_RADIOLOGY.ASP</v>
      </c>
      <c r="E4027" s="8" t="s">
        <v>392</v>
      </c>
    </row>
    <row r="4028" ht="14.25" hidden="1" customHeight="1">
      <c r="A4028" s="8" t="s">
        <v>3322</v>
      </c>
      <c r="B4028" s="8" t="s">
        <v>332</v>
      </c>
      <c r="D4028" s="121" t="str">
        <f>HYPERLINK("http://www.sanfrancisco.va.gov/services/NUTRITION.ASP")</f>
        <v>http://www.sanfrancisco.va.gov/services/NUTRITION.ASP</v>
      </c>
      <c r="E4028" s="8" t="s">
        <v>392</v>
      </c>
    </row>
    <row r="4029" ht="14.25" hidden="1" customHeight="1">
      <c r="A4029" s="8" t="s">
        <v>3322</v>
      </c>
      <c r="B4029" s="8" t="s">
        <v>3975</v>
      </c>
      <c r="D4029" s="121" t="str">
        <f>HYPERLINK("http://www.sanfrancisco.va.gov/services/INTEGRATEDCARE.ASP")</f>
        <v>http://www.sanfrancisco.va.gov/services/INTEGRATEDCARE.ASP</v>
      </c>
      <c r="E4029" s="8" t="s">
        <v>595</v>
      </c>
    </row>
    <row r="4030" ht="14.25" hidden="1" customHeight="1">
      <c r="A4030" s="8" t="s">
        <v>3322</v>
      </c>
      <c r="B4030" s="8" t="s">
        <v>3793</v>
      </c>
      <c r="D4030" s="121" t="str">
        <f>HYPERLINK("http://www.sanfrancisco.va.gov/services/OTP.ASP")</f>
        <v>http://www.sanfrancisco.va.gov/services/OTP.ASP</v>
      </c>
      <c r="E4030" s="8" t="s">
        <v>392</v>
      </c>
    </row>
    <row r="4031" ht="14.25" hidden="1" customHeight="1">
      <c r="A4031" s="8" t="s">
        <v>3322</v>
      </c>
      <c r="B4031" s="8" t="s">
        <v>3976</v>
      </c>
      <c r="D4031" s="121" t="str">
        <f>HYPERLINK("http://www.sanfrancisco.va.gov/services/PAIN_SERVICES.ASP")</f>
        <v>http://www.sanfrancisco.va.gov/services/PAIN_SERVICES.ASP</v>
      </c>
      <c r="E4031" s="8" t="s">
        <v>392</v>
      </c>
    </row>
    <row r="4032" ht="14.25" hidden="1" customHeight="1">
      <c r="A4032" s="8" t="s">
        <v>3322</v>
      </c>
      <c r="B4032" s="8" t="s">
        <v>3977</v>
      </c>
      <c r="D4032" s="121" t="str">
        <f>HYPERLINK("http://www.sanfrancisco.va.gov/services/PADRECC.ASP")</f>
        <v>http://www.sanfrancisco.va.gov/services/PADRECC.ASP</v>
      </c>
      <c r="E4032" s="8" t="s">
        <v>392</v>
      </c>
    </row>
    <row r="4033" ht="14.25" hidden="1" customHeight="1">
      <c r="A4033" s="8" t="s">
        <v>3322</v>
      </c>
      <c r="B4033" s="8" t="s">
        <v>1354</v>
      </c>
      <c r="D4033" s="121" t="str">
        <f>HYPERLINK("http://www.sanfrancisco.va.gov/services/PEERSUPPORT.ASP")</f>
        <v>http://www.sanfrancisco.va.gov/services/PEERSUPPORT.ASP</v>
      </c>
      <c r="E4033" s="8" t="s">
        <v>392</v>
      </c>
    </row>
    <row r="4034" ht="14.25" hidden="1" customHeight="1">
      <c r="A4034" s="8" t="s">
        <v>3322</v>
      </c>
      <c r="B4034" s="8" t="s">
        <v>3978</v>
      </c>
      <c r="D4034" s="121" t="str">
        <f>HYPERLINK("http://www.sanfrancisco.va.gov/services/PETS_FOR_VETS.ASP")</f>
        <v>http://www.sanfrancisco.va.gov/services/PETS_FOR_VETS.ASP</v>
      </c>
      <c r="E4034" s="8" t="s">
        <v>392</v>
      </c>
    </row>
    <row r="4035" ht="14.25" hidden="1" customHeight="1">
      <c r="A4035" s="8" t="s">
        <v>3322</v>
      </c>
      <c r="B4035" s="8" t="s">
        <v>343</v>
      </c>
      <c r="D4035" s="121" t="str">
        <f>HYPERLINK("http://www.sanfrancisco.va.gov/services/PHARMACY.ASP")</f>
        <v>http://www.sanfrancisco.va.gov/services/PHARMACY.ASP</v>
      </c>
      <c r="E4035" s="8" t="s">
        <v>392</v>
      </c>
    </row>
    <row r="4036" ht="14.25" hidden="1" customHeight="1">
      <c r="A4036" s="8" t="s">
        <v>3322</v>
      </c>
      <c r="B4036" s="8" t="s">
        <v>3979</v>
      </c>
      <c r="D4036" s="121" t="str">
        <f>HYPERLINK("http://www.sanfrancisco.va.gov/services/PODIATRY.ASP")</f>
        <v>http://www.sanfrancisco.va.gov/services/PODIATRY.ASP</v>
      </c>
      <c r="E4036" s="8" t="s">
        <v>392</v>
      </c>
    </row>
    <row r="4037" ht="14.25" hidden="1" customHeight="1">
      <c r="A4037" s="8" t="s">
        <v>3322</v>
      </c>
      <c r="B4037" s="8" t="s">
        <v>1652</v>
      </c>
      <c r="D4037" s="121" t="str">
        <f>HYPERLINK("http://www.sanfrancisco.va.gov/services/PROSTHETICS.ASP")</f>
        <v>http://www.sanfrancisco.va.gov/services/PROSTHETICS.ASP</v>
      </c>
      <c r="E4037" s="8" t="s">
        <v>392</v>
      </c>
    </row>
    <row r="4038" ht="14.25" hidden="1" customHeight="1">
      <c r="A4038" s="8" t="s">
        <v>3322</v>
      </c>
      <c r="B4038" s="8" t="s">
        <v>964</v>
      </c>
      <c r="D4038" s="121" t="str">
        <f>HYPERLINK("http://www.sanfrancisco.va.gov/services/PRRC.ASP")</f>
        <v>http://www.sanfrancisco.va.gov/services/PRRC.ASP</v>
      </c>
      <c r="E4038" s="8" t="s">
        <v>392</v>
      </c>
    </row>
    <row r="4039" ht="14.25" hidden="1" customHeight="1">
      <c r="A4039" s="8" t="s">
        <v>3322</v>
      </c>
      <c r="B4039" s="8" t="s">
        <v>717</v>
      </c>
      <c r="D4039" s="121" t="str">
        <f>HYPERLINK("http://www.sanfrancisco.va.gov/services/RADIOLOGY.ASP")</f>
        <v>http://www.sanfrancisco.va.gov/services/RADIOLOGY.ASP</v>
      </c>
      <c r="E4039" s="8" t="s">
        <v>392</v>
      </c>
    </row>
    <row r="4040" ht="14.25" hidden="1" customHeight="1">
      <c r="A4040" s="8" t="s">
        <v>3322</v>
      </c>
      <c r="B4040" s="8" t="s">
        <v>3980</v>
      </c>
      <c r="D4040" s="121" t="str">
        <f>HYPERLINK("http://www.sanfrancisco.va.gov/services/RECTHERAPY.ASP")</f>
        <v>http://www.sanfrancisco.va.gov/services/RECTHERAPY.ASP</v>
      </c>
      <c r="E4040" s="8" t="s">
        <v>392</v>
      </c>
    </row>
    <row r="4041" ht="14.25" hidden="1" customHeight="1">
      <c r="A4041" s="8" t="s">
        <v>3322</v>
      </c>
      <c r="B4041" s="8" t="s">
        <v>3981</v>
      </c>
      <c r="D4041" s="121" t="str">
        <f>HYPERLINK("http://www.sanfrancisco.va.gov/services/SIMULATION.ASP")</f>
        <v>http://www.sanfrancisco.va.gov/services/SIMULATION.ASP</v>
      </c>
      <c r="E4041" s="8" t="s">
        <v>392</v>
      </c>
    </row>
    <row r="4042" ht="14.25" hidden="1" customHeight="1">
      <c r="A4042" s="8" t="s">
        <v>3322</v>
      </c>
      <c r="B4042" s="8" t="s">
        <v>3962</v>
      </c>
      <c r="D4042" s="121" t="str">
        <f>HYPERLINK("http://www.sanfrancisco.va.gov/services/SMOKING.ASP")</f>
        <v>http://www.sanfrancisco.va.gov/services/SMOKING.ASP</v>
      </c>
      <c r="E4042" s="8" t="s">
        <v>392</v>
      </c>
    </row>
    <row r="4043" ht="14.25" hidden="1" customHeight="1">
      <c r="A4043" s="8" t="s">
        <v>3322</v>
      </c>
      <c r="B4043" s="8" t="s">
        <v>360</v>
      </c>
      <c r="D4043" s="121" t="str">
        <f>HYPERLINK("http://www.sanfrancisco.va.gov/services/SOCIALWORK.ASP")</f>
        <v>http://www.sanfrancisco.va.gov/services/SOCIALWORK.ASP</v>
      </c>
      <c r="E4043" s="8" t="s">
        <v>392</v>
      </c>
    </row>
    <row r="4044" ht="14.25" hidden="1" customHeight="1">
      <c r="A4044" s="8" t="s">
        <v>3322</v>
      </c>
      <c r="B4044" s="8" t="s">
        <v>3982</v>
      </c>
      <c r="D4044" s="121" t="str">
        <f>HYPERLINK("http://www.sanfrancisco.va.gov/services/STUDENT_VETERAN_HEALTH_PROGRAM.ASP")</f>
        <v>http://www.sanfrancisco.va.gov/services/STUDENT_VETERAN_HEALTH_PROGRAM.ASP</v>
      </c>
      <c r="E4044" s="8" t="s">
        <v>392</v>
      </c>
    </row>
    <row r="4045" ht="14.25" hidden="1" customHeight="1">
      <c r="A4045" s="8" t="s">
        <v>3322</v>
      </c>
      <c r="B4045" s="8" t="s">
        <v>3983</v>
      </c>
      <c r="D4045" s="121" t="str">
        <f>HYPERLINK("http://www.sanfrancisco.va.gov/services/TLC.ASP")</f>
        <v>http://www.sanfrancisco.va.gov/services/TLC.ASP</v>
      </c>
      <c r="E4045" s="8" t="s">
        <v>392</v>
      </c>
    </row>
    <row r="4046" ht="14.25" hidden="1" customHeight="1">
      <c r="A4046" s="8" t="s">
        <v>3322</v>
      </c>
      <c r="B4046" s="8" t="s">
        <v>935</v>
      </c>
      <c r="D4046" s="121" t="str">
        <f>HYPERLINK("http://www.sanfrancisco.va.gov/services/INTEGRATEDCARE.ASP")</f>
        <v>http://www.sanfrancisco.va.gov/services/INTEGRATEDCARE.ASP</v>
      </c>
      <c r="E4046" s="8" t="s">
        <v>392</v>
      </c>
    </row>
    <row r="4047" ht="14.25" hidden="1" customHeight="1">
      <c r="A4047" s="8" t="s">
        <v>3322</v>
      </c>
      <c r="B4047" s="8" t="s">
        <v>3984</v>
      </c>
      <c r="D4047" s="121" t="str">
        <f>HYPERLINK("http://www.sanfrancisco.va.gov/services/VASCULARSURGERY.ASP")</f>
        <v>http://www.sanfrancisco.va.gov/services/VASCULARSURGERY.ASP</v>
      </c>
      <c r="E4047" s="8" t="s">
        <v>392</v>
      </c>
    </row>
    <row r="4048" ht="14.25" hidden="1" customHeight="1">
      <c r="A4048" s="8" t="s">
        <v>3322</v>
      </c>
      <c r="B4048" s="8" t="s">
        <v>1090</v>
      </c>
      <c r="D4048" s="121" t="str">
        <f>HYPERLINK("http://www.sanfrancisco.va.gov/services/VIST.ASP")</f>
        <v>http://www.sanfrancisco.va.gov/services/VIST.ASP</v>
      </c>
      <c r="E4048" s="8" t="s">
        <v>392</v>
      </c>
    </row>
    <row r="4049" ht="14.25" hidden="1" customHeight="1">
      <c r="A4049" s="8" t="s">
        <v>3322</v>
      </c>
      <c r="B4049" s="8" t="s">
        <v>3985</v>
      </c>
      <c r="D4049" s="121" t="str">
        <f>HYPERLINK("http://www.sanfrancisco.va.gov/services/WELLNESS.ASP")</f>
        <v>http://www.sanfrancisco.va.gov/services/WELLNESS.ASP</v>
      </c>
      <c r="E4049" s="8" t="s">
        <v>392</v>
      </c>
    </row>
    <row r="4050" ht="14.25" hidden="1" customHeight="1">
      <c r="A4050" s="8" t="s">
        <v>3322</v>
      </c>
      <c r="B4050" s="8" t="s">
        <v>3986</v>
      </c>
      <c r="D4050" s="121" t="str">
        <f>HYPERLINK("http://www.sanfrancisco.va.gov/services/WOMENS_HEALTH_CENTER.ASP")</f>
        <v>http://www.sanfrancisco.va.gov/services/WOMENS_HEALTH_CENTER.ASP</v>
      </c>
      <c r="E4050" s="8" t="s">
        <v>392</v>
      </c>
    </row>
    <row r="4051" ht="14.25" hidden="1" customHeight="1">
      <c r="A4051" s="8" t="s">
        <v>3345</v>
      </c>
      <c r="B4051" s="8" t="s">
        <v>309</v>
      </c>
      <c r="D4051" s="121" t="str">
        <f>HYPERLINK("http://www.sheridan.va.gov/services/EXTENDED_CARE_AND_REHABILITATION.ASP")</f>
        <v>http://www.sheridan.va.gov/services/EXTENDED_CARE_AND_REHABILITATION.ASP</v>
      </c>
      <c r="E4051" s="8" t="s">
        <v>392</v>
      </c>
    </row>
    <row r="4052" ht="14.25" hidden="1" customHeight="1">
      <c r="A4052" s="8" t="s">
        <v>3345</v>
      </c>
      <c r="B4052" s="8" t="s">
        <v>323</v>
      </c>
      <c r="D4052" s="121" t="str">
        <f>HYPERLINK("http://www.sheridan.va.gov/services/MENTAL_HEALTH.ASP")</f>
        <v>http://www.sheridan.va.gov/services/MENTAL_HEALTH.ASP</v>
      </c>
      <c r="E4052" s="8" t="s">
        <v>392</v>
      </c>
    </row>
    <row r="4053" ht="14.25" hidden="1" customHeight="1">
      <c r="A4053" s="8" t="s">
        <v>3345</v>
      </c>
      <c r="B4053" s="8" t="s">
        <v>343</v>
      </c>
      <c r="D4053" s="121" t="str">
        <f>HYPERLINK("http://www.sheridan.va.gov/services/PHARMACY.ASP")</f>
        <v>http://www.sheridan.va.gov/services/PHARMACY.ASP</v>
      </c>
      <c r="E4053" s="8" t="s">
        <v>392</v>
      </c>
    </row>
    <row r="4054" ht="14.25" hidden="1" customHeight="1">
      <c r="A4054" s="8" t="s">
        <v>3345</v>
      </c>
      <c r="B4054" s="8" t="s">
        <v>348</v>
      </c>
      <c r="D4054" s="121" t="str">
        <f>HYPERLINK("http://www.sheridan.va.gov/services/PRIMARY_CARE.ASP")</f>
        <v>http://www.sheridan.va.gov/services/PRIMARY_CARE.ASP</v>
      </c>
      <c r="E4054" s="8" t="s">
        <v>392</v>
      </c>
    </row>
    <row r="4055" ht="14.25" hidden="1" customHeight="1">
      <c r="A4055" s="8" t="s">
        <v>3351</v>
      </c>
      <c r="B4055" s="8" t="s">
        <v>673</v>
      </c>
      <c r="D4055" s="121" t="str">
        <f>HYPERLINK("http://www.shreveport.va.gov/services/DAV_TRANSPORTATION_NETWORK.ASP")</f>
        <v>http://www.shreveport.va.gov/services/DAV_TRANSPORTATION_NETWORK.ASP</v>
      </c>
      <c r="E4055" s="8" t="s">
        <v>392</v>
      </c>
    </row>
    <row r="4056" ht="14.25" hidden="1" customHeight="1">
      <c r="A4056" s="8" t="s">
        <v>3351</v>
      </c>
      <c r="B4056" s="8" t="s">
        <v>719</v>
      </c>
      <c r="D4056" s="121" t="str">
        <f>HYPERLINK("http://www.shreveport.va.gov/services/EYE_CLINIC.ASP")</f>
        <v>http://www.shreveport.va.gov/services/EYE_CLINIC.ASP</v>
      </c>
      <c r="E4056" s="8" t="s">
        <v>392</v>
      </c>
    </row>
    <row r="4057" ht="14.25" hidden="1" customHeight="1">
      <c r="A4057" s="8" t="s">
        <v>3351</v>
      </c>
      <c r="B4057" s="8" t="s">
        <v>3987</v>
      </c>
      <c r="D4057" s="121" t="str">
        <f>HYPERLINK("http://www.shreveport.va.gov/services/LGBT_INFORMATION.ASP")</f>
        <v>http://www.shreveport.va.gov/services/LGBT_INFORMATION.ASP</v>
      </c>
      <c r="E4057" s="8" t="s">
        <v>392</v>
      </c>
    </row>
    <row r="4058" ht="14.25" hidden="1" customHeight="1">
      <c r="A4058" s="8" t="s">
        <v>3351</v>
      </c>
      <c r="B4058" s="8" t="s">
        <v>3988</v>
      </c>
      <c r="D4058" s="121" t="str">
        <f>HYPERLINK("http://www.shreveport.va.gov/services/MOVE.ASP")</f>
        <v>http://www.shreveport.va.gov/services/MOVE.ASP</v>
      </c>
      <c r="E4058" s="8" t="s">
        <v>392</v>
      </c>
    </row>
    <row r="4059" ht="14.25" hidden="1" customHeight="1">
      <c r="A4059" s="8" t="s">
        <v>3351</v>
      </c>
      <c r="B4059" s="8" t="s">
        <v>323</v>
      </c>
      <c r="D4059" s="121" t="str">
        <f>HYPERLINK("http://www.shreveport.va.gov/services/MENTAL_HEALTH.ASP")</f>
        <v>http://www.shreveport.va.gov/services/MENTAL_HEALTH.ASP</v>
      </c>
      <c r="E4059" s="8" t="s">
        <v>392</v>
      </c>
    </row>
    <row r="4060" ht="14.25" hidden="1" customHeight="1">
      <c r="A4060" s="8" t="s">
        <v>3351</v>
      </c>
      <c r="B4060" s="8" t="s">
        <v>3989</v>
      </c>
      <c r="D4060" s="121" t="str">
        <f>HYPERLINK("http://www.shreveport.va.gov/services/MY_HEALTHEVET_PROGRAM.ASP")</f>
        <v>http://www.shreveport.va.gov/services/MY_HEALTHEVET_PROGRAM.ASP</v>
      </c>
      <c r="E4060" s="8" t="s">
        <v>392</v>
      </c>
    </row>
    <row r="4061" ht="14.25" hidden="1" customHeight="1">
      <c r="A4061" s="8" t="s">
        <v>3351</v>
      </c>
      <c r="B4061" s="8" t="s">
        <v>958</v>
      </c>
      <c r="D4061" s="121" t="str">
        <f>HYPERLINK("http://www.shreveport.va.gov/services/NUCLEAR_MEDICINE.ASP")</f>
        <v>http://www.shreveport.va.gov/services/NUCLEAR_MEDICINE.ASP</v>
      </c>
      <c r="E4061" s="8" t="s">
        <v>392</v>
      </c>
    </row>
    <row r="4062" ht="14.25" hidden="1" customHeight="1">
      <c r="A4062" s="8" t="s">
        <v>3351</v>
      </c>
      <c r="B4062" s="8" t="s">
        <v>356</v>
      </c>
      <c r="D4062" s="121" t="str">
        <f>HYPERLINK("http://www.shreveport.va.gov/services/OEF_OIF_OND.ASP")</f>
        <v>http://www.shreveport.va.gov/services/OEF_OIF_OND.ASP</v>
      </c>
      <c r="E4062" s="8" t="s">
        <v>392</v>
      </c>
    </row>
    <row r="4063" ht="14.25" hidden="1" customHeight="1">
      <c r="A4063" s="8" t="s">
        <v>3351</v>
      </c>
      <c r="B4063" s="8" t="s">
        <v>3990</v>
      </c>
      <c r="D4063" s="121" t="str">
        <f>HYPERLINK("http://www.shreveport.va.gov/services/OVERTON_BROOKS_VA_SCHOOL_OF_MEDICAL_TECHNOLOGY.ASP")</f>
        <v>http://www.shreveport.va.gov/services/OVERTON_BROOKS_VA_SCHOOL_OF_MEDICAL_TECHNOLOGY.ASP</v>
      </c>
      <c r="E4063" s="8" t="s">
        <v>392</v>
      </c>
    </row>
    <row r="4064" ht="14.25" hidden="1" customHeight="1">
      <c r="A4064" s="8" t="s">
        <v>3351</v>
      </c>
      <c r="B4064" s="8" t="s">
        <v>3991</v>
      </c>
      <c r="D4064" s="121" t="str">
        <f>HYPERLINK("http://www.shreveport.va.gov/services/PATIENT_ADV.ASP")</f>
        <v>http://www.shreveport.va.gov/services/PATIENT_ADV.ASP</v>
      </c>
      <c r="E4064" s="8" t="s">
        <v>392</v>
      </c>
    </row>
    <row r="4065" ht="14.25" hidden="1" customHeight="1">
      <c r="A4065" s="8" t="s">
        <v>3351</v>
      </c>
      <c r="B4065" s="8" t="s">
        <v>343</v>
      </c>
      <c r="D4065" s="121" t="str">
        <f>HYPERLINK("http://www.shreveport.va.gov/services/PHARMACY.ASP")</f>
        <v>http://www.shreveport.va.gov/services/PHARMACY.ASP</v>
      </c>
      <c r="E4065" s="8" t="s">
        <v>392</v>
      </c>
    </row>
    <row r="4066" ht="14.25" hidden="1" customHeight="1">
      <c r="A4066" s="8" t="s">
        <v>3351</v>
      </c>
      <c r="B4066" s="8" t="s">
        <v>348</v>
      </c>
      <c r="D4066" s="121" t="str">
        <f>HYPERLINK("http://www.shreveport.va.gov/services/PRIMARY_CARE.ASP")</f>
        <v>http://www.shreveport.va.gov/services/PRIMARY_CARE.ASP</v>
      </c>
      <c r="E4066" s="8" t="s">
        <v>392</v>
      </c>
    </row>
    <row r="4067" ht="14.25" hidden="1" customHeight="1">
      <c r="A4067" s="8" t="s">
        <v>3351</v>
      </c>
      <c r="B4067" s="8" t="s">
        <v>370</v>
      </c>
      <c r="D4067" s="121" t="str">
        <f>HYPERLINK("http://www.shreveport.va.gov/services/TELEHEALTH.ASP")</f>
        <v>http://www.shreveport.va.gov/services/TELEHEALTH.ASP</v>
      </c>
      <c r="E4067" s="8" t="s">
        <v>392</v>
      </c>
    </row>
    <row r="4068" ht="14.25" hidden="1" customHeight="1">
      <c r="A4068" s="8" t="s">
        <v>3351</v>
      </c>
      <c r="B4068" s="8" t="s">
        <v>3992</v>
      </c>
      <c r="D4068" s="121" t="str">
        <f>HYPERLINK("http://www.shreveport.va.gov/services/VLER_HEALTH.ASP")</f>
        <v>http://www.shreveport.va.gov/services/VLER_HEALTH.ASP</v>
      </c>
      <c r="E4068" s="8" t="s">
        <v>392</v>
      </c>
    </row>
    <row r="4069" ht="14.25" hidden="1" customHeight="1">
      <c r="A4069" s="8" t="s">
        <v>3354</v>
      </c>
      <c r="B4069" s="8" t="s">
        <v>3993</v>
      </c>
      <c r="D4069" s="121" t="str">
        <f>HYPERLINK("http://www.siouxfalls.va.gov/services/ADAPTIVE_SPORTS_PROGRAM.ASP")</f>
        <v>http://www.siouxfalls.va.gov/services/ADAPTIVE_SPORTS_PROGRAM.ASP</v>
      </c>
      <c r="E4069" s="8" t="s">
        <v>392</v>
      </c>
    </row>
    <row r="4070" ht="14.25" hidden="1" customHeight="1">
      <c r="A4070" s="8" t="s">
        <v>3354</v>
      </c>
      <c r="B4070" s="8" t="s">
        <v>2130</v>
      </c>
      <c r="D4070" s="121" t="str">
        <f>HYPERLINK("http://www.siouxfalls.va.gov/services/LOW_VISION_CLINIC.ASP")</f>
        <v>http://www.siouxfalls.va.gov/services/LOW_VISION_CLINIC.ASP</v>
      </c>
      <c r="E4070" s="8" t="s">
        <v>392</v>
      </c>
    </row>
    <row r="4071" ht="14.25" hidden="1" customHeight="1">
      <c r="A4071" s="8" t="s">
        <v>3354</v>
      </c>
      <c r="B4071" s="8" t="s">
        <v>2308</v>
      </c>
      <c r="D4071" s="121" t="str">
        <f>HYPERLINK("http://www.siouxfalls.va.gov/services/MOVE.ASP")</f>
        <v>http://www.siouxfalls.va.gov/services/MOVE.ASP</v>
      </c>
      <c r="E4071" s="8" t="s">
        <v>392</v>
      </c>
    </row>
    <row r="4072" ht="14.25" hidden="1" customHeight="1">
      <c r="A4072" s="8" t="s">
        <v>3354</v>
      </c>
      <c r="B4072" s="8" t="s">
        <v>323</v>
      </c>
      <c r="D4072" s="121" t="str">
        <f>HYPERLINK("http://www.siouxfalls.va.gov/services/MENTAL_HEALTH.ASP")</f>
        <v>http://www.siouxfalls.va.gov/services/MENTAL_HEALTH.ASP</v>
      </c>
      <c r="E4072" s="8" t="s">
        <v>392</v>
      </c>
    </row>
    <row r="4073" ht="14.25" hidden="1" customHeight="1">
      <c r="A4073" s="8" t="s">
        <v>3354</v>
      </c>
      <c r="B4073" s="8" t="s">
        <v>3994</v>
      </c>
      <c r="D4073" s="121" t="str">
        <f>HYPERLINK("http://www.siouxfalls.va.gov/services/MST.ASP")</f>
        <v>http://www.siouxfalls.va.gov/services/MST.ASP</v>
      </c>
      <c r="E4073" s="8" t="s">
        <v>392</v>
      </c>
    </row>
    <row r="4074" ht="14.25" hidden="1" customHeight="1">
      <c r="A4074" s="8" t="s">
        <v>3354</v>
      </c>
      <c r="B4074" s="8" t="s">
        <v>1974</v>
      </c>
      <c r="D4074" s="121" t="str">
        <f>HYPERLINK("http://www.siouxfalls.va.gov/services/PTSD.ASP")</f>
        <v>http://www.siouxfalls.va.gov/services/PTSD.ASP</v>
      </c>
      <c r="E4074" s="8" t="s">
        <v>392</v>
      </c>
    </row>
    <row r="4075" ht="14.25" hidden="1" customHeight="1">
      <c r="A4075" s="8" t="s">
        <v>3354</v>
      </c>
      <c r="B4075" s="8" t="s">
        <v>342</v>
      </c>
      <c r="D4075" s="121" t="str">
        <f>HYPERLINK("http://www.siouxfalls.va.gov/services/PALLIATIVE_AND_HOSPICE_CARE.ASP")</f>
        <v>http://www.siouxfalls.va.gov/services/PALLIATIVE_AND_HOSPICE_CARE.ASP</v>
      </c>
      <c r="E4075" s="8" t="s">
        <v>392</v>
      </c>
    </row>
    <row r="4076" ht="14.25" hidden="1" customHeight="1">
      <c r="A4076" s="8" t="s">
        <v>3354</v>
      </c>
      <c r="B4076" s="8" t="s">
        <v>343</v>
      </c>
      <c r="D4076" s="121" t="str">
        <f>HYPERLINK("http://www.siouxfalls.va.gov/services/PHARMACY.ASP")</f>
        <v>http://www.siouxfalls.va.gov/services/PHARMACY.ASP</v>
      </c>
      <c r="E4076" s="8" t="s">
        <v>392</v>
      </c>
    </row>
    <row r="4077" ht="14.25" hidden="1" customHeight="1">
      <c r="A4077" s="8" t="s">
        <v>3354</v>
      </c>
      <c r="B4077" s="8" t="s">
        <v>1312</v>
      </c>
      <c r="D4077" s="121" t="str">
        <f>HYPERLINK("http://www.siouxfalls.va.gov/services/RESEARCH_AND_DEVELOPMENT.ASP")</f>
        <v>http://www.siouxfalls.va.gov/services/RESEARCH_AND_DEVELOPMENT.ASP</v>
      </c>
      <c r="E4077" s="8" t="s">
        <v>392</v>
      </c>
    </row>
    <row r="4078" ht="14.25" hidden="1" customHeight="1">
      <c r="A4078" s="8" t="s">
        <v>3354</v>
      </c>
      <c r="B4078" s="8" t="s">
        <v>360</v>
      </c>
      <c r="D4078" s="121" t="str">
        <f>HYPERLINK("http://www.siouxfalls.va.gov/services/SOCIALWORK.ASP")</f>
        <v>http://www.siouxfalls.va.gov/services/SOCIALWORK.ASP</v>
      </c>
      <c r="E4078" s="8" t="s">
        <v>392</v>
      </c>
    </row>
    <row r="4079" ht="14.25" hidden="1" customHeight="1">
      <c r="A4079" s="8" t="s">
        <v>3354</v>
      </c>
      <c r="B4079" s="8" t="s">
        <v>1090</v>
      </c>
      <c r="D4079" s="121" t="str">
        <f>HYPERLINK("http://www.siouxfalls.va.gov/services/VISUAL_IMPAIRMENT_SERVICES_TEAM_VIST.ASP")</f>
        <v>http://www.siouxfalls.va.gov/services/VISUAL_IMPAIRMENT_SERVICES_TEAM_VIST.ASP</v>
      </c>
      <c r="E4079" s="8" t="s">
        <v>392</v>
      </c>
    </row>
    <row r="4080" ht="14.25" hidden="1" customHeight="1">
      <c r="A4080" s="8" t="s">
        <v>3365</v>
      </c>
      <c r="B4080" s="8" t="s">
        <v>2596</v>
      </c>
      <c r="D4080" s="121" t="str">
        <f>HYPERLINK("http://www.southernoregon.va.gov/services/BUSINESS_OFFICE_SERVICE.ASP")</f>
        <v>http://www.southernoregon.va.gov/services/BUSINESS_OFFICE_SERVICE.ASP</v>
      </c>
      <c r="E4080" s="8" t="s">
        <v>392</v>
      </c>
    </row>
    <row r="4081" ht="14.25" hidden="1" customHeight="1">
      <c r="A4081" s="8" t="s">
        <v>3365</v>
      </c>
      <c r="B4081" s="8" t="s">
        <v>478</v>
      </c>
      <c r="D4081" s="121" t="str">
        <f>HYPERLINK("http://www.southernoregon.va.gov/services/CHAPLAIN_SERVICE.ASP")</f>
        <v>http://www.southernoregon.va.gov/services/CHAPLAIN_SERVICE.ASP</v>
      </c>
      <c r="E4081" s="8" t="s">
        <v>392</v>
      </c>
    </row>
    <row r="4082" ht="14.25" hidden="1" customHeight="1">
      <c r="A4082" s="8" t="s">
        <v>3365</v>
      </c>
      <c r="B4082" s="8" t="s">
        <v>3995</v>
      </c>
      <c r="D4082" s="121" t="str">
        <f>HYPERLINK("http://www.southernoregon.va.gov/services/COMMUNITY_RESOURCES_PUBLIC_AFFAIRS.ASP")</f>
        <v>http://www.southernoregon.va.gov/services/COMMUNITY_RESOURCES_PUBLIC_AFFAIRS.ASP</v>
      </c>
      <c r="E4082" s="8" t="s">
        <v>392</v>
      </c>
    </row>
    <row r="4083" ht="14.25" hidden="1" customHeight="1">
      <c r="A4083" s="8" t="s">
        <v>3365</v>
      </c>
      <c r="B4083" s="8" t="s">
        <v>305</v>
      </c>
      <c r="D4083" s="121" t="str">
        <f>HYPERLINK("http://www.southernoregon.va.gov/services/DENTAL_SERVICES.ASP")</f>
        <v>http://www.southernoregon.va.gov/services/DENTAL_SERVICES.ASP</v>
      </c>
      <c r="E4083" s="8" t="s">
        <v>392</v>
      </c>
    </row>
    <row r="4084" ht="14.25" hidden="1" customHeight="1">
      <c r="A4084" s="8" t="s">
        <v>3365</v>
      </c>
      <c r="B4084" s="8" t="s">
        <v>874</v>
      </c>
      <c r="D4084" s="121" t="str">
        <f>HYPERLINK("http://www.southernoregon.va.gov/services/DIETICIANS.ASP")</f>
        <v>http://www.southernoregon.va.gov/services/DIETICIANS.ASP</v>
      </c>
      <c r="E4084" s="8" t="s">
        <v>392</v>
      </c>
    </row>
    <row r="4085" ht="14.25" hidden="1" customHeight="1">
      <c r="A4085" s="8" t="s">
        <v>3365</v>
      </c>
      <c r="B4085" s="8" t="s">
        <v>660</v>
      </c>
      <c r="D4085" s="121" t="str">
        <f>HYPERLINK("http://www.southernoregon.va.gov/services/FACILITIES_MANAGEMENT_SERVICE.ASP")</f>
        <v>http://www.southernoregon.va.gov/services/FACILITIES_MANAGEMENT_SERVICE.ASP</v>
      </c>
      <c r="E4085" s="8" t="s">
        <v>392</v>
      </c>
    </row>
    <row r="4086" ht="14.25" hidden="1" customHeight="1">
      <c r="A4086" s="8" t="s">
        <v>3365</v>
      </c>
      <c r="B4086" s="8" t="s">
        <v>1332</v>
      </c>
      <c r="D4086" s="121" t="str">
        <f>HYPERLINK("http://www.southernoregon.va.gov/services/FORMER_PRISONER_OF_WAR_FPOW_ADVOCATE_PROGRAM.ASP")</f>
        <v>http://www.southernoregon.va.gov/services/FORMER_PRISONER_OF_WAR_FPOW_ADVOCATE_PROGRAM.ASP</v>
      </c>
      <c r="E4086" s="8" t="s">
        <v>392</v>
      </c>
    </row>
    <row r="4087" ht="14.25" hidden="1" customHeight="1">
      <c r="A4087" s="8" t="s">
        <v>3365</v>
      </c>
      <c r="B4087" s="8" t="s">
        <v>1058</v>
      </c>
      <c r="D4087" s="121" t="str">
        <f>HYPERLINK("http://www.southernoregon.va.gov/services/HOME_BASED_PRIMARY_CARE_HBPC.ASP")</f>
        <v>http://www.southernoregon.va.gov/services/HOME_BASED_PRIMARY_CARE_HBPC.ASP</v>
      </c>
      <c r="E4087" s="8" t="s">
        <v>392</v>
      </c>
    </row>
    <row r="4088" ht="14.25" hidden="1" customHeight="1">
      <c r="A4088" s="8" t="s">
        <v>3365</v>
      </c>
      <c r="B4088" s="8" t="s">
        <v>3996</v>
      </c>
      <c r="D4088" s="121" t="str">
        <f>HYPERLINK("http://www.southernoregon.va.gov/services/HUMAN_RESOURCE.ASP")</f>
        <v>http://www.southernoregon.va.gov/services/HUMAN_RESOURCE.ASP</v>
      </c>
      <c r="E4088" s="8" t="s">
        <v>392</v>
      </c>
    </row>
    <row r="4089" ht="14.25" hidden="1" customHeight="1">
      <c r="A4089" s="8" t="s">
        <v>3365</v>
      </c>
      <c r="B4089" s="8" t="s">
        <v>3997</v>
      </c>
      <c r="D4089" s="121" t="str">
        <f>HYPERLINK("http://www.southernoregon.va.gov/services/INFECTION_CONTROL_INFECTION_PREVENTION.ASP")</f>
        <v>http://www.southernoregon.va.gov/services/INFECTION_CONTROL_INFECTION_PREVENTION.ASP</v>
      </c>
      <c r="E4089" s="8" t="s">
        <v>392</v>
      </c>
    </row>
    <row r="4090" ht="14.25" hidden="1" customHeight="1">
      <c r="A4090" s="8" t="s">
        <v>3365</v>
      </c>
      <c r="B4090" s="8" t="s">
        <v>3998</v>
      </c>
      <c r="D4090" s="121" t="str">
        <f>HYPERLINK("http://www.southernoregon.va.gov/services/INFIRMARY.ASP")</f>
        <v>http://www.southernoregon.va.gov/services/INFIRMARY.ASP</v>
      </c>
      <c r="E4090" s="8" t="s">
        <v>392</v>
      </c>
    </row>
    <row r="4091" ht="14.25" hidden="1" customHeight="1">
      <c r="A4091" s="8" t="s">
        <v>3365</v>
      </c>
      <c r="B4091" s="8" t="s">
        <v>3999</v>
      </c>
      <c r="D4091" s="121" t="str">
        <f>HYPERLINK("http://www.southernoregon.va.gov/services/INFORMATION_TECHNOLOGY_OPERATIONS_SERVICE_ITOS.ASP")</f>
        <v>http://www.southernoregon.va.gov/services/INFORMATION_TECHNOLOGY_OPERATIONS_SERVICE_ITOS.ASP</v>
      </c>
      <c r="E4091" s="8" t="s">
        <v>392</v>
      </c>
    </row>
    <row r="4092" ht="14.25" hidden="1" customHeight="1">
      <c r="A4092" s="8" t="s">
        <v>3365</v>
      </c>
      <c r="B4092" s="8" t="s">
        <v>4000</v>
      </c>
      <c r="D4092" s="121" t="str">
        <f>HYPERLINK("http://www.southernoregon.va.gov/services/LABORATORY_SERVICE.ASP")</f>
        <v>http://www.southernoregon.va.gov/services/LABORATORY_SERVICE.ASP</v>
      </c>
      <c r="E4092" s="8" t="s">
        <v>392</v>
      </c>
    </row>
    <row r="4093" ht="14.25" hidden="1" customHeight="1">
      <c r="A4093" s="8" t="s">
        <v>3365</v>
      </c>
      <c r="B4093" s="8" t="s">
        <v>4001</v>
      </c>
      <c r="D4093" s="121" t="str">
        <f>HYPERLINK("http://www.southernoregon.va.gov/services/LIBRARY_SERVICE.ASP")</f>
        <v>http://www.southernoregon.va.gov/services/LIBRARY_SERVICE.ASP</v>
      </c>
      <c r="E4093" s="8" t="s">
        <v>392</v>
      </c>
    </row>
    <row r="4094" ht="14.25" hidden="1" customHeight="1">
      <c r="A4094" s="8" t="s">
        <v>3365</v>
      </c>
      <c r="B4094" s="8" t="s">
        <v>4002</v>
      </c>
      <c r="D4094" s="121" t="str">
        <f>HYPERLINK("http://www.southernoregon.va.gov/services/LOGISTICS_MANAGEMENT_SERVICE.ASP")</f>
        <v>http://www.southernoregon.va.gov/services/LOGISTICS_MANAGEMENT_SERVICE.ASP</v>
      </c>
      <c r="E4094" s="8" t="s">
        <v>392</v>
      </c>
    </row>
    <row r="4095" ht="14.25" hidden="1" customHeight="1">
      <c r="A4095" s="8" t="s">
        <v>3365</v>
      </c>
      <c r="B4095" s="8" t="s">
        <v>323</v>
      </c>
      <c r="D4095" s="121" t="str">
        <f>HYPERLINK("http://www.southernoregon.va.gov/services/PSYCHIATRY_MENTAL_HEALTH_CLINIC.ASP")</f>
        <v>http://www.southernoregon.va.gov/services/PSYCHIATRY_MENTAL_HEALTH_CLINIC.ASP</v>
      </c>
      <c r="E4095" s="8" t="s">
        <v>392</v>
      </c>
    </row>
    <row r="4096" ht="14.25" hidden="1" customHeight="1">
      <c r="A4096" s="8" t="s">
        <v>3365</v>
      </c>
      <c r="B4096" s="8" t="s">
        <v>335</v>
      </c>
      <c r="D4096" s="121" t="str">
        <f>HYPERLINK("http://www.southernoregon.va.gov/services/NUTRITION_AND_FOOD_SERVICE.ASP")</f>
        <v>http://www.southernoregon.va.gov/services/NUTRITION_AND_FOOD_SERVICE.ASP</v>
      </c>
      <c r="E4096" s="8" t="s">
        <v>392</v>
      </c>
    </row>
    <row r="4097" ht="14.25" hidden="1" customHeight="1">
      <c r="A4097" s="8" t="s">
        <v>3365</v>
      </c>
      <c r="B4097" s="8" t="s">
        <v>343</v>
      </c>
      <c r="D4097" s="121" t="str">
        <f>HYPERLINK("http://www.southernoregon.va.gov/services/PHARMACY.ASP")</f>
        <v>http://www.southernoregon.va.gov/services/PHARMACY.ASP</v>
      </c>
      <c r="E4097" s="8" t="s">
        <v>392</v>
      </c>
    </row>
    <row r="4098" ht="14.25" hidden="1" customHeight="1">
      <c r="A4098" s="8" t="s">
        <v>3365</v>
      </c>
      <c r="B4098" s="8" t="s">
        <v>1063</v>
      </c>
      <c r="D4098" s="121" t="str">
        <f>HYPERLINK("http://www.southernoregon.va.gov/services/PHYSICAL_MEDICINE_AND_REHABILITATION_SERVICE.ASP")</f>
        <v>http://www.southernoregon.va.gov/services/PHYSICAL_MEDICINE_AND_REHABILITATION_SERVICE.ASP</v>
      </c>
      <c r="E4098" s="8" t="s">
        <v>392</v>
      </c>
    </row>
    <row r="4099" ht="14.25" hidden="1" customHeight="1">
      <c r="A4099" s="8" t="s">
        <v>3365</v>
      </c>
      <c r="B4099" s="8" t="s">
        <v>4003</v>
      </c>
      <c r="D4099" s="121" t="str">
        <f>HYPERLINK("http://www.southernoregon.va.gov/services/POLICE_AND_LAW_ENFORCEMENT.ASP")</f>
        <v>http://www.southernoregon.va.gov/services/POLICE_AND_LAW_ENFORCEMENT.ASP</v>
      </c>
      <c r="E4099" s="8" t="s">
        <v>392</v>
      </c>
    </row>
    <row r="4100" ht="14.25" hidden="1" customHeight="1">
      <c r="A4100" s="8" t="s">
        <v>3365</v>
      </c>
      <c r="B4100" s="8" t="s">
        <v>348</v>
      </c>
      <c r="D4100" s="121" t="str">
        <f>HYPERLINK("http://www.southernoregon.va.gov/services/PRIMARY_CARE.ASP")</f>
        <v>http://www.southernoregon.va.gov/services/PRIMARY_CARE.ASP</v>
      </c>
      <c r="E4100" s="8" t="s">
        <v>392</v>
      </c>
    </row>
    <row r="4101" ht="14.25" hidden="1" customHeight="1">
      <c r="A4101" s="8" t="s">
        <v>3365</v>
      </c>
      <c r="B4101" s="8" t="s">
        <v>916</v>
      </c>
      <c r="D4101" s="121" t="str">
        <f>HYPERLINK("http://www.southernoregon.va.gov/services/PROSTHETICS_AND_SENSORY_AIDS_SERVICE.ASP")</f>
        <v>http://www.southernoregon.va.gov/services/PROSTHETICS_AND_SENSORY_AIDS_SERVICE.ASP</v>
      </c>
      <c r="E4101" s="8" t="s">
        <v>392</v>
      </c>
    </row>
    <row r="4102" ht="14.25" hidden="1" customHeight="1">
      <c r="A4102" s="8" t="s">
        <v>3365</v>
      </c>
      <c r="B4102" s="8" t="s">
        <v>4004</v>
      </c>
      <c r="D4102" s="121" t="str">
        <f>HYPERLINK("http://www.southernoregon.va.gov/services/PSYCHIATRY_MENTAL_HEALTH_CLINIC.ASP")</f>
        <v>http://www.southernoregon.va.gov/services/PSYCHIATRY_MENTAL_HEALTH_CLINIC.ASP</v>
      </c>
      <c r="E4102" s="8" t="s">
        <v>595</v>
      </c>
    </row>
    <row r="4103" ht="14.25" hidden="1" customHeight="1">
      <c r="A4103" s="8" t="s">
        <v>3365</v>
      </c>
      <c r="B4103" s="8" t="s">
        <v>1630</v>
      </c>
      <c r="D4103" s="121" t="str">
        <f>HYPERLINK("http://www.southernoregon.va.gov/services/PSYCHOLOGY.ASP")</f>
        <v>http://www.southernoregon.va.gov/services/PSYCHOLOGY.ASP</v>
      </c>
      <c r="E4103" s="8" t="s">
        <v>392</v>
      </c>
    </row>
    <row r="4104" ht="14.25" hidden="1" customHeight="1">
      <c r="A4104" s="8" t="s">
        <v>3365</v>
      </c>
      <c r="B4104" s="8" t="s">
        <v>1067</v>
      </c>
      <c r="D4104" s="121" t="str">
        <f>HYPERLINK("http://www.southernoregon.va.gov/services/QUALITY_MANAGEMENT.ASP")</f>
        <v>http://www.southernoregon.va.gov/services/QUALITY_MANAGEMENT.ASP</v>
      </c>
      <c r="E4104" s="8" t="s">
        <v>392</v>
      </c>
    </row>
    <row r="4105" ht="14.25" hidden="1" customHeight="1">
      <c r="A4105" s="8" t="s">
        <v>3365</v>
      </c>
      <c r="B4105" s="8" t="s">
        <v>505</v>
      </c>
      <c r="D4105" s="121" t="str">
        <f>HYPERLINK("http://www.southernoregon.va.gov/services/RECREATION_THERAPY.ASP")</f>
        <v>http://www.southernoregon.va.gov/services/RECREATION_THERAPY.ASP</v>
      </c>
      <c r="E4105" s="8" t="s">
        <v>392</v>
      </c>
    </row>
    <row r="4106" ht="14.25" hidden="1" customHeight="1">
      <c r="A4106" s="8" t="s">
        <v>3365</v>
      </c>
      <c r="B4106" s="8" t="s">
        <v>3123</v>
      </c>
      <c r="D4106" s="121" t="str">
        <f>HYPERLINK("http://www.southernoregon.va.gov/services/RESIDENTIAL_REHABILITATION_TREATMENT_PROGRAM.ASP")</f>
        <v>http://www.southernoregon.va.gov/services/RESIDENTIAL_REHABILITATION_TREATMENT_PROGRAM.ASP</v>
      </c>
      <c r="E4106" s="8" t="s">
        <v>392</v>
      </c>
    </row>
    <row r="4107" ht="14.25" hidden="1" customHeight="1">
      <c r="A4107" s="8" t="s">
        <v>3365</v>
      </c>
      <c r="B4107" s="8" t="s">
        <v>4005</v>
      </c>
      <c r="D4107" s="121" t="str">
        <f>HYPERLINK("http://www.southernoregon.va.gov/services/RESOURCE_MANAGEMENT_SERVICE.ASP")</f>
        <v>http://www.southernoregon.va.gov/services/RESOURCE_MANAGEMENT_SERVICE.ASP</v>
      </c>
      <c r="E4107" s="8" t="s">
        <v>392</v>
      </c>
    </row>
    <row r="4108" ht="14.25" hidden="1" customHeight="1">
      <c r="A4108" s="8" t="s">
        <v>3365</v>
      </c>
      <c r="B4108" s="8" t="s">
        <v>4006</v>
      </c>
      <c r="D4108" s="121" t="str">
        <f>HYPERLINK("http://www.southernoregon.va.gov/services/SORCC_ADDICTION_TREATMENT_PROGRAM_SATP.ASP")</f>
        <v>http://www.southernoregon.va.gov/services/SORCC_ADDICTION_TREATMENT_PROGRAM_SATP.ASP</v>
      </c>
      <c r="E4108" s="8" t="s">
        <v>392</v>
      </c>
    </row>
    <row r="4109" ht="14.25" hidden="1" customHeight="1">
      <c r="A4109" s="8" t="s">
        <v>3365</v>
      </c>
      <c r="B4109" s="8" t="s">
        <v>925</v>
      </c>
      <c r="D4109" s="121" t="str">
        <f>HYPERLINK("http://www.southernoregon.va.gov/services/SOCIAL_WORK_SERVICE.ASP")</f>
        <v>http://www.southernoregon.va.gov/services/SOCIAL_WORK_SERVICE.ASP</v>
      </c>
      <c r="E4109" s="8" t="s">
        <v>392</v>
      </c>
    </row>
    <row r="4110" ht="14.25" hidden="1" customHeight="1">
      <c r="A4110" s="8" t="s">
        <v>3365</v>
      </c>
      <c r="B4110" s="8" t="s">
        <v>2139</v>
      </c>
      <c r="D4110" s="121" t="str">
        <f>HYPERLINK("http://www.southernoregon.va.gov/services/TELEHEALTH_PROGRAM.ASP")</f>
        <v>http://www.southernoregon.va.gov/services/TELEHEALTH_PROGRAM.ASP</v>
      </c>
      <c r="E4110" s="8" t="s">
        <v>392</v>
      </c>
    </row>
    <row r="4111" ht="14.25" hidden="1" customHeight="1">
      <c r="A4111" s="8" t="s">
        <v>3365</v>
      </c>
      <c r="B4111" s="8" t="s">
        <v>4007</v>
      </c>
      <c r="D4111" s="121" t="str">
        <f>HYPERLINK("http://www.southernoregon.va.gov/services/VOCATIONAL_REHABILITATION_SERVICES.ASP")</f>
        <v>http://www.southernoregon.va.gov/services/VOCATIONAL_REHABILITATION_SERVICES.ASP</v>
      </c>
      <c r="E4111" s="8" t="s">
        <v>392</v>
      </c>
    </row>
    <row r="4112" ht="14.25" hidden="1" customHeight="1">
      <c r="A4112" s="8" t="s">
        <v>3370</v>
      </c>
      <c r="B4112" s="8" t="s">
        <v>4008</v>
      </c>
      <c r="D4112" s="121" t="str">
        <f>HYPERLINK("http://www.southtexas.va.gov/services/ALLERGY.ASP")</f>
        <v>http://www.southtexas.va.gov/services/ALLERGY.ASP</v>
      </c>
      <c r="E4112" s="8" t="s">
        <v>392</v>
      </c>
    </row>
    <row r="4113" ht="14.25" hidden="1" customHeight="1">
      <c r="A4113" s="8" t="s">
        <v>3370</v>
      </c>
      <c r="B4113" s="8" t="s">
        <v>3535</v>
      </c>
      <c r="D4113" s="121" t="str">
        <f>HYPERLINK("http://www.southtexas.va.gov/services/AUDIOLOGY.ASP")</f>
        <v>http://www.southtexas.va.gov/services/AUDIOLOGY.ASP</v>
      </c>
      <c r="E4113" s="8" t="s">
        <v>392</v>
      </c>
    </row>
    <row r="4114" ht="14.25" hidden="1" customHeight="1">
      <c r="A4114" s="8" t="s">
        <v>3370</v>
      </c>
      <c r="B4114" s="8" t="s">
        <v>4009</v>
      </c>
      <c r="D4114" s="121" t="str">
        <f>HYPERLINK("http://www.southtexas.va.gov/services/BONE_MARROW_TRANSPLANT_UNIT.ASP")</f>
        <v>http://www.southtexas.va.gov/services/BONE_MARROW_TRANSPLANT_UNIT.ASP</v>
      </c>
      <c r="E4114" s="8" t="s">
        <v>392</v>
      </c>
    </row>
    <row r="4115" ht="14.25" hidden="1" customHeight="1">
      <c r="A4115" s="8" t="s">
        <v>3370</v>
      </c>
      <c r="B4115" s="8" t="s">
        <v>484</v>
      </c>
      <c r="D4115" s="121" t="str">
        <f>HYPERLINK("http://www.southtexas.va.gov/services/CAREGIVER_SUPPORT.ASP")</f>
        <v>http://www.southtexas.va.gov/services/CAREGIVER_SUPPORT.ASP</v>
      </c>
      <c r="E4115" s="8" t="s">
        <v>392</v>
      </c>
    </row>
    <row r="4116" ht="14.25" hidden="1" customHeight="1">
      <c r="A4116" s="8" t="s">
        <v>3370</v>
      </c>
      <c r="B4116" s="8" t="s">
        <v>468</v>
      </c>
      <c r="D4116" s="121" t="str">
        <f>HYPERLINK("http://www.southtexas.va.gov/services/CHAPLAINCY.ASP")</f>
        <v>http://www.southtexas.va.gov/services/CHAPLAINCY.ASP</v>
      </c>
      <c r="E4116" s="8" t="s">
        <v>392</v>
      </c>
    </row>
    <row r="4117" ht="14.25" hidden="1" customHeight="1">
      <c r="A4117" s="8" t="s">
        <v>3370</v>
      </c>
      <c r="B4117" s="8" t="s">
        <v>1053</v>
      </c>
      <c r="D4117" s="121" t="str">
        <f>HYPERLINK("http://www.southtexas.va.gov/services/CLC.ASP")</f>
        <v>http://www.southtexas.va.gov/services/CLC.ASP</v>
      </c>
      <c r="E4117" s="8" t="s">
        <v>392</v>
      </c>
    </row>
    <row r="4118" ht="14.25" hidden="1" customHeight="1">
      <c r="A4118" s="8" t="s">
        <v>3370</v>
      </c>
      <c r="B4118" s="8" t="s">
        <v>4010</v>
      </c>
      <c r="D4118" s="121" t="str">
        <f>HYPERLINK("http://www.southtexas.va.gov/services/CNH.ASP")</f>
        <v>http://www.southtexas.va.gov/services/CNH.ASP</v>
      </c>
      <c r="E4118" s="8" t="s">
        <v>392</v>
      </c>
    </row>
    <row r="4119" ht="14.25" hidden="1" customHeight="1">
      <c r="A4119" s="8" t="s">
        <v>3370</v>
      </c>
      <c r="B4119" s="8" t="s">
        <v>4011</v>
      </c>
      <c r="D4119" s="121" t="str">
        <f>HYPERLINK("http://www.southtexas.va.gov/services/CWTPROGRAM.ASP")</f>
        <v>http://www.southtexas.va.gov/services/CWTPROGRAM.ASP</v>
      </c>
      <c r="E4119" s="8" t="s">
        <v>392</v>
      </c>
    </row>
    <row r="4120" ht="14.25" hidden="1" customHeight="1">
      <c r="A4120" s="8" t="s">
        <v>3370</v>
      </c>
      <c r="B4120" s="8" t="s">
        <v>1245</v>
      </c>
      <c r="D4120" s="121" t="str">
        <f>HYPERLINK("http://www.southtexas.va.gov/services/FPOW.ASP")</f>
        <v>http://www.southtexas.va.gov/services/FPOW.ASP</v>
      </c>
      <c r="E4120" s="8" t="s">
        <v>392</v>
      </c>
    </row>
    <row r="4121" ht="14.25" hidden="1" customHeight="1">
      <c r="A4121" s="8" t="s">
        <v>3370</v>
      </c>
      <c r="B4121" s="8" t="s">
        <v>549</v>
      </c>
      <c r="D4121" s="121" t="str">
        <f>HYPERLINK("http://www.southtexas.va.gov/services/GASTROENTEROLOGY_GI.ASP")</f>
        <v>http://www.southtexas.va.gov/services/GASTROENTEROLOGY_GI.ASP</v>
      </c>
      <c r="E4121" s="8" t="s">
        <v>392</v>
      </c>
    </row>
    <row r="4122" ht="14.25" hidden="1" customHeight="1">
      <c r="A4122" s="8" t="s">
        <v>3370</v>
      </c>
      <c r="B4122" s="8" t="s">
        <v>990</v>
      </c>
      <c r="D4122" s="121" t="str">
        <f>HYPERLINK("http://www.southtexas.va.gov/services/HPDP.ASP")</f>
        <v>http://www.southtexas.va.gov/services/HPDP.ASP</v>
      </c>
      <c r="E4122" s="8" t="s">
        <v>392</v>
      </c>
    </row>
    <row r="4123" ht="14.25" hidden="1" customHeight="1">
      <c r="A4123" s="8" t="s">
        <v>3370</v>
      </c>
      <c r="B4123" s="8" t="s">
        <v>4012</v>
      </c>
      <c r="D4123" s="121" t="str">
        <f>HYPERLINK("http://www.southtexas.va.gov/services/HEPATOLOGY_CLINIC.ASP")</f>
        <v>http://www.southtexas.va.gov/services/HEPATOLOGY_CLINIC.ASP</v>
      </c>
      <c r="E4123" s="8" t="s">
        <v>392</v>
      </c>
    </row>
    <row r="4124" ht="14.25" hidden="1" customHeight="1">
      <c r="A4124" s="8" t="s">
        <v>3370</v>
      </c>
      <c r="B4124" s="8" t="s">
        <v>1058</v>
      </c>
      <c r="D4124" s="121" t="str">
        <f>HYPERLINK("http://www.southtexas.va.gov/services/HBPC.ASP")</f>
        <v>http://www.southtexas.va.gov/services/HBPC.ASP</v>
      </c>
      <c r="E4124" s="8" t="s">
        <v>392</v>
      </c>
    </row>
    <row r="4125" ht="14.25" hidden="1" customHeight="1">
      <c r="A4125" s="8" t="s">
        <v>3370</v>
      </c>
      <c r="B4125" s="8" t="s">
        <v>1321</v>
      </c>
      <c r="D4125" s="121" t="str">
        <f>HYPERLINK("http://www.southtexas.va.gov/services/HOME_TELEHEALTH.ASP")</f>
        <v>http://www.southtexas.va.gov/services/HOME_TELEHEALTH.ASP</v>
      </c>
      <c r="E4125" s="8" t="s">
        <v>392</v>
      </c>
    </row>
    <row r="4126" ht="14.25" hidden="1" customHeight="1">
      <c r="A4126" s="8" t="s">
        <v>3370</v>
      </c>
      <c r="B4126" s="8" t="s">
        <v>1941</v>
      </c>
      <c r="D4126" s="121" t="str">
        <f>HYPERLINK("http://www.southtexas.va.gov/services/HOSPICEANDPALLIATIVECARE.ASP")</f>
        <v>http://www.southtexas.va.gov/services/HOSPICEANDPALLIATIVECARE.ASP</v>
      </c>
      <c r="E4126" s="8" t="s">
        <v>392</v>
      </c>
    </row>
    <row r="4127" ht="14.25" hidden="1" customHeight="1">
      <c r="A4127" s="8" t="s">
        <v>3370</v>
      </c>
      <c r="B4127" s="8" t="s">
        <v>3971</v>
      </c>
      <c r="D4127" s="121" t="str">
        <f>HYPERLINK("http://www.southtexas.va.gov/services/HOSPITAL_MEDICINE.ASP")</f>
        <v>http://www.southtexas.va.gov/services/HOSPITAL_MEDICINE.ASP</v>
      </c>
      <c r="E4127" s="8" t="s">
        <v>392</v>
      </c>
    </row>
    <row r="4128" ht="14.25" hidden="1" customHeight="1">
      <c r="A4128" s="8" t="s">
        <v>3370</v>
      </c>
      <c r="B4128" s="8" t="s">
        <v>4013</v>
      </c>
      <c r="D4128" s="121" t="str">
        <f>HYPERLINK("http://www.southtexas.va.gov/services/LESBIAN_GAY_BISEXUAL_TRANSGENDER_AND_RELATED_IDENTITIES_PROGRAM.ASP")</f>
        <v>http://www.southtexas.va.gov/services/LESBIAN_GAY_BISEXUAL_TRANSGENDER_AND_RELATED_IDENTITIES_PROGRAM.ASP</v>
      </c>
      <c r="E4128" s="8" t="s">
        <v>392</v>
      </c>
    </row>
    <row r="4129" ht="14.25" hidden="1" customHeight="1">
      <c r="A4129" s="8" t="s">
        <v>3370</v>
      </c>
      <c r="B4129" s="8" t="s">
        <v>3218</v>
      </c>
      <c r="D4129" s="121" t="str">
        <f>HYPERLINK("http://www.southtexas.va.gov/services/MEDICAL_SERVICE.ASP")</f>
        <v>http://www.southtexas.va.gov/services/MEDICAL_SERVICE.ASP</v>
      </c>
      <c r="E4129" s="8" t="s">
        <v>392</v>
      </c>
    </row>
    <row r="4130" ht="14.25" hidden="1" customHeight="1">
      <c r="A4130" s="8" t="s">
        <v>3370</v>
      </c>
      <c r="B4130" s="8" t="s">
        <v>4014</v>
      </c>
      <c r="D4130" s="121" t="str">
        <f>HYPERLINK("http://www.southtexas.va.gov/services/HEPATOLOGY_CLINIC.ASP")</f>
        <v>http://www.southtexas.va.gov/services/HEPATOLOGY_CLINIC.ASP</v>
      </c>
      <c r="E4130" s="8" t="s">
        <v>595</v>
      </c>
    </row>
    <row r="4131" ht="14.25" hidden="1" customHeight="1">
      <c r="A4131" s="8" t="s">
        <v>3370</v>
      </c>
      <c r="B4131" s="8" t="s">
        <v>323</v>
      </c>
      <c r="D4131" s="121" t="str">
        <f>HYPERLINK("http://www.southtexas.va.gov/services/MENTAL_HEALTH_SERVICE.ASP")</f>
        <v>http://www.southtexas.va.gov/services/MENTAL_HEALTH_SERVICE.ASP</v>
      </c>
      <c r="E4131" s="8" t="s">
        <v>392</v>
      </c>
    </row>
    <row r="4132" ht="14.25" hidden="1" customHeight="1">
      <c r="A4132" s="8" t="s">
        <v>3370</v>
      </c>
      <c r="B4132" s="8" t="s">
        <v>1172</v>
      </c>
      <c r="D4132" s="121" t="str">
        <f>HYPERLINK("http://www.southtexas.va.gov/services/NEUROLOGY.ASP")</f>
        <v>http://www.southtexas.va.gov/services/NEUROLOGY.ASP</v>
      </c>
      <c r="E4132" s="8" t="s">
        <v>392</v>
      </c>
    </row>
    <row r="4133" ht="14.25" hidden="1" customHeight="1">
      <c r="A4133" s="8" t="s">
        <v>3370</v>
      </c>
      <c r="B4133" s="8" t="s">
        <v>343</v>
      </c>
      <c r="D4133" s="121" t="str">
        <f>HYPERLINK("http://www.southtexas.va.gov/services/PHARMACY.ASP")</f>
        <v>http://www.southtexas.va.gov/services/PHARMACY.ASP</v>
      </c>
      <c r="E4133" s="8" t="s">
        <v>392</v>
      </c>
    </row>
    <row r="4134" ht="14.25" hidden="1" customHeight="1">
      <c r="A4134" s="8" t="s">
        <v>3370</v>
      </c>
      <c r="B4134" s="8" t="s">
        <v>4015</v>
      </c>
      <c r="D4134" s="121" t="str">
        <f>HYPERLINK("http://www.southtexas.va.gov/services/PRC.ASP")</f>
        <v>http://www.southtexas.va.gov/services/PRC.ASP</v>
      </c>
      <c r="E4134" s="8" t="s">
        <v>392</v>
      </c>
    </row>
    <row r="4135" ht="14.25" hidden="1" customHeight="1">
      <c r="A4135" s="8" t="s">
        <v>3370</v>
      </c>
      <c r="B4135" s="8" t="s">
        <v>353</v>
      </c>
      <c r="D4135" s="121" t="str">
        <f>HYPERLINK("http://www.southtexas.va.gov/services/PROSTHETICS.ASP")</f>
        <v>http://www.southtexas.va.gov/services/PROSTHETICS.ASP</v>
      </c>
      <c r="E4135" s="8" t="s">
        <v>392</v>
      </c>
    </row>
    <row r="4136" ht="14.25" hidden="1" customHeight="1">
      <c r="A4136" s="8" t="s">
        <v>3370</v>
      </c>
      <c r="B4136" s="8" t="s">
        <v>964</v>
      </c>
      <c r="D4136" s="121" t="str">
        <f>HYPERLINK("http://www.southtexas.va.gov/services/PRRC.ASP")</f>
        <v>http://www.southtexas.va.gov/services/PRRC.ASP</v>
      </c>
      <c r="E4136" s="8" t="s">
        <v>392</v>
      </c>
    </row>
    <row r="4137" ht="14.25" hidden="1" customHeight="1">
      <c r="A4137" s="8" t="s">
        <v>3370</v>
      </c>
      <c r="B4137" s="8" t="s">
        <v>1337</v>
      </c>
      <c r="D4137" s="121" t="str">
        <f>HYPERLINK("http://www.southtexas.va.gov/services/RECREATION_THERAPY_SERVICE.ASP")</f>
        <v>http://www.southtexas.va.gov/services/RECREATION_THERAPY_SERVICE.ASP</v>
      </c>
      <c r="E4137" s="8" t="s">
        <v>392</v>
      </c>
    </row>
    <row r="4138" ht="14.25" hidden="1" customHeight="1">
      <c r="A4138" s="8" t="s">
        <v>3370</v>
      </c>
      <c r="B4138" s="8" t="s">
        <v>1675</v>
      </c>
      <c r="D4138" s="121" t="str">
        <f>HYPERLINK("http://www.southtexas.va.gov/services/RENAL_CLINIC.ASP")</f>
        <v>http://www.southtexas.va.gov/services/RENAL_CLINIC.ASP</v>
      </c>
      <c r="E4138" s="8" t="s">
        <v>392</v>
      </c>
    </row>
    <row r="4139" ht="14.25" hidden="1" customHeight="1">
      <c r="A4139" s="8" t="s">
        <v>3370</v>
      </c>
      <c r="B4139" s="8" t="s">
        <v>1171</v>
      </c>
      <c r="D4139" s="121" t="str">
        <f>HYPERLINK("http://www.southtexas.va.gov/services/RHEUMATOLOGY.ASP")</f>
        <v>http://www.southtexas.va.gov/services/RHEUMATOLOGY.ASP</v>
      </c>
      <c r="E4139" s="8" t="s">
        <v>392</v>
      </c>
    </row>
    <row r="4140" ht="14.25" hidden="1" customHeight="1">
      <c r="A4140" s="8" t="s">
        <v>3370</v>
      </c>
      <c r="B4140" s="8" t="s">
        <v>4016</v>
      </c>
      <c r="D4140" s="121" t="str">
        <f>HYPERLINK("http://www.southtexas.va.gov/services/STVHCSFH.ASP")</f>
        <v>http://www.southtexas.va.gov/services/STVHCSFH.ASP</v>
      </c>
      <c r="E4140" s="8" t="s">
        <v>392</v>
      </c>
    </row>
    <row r="4141" ht="14.25" hidden="1" customHeight="1">
      <c r="A4141" s="8" t="s">
        <v>3370</v>
      </c>
      <c r="B4141" s="8" t="s">
        <v>1313</v>
      </c>
      <c r="D4141" s="121" t="str">
        <f>HYPERLINK("http://www.southtexas.va.gov/services/SLEEP_LABORATORY_AND_CPAP_PROGRAM.ASP")</f>
        <v>http://www.southtexas.va.gov/services/SLEEP_LABORATORY_AND_CPAP_PROGRAM.ASP</v>
      </c>
      <c r="E4141" s="8" t="s">
        <v>392</v>
      </c>
    </row>
    <row r="4142" ht="14.25" hidden="1" customHeight="1">
      <c r="A4142" s="8" t="s">
        <v>3370</v>
      </c>
      <c r="B4142" s="8" t="s">
        <v>4017</v>
      </c>
      <c r="D4142" s="121" t="str">
        <f>HYPERLINK("http://www.southtexas.va.gov/services/GCRC.ASP")</f>
        <v>http://www.southtexas.va.gov/services/GCRC.ASP</v>
      </c>
      <c r="E4142" s="8" t="s">
        <v>392</v>
      </c>
    </row>
    <row r="4143" ht="14.25" hidden="1" customHeight="1">
      <c r="A4143" s="8" t="s">
        <v>3370</v>
      </c>
      <c r="B4143" s="8" t="s">
        <v>4018</v>
      </c>
      <c r="D4143" s="121" t="str">
        <f>HYPERLINK("http://www.southtexas.va.gov/services/WEIGHT_MANAGEMENT_AND_DIABETES_CLINIC.ASP")</f>
        <v>http://www.southtexas.va.gov/services/WEIGHT_MANAGEMENT_AND_DIABETES_CLINIC.ASP</v>
      </c>
      <c r="E4143" s="8" t="s">
        <v>392</v>
      </c>
    </row>
    <row r="4144" ht="14.25" hidden="1" customHeight="1">
      <c r="A4144" s="8" t="s">
        <v>3372</v>
      </c>
      <c r="B4144" s="8" t="s">
        <v>4019</v>
      </c>
      <c r="D4144" s="121" t="str">
        <f>HYPERLINK("http://www.spokane.va.gov/services/ACU_ICU.ASP")</f>
        <v>http://www.spokane.va.gov/services/ACU_ICU.ASP</v>
      </c>
      <c r="E4144" s="8" t="s">
        <v>595</v>
      </c>
    </row>
    <row r="4145" ht="14.25" hidden="1" customHeight="1">
      <c r="A4145" s="8" t="s">
        <v>3372</v>
      </c>
      <c r="B4145" s="8" t="s">
        <v>4020</v>
      </c>
      <c r="D4145" s="121" t="str">
        <f>HYPERLINK("http://www.spokane.va.gov/services/MEDICINE_SERVICE.ASP")</f>
        <v>http://www.spokane.va.gov/services/MEDICINE_SERVICE.ASP</v>
      </c>
      <c r="E4145" s="8" t="s">
        <v>595</v>
      </c>
    </row>
    <row r="4146" ht="14.25" hidden="1" customHeight="1">
      <c r="A4146" s="8" t="s">
        <v>3372</v>
      </c>
      <c r="B4146" s="8" t="s">
        <v>4021</v>
      </c>
      <c r="D4146" s="121" t="str">
        <f>HYPERLINK("http://www.spokane.va.gov/services/ACU_ICU.ASP")</f>
        <v>http://www.spokane.va.gov/services/ACU_ICU.ASP</v>
      </c>
      <c r="E4146" s="8" t="s">
        <v>392</v>
      </c>
    </row>
    <row r="4147" ht="14.25" hidden="1" customHeight="1">
      <c r="A4147" s="8" t="s">
        <v>3372</v>
      </c>
      <c r="B4147" s="8" t="s">
        <v>4022</v>
      </c>
      <c r="D4147" s="121" t="str">
        <f>HYPERLINK("http://www.spokane.va.gov/services/SUBSTANCE_ABUSE_TREATMENT.ASP")</f>
        <v>http://www.spokane.va.gov/services/SUBSTANCE_ABUSE_TREATMENT.ASP</v>
      </c>
      <c r="E4147" s="8" t="s">
        <v>595</v>
      </c>
    </row>
    <row r="4148" ht="14.25" hidden="1" customHeight="1">
      <c r="A4148" s="8" t="s">
        <v>3372</v>
      </c>
      <c r="B4148" s="8" t="s">
        <v>4023</v>
      </c>
      <c r="D4148" s="121" t="str">
        <f t="shared" ref="D4148:D4149" si="49">HYPERLINK("http://www.spokane.va.gov/services/URGENT_CARE_CENTER.ASP")</f>
        <v>http://www.spokane.va.gov/services/URGENT_CARE_CENTER.ASP</v>
      </c>
      <c r="E4148" s="8" t="s">
        <v>595</v>
      </c>
    </row>
    <row r="4149" ht="14.25" hidden="1" customHeight="1">
      <c r="A4149" s="8" t="s">
        <v>3372</v>
      </c>
      <c r="B4149" s="8" t="s">
        <v>4024</v>
      </c>
      <c r="D4149" s="121" t="str">
        <f t="shared" si="49"/>
        <v>http://www.spokane.va.gov/services/URGENT_CARE_CENTER.ASP</v>
      </c>
      <c r="E4149" s="8" t="s">
        <v>595</v>
      </c>
    </row>
    <row r="4150" ht="14.25" hidden="1" customHeight="1">
      <c r="A4150" s="8" t="s">
        <v>3372</v>
      </c>
      <c r="B4150" s="8" t="s">
        <v>618</v>
      </c>
      <c r="D4150" s="121" t="str">
        <f>HYPERLINK("http://www.spokane.va.gov/services/CASHIER.ASP")</f>
        <v>http://www.spokane.va.gov/services/CASHIER.ASP</v>
      </c>
      <c r="E4150" s="8" t="s">
        <v>595</v>
      </c>
    </row>
    <row r="4151" ht="14.25" hidden="1" customHeight="1">
      <c r="A4151" s="8" t="s">
        <v>3372</v>
      </c>
      <c r="B4151" s="8" t="s">
        <v>846</v>
      </c>
      <c r="D4151" s="121" t="str">
        <f>HYPERLINK("http://www.spokane.va.gov/services/AGENTORANGE.ASP")</f>
        <v>http://www.spokane.va.gov/services/AGENTORANGE.ASP</v>
      </c>
      <c r="E4151" s="8" t="s">
        <v>392</v>
      </c>
    </row>
    <row r="4152" ht="14.25" hidden="1" customHeight="1">
      <c r="A4152" s="8" t="s">
        <v>3372</v>
      </c>
      <c r="B4152" s="8" t="s">
        <v>3944</v>
      </c>
      <c r="D4152" s="121" t="str">
        <f>HYPERLINK("http://www.spokane.va.gov/services/SUBSTANCE_ABUSE_TREATMENT.ASP")</f>
        <v>http://www.spokane.va.gov/services/SUBSTANCE_ABUSE_TREATMENT.ASP</v>
      </c>
      <c r="E4152" s="8" t="s">
        <v>595</v>
      </c>
    </row>
    <row r="4153" ht="14.25" hidden="1" customHeight="1">
      <c r="A4153" s="8" t="s">
        <v>3372</v>
      </c>
      <c r="B4153" s="8" t="s">
        <v>621</v>
      </c>
      <c r="D4153" s="121" t="str">
        <f>HYPERLINK("http://www.spokane.va.gov/services/PRIMARY_CARE_CLINICS.ASP")</f>
        <v>http://www.spokane.va.gov/services/PRIMARY_CARE_CLINICS.ASP</v>
      </c>
      <c r="E4153" s="8" t="s">
        <v>595</v>
      </c>
    </row>
    <row r="4154" ht="14.25" hidden="1" customHeight="1">
      <c r="A4154" s="8" t="s">
        <v>3372</v>
      </c>
      <c r="B4154" s="8" t="s">
        <v>4025</v>
      </c>
      <c r="D4154" s="121" t="str">
        <f>HYPERLINK("http://www.spokane.va.gov/services/APPOINTMENTS_CDA.ASP")</f>
        <v>http://www.spokane.va.gov/services/APPOINTMENTS_CDA.ASP</v>
      </c>
      <c r="E4154" s="8" t="s">
        <v>392</v>
      </c>
    </row>
    <row r="4155" ht="14.25" hidden="1" customHeight="1">
      <c r="A4155" s="8" t="s">
        <v>3372</v>
      </c>
      <c r="B4155" s="8" t="s">
        <v>4026</v>
      </c>
      <c r="D4155" s="121" t="str">
        <f>HYPERLINK("http://www.spokane.va.gov/services/APPOINTMENTS_MGVAMC_PC_PACT_TEAMS.ASP")</f>
        <v>http://www.spokane.va.gov/services/APPOINTMENTS_MGVAMC_PC_PACT_TEAMS.ASP</v>
      </c>
      <c r="E4155" s="8" t="s">
        <v>392</v>
      </c>
    </row>
    <row r="4156" ht="14.25" hidden="1" customHeight="1">
      <c r="A4156" s="8" t="s">
        <v>3372</v>
      </c>
      <c r="B4156" s="8" t="s">
        <v>4027</v>
      </c>
      <c r="D4156" s="121" t="str">
        <f>HYPERLINK("http://www.spokane.va.gov/services/APPOINTMENTS_MGVAMC_SPECIALTY_CARE.ASP")</f>
        <v>http://www.spokane.va.gov/services/APPOINTMENTS_MGVAMC_SPECIALTY_CARE.ASP</v>
      </c>
      <c r="E4156" s="8" t="s">
        <v>392</v>
      </c>
    </row>
    <row r="4157" ht="14.25" hidden="1" customHeight="1">
      <c r="A4157" s="8" t="s">
        <v>3372</v>
      </c>
      <c r="B4157" s="8" t="s">
        <v>4028</v>
      </c>
      <c r="D4157" s="121" t="str">
        <f>HYPERLINK("http://www.spokane.va.gov/services/APPOINTMENTS_WENATCHEE_CBOC.ASP")</f>
        <v>http://www.spokane.va.gov/services/APPOINTMENTS_WENATCHEE_CBOC.ASP</v>
      </c>
      <c r="E4157" s="8" t="s">
        <v>392</v>
      </c>
    </row>
    <row r="4158" ht="14.25" hidden="1" customHeight="1">
      <c r="A4158" s="8" t="s">
        <v>3372</v>
      </c>
      <c r="B4158" s="8" t="s">
        <v>4029</v>
      </c>
      <c r="D4158" s="121" t="str">
        <f>HYPERLINK("http://www.spokane.va.gov/services/AUDIOLOGY_SPOKANE.ASP")</f>
        <v>http://www.spokane.va.gov/services/AUDIOLOGY_SPOKANE.ASP</v>
      </c>
      <c r="E4158" s="8" t="s">
        <v>392</v>
      </c>
    </row>
    <row r="4159" ht="14.25" hidden="1" customHeight="1">
      <c r="A4159" s="8" t="s">
        <v>3372</v>
      </c>
      <c r="B4159" s="8" t="s">
        <v>4030</v>
      </c>
      <c r="D4159" s="121" t="str">
        <f>HYPERLINK("http://www.spokane.va.gov/services/AUDIOLOGY_WENATCHEE.ASP")</f>
        <v>http://www.spokane.va.gov/services/AUDIOLOGY_WENATCHEE.ASP</v>
      </c>
      <c r="E4159" s="8" t="s">
        <v>392</v>
      </c>
    </row>
    <row r="4160" ht="14.25" hidden="1" customHeight="1">
      <c r="A4160" s="8" t="s">
        <v>3372</v>
      </c>
      <c r="B4160" s="8" t="s">
        <v>4031</v>
      </c>
      <c r="D4160" s="121" t="str">
        <f>HYPERLINK("http://www.spokane.va.gov/services/VOCATIONALREHAB.ASP")</f>
        <v>http://www.spokane.va.gov/services/VOCATIONALREHAB.ASP</v>
      </c>
      <c r="E4160" s="8" t="s">
        <v>595</v>
      </c>
    </row>
    <row r="4161" ht="14.25" hidden="1" customHeight="1">
      <c r="A4161" s="8" t="s">
        <v>3372</v>
      </c>
      <c r="B4161" s="8" t="s">
        <v>3538</v>
      </c>
      <c r="D4161" s="121" t="str">
        <f>HYPERLINK("http://www.spokane.va.gov/services/BEHAVIORAL_HEALTH_SERVICE.ASP")</f>
        <v>http://www.spokane.va.gov/services/BEHAVIORAL_HEALTH_SERVICE.ASP</v>
      </c>
      <c r="E4161" s="8" t="s">
        <v>392</v>
      </c>
    </row>
    <row r="4162" ht="14.25" hidden="1" customHeight="1">
      <c r="A4162" s="8" t="s">
        <v>3372</v>
      </c>
      <c r="B4162" s="8" t="s">
        <v>636</v>
      </c>
      <c r="D4162" s="121" t="str">
        <f>HYPERLINK("http://www.spokane.va.gov/services/BENEFICIARYTRAVEL.ASP")</f>
        <v>http://www.spokane.va.gov/services/BENEFICIARYTRAVEL.ASP</v>
      </c>
      <c r="E4162" s="8" t="s">
        <v>392</v>
      </c>
    </row>
    <row r="4163" ht="14.25" hidden="1" customHeight="1">
      <c r="A4163" s="8" t="s">
        <v>3372</v>
      </c>
      <c r="B4163" s="8" t="s">
        <v>631</v>
      </c>
      <c r="D4163" s="121" t="str">
        <f>HYPERLINK("http://www.spokane.va.gov/services/BILLING_AND_INSURANCE.ASP")</f>
        <v>http://www.spokane.va.gov/services/BILLING_AND_INSURANCE.ASP</v>
      </c>
      <c r="E4163" s="8" t="s">
        <v>392</v>
      </c>
    </row>
    <row r="4164" ht="14.25" hidden="1" customHeight="1">
      <c r="A4164" s="8" t="s">
        <v>3372</v>
      </c>
      <c r="B4164" s="8" t="s">
        <v>4032</v>
      </c>
      <c r="D4164" s="121" t="str">
        <f>HYPERLINK("http://www.spokane.va.gov/services/BURIAL.ASP")</f>
        <v>http://www.spokane.va.gov/services/BURIAL.ASP</v>
      </c>
      <c r="E4164" s="8" t="s">
        <v>392</v>
      </c>
    </row>
    <row r="4165" ht="14.25" hidden="1" customHeight="1">
      <c r="A4165" s="8" t="s">
        <v>3372</v>
      </c>
      <c r="B4165" s="8" t="s">
        <v>4033</v>
      </c>
      <c r="D4165" s="121" t="str">
        <f>HYPERLINK("http://www.spokane.va.gov/services/RESPIRATORY_THERAPY.ASP")</f>
        <v>http://www.spokane.va.gov/services/RESPIRATORY_THERAPY.ASP</v>
      </c>
      <c r="E4165" s="8" t="s">
        <v>595</v>
      </c>
    </row>
    <row r="4166" ht="14.25" hidden="1" customHeight="1">
      <c r="A4166" s="8" t="s">
        <v>3372</v>
      </c>
      <c r="B4166" s="8" t="s">
        <v>2620</v>
      </c>
      <c r="D4166" s="121" t="str">
        <f>HYPERLINK("http://www.spokane.va.gov/services/DIAGNOSTIC_IMAGING.ASP")</f>
        <v>http://www.spokane.va.gov/services/DIAGNOSTIC_IMAGING.ASP</v>
      </c>
      <c r="E4166" s="8" t="s">
        <v>595</v>
      </c>
    </row>
    <row r="4167" ht="14.25" hidden="1" customHeight="1">
      <c r="A4167" s="8" t="s">
        <v>3372</v>
      </c>
      <c r="B4167" s="8" t="s">
        <v>1668</v>
      </c>
      <c r="D4167" s="121" t="str">
        <f t="shared" ref="D4167:D4168" si="50">HYPERLINK("http://www.spokane.va.gov/services/CANTEEN.ASP")</f>
        <v>http://www.spokane.va.gov/services/CANTEEN.ASP</v>
      </c>
      <c r="E4167" s="8" t="s">
        <v>595</v>
      </c>
    </row>
    <row r="4168" ht="14.25" hidden="1" customHeight="1">
      <c r="A4168" s="8" t="s">
        <v>3372</v>
      </c>
      <c r="B4168" s="8" t="s">
        <v>864</v>
      </c>
      <c r="D4168" s="121" t="str">
        <f t="shared" si="50"/>
        <v>http://www.spokane.va.gov/services/CANTEEN.ASP</v>
      </c>
      <c r="E4168" s="8" t="s">
        <v>392</v>
      </c>
    </row>
    <row r="4169" ht="14.25" hidden="1" customHeight="1">
      <c r="A4169" s="8" t="s">
        <v>3372</v>
      </c>
      <c r="B4169" s="8" t="s">
        <v>414</v>
      </c>
      <c r="D4169" s="121" t="str">
        <f>HYPERLINK("http://www.spokane.va.gov/services/CARDIOLOGY.ASP")</f>
        <v>http://www.spokane.va.gov/services/CARDIOLOGY.ASP</v>
      </c>
      <c r="E4169" s="8" t="s">
        <v>392</v>
      </c>
    </row>
    <row r="4170" ht="14.25" hidden="1" customHeight="1">
      <c r="A4170" s="8" t="s">
        <v>3372</v>
      </c>
      <c r="B4170" s="8" t="s">
        <v>659</v>
      </c>
      <c r="D4170" s="121" t="str">
        <f>HYPERLINK("http://www.spokane.va.gov/services/COMMUNITY_CARE.ASP")</f>
        <v>http://www.spokane.va.gov/services/COMMUNITY_CARE.ASP</v>
      </c>
      <c r="E4170" s="8" t="s">
        <v>595</v>
      </c>
    </row>
    <row r="4171" ht="14.25" hidden="1" customHeight="1">
      <c r="A4171" s="8" t="s">
        <v>3372</v>
      </c>
      <c r="B4171" s="8" t="s">
        <v>638</v>
      </c>
      <c r="D4171" s="121" t="str">
        <f>HYPERLINK("http://www.spokane.va.gov/services/CAREERS.ASP")</f>
        <v>http://www.spokane.va.gov/services/CAREERS.ASP</v>
      </c>
      <c r="E4171" s="8" t="s">
        <v>392</v>
      </c>
    </row>
    <row r="4172" ht="14.25" hidden="1" customHeight="1">
      <c r="A4172" s="8" t="s">
        <v>3372</v>
      </c>
      <c r="B4172" s="8" t="s">
        <v>484</v>
      </c>
      <c r="D4172" s="121" t="str">
        <f>HYPERLINK("http://www.spokane.va.gov/services/CAREGIVER_SUPPORT.ASP")</f>
        <v>http://www.spokane.va.gov/services/CAREGIVER_SUPPORT.ASP</v>
      </c>
      <c r="E4172" s="8" t="s">
        <v>392</v>
      </c>
    </row>
    <row r="4173" ht="14.25" hidden="1" customHeight="1">
      <c r="A4173" s="8" t="s">
        <v>3372</v>
      </c>
      <c r="B4173" s="8" t="s">
        <v>4034</v>
      </c>
      <c r="D4173" s="121" t="str">
        <f t="shared" ref="D4173:D4174" si="51">HYPERLINK("http://www.spokane.va.gov/services/CASHIER.ASP")</f>
        <v>http://www.spokane.va.gov/services/CASHIER.ASP</v>
      </c>
      <c r="E4173" s="8" t="s">
        <v>392</v>
      </c>
    </row>
    <row r="4174" ht="14.25" hidden="1" customHeight="1">
      <c r="A4174" s="8" t="s">
        <v>3372</v>
      </c>
      <c r="B4174" s="8" t="s">
        <v>4035</v>
      </c>
      <c r="D4174" s="121" t="str">
        <f t="shared" si="51"/>
        <v>http://www.spokane.va.gov/services/CASHIER.ASP</v>
      </c>
      <c r="E4174" s="8" t="s">
        <v>595</v>
      </c>
    </row>
    <row r="4175" ht="14.25" hidden="1" customHeight="1">
      <c r="A4175" s="8" t="s">
        <v>3372</v>
      </c>
      <c r="B4175" s="8" t="s">
        <v>4036</v>
      </c>
      <c r="D4175" s="121" t="str">
        <f>HYPERLINK("http://www.spokane.va.gov/services/BURIAL.ASP")</f>
        <v>http://www.spokane.va.gov/services/BURIAL.ASP</v>
      </c>
      <c r="E4175" s="8" t="s">
        <v>595</v>
      </c>
    </row>
    <row r="4176" ht="14.25" hidden="1" customHeight="1">
      <c r="A4176" s="8" t="s">
        <v>3372</v>
      </c>
      <c r="B4176" s="8" t="s">
        <v>417</v>
      </c>
      <c r="D4176" s="121" t="str">
        <f>HYPERLINK("http://www.spokane.va.gov/services/CHAPLAIN.ASP")</f>
        <v>http://www.spokane.va.gov/services/CHAPLAIN.ASP</v>
      </c>
      <c r="E4176" s="8" t="s">
        <v>392</v>
      </c>
    </row>
    <row r="4177" ht="14.25" hidden="1" customHeight="1">
      <c r="A4177" s="8" t="s">
        <v>3372</v>
      </c>
      <c r="B4177" s="8" t="s">
        <v>2418</v>
      </c>
      <c r="D4177" s="121" t="str">
        <f t="shared" ref="D4177:D4178" si="52">HYPERLINK("http://www.spokane.va.gov/services/CHIROPRACTIC.ASP")</f>
        <v>http://www.spokane.va.gov/services/CHIROPRACTIC.ASP</v>
      </c>
      <c r="E4177" s="8" t="s">
        <v>392</v>
      </c>
    </row>
    <row r="4178" ht="14.25" hidden="1" customHeight="1">
      <c r="A4178" s="8" t="s">
        <v>3372</v>
      </c>
      <c r="B4178" s="8" t="s">
        <v>1537</v>
      </c>
      <c r="D4178" s="121" t="str">
        <f t="shared" si="52"/>
        <v>http://www.spokane.va.gov/services/CHIROPRACTIC.ASP</v>
      </c>
      <c r="E4178" s="8" t="s">
        <v>595</v>
      </c>
    </row>
    <row r="4179" ht="14.25" hidden="1" customHeight="1">
      <c r="A4179" s="8" t="s">
        <v>3372</v>
      </c>
      <c r="B4179" s="8" t="s">
        <v>4037</v>
      </c>
      <c r="D4179" s="121" t="str">
        <f>HYPERLINK("http://www.spokane.va.gov/services/PATIENT_ED.ASP")</f>
        <v>http://www.spokane.va.gov/services/PATIENT_ED.ASP</v>
      </c>
      <c r="E4179" s="8" t="s">
        <v>595</v>
      </c>
    </row>
    <row r="4180" ht="14.25" hidden="1" customHeight="1">
      <c r="A4180" s="8" t="s">
        <v>3372</v>
      </c>
      <c r="B4180" s="8" t="s">
        <v>4038</v>
      </c>
      <c r="D4180" s="121" t="str">
        <f>HYPERLINK("http://www.spokane.va.gov/services/APPOINTMENTS_CDA.ASP")</f>
        <v>http://www.spokane.va.gov/services/APPOINTMENTS_CDA.ASP</v>
      </c>
      <c r="E4180" s="8" t="s">
        <v>595</v>
      </c>
    </row>
    <row r="4181" ht="14.25" hidden="1" customHeight="1">
      <c r="A4181" s="8" t="s">
        <v>3372</v>
      </c>
      <c r="B4181" s="8" t="s">
        <v>4039</v>
      </c>
      <c r="D4181" s="121" t="str">
        <f>HYPERLINK("http://www.spokane.va.gov/services/COLORECTAL_CLINIC.ASP")</f>
        <v>http://www.spokane.va.gov/services/COLORECTAL_CLINIC.ASP</v>
      </c>
      <c r="E4181" s="8" t="s">
        <v>392</v>
      </c>
    </row>
    <row r="4182" ht="14.25" hidden="1" customHeight="1">
      <c r="A4182" s="8" t="s">
        <v>3372</v>
      </c>
      <c r="B4182" s="8" t="s">
        <v>692</v>
      </c>
      <c r="D4182" s="121" t="str">
        <f>HYPERLINK("http://www.spokane.va.gov/services/COMMUNITY_CARE.ASP")</f>
        <v>http://www.spokane.va.gov/services/COMMUNITY_CARE.ASP</v>
      </c>
      <c r="E4182" s="8" t="s">
        <v>392</v>
      </c>
    </row>
    <row r="4183" ht="14.25" hidden="1" customHeight="1">
      <c r="A4183" s="8" t="s">
        <v>3372</v>
      </c>
      <c r="B4183" s="8" t="s">
        <v>4040</v>
      </c>
      <c r="D4183" s="121" t="str">
        <f>HYPERLINK("http://www.spokane.va.gov/services/CLC_AND_HOSPICE.ASP")</f>
        <v>http://www.spokane.va.gov/services/CLC_AND_HOSPICE.ASP</v>
      </c>
      <c r="E4183" s="8" t="s">
        <v>392</v>
      </c>
    </row>
    <row r="4184" ht="14.25" hidden="1" customHeight="1">
      <c r="A4184" s="8" t="s">
        <v>3372</v>
      </c>
      <c r="B4184" s="8" t="s">
        <v>497</v>
      </c>
      <c r="D4184" s="121" t="str">
        <f>HYPERLINK("http://www.spokane.va.gov/services/VOCATIONALREHAB.ASP")</f>
        <v>http://www.spokane.va.gov/services/VOCATIONALREHAB.ASP</v>
      </c>
      <c r="E4184" s="8" t="s">
        <v>595</v>
      </c>
    </row>
    <row r="4185" ht="14.25" hidden="1" customHeight="1">
      <c r="A4185" s="8" t="s">
        <v>3372</v>
      </c>
      <c r="B4185" s="8" t="s">
        <v>455</v>
      </c>
      <c r="D4185" s="121" t="str">
        <f>HYPERLINK("http://www.spokane.va.gov/services/COMPENSATION_AND_PENSION.ASP")</f>
        <v>http://www.spokane.va.gov/services/COMPENSATION_AND_PENSION.ASP</v>
      </c>
      <c r="E4185" s="8" t="s">
        <v>392</v>
      </c>
    </row>
    <row r="4186" ht="14.25" hidden="1" customHeight="1">
      <c r="A4186" s="8" t="s">
        <v>3372</v>
      </c>
      <c r="B4186" s="8" t="s">
        <v>4041</v>
      </c>
      <c r="D4186" s="121" t="str">
        <f>HYPERLINK("http://www.spokane.va.gov/services/DAV_TRANSPORTATION.ASP")</f>
        <v>http://www.spokane.va.gov/services/DAV_TRANSPORTATION.ASP</v>
      </c>
      <c r="E4186" s="8" t="s">
        <v>392</v>
      </c>
    </row>
    <row r="4187" ht="14.25" hidden="1" customHeight="1">
      <c r="A4187" s="8" t="s">
        <v>3372</v>
      </c>
      <c r="B4187" s="8" t="s">
        <v>4042</v>
      </c>
      <c r="D4187" s="121" t="str">
        <f>HYPERLINK("http://www.spokane.va.gov/services/DIAGNOSTIC_IMAGING.ASP")</f>
        <v>http://www.spokane.va.gov/services/DIAGNOSTIC_IMAGING.ASP</v>
      </c>
      <c r="E4187" s="8" t="s">
        <v>595</v>
      </c>
    </row>
    <row r="4188" ht="14.25" hidden="1" customHeight="1">
      <c r="A4188" s="8" t="s">
        <v>3372</v>
      </c>
      <c r="B4188" s="8" t="s">
        <v>303</v>
      </c>
      <c r="D4188" s="121" t="str">
        <f t="shared" ref="D4188:D4189" si="53">HYPERLINK("http://www.spokane.va.gov/services/DENTAL_CLINIC.ASP")</f>
        <v>http://www.spokane.va.gov/services/DENTAL_CLINIC.ASP</v>
      </c>
      <c r="E4188" s="8" t="s">
        <v>392</v>
      </c>
    </row>
    <row r="4189" ht="14.25" hidden="1" customHeight="1">
      <c r="A4189" s="8" t="s">
        <v>3372</v>
      </c>
      <c r="B4189" s="8" t="s">
        <v>4043</v>
      </c>
      <c r="D4189" s="121" t="str">
        <f t="shared" si="53"/>
        <v>http://www.spokane.va.gov/services/DENTAL_CLINIC.ASP</v>
      </c>
      <c r="E4189" s="8" t="s">
        <v>595</v>
      </c>
    </row>
    <row r="4190" ht="14.25" hidden="1" customHeight="1">
      <c r="A4190" s="8" t="s">
        <v>3372</v>
      </c>
      <c r="B4190" s="8" t="s">
        <v>517</v>
      </c>
      <c r="D4190" s="121" t="str">
        <f>HYPERLINK("http://www.spokane.va.gov/services/DERMATOLOGY.ASP")</f>
        <v>http://www.spokane.va.gov/services/DERMATOLOGY.ASP</v>
      </c>
      <c r="E4190" s="8" t="s">
        <v>392</v>
      </c>
    </row>
    <row r="4191" ht="14.25" hidden="1" customHeight="1">
      <c r="A4191" s="8" t="s">
        <v>3372</v>
      </c>
      <c r="B4191" s="8" t="s">
        <v>842</v>
      </c>
      <c r="D4191" s="121" t="str">
        <f>HYPERLINK("http://www.spokane.va.gov/services/DIAGNOSTIC_IMAGING.ASP")</f>
        <v>http://www.spokane.va.gov/services/DIAGNOSTIC_IMAGING.ASP</v>
      </c>
      <c r="E4191" s="8" t="s">
        <v>392</v>
      </c>
    </row>
    <row r="4192" ht="14.25" hidden="1" customHeight="1">
      <c r="A4192" s="8" t="s">
        <v>3372</v>
      </c>
      <c r="B4192" s="8" t="s">
        <v>1697</v>
      </c>
      <c r="D4192" s="121" t="str">
        <f>HYPERLINK("http://www.spokane.va.gov/services/NUTRITION.ASP")</f>
        <v>http://www.spokane.va.gov/services/NUTRITION.ASP</v>
      </c>
      <c r="E4192" s="8" t="s">
        <v>595</v>
      </c>
    </row>
    <row r="4193" ht="14.25" hidden="1" customHeight="1">
      <c r="A4193" s="8" t="s">
        <v>3372</v>
      </c>
      <c r="B4193" s="8" t="s">
        <v>4044</v>
      </c>
      <c r="D4193" s="121" t="str">
        <f>HYPERLINK("http://www.spokane.va.gov/services/SUBSTANCE_ABUSE_TREATMENT.ASP")</f>
        <v>http://www.spokane.va.gov/services/SUBSTANCE_ABUSE_TREATMENT.ASP</v>
      </c>
      <c r="E4193" s="8" t="s">
        <v>595</v>
      </c>
    </row>
    <row r="4194" ht="14.25" hidden="1" customHeight="1">
      <c r="A4194" s="8" t="s">
        <v>3372</v>
      </c>
      <c r="B4194" s="8" t="s">
        <v>1193</v>
      </c>
      <c r="D4194" s="121" t="str">
        <f>HYPERLINK("http://www.spokane.va.gov/services/PATIENT_ED.ASP")</f>
        <v>http://www.spokane.va.gov/services/PATIENT_ED.ASP</v>
      </c>
      <c r="E4194" s="8" t="s">
        <v>595</v>
      </c>
    </row>
    <row r="4195" ht="14.25" hidden="1" customHeight="1">
      <c r="A4195" s="8" t="s">
        <v>3372</v>
      </c>
      <c r="B4195" s="8" t="s">
        <v>4045</v>
      </c>
      <c r="D4195" s="121" t="str">
        <f>HYPERLINK("http://www.spokane.va.gov/services/ELIGIBILITY.ASP")</f>
        <v>http://www.spokane.va.gov/services/ELIGIBILITY.ASP</v>
      </c>
      <c r="E4195" s="8" t="s">
        <v>392</v>
      </c>
    </row>
    <row r="4196" ht="14.25" hidden="1" customHeight="1">
      <c r="A4196" s="8" t="s">
        <v>3372</v>
      </c>
      <c r="B4196" s="8" t="s">
        <v>308</v>
      </c>
      <c r="D4196" s="121" t="str">
        <f>HYPERLINK("http://www.spokane.va.gov/services/URGENT_CARE_CENTER.ASP")</f>
        <v>http://www.spokane.va.gov/services/URGENT_CARE_CENTER.ASP</v>
      </c>
      <c r="E4196" s="8" t="s">
        <v>595</v>
      </c>
    </row>
    <row r="4197" ht="14.25" hidden="1" customHeight="1">
      <c r="A4197" s="8" t="s">
        <v>3372</v>
      </c>
      <c r="B4197" s="8" t="s">
        <v>485</v>
      </c>
      <c r="D4197" s="121" t="str">
        <f>HYPERLINK("http://www.spokane.va.gov/services/ELIGIBILITY.ASP")</f>
        <v>http://www.spokane.va.gov/services/ELIGIBILITY.ASP</v>
      </c>
      <c r="E4197" s="8" t="s">
        <v>595</v>
      </c>
    </row>
    <row r="4198" ht="14.25" hidden="1" customHeight="1">
      <c r="A4198" s="8" t="s">
        <v>3372</v>
      </c>
      <c r="B4198" s="8" t="s">
        <v>719</v>
      </c>
      <c r="D4198" s="121" t="str">
        <f>HYPERLINK("http://www.spokane.va.gov/services/EYE_CLINIC.ASP")</f>
        <v>http://www.spokane.va.gov/services/EYE_CLINIC.ASP</v>
      </c>
      <c r="E4198" s="8" t="s">
        <v>392</v>
      </c>
    </row>
    <row r="4199" ht="14.25" hidden="1" customHeight="1">
      <c r="A4199" s="8" t="s">
        <v>3372</v>
      </c>
      <c r="B4199" s="8" t="s">
        <v>4046</v>
      </c>
      <c r="D4199" s="121" t="str">
        <f>HYPERLINK("http://www.spokane.va.gov/services/PRIVACY_FOIA.ASP")</f>
        <v>http://www.spokane.va.gov/services/PRIVACY_FOIA.ASP</v>
      </c>
      <c r="E4199" s="8" t="s">
        <v>595</v>
      </c>
    </row>
    <row r="4200" ht="14.25" hidden="1" customHeight="1">
      <c r="A4200" s="8" t="s">
        <v>3372</v>
      </c>
      <c r="B4200" s="8" t="s">
        <v>4047</v>
      </c>
      <c r="D4200" s="121" t="str">
        <f>HYPERLINK("http://www.spokane.va.gov/services/FEE_SERVICES.ASP")</f>
        <v>http://www.spokane.va.gov/services/FEE_SERVICES.ASP</v>
      </c>
      <c r="E4200" s="8" t="s">
        <v>392</v>
      </c>
    </row>
    <row r="4201" ht="14.25" hidden="1" customHeight="1">
      <c r="A4201" s="8" t="s">
        <v>3372</v>
      </c>
      <c r="B4201" s="8" t="s">
        <v>4048</v>
      </c>
      <c r="D4201" s="121" t="str">
        <f>HYPERLINK("http://www.spokane.va.gov/services/WOMEN_VETERANS_HEALTH_PROGRAM.ASP")</f>
        <v>http://www.spokane.va.gov/services/WOMEN_VETERANS_HEALTH_PROGRAM.ASP</v>
      </c>
      <c r="E4201" s="8" t="s">
        <v>595</v>
      </c>
    </row>
    <row r="4202" ht="14.25" hidden="1" customHeight="1">
      <c r="A4202" s="8" t="s">
        <v>3372</v>
      </c>
      <c r="B4202" s="8" t="s">
        <v>987</v>
      </c>
      <c r="D4202" s="121" t="str">
        <f>HYPERLINK("http://www.spokane.va.gov/services/PATIENT_ED.ASP")</f>
        <v>http://www.spokane.va.gov/services/PATIENT_ED.ASP</v>
      </c>
      <c r="E4202" s="8" t="s">
        <v>595</v>
      </c>
    </row>
    <row r="4203" ht="14.25" hidden="1" customHeight="1">
      <c r="A4203" s="8" t="s">
        <v>3372</v>
      </c>
      <c r="B4203" s="8" t="s">
        <v>4049</v>
      </c>
      <c r="D4203" s="121" t="str">
        <f>HYPERLINK("http://www.spokane.va.gov/services/PODIATRY.ASP")</f>
        <v>http://www.spokane.va.gov/services/PODIATRY.ASP</v>
      </c>
      <c r="E4203" s="8" t="s">
        <v>595</v>
      </c>
    </row>
    <row r="4204" ht="14.25" hidden="1" customHeight="1">
      <c r="A4204" s="8" t="s">
        <v>3372</v>
      </c>
      <c r="B4204" s="8" t="s">
        <v>1648</v>
      </c>
      <c r="D4204" s="121" t="str">
        <f>HYPERLINK("http://www.spokane.va.gov/services/PRIVACY_FOIA.ASP")</f>
        <v>http://www.spokane.va.gov/services/PRIVACY_FOIA.ASP</v>
      </c>
      <c r="E4204" s="8" t="s">
        <v>595</v>
      </c>
    </row>
    <row r="4205" ht="14.25" hidden="1" customHeight="1">
      <c r="A4205" s="8" t="s">
        <v>3372</v>
      </c>
      <c r="B4205" s="8" t="s">
        <v>1138</v>
      </c>
      <c r="D4205" s="121" t="str">
        <f>HYPERLINK("http://www.spokane.va.gov/services/GASTROENTEROLOGY.ASP")</f>
        <v>http://www.spokane.va.gov/services/GASTROENTEROLOGY.ASP</v>
      </c>
      <c r="E4205" s="8" t="s">
        <v>392</v>
      </c>
    </row>
    <row r="4206" ht="14.25" hidden="1" customHeight="1">
      <c r="A4206" s="8" t="s">
        <v>3372</v>
      </c>
      <c r="B4206" s="8" t="s">
        <v>1373</v>
      </c>
      <c r="D4206" s="121" t="str">
        <f>HYPERLINK("http://www.spokane.va.gov/services/SAME_DAY_SURGERY.ASP")</f>
        <v>http://www.spokane.va.gov/services/SAME_DAY_SURGERY.ASP</v>
      </c>
      <c r="E4206" s="8" t="s">
        <v>595</v>
      </c>
    </row>
    <row r="4207" ht="14.25" hidden="1" customHeight="1">
      <c r="A4207" s="8" t="s">
        <v>3372</v>
      </c>
      <c r="B4207" s="8" t="s">
        <v>1145</v>
      </c>
      <c r="D4207" s="121" t="str">
        <f>HYPERLINK("http://www.spokane.va.gov/services/GYNECOLOGY.ASP")</f>
        <v>http://www.spokane.va.gov/services/GYNECOLOGY.ASP</v>
      </c>
      <c r="E4207" s="8" t="s">
        <v>392</v>
      </c>
    </row>
    <row r="4208" ht="14.25" hidden="1" customHeight="1">
      <c r="A4208" s="8" t="s">
        <v>3372</v>
      </c>
      <c r="B4208" s="8" t="s">
        <v>1056</v>
      </c>
      <c r="D4208" s="121" t="str">
        <f t="shared" ref="D4208:D4209" si="54">HYPERLINK("http://www.spokane.va.gov/services/WELLNESSRESOURCES.ASP")</f>
        <v>http://www.spokane.va.gov/services/WELLNESSRESOURCES.ASP</v>
      </c>
      <c r="E4208" s="8" t="s">
        <v>595</v>
      </c>
    </row>
    <row r="4209" ht="14.25" hidden="1" customHeight="1">
      <c r="A4209" s="8" t="s">
        <v>3372</v>
      </c>
      <c r="B4209" s="8" t="s">
        <v>1229</v>
      </c>
      <c r="D4209" s="121" t="str">
        <f t="shared" si="54"/>
        <v>http://www.spokane.va.gov/services/WELLNESSRESOURCES.ASP</v>
      </c>
      <c r="E4209" s="8" t="s">
        <v>595</v>
      </c>
    </row>
    <row r="4210" ht="14.25" hidden="1" customHeight="1">
      <c r="A4210" s="8" t="s">
        <v>3372</v>
      </c>
      <c r="B4210" s="8" t="s">
        <v>1298</v>
      </c>
      <c r="D4210" s="121" t="str">
        <f>HYPERLINK("http://www.spokane.va.gov/services/NUTRITION.ASP")</f>
        <v>http://www.spokane.va.gov/services/NUTRITION.ASP</v>
      </c>
      <c r="E4210" s="8" t="s">
        <v>595</v>
      </c>
    </row>
    <row r="4211" ht="14.25" hidden="1" customHeight="1">
      <c r="A4211" s="8" t="s">
        <v>3372</v>
      </c>
      <c r="B4211" s="8" t="s">
        <v>431</v>
      </c>
      <c r="D4211" s="121" t="str">
        <f>HYPERLINK("http://www.spokane.va.gov/services/HOME_BASED_PRIMARY_CARE.ASP")</f>
        <v>http://www.spokane.va.gov/services/HOME_BASED_PRIMARY_CARE.ASP</v>
      </c>
      <c r="E4211" s="8" t="s">
        <v>392</v>
      </c>
    </row>
    <row r="4212" ht="14.25" hidden="1" customHeight="1">
      <c r="A4212" s="8" t="s">
        <v>3372</v>
      </c>
      <c r="B4212" s="8" t="s">
        <v>4050</v>
      </c>
      <c r="D4212" s="121" t="str">
        <f t="shared" ref="D4212:D4214" si="55">HYPERLINK("http://www.spokane.va.gov/services/RESPIRATORY_THERAPY.ASP")</f>
        <v>http://www.spokane.va.gov/services/RESPIRATORY_THERAPY.ASP</v>
      </c>
      <c r="E4212" s="8" t="s">
        <v>595</v>
      </c>
    </row>
    <row r="4213" ht="14.25" hidden="1" customHeight="1">
      <c r="A4213" s="8" t="s">
        <v>3372</v>
      </c>
      <c r="B4213" s="8" t="s">
        <v>2090</v>
      </c>
      <c r="D4213" s="121" t="str">
        <f t="shared" si="55"/>
        <v>http://www.spokane.va.gov/services/RESPIRATORY_THERAPY.ASP</v>
      </c>
      <c r="E4213" s="8" t="s">
        <v>595</v>
      </c>
    </row>
    <row r="4214" ht="14.25" hidden="1" customHeight="1">
      <c r="A4214" s="8" t="s">
        <v>3372</v>
      </c>
      <c r="B4214" s="8" t="s">
        <v>3922</v>
      </c>
      <c r="D4214" s="121" t="str">
        <f t="shared" si="55"/>
        <v>http://www.spokane.va.gov/services/RESPIRATORY_THERAPY.ASP</v>
      </c>
      <c r="E4214" s="8" t="s">
        <v>595</v>
      </c>
    </row>
    <row r="4215" ht="14.25" hidden="1" customHeight="1">
      <c r="A4215" s="8" t="s">
        <v>3372</v>
      </c>
      <c r="B4215" s="8" t="s">
        <v>395</v>
      </c>
      <c r="D4215" s="121" t="str">
        <f>HYPERLINK("http://www.spokane.va.gov/services/HOME_TELEHEALTH.ASP")</f>
        <v>http://www.spokane.va.gov/services/HOME_TELEHEALTH.ASP</v>
      </c>
      <c r="E4215" s="8" t="s">
        <v>392</v>
      </c>
    </row>
    <row r="4216" ht="14.25" hidden="1" customHeight="1">
      <c r="A4216" s="8" t="s">
        <v>3372</v>
      </c>
      <c r="B4216" s="8" t="s">
        <v>1059</v>
      </c>
      <c r="D4216" s="121" t="str">
        <f>HYPERLINK("http://www.spokane.va.gov/services/HOMELESS.ASP")</f>
        <v>http://www.spokane.va.gov/services/HOMELESS.ASP</v>
      </c>
      <c r="E4216" s="8" t="s">
        <v>392</v>
      </c>
    </row>
    <row r="4217" ht="14.25" hidden="1" customHeight="1">
      <c r="A4217" s="8" t="s">
        <v>3372</v>
      </c>
      <c r="B4217" s="8" t="s">
        <v>1230</v>
      </c>
      <c r="D4217" s="121" t="str">
        <f>HYPERLINK("http://www.spokane.va.gov/services/CLC_AND_HOSPICE.ASP")</f>
        <v>http://www.spokane.va.gov/services/CLC_AND_HOSPICE.ASP</v>
      </c>
      <c r="E4217" s="8" t="s">
        <v>595</v>
      </c>
    </row>
    <row r="4218" ht="14.25" hidden="1" customHeight="1">
      <c r="A4218" s="8" t="s">
        <v>3372</v>
      </c>
      <c r="B4218" s="8" t="s">
        <v>4051</v>
      </c>
      <c r="D4218" s="121" t="str">
        <f>HYPERLINK("http://www.spokane.va.gov/services/CAREERS.ASP")</f>
        <v>http://www.spokane.va.gov/services/CAREERS.ASP</v>
      </c>
      <c r="E4218" s="8" t="s">
        <v>595</v>
      </c>
    </row>
    <row r="4219" ht="14.25" hidden="1" customHeight="1">
      <c r="A4219" s="8" t="s">
        <v>3372</v>
      </c>
      <c r="B4219" s="8" t="s">
        <v>4052</v>
      </c>
      <c r="D4219" s="121" t="str">
        <f>HYPERLINK("http://www.spokane.va.gov/services/ACU_ICU.ASP")</f>
        <v>http://www.spokane.va.gov/services/ACU_ICU.ASP</v>
      </c>
      <c r="E4219" s="8" t="s">
        <v>595</v>
      </c>
    </row>
    <row r="4220" ht="14.25" hidden="1" customHeight="1">
      <c r="A4220" s="8" t="s">
        <v>3372</v>
      </c>
      <c r="B4220" s="8" t="s">
        <v>4053</v>
      </c>
      <c r="D4220" s="121" t="str">
        <f t="shared" ref="D4220:D4221" si="56">HYPERLINK("http://www.spokane.va.gov/services/ELIGIBILITY.ASP")</f>
        <v>http://www.spokane.va.gov/services/ELIGIBILITY.ASP</v>
      </c>
      <c r="E4220" s="8" t="s">
        <v>595</v>
      </c>
    </row>
    <row r="4221" ht="14.25" hidden="1" customHeight="1">
      <c r="A4221" s="8" t="s">
        <v>3372</v>
      </c>
      <c r="B4221" s="8" t="s">
        <v>3024</v>
      </c>
      <c r="D4221" s="121" t="str">
        <f t="shared" si="56"/>
        <v>http://www.spokane.va.gov/services/ELIGIBILITY.ASP</v>
      </c>
      <c r="E4221" s="8" t="s">
        <v>595</v>
      </c>
    </row>
    <row r="4222" ht="14.25" hidden="1" customHeight="1">
      <c r="A4222" s="8" t="s">
        <v>3372</v>
      </c>
      <c r="B4222" s="8" t="s">
        <v>698</v>
      </c>
      <c r="D4222" s="121" t="str">
        <f>HYPERLINK("http://www.spokane.va.gov/services/DIAGNOSTIC_IMAGING.ASP")</f>
        <v>http://www.spokane.va.gov/services/DIAGNOSTIC_IMAGING.ASP</v>
      </c>
      <c r="E4222" s="8" t="s">
        <v>595</v>
      </c>
    </row>
    <row r="4223" ht="14.25" hidden="1" customHeight="1">
      <c r="A4223" s="8" t="s">
        <v>3372</v>
      </c>
      <c r="B4223" s="8" t="s">
        <v>2501</v>
      </c>
      <c r="D4223" s="121" t="str">
        <f>HYPERLINK("http://www.spokane.va.gov/services/INFUSION_CLINIC.ASP")</f>
        <v>http://www.spokane.va.gov/services/INFUSION_CLINIC.ASP</v>
      </c>
      <c r="E4223" s="8" t="s">
        <v>392</v>
      </c>
    </row>
    <row r="4224" ht="14.25" hidden="1" customHeight="1">
      <c r="A4224" s="8" t="s">
        <v>3372</v>
      </c>
      <c r="B4224" s="8" t="s">
        <v>4054</v>
      </c>
      <c r="D4224" s="121" t="str">
        <f>HYPERLINK("http://www.spokane.va.gov/services/PSYCHIATRY_INPATIENT.ASP")</f>
        <v>http://www.spokane.va.gov/services/PSYCHIATRY_INPATIENT.ASP</v>
      </c>
      <c r="E4224" s="8" t="s">
        <v>595</v>
      </c>
    </row>
    <row r="4225" ht="14.25" hidden="1" customHeight="1">
      <c r="A4225" s="8" t="s">
        <v>3372</v>
      </c>
      <c r="B4225" s="8" t="s">
        <v>2460</v>
      </c>
      <c r="D4225" s="121" t="str">
        <f>HYPERLINK("http://www.spokane.va.gov/services/CAREERS.ASP")</f>
        <v>http://www.spokane.va.gov/services/CAREERS.ASP</v>
      </c>
      <c r="E4225" s="8" t="s">
        <v>595</v>
      </c>
    </row>
    <row r="4226" ht="14.25" hidden="1" customHeight="1">
      <c r="A4226" s="8" t="s">
        <v>3372</v>
      </c>
      <c r="B4226" s="8" t="s">
        <v>4055</v>
      </c>
      <c r="D4226" s="121" t="str">
        <f>HYPERLINK("http://www.spokane.va.gov/services/LAB_BLOOD_DRAW.ASP")</f>
        <v>http://www.spokane.va.gov/services/LAB_BLOOD_DRAW.ASP</v>
      </c>
      <c r="E4226" s="8" t="s">
        <v>392</v>
      </c>
    </row>
    <row r="4227" ht="14.25" hidden="1" customHeight="1">
      <c r="A4227" s="8" t="s">
        <v>3372</v>
      </c>
      <c r="B4227" s="8" t="s">
        <v>683</v>
      </c>
      <c r="D4227" s="121" t="str">
        <f>HYPERLINK("http://www.spokane.va.gov/services/LOST_AND_FOUND.ASP")</f>
        <v>http://www.spokane.va.gov/services/LOST_AND_FOUND.ASP</v>
      </c>
      <c r="E4227" s="8" t="s">
        <v>392</v>
      </c>
    </row>
    <row r="4228" ht="14.25" hidden="1" customHeight="1">
      <c r="A4228" s="8" t="s">
        <v>3372</v>
      </c>
      <c r="B4228" s="8" t="s">
        <v>2279</v>
      </c>
      <c r="D4228" s="121" t="str">
        <f>HYPERLINK("http://www.spokane.va.gov/services/COMMUNITY_CARE.ASP")</f>
        <v>http://www.spokane.va.gov/services/COMMUNITY_CARE.ASP</v>
      </c>
      <c r="E4228" s="8" t="s">
        <v>595</v>
      </c>
    </row>
    <row r="4229" ht="14.25" hidden="1" customHeight="1">
      <c r="A4229" s="8" t="s">
        <v>3372</v>
      </c>
      <c r="B4229" s="8" t="s">
        <v>658</v>
      </c>
      <c r="D4229" s="121" t="str">
        <f>HYPERLINK("http://www.spokane.va.gov/services/MOVE_PROGRAM.ASP")</f>
        <v>http://www.spokane.va.gov/services/MOVE_PROGRAM.ASP</v>
      </c>
      <c r="E4229" s="8" t="s">
        <v>392</v>
      </c>
    </row>
    <row r="4230" ht="14.25" hidden="1" customHeight="1">
      <c r="A4230" s="8" t="s">
        <v>3372</v>
      </c>
      <c r="B4230" s="8" t="s">
        <v>728</v>
      </c>
      <c r="D4230" s="121" t="str">
        <f>HYPERLINK("http://www.spokane.va.gov/services/MRI.ASP")</f>
        <v>http://www.spokane.va.gov/services/MRI.ASP</v>
      </c>
      <c r="E4230" s="8" t="s">
        <v>392</v>
      </c>
    </row>
    <row r="4231" ht="14.25" hidden="1" customHeight="1">
      <c r="A4231" s="8" t="s">
        <v>3372</v>
      </c>
      <c r="B4231" s="8" t="s">
        <v>3218</v>
      </c>
      <c r="D4231" s="121" t="str">
        <f>HYPERLINK("http://www.spokane.va.gov/services/MEDICINE_SERVICE.ASP")</f>
        <v>http://www.spokane.va.gov/services/MEDICINE_SERVICE.ASP</v>
      </c>
      <c r="E4231" s="8" t="s">
        <v>392</v>
      </c>
    </row>
    <row r="4232" ht="14.25" hidden="1" customHeight="1">
      <c r="A4232" s="8" t="s">
        <v>3372</v>
      </c>
      <c r="B4232" s="8" t="s">
        <v>748</v>
      </c>
      <c r="D4232" s="121" t="str">
        <f>HYPERLINK("http://www.spokane.va.gov/services/BEHAVIORAL_HEALTH_SERVICE.ASP")</f>
        <v>http://www.spokane.va.gov/services/BEHAVIORAL_HEALTH_SERVICE.ASP</v>
      </c>
      <c r="E4232" s="8" t="s">
        <v>595</v>
      </c>
    </row>
    <row r="4233" ht="14.25" hidden="1" customHeight="1">
      <c r="A4233" s="8" t="s">
        <v>3372</v>
      </c>
      <c r="B4233" s="8" t="s">
        <v>3237</v>
      </c>
      <c r="D4233" s="121" t="str">
        <f>HYPERLINK("http://www.spokane.va.gov/services/MST.ASP")</f>
        <v>http://www.spokane.va.gov/services/MST.ASP</v>
      </c>
      <c r="E4233" s="8" t="s">
        <v>392</v>
      </c>
    </row>
    <row r="4234" ht="14.25" hidden="1" customHeight="1">
      <c r="A4234" s="8" t="s">
        <v>3372</v>
      </c>
      <c r="B4234" s="8" t="s">
        <v>326</v>
      </c>
      <c r="D4234" s="121" t="str">
        <f>HYPERLINK("http://www.spokane.va.gov/services/MINORITY_VETERANS_PROGRAM.ASP")</f>
        <v>http://www.spokane.va.gov/services/MINORITY_VETERANS_PROGRAM.ASP</v>
      </c>
      <c r="E4234" s="8" t="s">
        <v>392</v>
      </c>
    </row>
    <row r="4235" ht="14.25" hidden="1" customHeight="1">
      <c r="A4235" s="8" t="s">
        <v>3372</v>
      </c>
      <c r="B4235" s="8" t="s">
        <v>494</v>
      </c>
      <c r="D4235" s="121" t="str">
        <f>HYPERLINK("http://www.spokane.va.gov/services/MYHEALTHEVET.ASP")</f>
        <v>http://www.spokane.va.gov/services/MYHEALTHEVET.ASP</v>
      </c>
      <c r="E4235" s="8" t="s">
        <v>392</v>
      </c>
    </row>
    <row r="4236" ht="14.25" hidden="1" customHeight="1">
      <c r="A4236" s="8" t="s">
        <v>3372</v>
      </c>
      <c r="B4236" s="8" t="s">
        <v>4056</v>
      </c>
      <c r="D4236" s="121" t="str">
        <f>HYPERLINK("http://www.spokane.va.gov/services/NATIVE_AMERICAN_VETERANS_HEALING_LODGE.ASP")</f>
        <v>http://www.spokane.va.gov/services/NATIVE_AMERICAN_VETERANS_HEALING_LODGE.ASP</v>
      </c>
      <c r="E4236" s="8" t="s">
        <v>392</v>
      </c>
    </row>
    <row r="4237" ht="14.25" hidden="1" customHeight="1">
      <c r="A4237" s="8" t="s">
        <v>3372</v>
      </c>
      <c r="B4237" s="8" t="s">
        <v>1172</v>
      </c>
      <c r="D4237" s="121" t="str">
        <f>HYPERLINK("http://www.spokane.va.gov/services/NEUROLOGY.ASP")</f>
        <v>http://www.spokane.va.gov/services/NEUROLOGY.ASP</v>
      </c>
      <c r="E4237" s="8" t="s">
        <v>392</v>
      </c>
    </row>
    <row r="4238" ht="14.25" hidden="1" customHeight="1">
      <c r="A4238" s="8" t="s">
        <v>3372</v>
      </c>
      <c r="B4238" s="8" t="s">
        <v>691</v>
      </c>
      <c r="D4238" s="121" t="str">
        <f>HYPERLINK("http://www.spokane.va.gov/services/PUBLIC_AFFAIRS.ASP")</f>
        <v>http://www.spokane.va.gov/services/PUBLIC_AFFAIRS.ASP</v>
      </c>
      <c r="E4238" s="8" t="s">
        <v>595</v>
      </c>
    </row>
    <row r="4239" ht="14.25" hidden="1" customHeight="1">
      <c r="A4239" s="8" t="s">
        <v>3372</v>
      </c>
      <c r="B4239" s="8" t="s">
        <v>4057</v>
      </c>
      <c r="D4239" s="121" t="str">
        <f>HYPERLINK("http://www.spokane.va.gov/services/NURSING_PATIENT_CARE_SERVICES.ASP")</f>
        <v>http://www.spokane.va.gov/services/NURSING_PATIENT_CARE_SERVICES.ASP</v>
      </c>
      <c r="E4239" s="8" t="s">
        <v>392</v>
      </c>
    </row>
    <row r="4240" ht="14.25" hidden="1" customHeight="1">
      <c r="A4240" s="8" t="s">
        <v>3372</v>
      </c>
      <c r="B4240" s="8" t="s">
        <v>1719</v>
      </c>
      <c r="D4240" s="121" t="str">
        <f>HYPERLINK("http://www.spokane.va.gov/services/NUTRITION.ASP")</f>
        <v>http://www.spokane.va.gov/services/NUTRITION.ASP</v>
      </c>
      <c r="E4240" s="8" t="s">
        <v>392</v>
      </c>
    </row>
    <row r="4241" ht="14.25" hidden="1" customHeight="1">
      <c r="A4241" s="8" t="s">
        <v>3372</v>
      </c>
      <c r="B4241" s="8" t="s">
        <v>4058</v>
      </c>
      <c r="D4241" s="121" t="str">
        <f>HYPERLINK("http://www.spokane.va.gov/services/TRANSITIONCARE.ASP")</f>
        <v>http://www.spokane.va.gov/services/TRANSITIONCARE.ASP</v>
      </c>
      <c r="E4241" s="8" t="s">
        <v>595</v>
      </c>
    </row>
    <row r="4242" ht="14.25" hidden="1" customHeight="1">
      <c r="A4242" s="8" t="s">
        <v>3372</v>
      </c>
      <c r="B4242" s="8" t="s">
        <v>900</v>
      </c>
      <c r="D4242" s="121" t="str">
        <f>HYPERLINK("http://www.spokane.va.gov/services/OCCUPATIONAL_THERAPY.ASP")</f>
        <v>http://www.spokane.va.gov/services/OCCUPATIONAL_THERAPY.ASP</v>
      </c>
      <c r="E4242" s="8" t="s">
        <v>392</v>
      </c>
    </row>
    <row r="4243" ht="14.25" hidden="1" customHeight="1">
      <c r="A4243" s="8" t="s">
        <v>3372</v>
      </c>
      <c r="B4243" s="8" t="s">
        <v>3086</v>
      </c>
      <c r="D4243" s="121" t="str">
        <f>HYPERLINK("http://www.spokane.va.gov/services/COMMUNITY_CARE.ASP")</f>
        <v>http://www.spokane.va.gov/services/COMMUNITY_CARE.ASP</v>
      </c>
      <c r="E4243" s="8" t="s">
        <v>595</v>
      </c>
    </row>
    <row r="4244" ht="14.25" hidden="1" customHeight="1">
      <c r="A4244" s="8" t="s">
        <v>3372</v>
      </c>
      <c r="B4244" s="8" t="s">
        <v>839</v>
      </c>
      <c r="D4244" s="121" t="str">
        <f>HYPERLINK("http://www.spokane.va.gov/services/ONCOLOGY.ASP")</f>
        <v>http://www.spokane.va.gov/services/ONCOLOGY.ASP</v>
      </c>
      <c r="E4244" s="8" t="s">
        <v>392</v>
      </c>
    </row>
    <row r="4245" ht="14.25" hidden="1" customHeight="1">
      <c r="A4245" s="8" t="s">
        <v>3372</v>
      </c>
      <c r="B4245" s="8" t="s">
        <v>3335</v>
      </c>
      <c r="D4245" s="121" t="str">
        <f t="shared" ref="D4245:D4247" si="57">HYPERLINK("http://www.spokane.va.gov/services/EYE_CLINIC.ASP")</f>
        <v>http://www.spokane.va.gov/services/EYE_CLINIC.ASP</v>
      </c>
      <c r="E4245" s="8" t="s">
        <v>595</v>
      </c>
    </row>
    <row r="4246" ht="14.25" hidden="1" customHeight="1">
      <c r="A4246" s="8" t="s">
        <v>3372</v>
      </c>
      <c r="B4246" s="8" t="s">
        <v>4059</v>
      </c>
      <c r="D4246" s="121" t="str">
        <f t="shared" si="57"/>
        <v>http://www.spokane.va.gov/services/EYE_CLINIC.ASP</v>
      </c>
      <c r="E4246" s="8" t="s">
        <v>595</v>
      </c>
    </row>
    <row r="4247" ht="14.25" hidden="1" customHeight="1">
      <c r="A4247" s="8" t="s">
        <v>3372</v>
      </c>
      <c r="B4247" s="8" t="s">
        <v>901</v>
      </c>
      <c r="D4247" s="121" t="str">
        <f t="shared" si="57"/>
        <v>http://www.spokane.va.gov/services/EYE_CLINIC.ASP</v>
      </c>
      <c r="E4247" s="8" t="s">
        <v>595</v>
      </c>
    </row>
    <row r="4248" ht="14.25" hidden="1" customHeight="1">
      <c r="A4248" s="8" t="s">
        <v>3372</v>
      </c>
      <c r="B4248" s="8" t="s">
        <v>338</v>
      </c>
      <c r="D4248" s="121" t="str">
        <f>HYPERLINK("http://www.spokane.va.gov/services/ORTHOPEDICS.ASP")</f>
        <v>http://www.spokane.va.gov/services/ORTHOPEDICS.ASP</v>
      </c>
      <c r="E4248" s="8" t="s">
        <v>392</v>
      </c>
    </row>
    <row r="4249" ht="14.25" hidden="1" customHeight="1">
      <c r="A4249" s="8" t="s">
        <v>3372</v>
      </c>
      <c r="B4249" s="8" t="s">
        <v>4060</v>
      </c>
      <c r="D4249" s="121" t="str">
        <f>HYPERLINK("http://www.spokane.va.gov/services/BEHAVIORAL_HEALTH_SERVICE.ASP")</f>
        <v>http://www.spokane.va.gov/services/BEHAVIORAL_HEALTH_SERVICE.ASP</v>
      </c>
      <c r="E4249" s="8" t="s">
        <v>595</v>
      </c>
    </row>
    <row r="4250" ht="14.25" hidden="1" customHeight="1">
      <c r="A4250" s="8" t="s">
        <v>3372</v>
      </c>
      <c r="B4250" s="8" t="s">
        <v>2917</v>
      </c>
      <c r="D4250" s="121" t="str">
        <f>HYPERLINK("http://www.spokane.va.gov/services/POST_TRAUMATIC_STRESS_CLINIC.ASP")</f>
        <v>http://www.spokane.va.gov/services/POST_TRAUMATIC_STRESS_CLINIC.ASP</v>
      </c>
      <c r="E4250" s="8" t="s">
        <v>595</v>
      </c>
    </row>
    <row r="4251" ht="14.25" hidden="1" customHeight="1">
      <c r="A4251" s="8" t="s">
        <v>3372</v>
      </c>
      <c r="B4251" s="8" t="s">
        <v>4061</v>
      </c>
      <c r="D4251" s="121" t="str">
        <f>HYPERLINK("http://www.spokane.va.gov/services/VENDOR_RESOURCES.ASP")</f>
        <v>http://www.spokane.va.gov/services/VENDOR_RESOURCES.ASP</v>
      </c>
      <c r="E4251" s="8" t="s">
        <v>595</v>
      </c>
    </row>
    <row r="4252" ht="14.25" hidden="1" customHeight="1">
      <c r="A4252" s="8" t="s">
        <v>3372</v>
      </c>
      <c r="B4252" s="8" t="s">
        <v>907</v>
      </c>
      <c r="D4252" s="121" t="str">
        <f>HYPERLINK("http://www.spokane.va.gov/services/PATIENT_ADVOCATES.ASP")</f>
        <v>http://www.spokane.va.gov/services/PATIENT_ADVOCATES.ASP</v>
      </c>
      <c r="E4252" s="8" t="s">
        <v>392</v>
      </c>
    </row>
    <row r="4253" ht="14.25" hidden="1" customHeight="1">
      <c r="A4253" s="8" t="s">
        <v>3372</v>
      </c>
      <c r="B4253" s="8" t="s">
        <v>2463</v>
      </c>
      <c r="D4253" s="121" t="str">
        <f>HYPERLINK("http://www.spokane.va.gov/services/PATIENT_ED.ASP")</f>
        <v>http://www.spokane.va.gov/services/PATIENT_ED.ASP</v>
      </c>
      <c r="E4253" s="8" t="s">
        <v>392</v>
      </c>
    </row>
    <row r="4254" ht="14.25" hidden="1" customHeight="1">
      <c r="A4254" s="8" t="s">
        <v>3372</v>
      </c>
      <c r="B4254" s="8" t="s">
        <v>500</v>
      </c>
      <c r="D4254" s="121" t="str">
        <f>HYPERLINK("http://www.spokane.va.gov/services/PATIENT_TRAVEL.ASP")</f>
        <v>http://www.spokane.va.gov/services/PATIENT_TRAVEL.ASP</v>
      </c>
      <c r="E4254" s="8" t="s">
        <v>392</v>
      </c>
    </row>
    <row r="4255" ht="14.25" hidden="1" customHeight="1">
      <c r="A4255" s="8" t="s">
        <v>3372</v>
      </c>
      <c r="B4255" s="8" t="s">
        <v>1354</v>
      </c>
      <c r="D4255" s="121" t="str">
        <f>HYPERLINK("http://www.spokane.va.gov/services/PEER_SUPPORT.ASP")</f>
        <v>http://www.spokane.va.gov/services/PEER_SUPPORT.ASP</v>
      </c>
      <c r="E4255" s="8" t="s">
        <v>392</v>
      </c>
    </row>
    <row r="4256" ht="14.25" hidden="1" customHeight="1">
      <c r="A4256" s="8" t="s">
        <v>3372</v>
      </c>
      <c r="B4256" s="8" t="s">
        <v>343</v>
      </c>
      <c r="D4256" s="121" t="str">
        <f>HYPERLINK("http://www.spokane.va.gov/services/PHARMACY.ASP")</f>
        <v>http://www.spokane.va.gov/services/PHARMACY.ASP</v>
      </c>
      <c r="E4256" s="8" t="s">
        <v>392</v>
      </c>
    </row>
    <row r="4257" ht="14.25" hidden="1" customHeight="1">
      <c r="A4257" s="8" t="s">
        <v>3372</v>
      </c>
      <c r="B4257" s="8" t="s">
        <v>608</v>
      </c>
      <c r="D4257" s="121" t="str">
        <f>HYPERLINK("http://www.spokane.va.gov/services/PHYSICAL_THERAPY.ASP")</f>
        <v>http://www.spokane.va.gov/services/PHYSICAL_THERAPY.ASP</v>
      </c>
      <c r="E4257" s="8" t="s">
        <v>392</v>
      </c>
    </row>
    <row r="4258" ht="14.25" hidden="1" customHeight="1">
      <c r="A4258" s="8" t="s">
        <v>3372</v>
      </c>
      <c r="B4258" s="8" t="s">
        <v>4062</v>
      </c>
      <c r="D4258" s="121" t="str">
        <f t="shared" ref="D4258:D4259" si="58">HYPERLINK("http://www.spokane.va.gov/services/PODIATRY.ASP")</f>
        <v>http://www.spokane.va.gov/services/PODIATRY.ASP</v>
      </c>
      <c r="E4258" s="8" t="s">
        <v>595</v>
      </c>
    </row>
    <row r="4259" ht="14.25" hidden="1" customHeight="1">
      <c r="A4259" s="8" t="s">
        <v>3372</v>
      </c>
      <c r="B4259" s="8" t="s">
        <v>450</v>
      </c>
      <c r="D4259" s="121" t="str">
        <f t="shared" si="58"/>
        <v>http://www.spokane.va.gov/services/PODIATRY.ASP</v>
      </c>
      <c r="E4259" s="8" t="s">
        <v>392</v>
      </c>
    </row>
    <row r="4260" ht="14.25" hidden="1" customHeight="1">
      <c r="A4260" s="8" t="s">
        <v>3372</v>
      </c>
      <c r="B4260" s="8" t="s">
        <v>2008</v>
      </c>
      <c r="D4260" s="121" t="str">
        <f>HYPERLINK("http://www.spokane.va.gov/services/SECURITY.ASP")</f>
        <v>http://www.spokane.va.gov/services/SECURITY.ASP</v>
      </c>
      <c r="E4260" s="8" t="s">
        <v>595</v>
      </c>
    </row>
    <row r="4261" ht="14.25" hidden="1" customHeight="1">
      <c r="A4261" s="8" t="s">
        <v>3372</v>
      </c>
      <c r="B4261" s="8" t="s">
        <v>4063</v>
      </c>
      <c r="D4261" s="121" t="str">
        <f>HYPERLINK("http://www.spokane.va.gov/services/POST_TRAUMATIC_STRESS_CLINIC.ASP")</f>
        <v>http://www.spokane.va.gov/services/POST_TRAUMATIC_STRESS_CLINIC.ASP</v>
      </c>
      <c r="E4261" s="8" t="s">
        <v>392</v>
      </c>
    </row>
    <row r="4262" ht="14.25" hidden="1" customHeight="1">
      <c r="A4262" s="8" t="s">
        <v>3372</v>
      </c>
      <c r="B4262" s="8" t="s">
        <v>2249</v>
      </c>
      <c r="D4262" s="121" t="str">
        <f>HYPERLINK("http://www.spokane.va.gov/services/PHARMACY.ASP")</f>
        <v>http://www.spokane.va.gov/services/PHARMACY.ASP</v>
      </c>
      <c r="E4262" s="8" t="s">
        <v>595</v>
      </c>
    </row>
    <row r="4263" ht="14.25" hidden="1" customHeight="1">
      <c r="A4263" s="8" t="s">
        <v>3372</v>
      </c>
      <c r="B4263" s="8" t="s">
        <v>4064</v>
      </c>
      <c r="D4263" s="121" t="str">
        <f>HYPERLINK("http://www.spokane.va.gov/services/BEHAVIORAL_HEALTH_SERVICE.ASP")</f>
        <v>http://www.spokane.va.gov/services/BEHAVIORAL_HEALTH_SERVICE.ASP</v>
      </c>
      <c r="E4263" s="8" t="s">
        <v>595</v>
      </c>
    </row>
    <row r="4264" ht="14.25" hidden="1" customHeight="1">
      <c r="A4264" s="8" t="s">
        <v>3372</v>
      </c>
      <c r="B4264" s="8" t="s">
        <v>4065</v>
      </c>
      <c r="D4264" s="121" t="str">
        <f>HYPERLINK("http://www.spokane.va.gov/services/PRIMARY_CARE_CLINICS.ASP")</f>
        <v>http://www.spokane.va.gov/services/PRIMARY_CARE_CLINICS.ASP</v>
      </c>
      <c r="E4264" s="8" t="s">
        <v>392</v>
      </c>
    </row>
    <row r="4265" ht="14.25" hidden="1" customHeight="1">
      <c r="A4265" s="8" t="s">
        <v>3372</v>
      </c>
      <c r="B4265" s="8" t="s">
        <v>4066</v>
      </c>
      <c r="D4265" s="121" t="str">
        <f>HYPERLINK("http://www.spokane.va.gov/services/PRIVACY_FOIA.ASP")</f>
        <v>http://www.spokane.va.gov/services/PRIVACY_FOIA.ASP</v>
      </c>
      <c r="E4265" s="8" t="s">
        <v>392</v>
      </c>
    </row>
    <row r="4266" ht="14.25" hidden="1" customHeight="1">
      <c r="A4266" s="8" t="s">
        <v>3372</v>
      </c>
      <c r="B4266" s="8" t="s">
        <v>353</v>
      </c>
      <c r="D4266" s="121" t="str">
        <f>HYPERLINK("http://www.spokane.va.gov/services/PROSTHETICS.ASP")</f>
        <v>http://www.spokane.va.gov/services/PROSTHETICS.ASP</v>
      </c>
      <c r="E4266" s="8" t="s">
        <v>392</v>
      </c>
    </row>
    <row r="4267" ht="14.25" hidden="1" customHeight="1">
      <c r="A4267" s="8" t="s">
        <v>3372</v>
      </c>
      <c r="B4267" s="8" t="s">
        <v>4067</v>
      </c>
      <c r="D4267" s="121" t="str">
        <f>HYPERLINK("http://www.spokane.va.gov/services/PSYCHIATRY_INPATIENT.ASP")</f>
        <v>http://www.spokane.va.gov/services/PSYCHIATRY_INPATIENT.ASP</v>
      </c>
      <c r="E4267" s="8" t="s">
        <v>392</v>
      </c>
    </row>
    <row r="4268" ht="14.25" hidden="1" customHeight="1">
      <c r="A4268" s="8" t="s">
        <v>3372</v>
      </c>
      <c r="B4268" s="8" t="s">
        <v>4068</v>
      </c>
      <c r="D4268" s="121" t="str">
        <f>HYPERLINK("http://www.spokane.va.gov/services/PSYCHOLOGY_INTERNSHIP.ASP")</f>
        <v>http://www.spokane.va.gov/services/PSYCHOLOGY_INTERNSHIP.ASP</v>
      </c>
      <c r="E4268" s="8" t="s">
        <v>392</v>
      </c>
    </row>
    <row r="4269" ht="14.25" hidden="1" customHeight="1">
      <c r="A4269" s="8" t="s">
        <v>3372</v>
      </c>
      <c r="B4269" s="8" t="s">
        <v>504</v>
      </c>
      <c r="D4269" s="121" t="str">
        <f t="shared" ref="D4269:D4270" si="59">HYPERLINK("http://www.spokane.va.gov/services/PUBLIC_AFFAIRS.ASP")</f>
        <v>http://www.spokane.va.gov/services/PUBLIC_AFFAIRS.ASP</v>
      </c>
      <c r="E4269" s="8" t="s">
        <v>392</v>
      </c>
    </row>
    <row r="4270" ht="14.25" hidden="1" customHeight="1">
      <c r="A4270" s="8" t="s">
        <v>3372</v>
      </c>
      <c r="B4270" s="8" t="s">
        <v>4069</v>
      </c>
      <c r="D4270" s="121" t="str">
        <f t="shared" si="59"/>
        <v>http://www.spokane.va.gov/services/PUBLIC_AFFAIRS.ASP</v>
      </c>
      <c r="E4270" s="8" t="s">
        <v>595</v>
      </c>
    </row>
    <row r="4271" ht="14.25" hidden="1" customHeight="1">
      <c r="A4271" s="8" t="s">
        <v>3372</v>
      </c>
      <c r="B4271" s="8" t="s">
        <v>791</v>
      </c>
      <c r="D4271" s="121" t="str">
        <f t="shared" ref="D4271:D4272" si="60">HYPERLINK("http://www.spokane.va.gov/services/RESPIRATORY_THERAPY.ASP")</f>
        <v>http://www.spokane.va.gov/services/RESPIRATORY_THERAPY.ASP</v>
      </c>
      <c r="E4271" s="8" t="s">
        <v>595</v>
      </c>
    </row>
    <row r="4272" ht="14.25" hidden="1" customHeight="1">
      <c r="A4272" s="8" t="s">
        <v>3372</v>
      </c>
      <c r="B4272" s="8" t="s">
        <v>4070</v>
      </c>
      <c r="D4272" s="121" t="str">
        <f t="shared" si="60"/>
        <v>http://www.spokane.va.gov/services/RESPIRATORY_THERAPY.ASP</v>
      </c>
      <c r="E4272" s="8" t="s">
        <v>595</v>
      </c>
    </row>
    <row r="4273" ht="14.25" hidden="1" customHeight="1">
      <c r="A4273" s="8" t="s">
        <v>3372</v>
      </c>
      <c r="B4273" s="8" t="s">
        <v>1665</v>
      </c>
      <c r="D4273" s="121" t="str">
        <f>HYPERLINK("http://www.spokane.va.gov/services/PULMONARY_LAB.ASP")</f>
        <v>http://www.spokane.va.gov/services/PULMONARY_LAB.ASP</v>
      </c>
      <c r="E4273" s="8" t="s">
        <v>392</v>
      </c>
    </row>
    <row r="4274" ht="14.25" hidden="1" customHeight="1">
      <c r="A4274" s="8" t="s">
        <v>3372</v>
      </c>
      <c r="B4274" s="8" t="s">
        <v>4071</v>
      </c>
      <c r="D4274" s="121" t="str">
        <f>HYPERLINK("http://www.spokane.va.gov/services/PHARMACY.ASP")</f>
        <v>http://www.spokane.va.gov/services/PHARMACY.ASP</v>
      </c>
      <c r="E4274" s="8" t="s">
        <v>595</v>
      </c>
    </row>
    <row r="4275" ht="14.25" hidden="1" customHeight="1">
      <c r="A4275" s="8" t="s">
        <v>3372</v>
      </c>
      <c r="B4275" s="8" t="s">
        <v>717</v>
      </c>
      <c r="D4275" s="121" t="str">
        <f>HYPERLINK("http://www.spokane.va.gov/services/DIAGNOSTIC_IMAGING.ASP")</f>
        <v>http://www.spokane.va.gov/services/DIAGNOSTIC_IMAGING.ASP</v>
      </c>
      <c r="E4275" s="8" t="s">
        <v>595</v>
      </c>
    </row>
    <row r="4276" ht="14.25" hidden="1" customHeight="1">
      <c r="A4276" s="8" t="s">
        <v>3372</v>
      </c>
      <c r="B4276" s="8" t="s">
        <v>4072</v>
      </c>
      <c r="D4276" s="121" t="str">
        <f>HYPERLINK("http://www.spokane.va.gov/services/PHARMACY.ASP")</f>
        <v>http://www.spokane.va.gov/services/PHARMACY.ASP</v>
      </c>
      <c r="E4276" s="8" t="s">
        <v>595</v>
      </c>
    </row>
    <row r="4277" ht="14.25" hidden="1" customHeight="1">
      <c r="A4277" s="8" t="s">
        <v>3372</v>
      </c>
      <c r="B4277" s="8" t="s">
        <v>2219</v>
      </c>
      <c r="D4277" s="121" t="str">
        <f>HYPERLINK("http://www.spokane.va.gov/services/ELIGIBILITY.ASP")</f>
        <v>http://www.spokane.va.gov/services/ELIGIBILITY.ASP</v>
      </c>
      <c r="E4277" s="8" t="s">
        <v>595</v>
      </c>
    </row>
    <row r="4278" ht="14.25" hidden="1" customHeight="1">
      <c r="A4278" s="8" t="s">
        <v>3372</v>
      </c>
      <c r="B4278" s="8" t="s">
        <v>4073</v>
      </c>
      <c r="D4278" s="121" t="str">
        <f>HYPERLINK("http://www.spokane.va.gov/services/CLC_AND_HOSPICE.ASP")</f>
        <v>http://www.spokane.va.gov/services/CLC_AND_HOSPICE.ASP</v>
      </c>
      <c r="E4278" s="8" t="s">
        <v>595</v>
      </c>
    </row>
    <row r="4279" ht="14.25" hidden="1" customHeight="1">
      <c r="A4279" s="8" t="s">
        <v>3372</v>
      </c>
      <c r="B4279" s="8" t="s">
        <v>349</v>
      </c>
      <c r="D4279" s="121" t="str">
        <f>HYPERLINK("http://www.spokane.va.gov/services/RESPIRATORY_THERAPY.ASP")</f>
        <v>http://www.spokane.va.gov/services/RESPIRATORY_THERAPY.ASP</v>
      </c>
      <c r="E4279" s="8" t="s">
        <v>392</v>
      </c>
    </row>
    <row r="4280" ht="14.25" hidden="1" customHeight="1">
      <c r="A4280" s="8" t="s">
        <v>3372</v>
      </c>
      <c r="B4280" s="8" t="s">
        <v>1054</v>
      </c>
      <c r="D4280" s="121" t="str">
        <f>HYPERLINK("http://www.spokane.va.gov/services/RETAIL_STORE.ASP")</f>
        <v>http://www.spokane.va.gov/services/RETAIL_STORE.ASP</v>
      </c>
      <c r="E4280" s="8" t="s">
        <v>392</v>
      </c>
    </row>
    <row r="4281" ht="14.25" hidden="1" customHeight="1">
      <c r="A4281" s="8" t="s">
        <v>3372</v>
      </c>
      <c r="B4281" s="8" t="s">
        <v>355</v>
      </c>
      <c r="D4281" s="121" t="str">
        <f t="shared" ref="D4281:D4282" si="61">HYPERLINK("http://www.spokane.va.gov/services/TRANSITIONCARE.ASP")</f>
        <v>http://www.spokane.va.gov/services/TRANSITIONCARE.ASP</v>
      </c>
      <c r="E4281" s="8" t="s">
        <v>595</v>
      </c>
    </row>
    <row r="4282" ht="14.25" hidden="1" customHeight="1">
      <c r="A4282" s="8" t="s">
        <v>3372</v>
      </c>
      <c r="B4282" s="8" t="s">
        <v>3281</v>
      </c>
      <c r="D4282" s="121" t="str">
        <f t="shared" si="61"/>
        <v>http://www.spokane.va.gov/services/TRANSITIONCARE.ASP</v>
      </c>
      <c r="E4282" s="8" t="s">
        <v>595</v>
      </c>
    </row>
    <row r="4283" ht="14.25" hidden="1" customHeight="1">
      <c r="A4283" s="8" t="s">
        <v>3372</v>
      </c>
      <c r="B4283" s="8" t="s">
        <v>1171</v>
      </c>
      <c r="D4283" s="121" t="str">
        <f>HYPERLINK("http://www.spokane.va.gov/services/RHEUMATOLOGY.ASP")</f>
        <v>http://www.spokane.va.gov/services/RHEUMATOLOGY.ASP</v>
      </c>
      <c r="E4283" s="8" t="s">
        <v>392</v>
      </c>
    </row>
    <row r="4284" ht="14.25" hidden="1" customHeight="1">
      <c r="A4284" s="8" t="s">
        <v>3372</v>
      </c>
      <c r="B4284" s="8" t="s">
        <v>4074</v>
      </c>
      <c r="D4284" s="121" t="str">
        <f>HYPERLINK("http://www.spokane.va.gov/services/RURAL_HEALTH_COORDINATOR.ASP")</f>
        <v>http://www.spokane.va.gov/services/RURAL_HEALTH_COORDINATOR.ASP</v>
      </c>
      <c r="E4284" s="8" t="s">
        <v>392</v>
      </c>
    </row>
    <row r="4285" ht="14.25" hidden="1" customHeight="1">
      <c r="A4285" s="8" t="s">
        <v>3372</v>
      </c>
      <c r="B4285" s="8" t="s">
        <v>2336</v>
      </c>
      <c r="D4285" s="121" t="str">
        <f>HYPERLINK("http://www.spokane.va.gov/services/SAME_DAY_SURGERY.ASP")</f>
        <v>http://www.spokane.va.gov/services/SAME_DAY_SURGERY.ASP</v>
      </c>
      <c r="E4285" s="8" t="s">
        <v>392</v>
      </c>
    </row>
    <row r="4286" ht="14.25" hidden="1" customHeight="1">
      <c r="A4286" s="8" t="s">
        <v>3372</v>
      </c>
      <c r="B4286" s="8" t="s">
        <v>712</v>
      </c>
      <c r="D4286" s="121" t="str">
        <f>HYPERLINK("http://www.spokane.va.gov/services/SECURITY.ASP")</f>
        <v>http://www.spokane.va.gov/services/SECURITY.ASP</v>
      </c>
      <c r="E4286" s="8" t="s">
        <v>392</v>
      </c>
    </row>
    <row r="4287" ht="14.25" hidden="1" customHeight="1">
      <c r="A4287" s="8" t="s">
        <v>3372</v>
      </c>
      <c r="B4287" s="8" t="s">
        <v>3097</v>
      </c>
      <c r="D4287" s="121" t="str">
        <f>HYPERLINK("http://www.spokane.va.gov/services/SERVICEDOGS.ASP")</f>
        <v>http://www.spokane.va.gov/services/SERVICEDOGS.ASP</v>
      </c>
      <c r="E4287" s="8" t="s">
        <v>392</v>
      </c>
    </row>
    <row r="4288" ht="14.25" hidden="1" customHeight="1">
      <c r="A4288" s="8" t="s">
        <v>3372</v>
      </c>
      <c r="B4288" s="8" t="s">
        <v>3662</v>
      </c>
      <c r="D4288" s="121" t="str">
        <f>HYPERLINK("http://www.spokane.va.gov/services/NEUROLOGY.ASP")</f>
        <v>http://www.spokane.va.gov/services/NEUROLOGY.ASP</v>
      </c>
      <c r="E4288" s="8" t="s">
        <v>595</v>
      </c>
    </row>
    <row r="4289" ht="14.25" hidden="1" customHeight="1">
      <c r="A4289" s="8" t="s">
        <v>3372</v>
      </c>
      <c r="B4289" s="8" t="s">
        <v>4075</v>
      </c>
      <c r="D4289" s="121" t="str">
        <f t="shared" ref="D4289:D4290" si="62">HYPERLINK("http://www.spokane.va.gov/services/SMOKE_FREE.ASP")</f>
        <v>http://www.spokane.va.gov/services/SMOKE_FREE.ASP</v>
      </c>
      <c r="E4289" s="8" t="s">
        <v>392</v>
      </c>
    </row>
    <row r="4290" ht="14.25" hidden="1" customHeight="1">
      <c r="A4290" s="8" t="s">
        <v>3372</v>
      </c>
      <c r="B4290" s="8" t="s">
        <v>1210</v>
      </c>
      <c r="D4290" s="121" t="str">
        <f t="shared" si="62"/>
        <v>http://www.spokane.va.gov/services/SMOKE_FREE.ASP</v>
      </c>
      <c r="E4290" s="8" t="s">
        <v>595</v>
      </c>
    </row>
    <row r="4291" ht="14.25" hidden="1" customHeight="1">
      <c r="A4291" s="8" t="s">
        <v>3372</v>
      </c>
      <c r="B4291" s="8" t="s">
        <v>360</v>
      </c>
      <c r="D4291" s="121" t="str">
        <f>HYPERLINK("http://www.spokane.va.gov/services/SOCIAL_WORK.ASP")</f>
        <v>http://www.spokane.va.gov/services/SOCIAL_WORK.ASP</v>
      </c>
      <c r="E4291" s="8" t="s">
        <v>392</v>
      </c>
    </row>
    <row r="4292" ht="14.25" hidden="1" customHeight="1">
      <c r="A4292" s="8" t="s">
        <v>3372</v>
      </c>
      <c r="B4292" s="8" t="s">
        <v>4076</v>
      </c>
      <c r="D4292" s="121" t="str">
        <f>HYPERLINK("http://www.spokane.va.gov/services/APPOINTMENTS_MGVAMC_SPECIALTY_CARE.ASP")</f>
        <v>http://www.spokane.va.gov/services/APPOINTMENTS_MGVAMC_SPECIALTY_CARE.ASP</v>
      </c>
      <c r="E4292" s="8" t="s">
        <v>595</v>
      </c>
    </row>
    <row r="4293" ht="14.25" hidden="1" customHeight="1">
      <c r="A4293" s="8" t="s">
        <v>3372</v>
      </c>
      <c r="B4293" s="8" t="s">
        <v>4077</v>
      </c>
      <c r="D4293" s="121" t="str">
        <f>HYPERLINK("http://www.spokane.va.gov/services/RETAIL_STORE.ASP")</f>
        <v>http://www.spokane.va.gov/services/RETAIL_STORE.ASP</v>
      </c>
      <c r="E4293" s="8" t="s">
        <v>595</v>
      </c>
    </row>
    <row r="4294" ht="14.25" hidden="1" customHeight="1">
      <c r="A4294" s="8" t="s">
        <v>3372</v>
      </c>
      <c r="B4294" s="8" t="s">
        <v>731</v>
      </c>
      <c r="D4294" s="121" t="str">
        <f>HYPERLINK("http://www.spokane.va.gov/services/SUBSTANCE_ABUSE_TREATMENT.ASP")</f>
        <v>http://www.spokane.va.gov/services/SUBSTANCE_ABUSE_TREATMENT.ASP</v>
      </c>
      <c r="E4294" s="8" t="s">
        <v>392</v>
      </c>
    </row>
    <row r="4295" ht="14.25" hidden="1" customHeight="1">
      <c r="A4295" s="8" t="s">
        <v>3372</v>
      </c>
      <c r="B4295" s="8" t="s">
        <v>1232</v>
      </c>
      <c r="D4295" s="121" t="str">
        <f>HYPERLINK("http://www.spokane.va.gov/services/SUICIDE_PREVENTION.ASP")</f>
        <v>http://www.spokane.va.gov/services/SUICIDE_PREVENTION.ASP</v>
      </c>
      <c r="E4295" s="8" t="s">
        <v>392</v>
      </c>
    </row>
    <row r="4296" ht="14.25" hidden="1" customHeight="1">
      <c r="A4296" s="8" t="s">
        <v>3372</v>
      </c>
      <c r="B4296" s="8" t="s">
        <v>4078</v>
      </c>
      <c r="D4296" s="121" t="str">
        <f>HYPERLINK("http://www.spokane.va.gov/services/VOCATIONALREHAB.ASP")</f>
        <v>http://www.spokane.va.gov/services/VOCATIONALREHAB.ASP</v>
      </c>
      <c r="E4296" s="8" t="s">
        <v>595</v>
      </c>
    </row>
    <row r="4297" ht="14.25" hidden="1" customHeight="1">
      <c r="A4297" s="8" t="s">
        <v>3372</v>
      </c>
      <c r="B4297" s="8" t="s">
        <v>722</v>
      </c>
      <c r="D4297" s="121" t="str">
        <f>HYPERLINK("http://www.spokane.va.gov/services/SAME_DAY_SURGERY.ASP")</f>
        <v>http://www.spokane.va.gov/services/SAME_DAY_SURGERY.ASP</v>
      </c>
      <c r="E4297" s="8" t="s">
        <v>595</v>
      </c>
    </row>
    <row r="4298" ht="14.25" hidden="1" customHeight="1">
      <c r="A4298" s="8" t="s">
        <v>3372</v>
      </c>
      <c r="B4298" s="8" t="s">
        <v>4079</v>
      </c>
      <c r="D4298" s="121" t="str">
        <f>HYPERLINK("http://www.spokane.va.gov/services/NATIVE_AMERICAN_VETERANS_HEALING_LODGE.ASP")</f>
        <v>http://www.spokane.va.gov/services/NATIVE_AMERICAN_VETERANS_HEALING_LODGE.ASP</v>
      </c>
      <c r="E4298" s="8" t="s">
        <v>595</v>
      </c>
    </row>
    <row r="4299" ht="14.25" hidden="1" customHeight="1">
      <c r="A4299" s="8" t="s">
        <v>3372</v>
      </c>
      <c r="B4299" s="8" t="s">
        <v>370</v>
      </c>
      <c r="D4299" s="121" t="str">
        <f>HYPERLINK("http://www.spokane.va.gov/services/RURAL_HEALTH_COORDINATOR.ASP")</f>
        <v>http://www.spokane.va.gov/services/RURAL_HEALTH_COORDINATOR.ASP</v>
      </c>
      <c r="E4299" s="8" t="s">
        <v>595</v>
      </c>
    </row>
    <row r="4300" ht="14.25" hidden="1" customHeight="1">
      <c r="A4300" s="8" t="s">
        <v>3372</v>
      </c>
      <c r="B4300" s="8" t="s">
        <v>370</v>
      </c>
      <c r="D4300" s="121" t="str">
        <f>HYPERLINK("http://www.spokane.va.gov/services/HOME_TELEHEALTH.ASP")</f>
        <v>http://www.spokane.va.gov/services/HOME_TELEHEALTH.ASP</v>
      </c>
      <c r="E4300" s="8" t="s">
        <v>595</v>
      </c>
    </row>
    <row r="4301" ht="14.25" hidden="1" customHeight="1">
      <c r="A4301" s="8" t="s">
        <v>3372</v>
      </c>
      <c r="B4301" s="8" t="s">
        <v>3462</v>
      </c>
      <c r="D4301" s="121" t="str">
        <f>HYPERLINK("http://www.spokane.va.gov/services/VOCATIONALREHAB.ASP")</f>
        <v>http://www.spokane.va.gov/services/VOCATIONALREHAB.ASP</v>
      </c>
      <c r="E4301" s="8" t="s">
        <v>595</v>
      </c>
    </row>
    <row r="4302" ht="14.25" hidden="1" customHeight="1">
      <c r="A4302" s="8" t="s">
        <v>3372</v>
      </c>
      <c r="B4302" s="8" t="s">
        <v>4080</v>
      </c>
      <c r="D4302" s="121" t="str">
        <f>HYPERLINK("http://www.spokane.va.gov/services/SMOKE_FREE.ASP")</f>
        <v>http://www.spokane.va.gov/services/SMOKE_FREE.ASP</v>
      </c>
      <c r="E4302" s="8" t="s">
        <v>595</v>
      </c>
    </row>
    <row r="4303" ht="14.25" hidden="1" customHeight="1">
      <c r="A4303" s="8" t="s">
        <v>3372</v>
      </c>
      <c r="B4303" s="8" t="s">
        <v>807</v>
      </c>
      <c r="D4303" s="121" t="str">
        <f>HYPERLINK("http://www.spokane.va.gov/services/TRANSITIONCARE.ASP")</f>
        <v>http://www.spokane.va.gov/services/TRANSITIONCARE.ASP</v>
      </c>
      <c r="E4303" s="8" t="s">
        <v>392</v>
      </c>
    </row>
    <row r="4304" ht="14.25" hidden="1" customHeight="1">
      <c r="A4304" s="8" t="s">
        <v>3372</v>
      </c>
      <c r="B4304" s="8" t="s">
        <v>1950</v>
      </c>
      <c r="D4304" s="121" t="str">
        <f>HYPERLINK("http://www.spokane.va.gov/services/DAV_TRANSPORTATION.ASP")</f>
        <v>http://www.spokane.va.gov/services/DAV_TRANSPORTATION.ASP</v>
      </c>
      <c r="E4304" s="8" t="s">
        <v>595</v>
      </c>
    </row>
    <row r="4305" ht="14.25" hidden="1" customHeight="1">
      <c r="A4305" s="8" t="s">
        <v>3372</v>
      </c>
      <c r="B4305" s="8" t="s">
        <v>4081</v>
      </c>
      <c r="D4305" s="121" t="str">
        <f>HYPERLINK("http://www.spokane.va.gov/services/VETERANS_TRANSPORTATION.ASP")</f>
        <v>http://www.spokane.va.gov/services/VETERANS_TRANSPORTATION.ASP</v>
      </c>
      <c r="E4305" s="8" t="s">
        <v>595</v>
      </c>
    </row>
    <row r="4306" ht="14.25" hidden="1" customHeight="1">
      <c r="A4306" s="8" t="s">
        <v>3372</v>
      </c>
      <c r="B4306" s="8" t="s">
        <v>1869</v>
      </c>
      <c r="D4306" s="121" t="str">
        <f>HYPERLINK("http://www.spokane.va.gov/services/PATIENT_TRAVEL.ASP")</f>
        <v>http://www.spokane.va.gov/services/PATIENT_TRAVEL.ASP</v>
      </c>
      <c r="E4306" s="8" t="s">
        <v>595</v>
      </c>
    </row>
    <row r="4307" ht="14.25" hidden="1" customHeight="1">
      <c r="A4307" s="8" t="s">
        <v>3372</v>
      </c>
      <c r="B4307" s="8" t="s">
        <v>915</v>
      </c>
      <c r="D4307" s="121" t="str">
        <f>HYPERLINK("http://www.spokane.va.gov/services/TRAVELING_VETERAN_PROGRAM.ASP")</f>
        <v>http://www.spokane.va.gov/services/TRAVELING_VETERAN_PROGRAM.ASP</v>
      </c>
      <c r="E4307" s="8" t="s">
        <v>392</v>
      </c>
    </row>
    <row r="4308" ht="14.25" hidden="1" customHeight="1">
      <c r="A4308" s="8" t="s">
        <v>3372</v>
      </c>
      <c r="B4308" s="8" t="s">
        <v>810</v>
      </c>
      <c r="D4308" s="121" t="str">
        <f>HYPERLINK("http://www.spokane.va.gov/services/DIAGNOSTIC_IMAGING.ASP")</f>
        <v>http://www.spokane.va.gov/services/DIAGNOSTIC_IMAGING.ASP</v>
      </c>
      <c r="E4308" s="8" t="s">
        <v>595</v>
      </c>
    </row>
    <row r="4309" ht="14.25" hidden="1" customHeight="1">
      <c r="A4309" s="8" t="s">
        <v>3372</v>
      </c>
      <c r="B4309" s="8" t="s">
        <v>373</v>
      </c>
      <c r="D4309" s="121" t="str">
        <f>HYPERLINK("http://www.spokane.va.gov/services/URGENT_CARE_CENTER.ASP")</f>
        <v>http://www.spokane.va.gov/services/URGENT_CARE_CENTER.ASP</v>
      </c>
      <c r="E4309" s="8" t="s">
        <v>392</v>
      </c>
    </row>
    <row r="4310" ht="14.25" hidden="1" customHeight="1">
      <c r="A4310" s="8" t="s">
        <v>3372</v>
      </c>
      <c r="B4310" s="8" t="s">
        <v>4082</v>
      </c>
      <c r="D4310" s="121" t="str">
        <f t="shared" ref="D4310:D4311" si="63">HYPERLINK("http://www.spokane.va.gov/services/UROLOGY.ASP")</f>
        <v>http://www.spokane.va.gov/services/UROLOGY.ASP</v>
      </c>
      <c r="E4310" s="8" t="s">
        <v>595</v>
      </c>
    </row>
    <row r="4311" ht="14.25" hidden="1" customHeight="1">
      <c r="A4311" s="8" t="s">
        <v>3372</v>
      </c>
      <c r="B4311" s="8" t="s">
        <v>469</v>
      </c>
      <c r="D4311" s="121" t="str">
        <f t="shared" si="63"/>
        <v>http://www.spokane.va.gov/services/UROLOGY.ASP</v>
      </c>
      <c r="E4311" s="8" t="s">
        <v>392</v>
      </c>
    </row>
    <row r="4312" ht="14.25" hidden="1" customHeight="1">
      <c r="A4312" s="8" t="s">
        <v>3372</v>
      </c>
      <c r="B4312" s="8" t="s">
        <v>1980</v>
      </c>
      <c r="D4312" s="121" t="str">
        <f>HYPERLINK("http://www.spokane.va.gov/services/VHIE.ASP")</f>
        <v>http://www.spokane.va.gov/services/VHIE.ASP</v>
      </c>
      <c r="E4312" s="8" t="s">
        <v>595</v>
      </c>
    </row>
    <row r="4313" ht="14.25" hidden="1" customHeight="1">
      <c r="A4313" s="8" t="s">
        <v>3372</v>
      </c>
      <c r="B4313" s="8" t="s">
        <v>4083</v>
      </c>
      <c r="D4313" s="121" t="str">
        <f>HYPERLINK("http://www.spokane.va.gov/services/VOLUNTARY_SERVICES.ASP")</f>
        <v>http://www.spokane.va.gov/services/VOLUNTARY_SERVICES.ASP</v>
      </c>
      <c r="E4313" s="8" t="s">
        <v>595</v>
      </c>
    </row>
    <row r="4314" ht="14.25" hidden="1" customHeight="1">
      <c r="A4314" s="8" t="s">
        <v>3372</v>
      </c>
      <c r="B4314" s="8" t="s">
        <v>4084</v>
      </c>
      <c r="D4314" s="121" t="str">
        <f>HYPERLINK("http://www.spokane.va.gov/services/DAV_TRANSPORTATION.ASP")</f>
        <v>http://www.spokane.va.gov/services/DAV_TRANSPORTATION.ASP</v>
      </c>
      <c r="E4314" s="8" t="s">
        <v>595</v>
      </c>
    </row>
    <row r="4315" ht="14.25" hidden="1" customHeight="1">
      <c r="A4315" s="8" t="s">
        <v>3372</v>
      </c>
      <c r="B4315" s="8" t="s">
        <v>4085</v>
      </c>
      <c r="D4315" s="121" t="str">
        <f>HYPERLINK("http://www.spokane.va.gov/services/VENDOR_RESOURCES.ASP")</f>
        <v>http://www.spokane.va.gov/services/VENDOR_RESOURCES.ASP</v>
      </c>
      <c r="E4315" s="8" t="s">
        <v>392</v>
      </c>
    </row>
    <row r="4316" ht="14.25" hidden="1" customHeight="1">
      <c r="A4316" s="8" t="s">
        <v>3372</v>
      </c>
      <c r="B4316" s="8" t="s">
        <v>569</v>
      </c>
      <c r="D4316" s="121" t="str">
        <f>HYPERLINK("http://www.spokane.va.gov/services/SUICIDE_PREVENTION.ASP")</f>
        <v>http://www.spokane.va.gov/services/SUICIDE_PREVENTION.ASP</v>
      </c>
      <c r="E4316" s="8" t="s">
        <v>595</v>
      </c>
    </row>
    <row r="4317" ht="14.25" hidden="1" customHeight="1">
      <c r="A4317" s="8" t="s">
        <v>3372</v>
      </c>
      <c r="B4317" s="8" t="s">
        <v>742</v>
      </c>
      <c r="D4317" s="121" t="str">
        <f>HYPERLINK("http://www.spokane.va.gov/services/VETERANS_TRANSPORTATION.ASP")</f>
        <v>http://www.spokane.va.gov/services/VETERANS_TRANSPORTATION.ASP</v>
      </c>
      <c r="E4317" s="8" t="s">
        <v>392</v>
      </c>
    </row>
    <row r="4318" ht="14.25" hidden="1" customHeight="1">
      <c r="A4318" s="8" t="s">
        <v>3372</v>
      </c>
      <c r="B4318" s="8" t="s">
        <v>4086</v>
      </c>
      <c r="D4318" s="121" t="str">
        <f>HYPERLINK("http://www.spokane.va.gov/services/VHIE.ASP")</f>
        <v>http://www.spokane.va.gov/services/VHIE.ASP</v>
      </c>
      <c r="E4318" s="8" t="s">
        <v>392</v>
      </c>
    </row>
    <row r="4319" ht="14.25" hidden="1" customHeight="1">
      <c r="A4319" s="8" t="s">
        <v>3372</v>
      </c>
      <c r="B4319" s="8" t="s">
        <v>4087</v>
      </c>
      <c r="D4319" s="121" t="str">
        <f>HYPERLINK("http://www.spokane.va.gov/services/EYE_CLINIC.ASP")</f>
        <v>http://www.spokane.va.gov/services/EYE_CLINIC.ASP</v>
      </c>
      <c r="E4319" s="8" t="s">
        <v>595</v>
      </c>
    </row>
    <row r="4320" ht="14.25" hidden="1" customHeight="1">
      <c r="A4320" s="8" t="s">
        <v>3372</v>
      </c>
      <c r="B4320" s="8" t="s">
        <v>375</v>
      </c>
      <c r="D4320" s="121" t="str">
        <f t="shared" ref="D4320:D4321" si="64">HYPERLINK("http://www.spokane.va.gov/services/VOCATIONALREHAB.ASP")</f>
        <v>http://www.spokane.va.gov/services/VOCATIONALREHAB.ASP</v>
      </c>
      <c r="E4320" s="8" t="s">
        <v>595</v>
      </c>
    </row>
    <row r="4321" ht="14.25" hidden="1" customHeight="1">
      <c r="A4321" s="8" t="s">
        <v>3372</v>
      </c>
      <c r="B4321" s="8" t="s">
        <v>4007</v>
      </c>
      <c r="D4321" s="121" t="str">
        <f t="shared" si="64"/>
        <v>http://www.spokane.va.gov/services/VOCATIONALREHAB.ASP</v>
      </c>
      <c r="E4321" s="8" t="s">
        <v>392</v>
      </c>
    </row>
    <row r="4322" ht="14.25" hidden="1" customHeight="1">
      <c r="A4322" s="8" t="s">
        <v>3372</v>
      </c>
      <c r="B4322" s="8" t="s">
        <v>405</v>
      </c>
      <c r="D4322" s="121" t="str">
        <f t="shared" ref="D4322:D4323" si="65">HYPERLINK("http://www.spokane.va.gov/services/VOLUNTARY_SERVICES.ASP")</f>
        <v>http://www.spokane.va.gov/services/VOLUNTARY_SERVICES.ASP</v>
      </c>
      <c r="E4322" s="8" t="s">
        <v>392</v>
      </c>
    </row>
    <row r="4323" ht="14.25" hidden="1" customHeight="1">
      <c r="A4323" s="8" t="s">
        <v>3372</v>
      </c>
      <c r="B4323" s="8" t="s">
        <v>1824</v>
      </c>
      <c r="D4323" s="121" t="str">
        <f t="shared" si="65"/>
        <v>http://www.spokane.va.gov/services/VOLUNTARY_SERVICES.ASP</v>
      </c>
      <c r="E4323" s="8" t="s">
        <v>595</v>
      </c>
    </row>
    <row r="4324" ht="14.25" hidden="1" customHeight="1">
      <c r="A4324" s="8" t="s">
        <v>3372</v>
      </c>
      <c r="B4324" s="8" t="s">
        <v>4088</v>
      </c>
      <c r="D4324" s="121" t="str">
        <f t="shared" ref="D4324:D4325" si="66">HYPERLINK("http://www.spokane.va.gov/services/MOVE_PROGRAM.ASP")</f>
        <v>http://www.spokane.va.gov/services/MOVE_PROGRAM.ASP</v>
      </c>
      <c r="E4324" s="8" t="s">
        <v>595</v>
      </c>
    </row>
    <row r="4325" ht="14.25" hidden="1" customHeight="1">
      <c r="A4325" s="8" t="s">
        <v>3372</v>
      </c>
      <c r="B4325" s="8" t="s">
        <v>4089</v>
      </c>
      <c r="D4325" s="121" t="str">
        <f t="shared" si="66"/>
        <v>http://www.spokane.va.gov/services/MOVE_PROGRAM.ASP</v>
      </c>
      <c r="E4325" s="8" t="s">
        <v>595</v>
      </c>
    </row>
    <row r="4326" ht="14.25" hidden="1" customHeight="1">
      <c r="A4326" s="8" t="s">
        <v>3372</v>
      </c>
      <c r="B4326" s="8" t="s">
        <v>4090</v>
      </c>
      <c r="D4326" s="121" t="str">
        <f>HYPERLINK("http://www.spokane.va.gov/services/NUTRITION.ASP")</f>
        <v>http://www.spokane.va.gov/services/NUTRITION.ASP</v>
      </c>
      <c r="E4326" s="8" t="s">
        <v>595</v>
      </c>
    </row>
    <row r="4327" ht="14.25" hidden="1" customHeight="1">
      <c r="A4327" s="8" t="s">
        <v>3372</v>
      </c>
      <c r="B4327" s="8" t="s">
        <v>4091</v>
      </c>
      <c r="D4327" s="121" t="str">
        <f>HYPERLINK("http://www.spokane.va.gov/services/WELLNESSRESOURCES.ASP")</f>
        <v>http://www.spokane.va.gov/services/WELLNESSRESOURCES.ASP</v>
      </c>
      <c r="E4327" s="8" t="s">
        <v>392</v>
      </c>
    </row>
    <row r="4328" ht="14.25" hidden="1" customHeight="1">
      <c r="A4328" s="8" t="s">
        <v>3372</v>
      </c>
      <c r="B4328" s="8" t="s">
        <v>4092</v>
      </c>
      <c r="D4328" s="121" t="str">
        <f>HYPERLINK("http://www.spokane.va.gov/services/APPOINTMENTS_WENATCHEE_CBOC.ASP")</f>
        <v>http://www.spokane.va.gov/services/APPOINTMENTS_WENATCHEE_CBOC.ASP</v>
      </c>
      <c r="E4328" s="8" t="s">
        <v>595</v>
      </c>
    </row>
    <row r="4329" ht="14.25" hidden="1" customHeight="1">
      <c r="A4329" s="8" t="s">
        <v>3372</v>
      </c>
      <c r="B4329" s="8" t="s">
        <v>520</v>
      </c>
      <c r="D4329" s="121" t="str">
        <f>HYPERLINK("http://www.spokane.va.gov/services/WOMEN_VETERANS_HEALTH_PROGRAM.ASP")</f>
        <v>http://www.spokane.va.gov/services/WOMEN_VETERANS_HEALTH_PROGRAM.ASP</v>
      </c>
      <c r="E4329" s="8" t="s">
        <v>392</v>
      </c>
    </row>
    <row r="4330" ht="14.25" hidden="1" customHeight="1">
      <c r="A4330" s="8" t="s">
        <v>3372</v>
      </c>
      <c r="B4330" s="8" t="s">
        <v>4093</v>
      </c>
      <c r="D4330" s="121" t="str">
        <f>HYPERLINK("http://www.spokane.va.gov/services/WOUND_CARE.ASP")</f>
        <v>http://www.spokane.va.gov/services/WOUND_CARE.ASP</v>
      </c>
      <c r="E4330" s="8" t="s">
        <v>392</v>
      </c>
    </row>
    <row r="4331" ht="14.25" hidden="1" customHeight="1">
      <c r="A4331" s="8" t="s">
        <v>3372</v>
      </c>
      <c r="B4331" s="8" t="s">
        <v>824</v>
      </c>
      <c r="D4331" s="121" t="str">
        <f>HYPERLINK("http://www.spokane.va.gov/services/DIAGNOSTIC_IMAGING.ASP")</f>
        <v>http://www.spokane.va.gov/services/DIAGNOSTIC_IMAGING.ASP</v>
      </c>
      <c r="E4331" s="8" t="s">
        <v>595</v>
      </c>
    </row>
    <row r="4332" ht="14.25" hidden="1" customHeight="1">
      <c r="A4332" s="8" t="s">
        <v>3379</v>
      </c>
      <c r="B4332" s="8" t="s">
        <v>309</v>
      </c>
      <c r="D4332" s="121" t="str">
        <f>HYPERLINK("http://www.stcloud.va.gov/services/ECRC.ASP")</f>
        <v>http://www.stcloud.va.gov/services/ECRC.ASP</v>
      </c>
      <c r="E4332" s="8" t="s">
        <v>392</v>
      </c>
    </row>
    <row r="4333" ht="14.25" hidden="1" customHeight="1">
      <c r="A4333" s="8" t="s">
        <v>3379</v>
      </c>
      <c r="B4333" s="8" t="s">
        <v>1265</v>
      </c>
      <c r="D4333" s="121" t="str">
        <f>HYPERLINK("http://www.stcloud.va.gov/services/LESBIAN_GAY_BISEXUAL_TRANSGENDER_LGBT_PROGRAM.ASP")</f>
        <v>http://www.stcloud.va.gov/services/LESBIAN_GAY_BISEXUAL_TRANSGENDER_LGBT_PROGRAM.ASP</v>
      </c>
      <c r="E4333" s="8" t="s">
        <v>392</v>
      </c>
    </row>
    <row r="4334" ht="14.25" hidden="1" customHeight="1">
      <c r="A4334" s="8" t="s">
        <v>3379</v>
      </c>
      <c r="B4334" s="8" t="s">
        <v>323</v>
      </c>
      <c r="D4334" s="121" t="str">
        <f>HYPERLINK("http://www.stcloud.va.gov/services/MENTALHEALTH.ASP")</f>
        <v>http://www.stcloud.va.gov/services/MENTALHEALTH.ASP</v>
      </c>
      <c r="E4334" s="8" t="s">
        <v>392</v>
      </c>
    </row>
    <row r="4335" ht="14.25" hidden="1" customHeight="1">
      <c r="A4335" s="8" t="s">
        <v>3379</v>
      </c>
      <c r="B4335" s="8" t="s">
        <v>4094</v>
      </c>
      <c r="D4335" s="121" t="str">
        <f>HYPERLINK("http://www.stcloud.va.gov/services/MYHEALTHEVET_COORDINATOR.ASP")</f>
        <v>http://www.stcloud.va.gov/services/MYHEALTHEVET_COORDINATOR.ASP</v>
      </c>
      <c r="E4335" s="8" t="s">
        <v>392</v>
      </c>
    </row>
    <row r="4336" ht="14.25" hidden="1" customHeight="1">
      <c r="A4336" s="8" t="s">
        <v>3379</v>
      </c>
      <c r="B4336" s="8" t="s">
        <v>343</v>
      </c>
      <c r="D4336" s="121" t="str">
        <f>HYPERLINK("http://www.stcloud.va.gov/services/PHARMACY.ASP")</f>
        <v>http://www.stcloud.va.gov/services/PHARMACY.ASP</v>
      </c>
      <c r="E4336" s="8" t="s">
        <v>392</v>
      </c>
    </row>
    <row r="4337" ht="14.25" hidden="1" customHeight="1">
      <c r="A4337" s="8" t="s">
        <v>3379</v>
      </c>
      <c r="B4337" s="8" t="s">
        <v>684</v>
      </c>
      <c r="D4337" s="121" t="str">
        <f>HYPERLINK("http://www.stcloud.va.gov/services/PUBLIC_AFFAIRS_OFFICE.ASP")</f>
        <v>http://www.stcloud.va.gov/services/PUBLIC_AFFAIRS_OFFICE.ASP</v>
      </c>
      <c r="E4337" s="8" t="s">
        <v>392</v>
      </c>
    </row>
    <row r="4338" ht="14.25" hidden="1" customHeight="1">
      <c r="A4338" s="8" t="s">
        <v>3379</v>
      </c>
      <c r="B4338" s="8" t="s">
        <v>360</v>
      </c>
      <c r="D4338" s="121" t="str">
        <f>HYPERLINK("http://www.stcloud.va.gov/services/SOCIALWORK.ASP")</f>
        <v>http://www.stcloud.va.gov/services/SOCIALWORK.ASP</v>
      </c>
      <c r="E4338" s="8" t="s">
        <v>392</v>
      </c>
    </row>
    <row r="4339" ht="14.25" hidden="1" customHeight="1">
      <c r="A4339" s="8" t="s">
        <v>3379</v>
      </c>
      <c r="B4339" s="8" t="s">
        <v>4095</v>
      </c>
      <c r="D4339" s="121" t="str">
        <f>HYPERLINK("http://www.stcloud.va.gov/services/SPECIALTY.ASP")</f>
        <v>http://www.stcloud.va.gov/services/SPECIALTY.ASP</v>
      </c>
      <c r="E4339" s="8" t="s">
        <v>392</v>
      </c>
    </row>
    <row r="4340" ht="14.25" hidden="1" customHeight="1">
      <c r="A4340" s="8" t="s">
        <v>3379</v>
      </c>
      <c r="B4340" s="8" t="s">
        <v>2139</v>
      </c>
      <c r="D4340" s="121" t="str">
        <f>HYPERLINK("http://www.stcloud.va.gov/services/TELEHEALTH_PROGRAM.ASP")</f>
        <v>http://www.stcloud.va.gov/services/TELEHEALTH_PROGRAM.ASP</v>
      </c>
      <c r="E4340" s="8" t="s">
        <v>392</v>
      </c>
    </row>
    <row r="4341" ht="14.25" hidden="1" customHeight="1">
      <c r="A4341" s="8" t="s">
        <v>3379</v>
      </c>
      <c r="B4341" s="8" t="s">
        <v>729</v>
      </c>
      <c r="D4341" s="121" t="str">
        <f>HYPERLINK("http://www.stcloud.va.gov/services/URGENT_CARE.ASP")</f>
        <v>http://www.stcloud.va.gov/services/URGENT_CARE.ASP</v>
      </c>
      <c r="E4341" s="8" t="s">
        <v>392</v>
      </c>
    </row>
    <row r="4342" ht="14.25" hidden="1" customHeight="1">
      <c r="A4342" s="8" t="s">
        <v>3379</v>
      </c>
      <c r="B4342" s="8" t="s">
        <v>3941</v>
      </c>
      <c r="D4342" s="121" t="str">
        <f>HYPERLINK("http://www.stcloud.va.gov/services/VLER_TEST.ASP")</f>
        <v>http://www.stcloud.va.gov/services/VLER_TEST.ASP</v>
      </c>
      <c r="E4342" s="8" t="s">
        <v>392</v>
      </c>
    </row>
    <row r="4343" ht="14.25" hidden="1" customHeight="1">
      <c r="A4343" s="8" t="s">
        <v>3406</v>
      </c>
      <c r="B4343" s="8" t="s">
        <v>4096</v>
      </c>
      <c r="D4343" s="121" t="str">
        <f>HYPERLINK("http://www.stlouis.va.gov/services/AUDIOLOGY.ASP")</f>
        <v>http://www.stlouis.va.gov/services/AUDIOLOGY.ASP</v>
      </c>
      <c r="E4343" s="8" t="s">
        <v>392</v>
      </c>
    </row>
    <row r="4344" ht="14.25" hidden="1" customHeight="1">
      <c r="A4344" s="8" t="s">
        <v>3406</v>
      </c>
      <c r="B4344" s="8" t="s">
        <v>478</v>
      </c>
      <c r="D4344" s="121" t="str">
        <f>HYPERLINK("http://www.stlouis.va.gov/services/CHAPLAIN_SERVICE.ASP")</f>
        <v>http://www.stlouis.va.gov/services/CHAPLAIN_SERVICE.ASP</v>
      </c>
      <c r="E4344" s="8" t="s">
        <v>392</v>
      </c>
    </row>
    <row r="4345" ht="14.25" hidden="1" customHeight="1">
      <c r="A4345" s="8" t="s">
        <v>3406</v>
      </c>
      <c r="B4345" s="8" t="s">
        <v>1275</v>
      </c>
      <c r="D4345" s="121" t="str">
        <f>HYPERLINK("http://www.stlouis.va.gov/services/CHIROPRACTIC_CLINIC.ASP")</f>
        <v>http://www.stlouis.va.gov/services/CHIROPRACTIC_CLINIC.ASP</v>
      </c>
      <c r="E4345" s="8" t="s">
        <v>392</v>
      </c>
    </row>
    <row r="4346" ht="14.25" hidden="1" customHeight="1">
      <c r="A4346" s="8" t="s">
        <v>3406</v>
      </c>
      <c r="B4346" s="8" t="s">
        <v>4097</v>
      </c>
      <c r="D4346" s="121" t="str">
        <f>HYPERLINK("http://www.stlouis.va.gov/services/CLINICAL_EPIDEMIOLOGY_CENTER.ASP")</f>
        <v>http://www.stlouis.va.gov/services/CLINICAL_EPIDEMIOLOGY_CENTER.ASP</v>
      </c>
      <c r="E4346" s="8" t="s">
        <v>392</v>
      </c>
    </row>
    <row r="4347" ht="14.25" hidden="1" customHeight="1">
      <c r="A4347" s="8" t="s">
        <v>3406</v>
      </c>
      <c r="B4347" s="8" t="s">
        <v>4098</v>
      </c>
      <c r="D4347" s="121" t="str">
        <f>HYPERLINK("http://www.stlouis.va.gov/services/CLINICAL_NUTRITION.ASP")</f>
        <v>http://www.stlouis.va.gov/services/CLINICAL_NUTRITION.ASP</v>
      </c>
      <c r="E4347" s="8" t="s">
        <v>392</v>
      </c>
    </row>
    <row r="4348" ht="14.25" hidden="1" customHeight="1">
      <c r="A4348" s="8" t="s">
        <v>3406</v>
      </c>
      <c r="B4348" s="8" t="s">
        <v>482</v>
      </c>
      <c r="D4348" s="121" t="str">
        <f>HYPERLINK("http://www.stlouis.va.gov/services/COMMUNITY_LIVING_CENTER.ASP")</f>
        <v>http://www.stlouis.va.gov/services/COMMUNITY_LIVING_CENTER.ASP</v>
      </c>
      <c r="E4348" s="8" t="s">
        <v>392</v>
      </c>
    </row>
    <row r="4349" ht="14.25" hidden="1" customHeight="1">
      <c r="A4349" s="8" t="s">
        <v>3406</v>
      </c>
      <c r="B4349" s="8" t="s">
        <v>497</v>
      </c>
      <c r="D4349" s="121" t="str">
        <f>HYPERLINK("http://www.stlouis.va.gov/services/COMPENSATED_WORK_THERAPY.ASP")</f>
        <v>http://www.stlouis.va.gov/services/COMPENSATED_WORK_THERAPY.ASP</v>
      </c>
      <c r="E4349" s="8" t="s">
        <v>392</v>
      </c>
    </row>
    <row r="4350" ht="14.25" hidden="1" customHeight="1">
      <c r="A4350" s="8" t="s">
        <v>3406</v>
      </c>
      <c r="B4350" s="8" t="s">
        <v>875</v>
      </c>
      <c r="D4350" s="121" t="str">
        <f>HYPERLINK("http://www.stlouis.va.gov/services/DOMICILIARY.ASP")</f>
        <v>http://www.stlouis.va.gov/services/DOMICILIARY.ASP</v>
      </c>
      <c r="E4350" s="8" t="s">
        <v>392</v>
      </c>
    </row>
    <row r="4351" ht="14.25" hidden="1" customHeight="1">
      <c r="A4351" s="8" t="s">
        <v>3406</v>
      </c>
      <c r="B4351" s="8" t="s">
        <v>308</v>
      </c>
      <c r="D4351" s="121" t="str">
        <f>HYPERLINK("http://www.stlouis.va.gov/services/EMERGENCY_ROOM.ASP")</f>
        <v>http://www.stlouis.va.gov/services/EMERGENCY_ROOM.ASP</v>
      </c>
      <c r="E4351" s="8" t="s">
        <v>392</v>
      </c>
    </row>
    <row r="4352" ht="14.25" hidden="1" customHeight="1">
      <c r="A4352" s="8" t="s">
        <v>3406</v>
      </c>
      <c r="B4352" s="8" t="s">
        <v>309</v>
      </c>
      <c r="D4352" s="121" t="str">
        <f>HYPERLINK("http://www.stlouis.va.gov/services/EXTENDED_CARE_AND_REHABILITATION.ASP")</f>
        <v>http://www.stlouis.va.gov/services/EXTENDED_CARE_AND_REHABILITATION.ASP</v>
      </c>
      <c r="E4352" s="8" t="s">
        <v>392</v>
      </c>
    </row>
    <row r="4353" ht="14.25" hidden="1" customHeight="1">
      <c r="A4353" s="8" t="s">
        <v>3406</v>
      </c>
      <c r="B4353" s="8" t="s">
        <v>1344</v>
      </c>
      <c r="D4353" s="121" t="str">
        <f>HYPERLINK("http://www.stlouis.va.gov/services/FISHER_HOUSE.ASP")</f>
        <v>http://www.stlouis.va.gov/services/FISHER_HOUSE.ASP</v>
      </c>
      <c r="E4353" s="8" t="s">
        <v>392</v>
      </c>
    </row>
    <row r="4354" ht="14.25" hidden="1" customHeight="1">
      <c r="A4354" s="8" t="s">
        <v>3406</v>
      </c>
      <c r="B4354" s="8" t="s">
        <v>395</v>
      </c>
      <c r="D4354" s="121" t="str">
        <f>HYPERLINK("http://www.stlouis.va.gov/services/HOME_TELEHEALTH.ASP")</f>
        <v>http://www.stlouis.va.gov/services/HOME_TELEHEALTH.ASP</v>
      </c>
      <c r="E4354" s="8" t="s">
        <v>392</v>
      </c>
    </row>
    <row r="4355" ht="14.25" hidden="1" customHeight="1">
      <c r="A4355" s="8" t="s">
        <v>3406</v>
      </c>
      <c r="B4355" s="8" t="s">
        <v>1968</v>
      </c>
      <c r="D4355" s="121" t="str">
        <f>HYPERLINK("http://www.stlouis.va.gov/services/LESBIAN_GAY_BISEXUAL_TRANSGENDER_LGBT_VETERANS.ASP")</f>
        <v>http://www.stlouis.va.gov/services/LESBIAN_GAY_BISEXUAL_TRANSGENDER_LGBT_VETERANS.ASP</v>
      </c>
      <c r="E4355" s="8" t="s">
        <v>392</v>
      </c>
    </row>
    <row r="4356" ht="14.25" hidden="1" customHeight="1">
      <c r="A4356" s="8" t="s">
        <v>3406</v>
      </c>
      <c r="B4356" s="8" t="s">
        <v>1825</v>
      </c>
      <c r="D4356" s="121" t="str">
        <f>HYPERLINK("http://www.stlouis.va.gov/services/MOVE_PROGRAM.ASP")</f>
        <v>http://www.stlouis.va.gov/services/MOVE_PROGRAM.ASP</v>
      </c>
      <c r="E4356" s="8" t="s">
        <v>392</v>
      </c>
    </row>
    <row r="4357" ht="14.25" hidden="1" customHeight="1">
      <c r="A4357" s="8" t="s">
        <v>3406</v>
      </c>
      <c r="B4357" s="8" t="s">
        <v>323</v>
      </c>
      <c r="D4357" s="121" t="str">
        <f>HYPERLINK("http://www.stlouis.va.gov/services/MENTAL_HEALTH_MAIN.ASP")</f>
        <v>http://www.stlouis.va.gov/services/MENTAL_HEALTH_MAIN.ASP</v>
      </c>
      <c r="E4357" s="8" t="s">
        <v>392</v>
      </c>
    </row>
    <row r="4358" ht="14.25" hidden="1" customHeight="1">
      <c r="A4358" s="8" t="s">
        <v>3406</v>
      </c>
      <c r="B4358" s="8" t="s">
        <v>4099</v>
      </c>
      <c r="D4358" s="121" t="str">
        <f>HYPERLINK("http://www.stlouis.va.gov/services/MENTAL_HEALTH_INPATIENT.ASP")</f>
        <v>http://www.stlouis.va.gov/services/MENTAL_HEALTH_INPATIENT.ASP</v>
      </c>
      <c r="E4358" s="8" t="s">
        <v>392</v>
      </c>
    </row>
    <row r="4359" ht="14.25" hidden="1" customHeight="1">
      <c r="A4359" s="8" t="s">
        <v>3406</v>
      </c>
      <c r="B4359" s="8" t="s">
        <v>4100</v>
      </c>
      <c r="D4359" s="121" t="str">
        <f>HYPERLINK("http://www.stlouis.va.gov/services/MENTAL_HEALTH_CLINIC_JC.ASP")</f>
        <v>http://www.stlouis.va.gov/services/MENTAL_HEALTH_CLINIC_JC.ASP</v>
      </c>
      <c r="E4359" s="8" t="s">
        <v>392</v>
      </c>
    </row>
    <row r="4360" ht="14.25" hidden="1" customHeight="1">
      <c r="A4360" s="8" t="s">
        <v>3406</v>
      </c>
      <c r="B4360" s="8" t="s">
        <v>4101</v>
      </c>
      <c r="D4360" s="121" t="str">
        <f>HYPERLINK("http://www.stlouis.va.gov/services/SENIOR_VETERANS_CLINIC.ASP")</f>
        <v>http://www.stlouis.va.gov/services/SENIOR_VETERANS_CLINIC.ASP</v>
      </c>
      <c r="E4360" s="8" t="s">
        <v>392</v>
      </c>
    </row>
    <row r="4361" ht="14.25" hidden="1" customHeight="1">
      <c r="A4361" s="8" t="s">
        <v>3406</v>
      </c>
      <c r="B4361" s="8" t="s">
        <v>4102</v>
      </c>
      <c r="D4361" s="121" t="str">
        <f>HYPERLINK("http://www.stlouis.va.gov/services/MENTAL_HEALTH.ASP")</f>
        <v>http://www.stlouis.va.gov/services/MENTAL_HEALTH.ASP</v>
      </c>
      <c r="E4361" s="8" t="s">
        <v>392</v>
      </c>
    </row>
    <row r="4362" ht="14.25" hidden="1" customHeight="1">
      <c r="A4362" s="8" t="s">
        <v>3406</v>
      </c>
      <c r="B4362" s="8" t="s">
        <v>324</v>
      </c>
      <c r="D4362" s="121" t="str">
        <f>HYPERLINK("http://www.stlouis.va.gov/services/MILITARY_SEXUAL_TRAUMA.ASP")</f>
        <v>http://www.stlouis.va.gov/services/MILITARY_SEXUAL_TRAUMA.ASP</v>
      </c>
      <c r="E4362" s="8" t="s">
        <v>392</v>
      </c>
    </row>
    <row r="4363" ht="14.25" hidden="1" customHeight="1">
      <c r="A4363" s="8" t="s">
        <v>3406</v>
      </c>
      <c r="B4363" s="8" t="s">
        <v>4103</v>
      </c>
      <c r="D4363" s="121" t="str">
        <f>HYPERLINK("http://www.stlouis.va.gov/services/OEF_OIF.ASP")</f>
        <v>http://www.stlouis.va.gov/services/OEF_OIF.ASP</v>
      </c>
      <c r="E4363" s="8" t="s">
        <v>392</v>
      </c>
    </row>
    <row r="4364" ht="14.25" hidden="1" customHeight="1">
      <c r="A4364" s="8" t="s">
        <v>3406</v>
      </c>
      <c r="B4364" s="8" t="s">
        <v>4104</v>
      </c>
      <c r="D4364" s="121" t="str">
        <f>HYPERLINK("http://www.stlouis.va.gov/services/OATP_BELL_STREET_CLINIC.ASP")</f>
        <v>http://www.stlouis.va.gov/services/OATP_BELL_STREET_CLINIC.ASP</v>
      </c>
      <c r="E4364" s="8" t="s">
        <v>392</v>
      </c>
    </row>
    <row r="4365" ht="14.25" hidden="1" customHeight="1">
      <c r="A4365" s="8" t="s">
        <v>3406</v>
      </c>
      <c r="B4365" s="8" t="s">
        <v>4105</v>
      </c>
      <c r="D4365" s="121" t="str">
        <f>HYPERLINK("http://www.stlouis.va.gov/services/PTSD_CLINICAL_TEAM.ASP")</f>
        <v>http://www.stlouis.va.gov/services/PTSD_CLINICAL_TEAM.ASP</v>
      </c>
      <c r="E4365" s="8" t="s">
        <v>392</v>
      </c>
    </row>
    <row r="4366" ht="14.25" hidden="1" customHeight="1">
      <c r="A4366" s="8" t="s">
        <v>3406</v>
      </c>
      <c r="B4366" s="8" t="s">
        <v>4106</v>
      </c>
      <c r="D4366" s="121" t="str">
        <f>HYPERLINK("http://www.stlouis.va.gov/services/PAIN_REHABILITATION_CENTER.ASP")</f>
        <v>http://www.stlouis.va.gov/services/PAIN_REHABILITATION_CENTER.ASP</v>
      </c>
      <c r="E4366" s="8" t="s">
        <v>392</v>
      </c>
    </row>
    <row r="4367" ht="14.25" hidden="1" customHeight="1">
      <c r="A4367" s="8" t="s">
        <v>3406</v>
      </c>
      <c r="B4367" s="8" t="s">
        <v>651</v>
      </c>
      <c r="D4367" s="121" t="str">
        <f>HYPERLINK("http://www.stlouis.va.gov/services/PALLIATIVE_CARE.ASP")</f>
        <v>http://www.stlouis.va.gov/services/PALLIATIVE_CARE.ASP</v>
      </c>
      <c r="E4367" s="8" t="s">
        <v>392</v>
      </c>
    </row>
    <row r="4368" ht="14.25" hidden="1" customHeight="1">
      <c r="A4368" s="8" t="s">
        <v>3406</v>
      </c>
      <c r="B4368" s="8" t="s">
        <v>960</v>
      </c>
      <c r="D4368" s="121" t="str">
        <f>HYPERLINK("http://www.stlouis.va.gov/services/PATHOLOGY_AND_LABORATORY_MEDICINE_SERVICE.ASP")</f>
        <v>http://www.stlouis.va.gov/services/PATHOLOGY_AND_LABORATORY_MEDICINE_SERVICE.ASP</v>
      </c>
      <c r="E4368" s="8" t="s">
        <v>392</v>
      </c>
    </row>
    <row r="4369" ht="14.25" hidden="1" customHeight="1">
      <c r="A4369" s="8" t="s">
        <v>3406</v>
      </c>
      <c r="B4369" s="8" t="s">
        <v>343</v>
      </c>
      <c r="D4369" s="121" t="str">
        <f>HYPERLINK("http://www.stlouis.va.gov/services/PHARMACY.ASP")</f>
        <v>http://www.stlouis.va.gov/services/PHARMACY.ASP</v>
      </c>
      <c r="E4369" s="8" t="s">
        <v>392</v>
      </c>
    </row>
    <row r="4370" ht="14.25" hidden="1" customHeight="1">
      <c r="A4370" s="8" t="s">
        <v>3406</v>
      </c>
      <c r="B4370" s="8" t="s">
        <v>699</v>
      </c>
      <c r="D4370" s="121" t="str">
        <f>HYPERLINK("http://www.stlouis.va.gov/services/POLYTRAUMA.ASP")</f>
        <v>http://www.stlouis.va.gov/services/POLYTRAUMA.ASP</v>
      </c>
      <c r="E4370" s="8" t="s">
        <v>392</v>
      </c>
    </row>
    <row r="4371" ht="14.25" hidden="1" customHeight="1">
      <c r="A4371" s="8" t="s">
        <v>3406</v>
      </c>
      <c r="B4371" s="8" t="s">
        <v>793</v>
      </c>
      <c r="D4371" s="121" t="str">
        <f>HYPERLINK("http://www.stlouis.va.gov/services/PRIMARY_CARE_CLINICS.ASP")</f>
        <v>http://www.stlouis.va.gov/services/PRIMARY_CARE_CLINICS.ASP</v>
      </c>
      <c r="E4371" s="8" t="s">
        <v>392</v>
      </c>
    </row>
    <row r="4372" ht="14.25" hidden="1" customHeight="1">
      <c r="A4372" s="8" t="s">
        <v>3406</v>
      </c>
      <c r="B4372" s="8" t="s">
        <v>825</v>
      </c>
      <c r="D4372" s="121" t="str">
        <f>HYPERLINK("http://www.stlouis.va.gov/services/PRRC.ASP")</f>
        <v>http://www.stlouis.va.gov/services/PRRC.ASP</v>
      </c>
      <c r="E4372" s="8" t="s">
        <v>392</v>
      </c>
    </row>
    <row r="4373" ht="14.25" hidden="1" customHeight="1">
      <c r="A4373" s="8" t="s">
        <v>3406</v>
      </c>
      <c r="B4373" s="8" t="s">
        <v>4107</v>
      </c>
      <c r="D4373" s="121" t="str">
        <f>HYPERLINK("http://www.stlouis.va.gov/services/RADIOLOGY_AND_DIAGNOSTIC_IMAGIN.ASP")</f>
        <v>http://www.stlouis.va.gov/services/RADIOLOGY_AND_DIAGNOSTIC_IMAGIN.ASP</v>
      </c>
      <c r="E4373" s="8" t="s">
        <v>392</v>
      </c>
    </row>
    <row r="4374" ht="14.25" hidden="1" customHeight="1">
      <c r="A4374" s="8" t="s">
        <v>3406</v>
      </c>
      <c r="B4374" s="8" t="s">
        <v>505</v>
      </c>
      <c r="D4374" s="121" t="str">
        <f>HYPERLINK("http://www.stlouis.va.gov/services/RECREATION_THERAPY.ASP")</f>
        <v>http://www.stlouis.va.gov/services/RECREATION_THERAPY.ASP</v>
      </c>
      <c r="E4374" s="8" t="s">
        <v>392</v>
      </c>
    </row>
    <row r="4375" ht="14.25" hidden="1" customHeight="1">
      <c r="A4375" s="8" t="s">
        <v>3406</v>
      </c>
      <c r="B4375" s="8" t="s">
        <v>4108</v>
      </c>
      <c r="D4375" s="121" t="str">
        <f>HYPERLINK("http://www.stlouis.va.gov/services/RESEARCH.ASP")</f>
        <v>http://www.stlouis.va.gov/services/RESEARCH.ASP</v>
      </c>
      <c r="E4375" s="8" t="s">
        <v>392</v>
      </c>
    </row>
    <row r="4376" ht="14.25" hidden="1" customHeight="1">
      <c r="A4376" s="8" t="s">
        <v>3406</v>
      </c>
      <c r="B4376" s="8" t="s">
        <v>360</v>
      </c>
      <c r="D4376" s="121" t="str">
        <f>HYPERLINK("http://www.stlouis.va.gov/services/SOCIAL_WORK.ASP")</f>
        <v>http://www.stlouis.va.gov/services/SOCIAL_WORK.ASP</v>
      </c>
      <c r="E4376" s="8" t="s">
        <v>392</v>
      </c>
    </row>
    <row r="4377" ht="14.25" hidden="1" customHeight="1">
      <c r="A4377" s="8" t="s">
        <v>3406</v>
      </c>
      <c r="B4377" s="8" t="s">
        <v>4109</v>
      </c>
      <c r="D4377" s="121" t="str">
        <f>HYPERLINK("http://www.stlouis.va.gov/services/SPINAL_CORD_INJURY.ASP")</f>
        <v>http://www.stlouis.va.gov/services/SPINAL_CORD_INJURY.ASP</v>
      </c>
      <c r="E4377" s="8" t="s">
        <v>392</v>
      </c>
    </row>
    <row r="4378" ht="14.25" hidden="1" customHeight="1">
      <c r="A4378" s="8" t="s">
        <v>3406</v>
      </c>
      <c r="B4378" s="8" t="s">
        <v>2656</v>
      </c>
      <c r="D4378" s="121" t="str">
        <f>HYPERLINK("http://www.stlouis.va.gov/services/SUBSTANCE_ABUSE_RESIDENTIAL_REHABILITATION_TREATMENT_PROGRAM.ASP")</f>
        <v>http://www.stlouis.va.gov/services/SUBSTANCE_ABUSE_RESIDENTIAL_REHABILITATION_TREATMENT_PROGRAM.ASP</v>
      </c>
      <c r="E4378" s="8" t="s">
        <v>392</v>
      </c>
    </row>
    <row r="4379" ht="14.25" hidden="1" customHeight="1">
      <c r="A4379" s="8" t="s">
        <v>3406</v>
      </c>
      <c r="B4379" s="8" t="s">
        <v>617</v>
      </c>
      <c r="D4379" s="121" t="str">
        <f>HYPERLINK("http://www.stlouis.va.gov/services/SUICIDE_PREVENTION_PROGRAM.ASP")</f>
        <v>http://www.stlouis.va.gov/services/SUICIDE_PREVENTION_PROGRAM.ASP</v>
      </c>
      <c r="E4379" s="8" t="s">
        <v>392</v>
      </c>
    </row>
    <row r="4380" ht="14.25" hidden="1" customHeight="1">
      <c r="A4380" s="8" t="s">
        <v>3406</v>
      </c>
      <c r="B4380" s="8" t="s">
        <v>1400</v>
      </c>
      <c r="D4380" s="121" t="str">
        <f>HYPERLINK("http://www.stlouis.va.gov/services/SURGICAL_SERVICE.ASP")</f>
        <v>http://www.stlouis.va.gov/services/SURGICAL_SERVICE.ASP</v>
      </c>
      <c r="E4380" s="8" t="s">
        <v>392</v>
      </c>
    </row>
    <row r="4381" ht="14.25" hidden="1" customHeight="1">
      <c r="A4381" s="8" t="s">
        <v>3406</v>
      </c>
      <c r="B4381" s="8" t="s">
        <v>2282</v>
      </c>
      <c r="D4381" s="121" t="str">
        <f>HYPERLINK("http://www.stlouis.va.gov/services/VIST_PROGRAM.ASP")</f>
        <v>http://www.stlouis.va.gov/services/VIST_PROGRAM.ASP</v>
      </c>
      <c r="E4381" s="8" t="s">
        <v>392</v>
      </c>
    </row>
    <row r="4382" ht="14.25" hidden="1" customHeight="1">
      <c r="A4382" s="8" t="s">
        <v>3406</v>
      </c>
      <c r="B4382" s="8" t="s">
        <v>973</v>
      </c>
      <c r="D4382" s="121" t="str">
        <f>HYPERLINK("http://www.stlouis.va.gov/services/WHOLE_HEALTH.ASP")</f>
        <v>http://www.stlouis.va.gov/services/WHOLE_HEALTH.ASP</v>
      </c>
      <c r="E4382" s="8" t="s">
        <v>392</v>
      </c>
    </row>
    <row r="4383" ht="14.25" hidden="1" customHeight="1">
      <c r="A4383" s="8" t="s">
        <v>3420</v>
      </c>
      <c r="B4383" s="8" t="s">
        <v>415</v>
      </c>
      <c r="D4383" s="121" t="str">
        <f>HYPERLINK("http://www.syracuse.va.gov/services/ACUPUNCTURE.ASP")</f>
        <v>http://www.syracuse.va.gov/services/ACUPUNCTURE.ASP</v>
      </c>
      <c r="E4383" s="8" t="s">
        <v>392</v>
      </c>
    </row>
    <row r="4384" ht="14.25" hidden="1" customHeight="1">
      <c r="A4384" s="8" t="s">
        <v>3420</v>
      </c>
      <c r="B4384" s="8" t="s">
        <v>846</v>
      </c>
      <c r="D4384" s="121" t="str">
        <f>HYPERLINK("http://www.syracuse.va.gov/services/AGENT_ORANGE.ASP")</f>
        <v>http://www.syracuse.va.gov/services/AGENT_ORANGE.ASP</v>
      </c>
      <c r="E4384" s="8" t="s">
        <v>392</v>
      </c>
    </row>
    <row r="4385" ht="14.25" hidden="1" customHeight="1">
      <c r="A4385" s="8" t="s">
        <v>3420</v>
      </c>
      <c r="B4385" s="8" t="s">
        <v>4110</v>
      </c>
      <c r="D4385" s="121" t="str">
        <f>HYPERLINK("http://www.syracuse.va.gov/services/ALZHEIMERS.ASP")</f>
        <v>http://www.syracuse.va.gov/services/ALZHEIMERS.ASP</v>
      </c>
      <c r="E4385" s="8" t="s">
        <v>392</v>
      </c>
    </row>
    <row r="4386" ht="14.25" hidden="1" customHeight="1">
      <c r="A4386" s="8" t="s">
        <v>3420</v>
      </c>
      <c r="B4386" s="8" t="s">
        <v>244</v>
      </c>
      <c r="D4386" s="121" t="str">
        <f>HYPERLINK("http://www.syracuse.va.gov/services/AUDIOLOGY.ASP")</f>
        <v>http://www.syracuse.va.gov/services/AUDIOLOGY.ASP</v>
      </c>
      <c r="E4386" s="8" t="s">
        <v>392</v>
      </c>
    </row>
    <row r="4387" ht="14.25" hidden="1" customHeight="1">
      <c r="A4387" s="8" t="s">
        <v>3420</v>
      </c>
      <c r="B4387" s="8" t="s">
        <v>4111</v>
      </c>
      <c r="D4387" s="121" t="str">
        <f>HYPERLINK("http://www.syracuse.va.gov/services/BEHAVIORAL_HEALTH.ASP")</f>
        <v>http://www.syracuse.va.gov/services/BEHAVIORAL_HEALTH.ASP</v>
      </c>
      <c r="E4387" s="8" t="s">
        <v>595</v>
      </c>
    </row>
    <row r="4388" ht="14.25" hidden="1" customHeight="1">
      <c r="A4388" s="8" t="s">
        <v>3420</v>
      </c>
      <c r="B4388" s="8" t="s">
        <v>413</v>
      </c>
      <c r="D4388" s="121" t="str">
        <f>HYPERLINK("http://www.syracuse.va.gov/services/CANCER_CARE.ASP")</f>
        <v>http://www.syracuse.va.gov/services/CANCER_CARE.ASP</v>
      </c>
      <c r="E4388" s="8" t="s">
        <v>392</v>
      </c>
    </row>
    <row r="4389" ht="14.25" hidden="1" customHeight="1">
      <c r="A4389" s="8" t="s">
        <v>3420</v>
      </c>
      <c r="B4389" s="8" t="s">
        <v>414</v>
      </c>
      <c r="D4389" s="121" t="str">
        <f>HYPERLINK("http://www.syracuse.va.gov/services/CARDIOLOGY.ASP")</f>
        <v>http://www.syracuse.va.gov/services/CARDIOLOGY.ASP</v>
      </c>
      <c r="E4389" s="8" t="s">
        <v>392</v>
      </c>
    </row>
    <row r="4390" ht="14.25" hidden="1" customHeight="1">
      <c r="A4390" s="8" t="s">
        <v>3420</v>
      </c>
      <c r="B4390" s="8" t="s">
        <v>417</v>
      </c>
      <c r="D4390" s="121" t="str">
        <f>HYPERLINK("http://www.syracuse.va.gov/services/CHAPLAIN.ASP")</f>
        <v>http://www.syracuse.va.gov/services/CHAPLAIN.ASP</v>
      </c>
      <c r="E4390" s="8" t="s">
        <v>392</v>
      </c>
    </row>
    <row r="4391" ht="14.25" hidden="1" customHeight="1">
      <c r="A4391" s="8" t="s">
        <v>3420</v>
      </c>
      <c r="B4391" s="8" t="s">
        <v>2418</v>
      </c>
      <c r="D4391" s="121" t="str">
        <f>HYPERLINK("http://www.syracuse.va.gov/services/CHIROPRACTIC.ASP")</f>
        <v>http://www.syracuse.va.gov/services/CHIROPRACTIC.ASP</v>
      </c>
      <c r="E4391" s="8" t="s">
        <v>392</v>
      </c>
    </row>
    <row r="4392" ht="14.25" hidden="1" customHeight="1">
      <c r="A4392" s="8" t="s">
        <v>3420</v>
      </c>
      <c r="B4392" s="8" t="s">
        <v>482</v>
      </c>
      <c r="D4392" s="121" t="str">
        <f>HYPERLINK("http://www.syracuse.va.gov/services/COMMUNITY_LIVING_CENTER.ASP")</f>
        <v>http://www.syracuse.va.gov/services/COMMUNITY_LIVING_CENTER.ASP</v>
      </c>
      <c r="E4392" s="8" t="s">
        <v>392</v>
      </c>
    </row>
    <row r="4393" ht="14.25" hidden="1" customHeight="1">
      <c r="A4393" s="8" t="s">
        <v>3420</v>
      </c>
      <c r="B4393" s="8" t="s">
        <v>1221</v>
      </c>
      <c r="D4393" s="121" t="str">
        <f>HYPERLINK("http://www.syracuse.va.gov/services/DENTISTRY.ASP")</f>
        <v>http://www.syracuse.va.gov/services/DENTISTRY.ASP</v>
      </c>
      <c r="E4393" s="8" t="s">
        <v>392</v>
      </c>
    </row>
    <row r="4394" ht="14.25" hidden="1" customHeight="1">
      <c r="A4394" s="8" t="s">
        <v>3420</v>
      </c>
      <c r="B4394" s="8" t="s">
        <v>423</v>
      </c>
      <c r="D4394" s="121" t="str">
        <f>HYPERLINK("http://www.syracuse.va.gov/services/DIABETES.ASP")</f>
        <v>http://www.syracuse.va.gov/services/DIABETES.ASP</v>
      </c>
      <c r="E4394" s="8" t="s">
        <v>392</v>
      </c>
    </row>
    <row r="4395" ht="14.25" hidden="1" customHeight="1">
      <c r="A4395" s="8" t="s">
        <v>3420</v>
      </c>
      <c r="B4395" s="8" t="s">
        <v>424</v>
      </c>
      <c r="D4395" s="121" t="str">
        <f>HYPERLINK("http://www.syracuse.va.gov/services/DIALYSIS.ASP")</f>
        <v>http://www.syracuse.va.gov/services/DIALYSIS.ASP</v>
      </c>
      <c r="E4395" s="8" t="s">
        <v>392</v>
      </c>
    </row>
    <row r="4396" ht="14.25" hidden="1" customHeight="1">
      <c r="A4396" s="8" t="s">
        <v>3420</v>
      </c>
      <c r="B4396" s="8" t="s">
        <v>949</v>
      </c>
      <c r="D4396" s="121" t="str">
        <f>HYPERLINK("http://www.syracuse.va.gov/services/VISION_CARE.ASP")</f>
        <v>http://www.syracuse.va.gov/services/VISION_CARE.ASP</v>
      </c>
      <c r="E4396" s="8" t="s">
        <v>392</v>
      </c>
    </row>
    <row r="4397" ht="14.25" hidden="1" customHeight="1">
      <c r="A4397" s="8" t="s">
        <v>3420</v>
      </c>
      <c r="B4397" s="8" t="s">
        <v>428</v>
      </c>
      <c r="D4397" s="121" t="str">
        <f>HYPERLINK("http://www.syracuse.va.gov/services/FEE_BASIS_FEE_SERVICE.ASP")</f>
        <v>http://www.syracuse.va.gov/services/FEE_BASIS_FEE_SERVICE.ASP</v>
      </c>
      <c r="E4397" s="8" t="s">
        <v>392</v>
      </c>
    </row>
    <row r="4398" ht="14.25" hidden="1" customHeight="1">
      <c r="A4398" s="8" t="s">
        <v>3420</v>
      </c>
      <c r="B4398" s="8" t="s">
        <v>486</v>
      </c>
      <c r="D4398" s="121" t="str">
        <f>HYPERLINK("http://www.syracuse.va.gov/services/PRISONER_OF_WAR.ASP")</f>
        <v>http://www.syracuse.va.gov/services/PRISONER_OF_WAR.ASP</v>
      </c>
      <c r="E4398" s="8" t="s">
        <v>392</v>
      </c>
    </row>
    <row r="4399" ht="14.25" hidden="1" customHeight="1">
      <c r="A4399" s="8" t="s">
        <v>3420</v>
      </c>
      <c r="B4399" s="8" t="s">
        <v>1373</v>
      </c>
      <c r="D4399" s="121" t="str">
        <f>HYPERLINK("http://www.syracuse.va.gov/services/GENERAL_SURGERY.ASP")</f>
        <v>http://www.syracuse.va.gov/services/GENERAL_SURGERY.ASP</v>
      </c>
      <c r="E4399" s="8" t="s">
        <v>392</v>
      </c>
    </row>
    <row r="4400" ht="14.25" hidden="1" customHeight="1">
      <c r="A4400" s="8" t="s">
        <v>3420</v>
      </c>
      <c r="B4400" s="8" t="s">
        <v>4112</v>
      </c>
      <c r="D4400" s="121" t="str">
        <f>HYPERLINK("http://www.syracuse.va.gov/services/HIV_AIDS.ASP")</f>
        <v>http://www.syracuse.va.gov/services/HIV_AIDS.ASP</v>
      </c>
      <c r="E4400" s="8" t="s">
        <v>392</v>
      </c>
    </row>
    <row r="4401" ht="14.25" hidden="1" customHeight="1">
      <c r="A4401" s="8" t="s">
        <v>3420</v>
      </c>
      <c r="B4401" s="8" t="s">
        <v>431</v>
      </c>
      <c r="D4401" s="121" t="str">
        <f>HYPERLINK("http://www.syracuse.va.gov/services/HOME_BASED_PRIMARY_CARE.ASP")</f>
        <v>http://www.syracuse.va.gov/services/HOME_BASED_PRIMARY_CARE.ASP</v>
      </c>
      <c r="E4401" s="8" t="s">
        <v>392</v>
      </c>
    </row>
    <row r="4402" ht="14.25" hidden="1" customHeight="1">
      <c r="A4402" s="8" t="s">
        <v>3420</v>
      </c>
      <c r="B4402" s="8" t="s">
        <v>4113</v>
      </c>
      <c r="D4402" s="121" t="str">
        <f>HYPERLINK("http://www.syracuse.va.gov/services/HOME_HEALTH_AIDE_PROGRAM.ASP")</f>
        <v>http://www.syracuse.va.gov/services/HOME_HEALTH_AIDE_PROGRAM.ASP</v>
      </c>
      <c r="E4402" s="8" t="s">
        <v>392</v>
      </c>
    </row>
    <row r="4403" ht="14.25" hidden="1" customHeight="1">
      <c r="A4403" s="8" t="s">
        <v>3420</v>
      </c>
      <c r="B4403" s="8" t="s">
        <v>755</v>
      </c>
      <c r="D4403" s="121" t="str">
        <f>HYPERLINK("http://www.syracuse.va.gov/services/HOSPICE.ASP")</f>
        <v>http://www.syracuse.va.gov/services/HOSPICE.ASP</v>
      </c>
      <c r="E4403" s="8" t="s">
        <v>392</v>
      </c>
    </row>
    <row r="4404" ht="14.25" hidden="1" customHeight="1">
      <c r="A4404" s="8" t="s">
        <v>3420</v>
      </c>
      <c r="B4404" s="8" t="s">
        <v>440</v>
      </c>
      <c r="D4404" s="121" t="str">
        <f>HYPERLINK("http://www.syracuse.va.gov/services/LAB_SERVICES.ASP")</f>
        <v>http://www.syracuse.va.gov/services/LAB_SERVICES.ASP</v>
      </c>
      <c r="E4404" s="8" t="s">
        <v>392</v>
      </c>
    </row>
    <row r="4405" ht="14.25" hidden="1" customHeight="1">
      <c r="A4405" s="8" t="s">
        <v>3420</v>
      </c>
      <c r="B4405" s="8" t="s">
        <v>4114</v>
      </c>
      <c r="D4405" s="121" t="str">
        <f>HYPERLINK("http://www.syracuse.va.gov/services/LESBIAN_GAY_BISEXUAL_AND_TRANSGENDER_LGBT_VETERANS.ASP")</f>
        <v>http://www.syracuse.va.gov/services/LESBIAN_GAY_BISEXUAL_AND_TRANSGENDER_LGBT_VETERANS.ASP</v>
      </c>
      <c r="E4405" s="8" t="s">
        <v>392</v>
      </c>
    </row>
    <row r="4406" ht="14.25" hidden="1" customHeight="1">
      <c r="A4406" s="8" t="s">
        <v>3420</v>
      </c>
      <c r="B4406" s="8" t="s">
        <v>441</v>
      </c>
      <c r="D4406" s="121" t="str">
        <f>HYPERLINK("http://www.syracuse.va.gov/services/MOVE.ASP")</f>
        <v>http://www.syracuse.va.gov/services/MOVE.ASP</v>
      </c>
      <c r="E4406" s="8" t="s">
        <v>392</v>
      </c>
    </row>
    <row r="4407" ht="14.25" hidden="1" customHeight="1">
      <c r="A4407" s="8" t="s">
        <v>3420</v>
      </c>
      <c r="B4407" s="8" t="s">
        <v>442</v>
      </c>
      <c r="D4407" s="121" t="str">
        <f>HYPERLINK("http://www.syracuse.va.gov/services/MAMMOGRAPHY.ASP")</f>
        <v>http://www.syracuse.va.gov/services/MAMMOGRAPHY.ASP</v>
      </c>
      <c r="E4407" s="8" t="s">
        <v>392</v>
      </c>
    </row>
    <row r="4408" ht="14.25" hidden="1" customHeight="1">
      <c r="A4408" s="8" t="s">
        <v>3420</v>
      </c>
      <c r="B4408" s="8" t="s">
        <v>323</v>
      </c>
      <c r="D4408" s="121" t="str">
        <f>HYPERLINK("http://www.syracuse.va.gov/services/BEHAVIORAL_HEALTH.ASP")</f>
        <v>http://www.syracuse.va.gov/services/BEHAVIORAL_HEALTH.ASP</v>
      </c>
      <c r="E4408" s="8" t="s">
        <v>392</v>
      </c>
    </row>
    <row r="4409" ht="14.25" hidden="1" customHeight="1">
      <c r="A4409" s="8" t="s">
        <v>3420</v>
      </c>
      <c r="B4409" s="8" t="s">
        <v>1507</v>
      </c>
      <c r="D4409" s="121" t="str">
        <f>HYPERLINK("http://www.syracuse.va.gov/services/MENTAL_HEALTH_INTENSIVE_CASE_MANAGEMENT_PROGRAM.ASP")</f>
        <v>http://www.syracuse.va.gov/services/MENTAL_HEALTH_INTENSIVE_CASE_MANAGEMENT_PROGRAM.ASP</v>
      </c>
      <c r="E4409" s="8" t="s">
        <v>392</v>
      </c>
    </row>
    <row r="4410" ht="14.25" hidden="1" customHeight="1">
      <c r="A4410" s="8" t="s">
        <v>3420</v>
      </c>
      <c r="B4410" s="8" t="s">
        <v>445</v>
      </c>
      <c r="D4410" s="121" t="str">
        <f>HYPERLINK("http://www.syracuse.va.gov/services/MILITARY_SEXUAL_TRAUMA.ASP")</f>
        <v>http://www.syracuse.va.gov/services/MILITARY_SEXUAL_TRAUMA.ASP</v>
      </c>
      <c r="E4410" s="8" t="s">
        <v>392</v>
      </c>
    </row>
    <row r="4411" ht="14.25" hidden="1" customHeight="1">
      <c r="A4411" s="8" t="s">
        <v>3420</v>
      </c>
      <c r="B4411" s="8" t="s">
        <v>332</v>
      </c>
      <c r="D4411" s="121" t="str">
        <f>HYPERLINK("http://www.syracuse.va.gov/services/NUTRITION.ASP")</f>
        <v>http://www.syracuse.va.gov/services/NUTRITION.ASP</v>
      </c>
      <c r="E4411" s="8" t="s">
        <v>392</v>
      </c>
    </row>
    <row r="4412" ht="14.25" hidden="1" customHeight="1">
      <c r="A4412" s="8" t="s">
        <v>3420</v>
      </c>
      <c r="B4412" s="8" t="s">
        <v>852</v>
      </c>
      <c r="D4412" s="121" t="str">
        <f>HYPERLINK("http://www.syracuse.va.gov/services/OB_GYN.ASP")</f>
        <v>http://www.syracuse.va.gov/services/OB_GYN.ASP</v>
      </c>
      <c r="E4412" s="8" t="s">
        <v>392</v>
      </c>
    </row>
    <row r="4413" ht="14.25" hidden="1" customHeight="1">
      <c r="A4413" s="8" t="s">
        <v>3420</v>
      </c>
      <c r="B4413" s="8" t="s">
        <v>338</v>
      </c>
      <c r="D4413" s="121" t="str">
        <f>HYPERLINK("http://www.syracuse.va.gov/services/ORTHOPEDICS.ASP")</f>
        <v>http://www.syracuse.va.gov/services/ORTHOPEDICS.ASP</v>
      </c>
      <c r="E4413" s="8" t="s">
        <v>392</v>
      </c>
    </row>
    <row r="4414" ht="14.25" hidden="1" customHeight="1">
      <c r="A4414" s="8" t="s">
        <v>3420</v>
      </c>
      <c r="B4414" s="8" t="s">
        <v>4115</v>
      </c>
      <c r="D4414" s="121" t="str">
        <f>HYPERLINK("http://www.syracuse.va.gov/services/OTOLARYNGOLOGY_EAR_NOSE_AND_THROAT_ENT.ASP")</f>
        <v>http://www.syracuse.va.gov/services/OTOLARYNGOLOGY_EAR_NOSE_AND_THROAT_ENT.ASP</v>
      </c>
      <c r="E4414" s="8" t="s">
        <v>392</v>
      </c>
    </row>
    <row r="4415" ht="14.25" hidden="1" customHeight="1">
      <c r="A4415" s="8" t="s">
        <v>3420</v>
      </c>
      <c r="B4415" s="8" t="s">
        <v>1974</v>
      </c>
      <c r="D4415" s="121" t="str">
        <f>HYPERLINK("http://www.syracuse.va.gov/services/PTSD.ASP")</f>
        <v>http://www.syracuse.va.gov/services/PTSD.ASP</v>
      </c>
      <c r="E4415" s="8" t="s">
        <v>392</v>
      </c>
    </row>
    <row r="4416" ht="14.25" hidden="1" customHeight="1">
      <c r="A4416" s="8" t="s">
        <v>3420</v>
      </c>
      <c r="B4416" s="8" t="s">
        <v>449</v>
      </c>
      <c r="D4416" s="121" t="str">
        <f>HYPERLINK("http://www.syracuse.va.gov/services/PAIN_MANAGEMENT.ASP")</f>
        <v>http://www.syracuse.va.gov/services/PAIN_MANAGEMENT.ASP</v>
      </c>
      <c r="E4416" s="8" t="s">
        <v>392</v>
      </c>
    </row>
    <row r="4417" ht="14.25" hidden="1" customHeight="1">
      <c r="A4417" s="8" t="s">
        <v>3420</v>
      </c>
      <c r="B4417" s="8" t="s">
        <v>343</v>
      </c>
      <c r="D4417" s="121" t="str">
        <f>HYPERLINK("http://www.syracuse.va.gov/services/PHARMACY.ASP")</f>
        <v>http://www.syracuse.va.gov/services/PHARMACY.ASP</v>
      </c>
      <c r="E4417" s="8" t="s">
        <v>392</v>
      </c>
    </row>
    <row r="4418" ht="14.25" hidden="1" customHeight="1">
      <c r="A4418" s="8" t="s">
        <v>3420</v>
      </c>
      <c r="B4418" s="8" t="s">
        <v>344</v>
      </c>
      <c r="D4418" s="121" t="str">
        <f>HYPERLINK("http://www.syracuse.va.gov/services/OCCUPATIONAL_THERAPY.ASP")</f>
        <v>http://www.syracuse.va.gov/services/OCCUPATIONAL_THERAPY.ASP</v>
      </c>
      <c r="E4418" s="8" t="s">
        <v>392</v>
      </c>
    </row>
    <row r="4419" ht="14.25" hidden="1" customHeight="1">
      <c r="A4419" s="8" t="s">
        <v>3420</v>
      </c>
      <c r="B4419" s="8" t="s">
        <v>450</v>
      </c>
      <c r="D4419" s="121" t="str">
        <f>HYPERLINK("http://www.syracuse.va.gov/services/PODIATRY.ASP")</f>
        <v>http://www.syracuse.va.gov/services/PODIATRY.ASP</v>
      </c>
      <c r="E4419" s="8" t="s">
        <v>392</v>
      </c>
    </row>
    <row r="4420" ht="14.25" hidden="1" customHeight="1">
      <c r="A4420" s="8" t="s">
        <v>3420</v>
      </c>
      <c r="B4420" s="8" t="s">
        <v>451</v>
      </c>
      <c r="D4420" s="121" t="str">
        <f>HYPERLINK("http://www.syracuse.va.gov/services/POLYTRAUMA.ASP")</f>
        <v>http://www.syracuse.va.gov/services/POLYTRAUMA.ASP</v>
      </c>
      <c r="E4420" s="8" t="s">
        <v>392</v>
      </c>
    </row>
    <row r="4421" ht="14.25" hidden="1" customHeight="1">
      <c r="A4421" s="8" t="s">
        <v>3420</v>
      </c>
      <c r="B4421" s="8" t="s">
        <v>348</v>
      </c>
      <c r="D4421" s="121" t="str">
        <f>HYPERLINK("http://www.syracuse.va.gov/services/PRIMARY_CARE.ASP")</f>
        <v>http://www.syracuse.va.gov/services/PRIMARY_CARE.ASP</v>
      </c>
      <c r="E4421" s="8" t="s">
        <v>392</v>
      </c>
    </row>
    <row r="4422" ht="14.25" hidden="1" customHeight="1">
      <c r="A4422" s="8" t="s">
        <v>3420</v>
      </c>
      <c r="B4422" s="8" t="s">
        <v>916</v>
      </c>
      <c r="D4422" s="121" t="str">
        <f>HYPERLINK("http://www.syracuse.va.gov/services/PROSTHETICS.ASP")</f>
        <v>http://www.syracuse.va.gov/services/PROSTHETICS.ASP</v>
      </c>
      <c r="E4422" s="8" t="s">
        <v>392</v>
      </c>
    </row>
    <row r="4423" ht="14.25" hidden="1" customHeight="1">
      <c r="A4423" s="8" t="s">
        <v>3420</v>
      </c>
      <c r="B4423" s="8" t="s">
        <v>1661</v>
      </c>
      <c r="D4423" s="121" t="str">
        <f>HYPERLINK("http://www.syracuse.va.gov/services/PSYCHOSOCIAL_REHABILITATION_AND_RECOVERY_CENTER.ASP")</f>
        <v>http://www.syracuse.va.gov/services/PSYCHOSOCIAL_REHABILITATION_AND_RECOVERY_CENTER.ASP</v>
      </c>
      <c r="E4423" s="8" t="s">
        <v>392</v>
      </c>
    </row>
    <row r="4424" ht="14.25" hidden="1" customHeight="1">
      <c r="A4424" s="8" t="s">
        <v>3420</v>
      </c>
      <c r="B4424" s="8" t="s">
        <v>461</v>
      </c>
      <c r="D4424" s="121" t="str">
        <f>HYPERLINK("http://www.syracuse.va.gov/services/RADIOLOGY.ASP")</f>
        <v>http://www.syracuse.va.gov/services/RADIOLOGY.ASP</v>
      </c>
      <c r="E4424" s="8" t="s">
        <v>392</v>
      </c>
    </row>
    <row r="4425" ht="14.25" hidden="1" customHeight="1">
      <c r="A4425" s="8" t="s">
        <v>3420</v>
      </c>
      <c r="B4425" s="8" t="s">
        <v>463</v>
      </c>
      <c r="D4425" s="121" t="str">
        <f>HYPERLINK("http://www.syracuse.va.gov/services/SPINAL_CORD_INJURY_AND_DISORDERS.ASP")</f>
        <v>http://www.syracuse.va.gov/services/SPINAL_CORD_INJURY_AND_DISORDERS.ASP</v>
      </c>
      <c r="E4425" s="8" t="s">
        <v>392</v>
      </c>
    </row>
    <row r="4426" ht="14.25" hidden="1" customHeight="1">
      <c r="A4426" s="8" t="s">
        <v>3420</v>
      </c>
      <c r="B4426" s="8" t="s">
        <v>4116</v>
      </c>
      <c r="D4426" s="121" t="str">
        <f>HYPERLINK("http://www.syracuse.va.gov/services/SPINE_ORTHOPEDICS.ASP")</f>
        <v>http://www.syracuse.va.gov/services/SPINE_ORTHOPEDICS.ASP</v>
      </c>
      <c r="E4426" s="8" t="s">
        <v>392</v>
      </c>
    </row>
    <row r="4427" ht="14.25" hidden="1" customHeight="1">
      <c r="A4427" s="8" t="s">
        <v>3420</v>
      </c>
      <c r="B4427" s="8" t="s">
        <v>1180</v>
      </c>
      <c r="D4427" s="121" t="str">
        <f>HYPERLINK("http://www.syracuse.va.gov/services/SUBSTANCE_ABUSE.ASP")</f>
        <v>http://www.syracuse.va.gov/services/SUBSTANCE_ABUSE.ASP</v>
      </c>
      <c r="E4427" s="8" t="s">
        <v>392</v>
      </c>
    </row>
    <row r="4428" ht="14.25" hidden="1" customHeight="1">
      <c r="A4428" s="8" t="s">
        <v>3420</v>
      </c>
      <c r="B4428" s="8" t="s">
        <v>370</v>
      </c>
      <c r="D4428" s="121" t="str">
        <f>HYPERLINK("http://www.syracuse.va.gov/services/TELEHEALTH.ASP")</f>
        <v>http://www.syracuse.va.gov/services/TELEHEALTH.ASP</v>
      </c>
      <c r="E4428" s="8" t="s">
        <v>392</v>
      </c>
    </row>
    <row r="4429" ht="14.25" hidden="1" customHeight="1">
      <c r="A4429" s="8" t="s">
        <v>3420</v>
      </c>
      <c r="B4429" s="8" t="s">
        <v>370</v>
      </c>
      <c r="D4429" s="121" t="str">
        <f>HYPERLINK("http://www.syracuse.va.gov/services/HOME_TELEHEALTH.ASP")</f>
        <v>http://www.syracuse.va.gov/services/HOME_TELEHEALTH.ASP</v>
      </c>
      <c r="E4429" s="8" t="s">
        <v>392</v>
      </c>
    </row>
    <row r="4430" ht="14.25" hidden="1" customHeight="1">
      <c r="A4430" s="8" t="s">
        <v>3420</v>
      </c>
      <c r="B4430" s="8" t="s">
        <v>4117</v>
      </c>
      <c r="D4430" s="121" t="str">
        <f>HYPERLINK("http://www.syracuse.va.gov/services/OEF_OIF_OND.ASP")</f>
        <v>http://www.syracuse.va.gov/services/OEF_OIF_OND.ASP</v>
      </c>
      <c r="E4430" s="8" t="s">
        <v>392</v>
      </c>
    </row>
    <row r="4431" ht="14.25" hidden="1" customHeight="1">
      <c r="A4431" s="8" t="s">
        <v>3420</v>
      </c>
      <c r="B4431" s="8" t="s">
        <v>469</v>
      </c>
      <c r="D4431" s="121" t="str">
        <f>HYPERLINK("http://www.syracuse.va.gov/services/UROLOGY.ASP")</f>
        <v>http://www.syracuse.va.gov/services/UROLOGY.ASP</v>
      </c>
      <c r="E4431" s="8" t="s">
        <v>392</v>
      </c>
    </row>
    <row r="4432" ht="14.25" hidden="1" customHeight="1">
      <c r="A4432" s="8" t="s">
        <v>3420</v>
      </c>
      <c r="B4432" s="8" t="s">
        <v>470</v>
      </c>
      <c r="D4432" s="121" t="str">
        <f>HYPERLINK("http://www.syracuse.va.gov/services/VA_NURSE_HELPLINE.ASP")</f>
        <v>http://www.syracuse.va.gov/services/VA_NURSE_HELPLINE.ASP</v>
      </c>
      <c r="E4432" s="8" t="s">
        <v>392</v>
      </c>
    </row>
    <row r="4433" ht="14.25" hidden="1" customHeight="1">
      <c r="A4433" s="8" t="s">
        <v>3420</v>
      </c>
      <c r="B4433" s="8" t="s">
        <v>1362</v>
      </c>
      <c r="D4433" s="121" t="str">
        <f>HYPERLINK("http://www.syracuse.va.gov/services/VASCULAR_SURGERY.ASP")</f>
        <v>http://www.syracuse.va.gov/services/VASCULAR_SURGERY.ASP</v>
      </c>
      <c r="E4433" s="8" t="s">
        <v>392</v>
      </c>
    </row>
    <row r="4434" ht="14.25" hidden="1" customHeight="1">
      <c r="A4434" s="8" t="s">
        <v>3420</v>
      </c>
      <c r="B4434" s="8" t="s">
        <v>471</v>
      </c>
      <c r="D4434" s="121" t="str">
        <f>HYPERLINK("http://www.syracuse.va.gov/services/VISION.ASP")</f>
        <v>http://www.syracuse.va.gov/services/VISION.ASP</v>
      </c>
      <c r="E4434" s="8" t="s">
        <v>392</v>
      </c>
    </row>
    <row r="4435" ht="14.25" hidden="1" customHeight="1">
      <c r="A4435" s="8" t="s">
        <v>3420</v>
      </c>
      <c r="B4435" s="8" t="s">
        <v>4118</v>
      </c>
      <c r="D4435" s="121" t="str">
        <f>HYPERLINK("http://www.syracuse.va.gov/services/WHOLE_HEALTH_FOR_LIFE.ASP")</f>
        <v>http://www.syracuse.va.gov/services/WHOLE_HEALTH_FOR_LIFE.ASP</v>
      </c>
      <c r="E4435" s="8" t="s">
        <v>392</v>
      </c>
    </row>
    <row r="4436" ht="14.25" hidden="1" customHeight="1">
      <c r="A4436" s="8" t="s">
        <v>3436</v>
      </c>
      <c r="B4436" s="8" t="s">
        <v>624</v>
      </c>
      <c r="D4436" s="121" t="str">
        <f>HYPERLINK("http://www.tampa.va.gov/services/APPOINTMENTS-SCHEDULING.ASP")</f>
        <v>http://www.tampa.va.gov/services/APPOINTMENTS-SCHEDULING.ASP</v>
      </c>
      <c r="E4436" s="8" t="s">
        <v>392</v>
      </c>
    </row>
    <row r="4437" ht="14.25" hidden="1" customHeight="1">
      <c r="A4437" s="8" t="s">
        <v>3436</v>
      </c>
      <c r="B4437" s="8" t="s">
        <v>4119</v>
      </c>
      <c r="D4437" s="121" t="str">
        <f>HYPERLINK("http://www.tampa.va.gov/services/ASSISTIVE_TECHNOLOGY_PROGRAM.ASP")</f>
        <v>http://www.tampa.va.gov/services/ASSISTIVE_TECHNOLOGY_PROGRAM.ASP</v>
      </c>
      <c r="E4437" s="8" t="s">
        <v>392</v>
      </c>
    </row>
    <row r="4438" ht="14.25" hidden="1" customHeight="1">
      <c r="A4438" s="8" t="s">
        <v>3436</v>
      </c>
      <c r="B4438" s="8" t="s">
        <v>244</v>
      </c>
      <c r="D4438" s="121" t="str">
        <f>HYPERLINK("http://www.tampa.va.gov/services/AUDIOLOGY.ASP")</f>
        <v>http://www.tampa.va.gov/services/AUDIOLOGY.ASP</v>
      </c>
      <c r="E4438" s="8" t="s">
        <v>392</v>
      </c>
    </row>
    <row r="4439" ht="14.25" hidden="1" customHeight="1">
      <c r="A4439" s="8" t="s">
        <v>3436</v>
      </c>
      <c r="B4439" s="8" t="s">
        <v>636</v>
      </c>
      <c r="D4439" s="121" t="str">
        <f>HYPERLINK("http://www.tampa.va.gov/services/BENEFICIARY_TRAVEL.ASP")</f>
        <v>http://www.tampa.va.gov/services/BENEFICIARY_TRAVEL.ASP</v>
      </c>
      <c r="E4439" s="8" t="s">
        <v>392</v>
      </c>
    </row>
    <row r="4440" ht="14.25" hidden="1" customHeight="1">
      <c r="A4440" s="8" t="s">
        <v>3436</v>
      </c>
      <c r="B4440" s="8" t="s">
        <v>998</v>
      </c>
      <c r="D4440" s="121" t="str">
        <f>HYPERLINK("http://www.tampa.va.gov/services/BILLING.ASP")</f>
        <v>http://www.tampa.va.gov/services/BILLING.ASP</v>
      </c>
      <c r="E4440" s="8" t="s">
        <v>392</v>
      </c>
    </row>
    <row r="4441" ht="14.25" hidden="1" customHeight="1">
      <c r="A4441" s="8" t="s">
        <v>3436</v>
      </c>
      <c r="B4441" s="8" t="s">
        <v>4120</v>
      </c>
      <c r="D4441" s="121" t="str">
        <f>HYPERLINK("http://www.tampa.va.gov/services/BROOKSVILLE_COMMUNITY_BASED_OUTPATIENT_CLINIC.ASP")</f>
        <v>http://www.tampa.va.gov/services/BROOKSVILLE_COMMUNITY_BASED_OUTPATIENT_CLINIC.ASP</v>
      </c>
      <c r="E4441" s="8" t="s">
        <v>392</v>
      </c>
    </row>
    <row r="4442" ht="14.25" hidden="1" customHeight="1">
      <c r="A4442" s="8" t="s">
        <v>3436</v>
      </c>
      <c r="B4442" s="8" t="s">
        <v>4032</v>
      </c>
      <c r="D4442" s="121" t="str">
        <f>HYPERLINK("http://www.tampa.va.gov/services/BURIAL_BENEFITS.ASP")</f>
        <v>http://www.tampa.va.gov/services/BURIAL_BENEFITS.ASP</v>
      </c>
      <c r="E4442" s="8" t="s">
        <v>392</v>
      </c>
    </row>
    <row r="4443" ht="14.25" hidden="1" customHeight="1">
      <c r="A4443" s="8" t="s">
        <v>3436</v>
      </c>
      <c r="B4443" s="8" t="s">
        <v>1532</v>
      </c>
      <c r="D4443" s="121" t="str">
        <f>HYPERLINK("http://www.tampa.va.gov/services/CANTEEN_SERVICES.ASP")</f>
        <v>http://www.tampa.va.gov/services/CANTEEN_SERVICES.ASP</v>
      </c>
      <c r="E4443" s="8" t="s">
        <v>392</v>
      </c>
    </row>
    <row r="4444" ht="14.25" hidden="1" customHeight="1">
      <c r="A4444" s="8" t="s">
        <v>3436</v>
      </c>
      <c r="B4444" s="8" t="s">
        <v>414</v>
      </c>
      <c r="D4444" s="121" t="str">
        <f>HYPERLINK("http://www.tampa.va.gov/services/CARDIOLOGY.ASP")</f>
        <v>http://www.tampa.va.gov/services/CARDIOLOGY.ASP</v>
      </c>
      <c r="E4444" s="8" t="s">
        <v>392</v>
      </c>
    </row>
    <row r="4445" ht="14.25" hidden="1" customHeight="1">
      <c r="A4445" s="8" t="s">
        <v>3436</v>
      </c>
      <c r="B4445" s="8" t="s">
        <v>4121</v>
      </c>
      <c r="D4445" s="121" t="str">
        <f>HYPERLINK("http://www.tampa.va.gov/services/CAREGIVER_SUPPORT_LINE.ASP")</f>
        <v>http://www.tampa.va.gov/services/CAREGIVER_SUPPORT_LINE.ASP</v>
      </c>
      <c r="E4445" s="8" t="s">
        <v>392</v>
      </c>
    </row>
    <row r="4446" ht="14.25" hidden="1" customHeight="1">
      <c r="A4446" s="8" t="s">
        <v>3436</v>
      </c>
      <c r="B4446" s="8" t="s">
        <v>4122</v>
      </c>
      <c r="D4446" s="121" t="str">
        <f>HYPERLINK("http://www.tampa.va.gov/services/CHRONIC_PAIN_REHABILITATION_PROGRAM.ASP")</f>
        <v>http://www.tampa.va.gov/services/CHRONIC_PAIN_REHABILITATION_PROGRAM.ASP</v>
      </c>
      <c r="E4446" s="8" t="s">
        <v>392</v>
      </c>
    </row>
    <row r="4447" ht="14.25" hidden="1" customHeight="1">
      <c r="A4447" s="8" t="s">
        <v>3436</v>
      </c>
      <c r="B4447" s="8" t="s">
        <v>4123</v>
      </c>
      <c r="D4447" s="121" t="str">
        <f>HYPERLINK("http://www.tampa.va.gov/services/CLINICAL_CONTACT_CENTER.ASP")</f>
        <v>http://www.tampa.va.gov/services/CLINICAL_CONTACT_CENTER.ASP</v>
      </c>
      <c r="E4447" s="8" t="s">
        <v>392</v>
      </c>
    </row>
    <row r="4448" ht="14.25" hidden="1" customHeight="1">
      <c r="A4448" s="8" t="s">
        <v>3436</v>
      </c>
      <c r="B4448" s="8" t="s">
        <v>1540</v>
      </c>
      <c r="D4448" s="121" t="str">
        <f>HYPERLINK("http://www.tampa.va.gov/services/COMMUNITY_OUTREACH.ASP")</f>
        <v>http://www.tampa.va.gov/services/COMMUNITY_OUTREACH.ASP</v>
      </c>
      <c r="E4448" s="8" t="s">
        <v>392</v>
      </c>
    </row>
    <row r="4449" ht="14.25" hidden="1" customHeight="1">
      <c r="A4449" s="8" t="s">
        <v>3436</v>
      </c>
      <c r="B4449" s="8" t="s">
        <v>455</v>
      </c>
      <c r="D4449" s="121" t="str">
        <f>HYPERLINK("http://www.tampa.va.gov/services/COMPENSATION_AND_PENSION.ASP")</f>
        <v>http://www.tampa.va.gov/services/COMPENSATION_AND_PENSION.ASP</v>
      </c>
      <c r="E4449" s="8" t="s">
        <v>392</v>
      </c>
    </row>
    <row r="4450" ht="14.25" hidden="1" customHeight="1">
      <c r="A4450" s="8" t="s">
        <v>3436</v>
      </c>
      <c r="B4450" s="8" t="s">
        <v>4124</v>
      </c>
      <c r="D4450" s="121" t="str">
        <f>HYPERLINK("http://www.tampa.va.gov/services/COMPREHENSIVE_INTEGRATED_INPATIENT_REHABILITATION_PROGRAM_CIIRP.ASP")</f>
        <v>http://www.tampa.va.gov/services/COMPREHENSIVE_INTEGRATED_INPATIENT_REHABILITATION_PROGRAM_CIIRP.ASP</v>
      </c>
      <c r="E4450" s="8" t="s">
        <v>392</v>
      </c>
    </row>
    <row r="4451" ht="14.25" hidden="1" customHeight="1">
      <c r="A4451" s="8" t="s">
        <v>3436</v>
      </c>
      <c r="B4451" s="8" t="s">
        <v>872</v>
      </c>
      <c r="D4451" s="121" t="str">
        <f>HYPERLINK("http://www.tampa.va.gov/services/PATIENT_ADVOCATE.ASP")</f>
        <v>http://www.tampa.va.gov/services/PATIENT_ADVOCATE.ASP</v>
      </c>
      <c r="E4451" s="8" t="s">
        <v>595</v>
      </c>
    </row>
    <row r="4452" ht="14.25" hidden="1" customHeight="1">
      <c r="A4452" s="8" t="s">
        <v>3436</v>
      </c>
      <c r="B4452" s="8" t="s">
        <v>483</v>
      </c>
      <c r="D4452" s="121" t="str">
        <f>HYPERLINK("http://www.tampa.va.gov/services/DECEDENT_AFFAIRS.ASP")</f>
        <v>http://www.tampa.va.gov/services/DECEDENT_AFFAIRS.ASP</v>
      </c>
      <c r="E4452" s="8" t="s">
        <v>392</v>
      </c>
    </row>
    <row r="4453" ht="14.25" hidden="1" customHeight="1">
      <c r="A4453" s="8" t="s">
        <v>3436</v>
      </c>
      <c r="B4453" s="8" t="s">
        <v>4125</v>
      </c>
      <c r="D4453" s="121" t="str">
        <f>HYPERLINK("http://www.tampa.va.gov/services/DENTAL_CARE.ASP")</f>
        <v>http://www.tampa.va.gov/services/DENTAL_CARE.ASP</v>
      </c>
      <c r="E4453" s="8" t="s">
        <v>392</v>
      </c>
    </row>
    <row r="4454" ht="14.25" hidden="1" customHeight="1">
      <c r="A4454" s="8" t="s">
        <v>3436</v>
      </c>
      <c r="B4454" s="8" t="s">
        <v>517</v>
      </c>
      <c r="D4454" s="121" t="str">
        <f>HYPERLINK("http://www.tampa.va.gov/services/DERMATOLOGY.ASP")</f>
        <v>http://www.tampa.va.gov/services/DERMATOLOGY.ASP</v>
      </c>
      <c r="E4454" s="8" t="s">
        <v>392</v>
      </c>
    </row>
    <row r="4455" ht="14.25" hidden="1" customHeight="1">
      <c r="A4455" s="8" t="s">
        <v>3436</v>
      </c>
      <c r="B4455" s="8" t="s">
        <v>1546</v>
      </c>
      <c r="D4455" s="121" t="str">
        <f>HYPERLINK("http://www.tampa.va.gov/services/DISABLED_AMERICAN_VETERANS.ASP")</f>
        <v>http://www.tampa.va.gov/services/DISABLED_AMERICAN_VETERANS.ASP</v>
      </c>
      <c r="E4455" s="8" t="s">
        <v>392</v>
      </c>
    </row>
    <row r="4456" ht="14.25" hidden="1" customHeight="1">
      <c r="A4456" s="8" t="s">
        <v>3436</v>
      </c>
      <c r="B4456" s="8" t="s">
        <v>875</v>
      </c>
      <c r="D4456" s="121" t="str">
        <f>HYPERLINK("http://www.tampa.va.gov/services/DOMICILIARY.ASP")</f>
        <v>http://www.tampa.va.gov/services/DOMICILIARY.ASP</v>
      </c>
      <c r="E4456" s="8" t="s">
        <v>392</v>
      </c>
    </row>
    <row r="4457" ht="14.25" hidden="1" customHeight="1">
      <c r="A4457" s="8" t="s">
        <v>3436</v>
      </c>
      <c r="B4457" s="8" t="s">
        <v>4126</v>
      </c>
      <c r="D4457" s="121" t="str">
        <f>HYPERLINK("http://www.tampa.va.gov/services/ENROLLMENT_CENTER.ASP")</f>
        <v>http://www.tampa.va.gov/services/ENROLLMENT_CENTER.ASP</v>
      </c>
      <c r="E4457" s="8" t="s">
        <v>392</v>
      </c>
    </row>
    <row r="4458" ht="14.25" hidden="1" customHeight="1">
      <c r="A4458" s="8" t="s">
        <v>3436</v>
      </c>
      <c r="B4458" s="8" t="s">
        <v>719</v>
      </c>
      <c r="D4458" s="121" t="str">
        <f>HYPERLINK("http://www.tampa.va.gov/services/EYE_CLINIC.ASP")</f>
        <v>http://www.tampa.va.gov/services/EYE_CLINIC.ASP</v>
      </c>
      <c r="E4458" s="8" t="s">
        <v>392</v>
      </c>
    </row>
    <row r="4459" ht="14.25" hidden="1" customHeight="1">
      <c r="A4459" s="8" t="s">
        <v>3436</v>
      </c>
      <c r="B4459" s="8" t="s">
        <v>1344</v>
      </c>
      <c r="D4459" s="121" t="str">
        <f>HYPERLINK("http://www.tampa.va.gov/services/FISHER_HOUSE.ASP")</f>
        <v>http://www.tampa.va.gov/services/FISHER_HOUSE.ASP</v>
      </c>
      <c r="E4459" s="8" t="s">
        <v>392</v>
      </c>
    </row>
    <row r="4460" ht="14.25" hidden="1" customHeight="1">
      <c r="A4460" s="8" t="s">
        <v>3436</v>
      </c>
      <c r="B4460" s="8" t="s">
        <v>486</v>
      </c>
      <c r="D4460" s="121" t="str">
        <f>HYPERLINK("http://www.tampa.va.gov/services/FORMER_POW_ADVOCATE.ASP")</f>
        <v>http://www.tampa.va.gov/services/FORMER_POW_ADVOCATE.ASP</v>
      </c>
      <c r="E4460" s="8" t="s">
        <v>392</v>
      </c>
    </row>
    <row r="4461" ht="14.25" hidden="1" customHeight="1">
      <c r="A4461" s="8" t="s">
        <v>3436</v>
      </c>
      <c r="B4461" s="8" t="s">
        <v>4127</v>
      </c>
      <c r="D4461" s="121" t="str">
        <f>HYPERLINK("http://www.tampa.va.gov/services/HALEY_S_COVE_COMMUNITY_LIVING_CENTER.ASP")</f>
        <v>http://www.tampa.va.gov/services/HALEY_S_COVE_COMMUNITY_LIVING_CENTER.ASP</v>
      </c>
      <c r="E4461" s="8" t="s">
        <v>392</v>
      </c>
    </row>
    <row r="4462" ht="14.25" hidden="1" customHeight="1">
      <c r="A4462" s="8" t="s">
        <v>3436</v>
      </c>
      <c r="B4462" s="8" t="s">
        <v>2062</v>
      </c>
      <c r="D4462" s="121" t="str">
        <f>HYPERLINK("http://www.tampa.va.gov/services/EDUCATION.ASP")</f>
        <v>http://www.tampa.va.gov/services/EDUCATION.ASP</v>
      </c>
      <c r="E4462" s="8" t="s">
        <v>392</v>
      </c>
    </row>
    <row r="4463" ht="14.25" hidden="1" customHeight="1">
      <c r="A4463" s="8" t="s">
        <v>3436</v>
      </c>
      <c r="B4463" s="8" t="s">
        <v>431</v>
      </c>
      <c r="D4463" s="121" t="str">
        <f>HYPERLINK("http://www.tampa.va.gov/services/HOME_BASED_PRIMARY_CARE.ASP")</f>
        <v>http://www.tampa.va.gov/services/HOME_BASED_PRIMARY_CARE.ASP</v>
      </c>
      <c r="E4463" s="8" t="s">
        <v>392</v>
      </c>
    </row>
    <row r="4464" ht="14.25" hidden="1" customHeight="1">
      <c r="A4464" s="8" t="s">
        <v>3436</v>
      </c>
      <c r="B4464" s="8" t="s">
        <v>1995</v>
      </c>
      <c r="D4464" s="121" t="str">
        <f>HYPERLINK("http://www.tampa.va.gov/services/HOME_AND_COMMUNITY_CARE.ASP")</f>
        <v>http://www.tampa.va.gov/services/HOME_AND_COMMUNITY_CARE.ASP</v>
      </c>
      <c r="E4464" s="8" t="s">
        <v>392</v>
      </c>
    </row>
    <row r="4465" ht="14.25" hidden="1" customHeight="1">
      <c r="A4465" s="8" t="s">
        <v>3436</v>
      </c>
      <c r="B4465" s="8" t="s">
        <v>2198</v>
      </c>
      <c r="D4465" s="121" t="str">
        <f>HYPERLINK("http://www.tampa.va.gov/services/LGBT_VETERAN_CARE_COORDINATOR.ASP")</f>
        <v>http://www.tampa.va.gov/services/LGBT_VETERAN_CARE_COORDINATOR.ASP</v>
      </c>
      <c r="E4465" s="8" t="s">
        <v>392</v>
      </c>
    </row>
    <row r="4466" ht="14.25" hidden="1" customHeight="1">
      <c r="A4466" s="8" t="s">
        <v>3436</v>
      </c>
      <c r="B4466" s="8" t="s">
        <v>3805</v>
      </c>
      <c r="D4466" s="121" t="str">
        <f>HYPERLINK("http://www.tampa.va.gov/services/LABORATORY_OUTPATIENT.ASP")</f>
        <v>http://www.tampa.va.gov/services/LABORATORY_OUTPATIENT.ASP</v>
      </c>
      <c r="E4466" s="8" t="s">
        <v>392</v>
      </c>
    </row>
    <row r="4467" ht="14.25" hidden="1" customHeight="1">
      <c r="A4467" s="8" t="s">
        <v>3436</v>
      </c>
      <c r="B4467" s="8" t="s">
        <v>4128</v>
      </c>
      <c r="D4467" s="121" t="str">
        <f>HYPERLINK("http://www.tampa.va.gov/services/LAKELAND_COMMUNITY_BASED_OUTPATIENT_CLINIC.ASP")</f>
        <v>http://www.tampa.va.gov/services/LAKELAND_COMMUNITY_BASED_OUTPATIENT_CLINIC.ASP</v>
      </c>
      <c r="E4467" s="8" t="s">
        <v>392</v>
      </c>
    </row>
    <row r="4468" ht="14.25" hidden="1" customHeight="1">
      <c r="A4468" s="8" t="s">
        <v>3436</v>
      </c>
      <c r="B4468" s="8" t="s">
        <v>481</v>
      </c>
      <c r="D4468" s="121" t="str">
        <f>HYPERLINK("http://www.tampa.va.gov/services/LIBRARY.ASP")</f>
        <v>http://www.tampa.va.gov/services/LIBRARY.ASP</v>
      </c>
      <c r="E4468" s="8" t="s">
        <v>392</v>
      </c>
    </row>
    <row r="4469" ht="14.25" hidden="1" customHeight="1">
      <c r="A4469" s="8" t="s">
        <v>3436</v>
      </c>
      <c r="B4469" s="8" t="s">
        <v>683</v>
      </c>
      <c r="D4469" s="121" t="str">
        <f>HYPERLINK("http://www.tampa.va.gov/services/LOST_AND_FOUND.ASP")</f>
        <v>http://www.tampa.va.gov/services/LOST_AND_FOUND.ASP</v>
      </c>
      <c r="E4469" s="8" t="s">
        <v>392</v>
      </c>
    </row>
    <row r="4470" ht="14.25" hidden="1" customHeight="1">
      <c r="A4470" s="8" t="s">
        <v>3436</v>
      </c>
      <c r="B4470" s="8" t="s">
        <v>476</v>
      </c>
      <c r="D4470" s="121" t="str">
        <f>HYPERLINK("http://www.tampa.va.gov/services/MEDICAL_FOSTER_HOME.ASP")</f>
        <v>http://www.tampa.va.gov/services/MEDICAL_FOSTER_HOME.ASP</v>
      </c>
      <c r="E4470" s="8" t="s">
        <v>392</v>
      </c>
    </row>
    <row r="4471" ht="14.25" hidden="1" customHeight="1">
      <c r="A4471" s="8" t="s">
        <v>3436</v>
      </c>
      <c r="B4471" s="8" t="s">
        <v>323</v>
      </c>
      <c r="D4471" s="121" t="str">
        <f>HYPERLINK("http://www.tampa.va.gov/services/MENTAL_HEALTH.ASP")</f>
        <v>http://www.tampa.va.gov/services/MENTAL_HEALTH.ASP</v>
      </c>
      <c r="E4471" s="8" t="s">
        <v>392</v>
      </c>
    </row>
    <row r="4472" ht="14.25" hidden="1" customHeight="1">
      <c r="A4472" s="8" t="s">
        <v>3436</v>
      </c>
      <c r="B4472" s="8" t="s">
        <v>4129</v>
      </c>
      <c r="D4472" s="121" t="str">
        <f>HYPERLINK("http://www.tampa.va.gov/services/SCI.ASP")</f>
        <v>http://www.tampa.va.gov/services/SCI.ASP</v>
      </c>
      <c r="E4472" s="8" t="s">
        <v>392</v>
      </c>
    </row>
    <row r="4473" ht="14.25" hidden="1" customHeight="1">
      <c r="A4473" s="8" t="s">
        <v>3436</v>
      </c>
      <c r="B4473" s="8" t="s">
        <v>1654</v>
      </c>
      <c r="D4473" s="121" t="str">
        <f>HYPERLINK("http://www.tampa.va.gov/services/MILITARY_SEXUAL_TRAUMA_COORDINATOR.ASP")</f>
        <v>http://www.tampa.va.gov/services/MILITARY_SEXUAL_TRAUMA_COORDINATOR.ASP</v>
      </c>
      <c r="E4473" s="8" t="s">
        <v>392</v>
      </c>
    </row>
    <row r="4474" ht="14.25" hidden="1" customHeight="1">
      <c r="A4474" s="8" t="s">
        <v>3436</v>
      </c>
      <c r="B4474" s="8" t="s">
        <v>326</v>
      </c>
      <c r="D4474" s="121" t="str">
        <f>HYPERLINK("http://www.tampa.va.gov/services/MINORITY_VETERANS_PROGRAM.ASP")</f>
        <v>http://www.tampa.va.gov/services/MINORITY_VETERANS_PROGRAM.ASP</v>
      </c>
      <c r="E4474" s="8" t="s">
        <v>392</v>
      </c>
    </row>
    <row r="4475" ht="14.25" hidden="1" customHeight="1">
      <c r="A4475" s="8" t="s">
        <v>3436</v>
      </c>
      <c r="B4475" s="8" t="s">
        <v>707</v>
      </c>
      <c r="D4475" s="121" t="str">
        <f>HYPERLINK("http://www.tampa.va.gov/services/MYHEALTHEVET.ASP")</f>
        <v>http://www.tampa.va.gov/services/MYHEALTHEVET.ASP</v>
      </c>
      <c r="E4475" s="8" t="s">
        <v>392</v>
      </c>
    </row>
    <row r="4476" ht="14.25" hidden="1" customHeight="1">
      <c r="A4476" s="8" t="s">
        <v>3436</v>
      </c>
      <c r="B4476" s="8" t="s">
        <v>4130</v>
      </c>
      <c r="D4476" s="121" t="str">
        <f>HYPERLINK("http://www.tampa.va.gov/services/NEW_PORT_RICHEY_OUTPATIENT_CLINIC.ASP")</f>
        <v>http://www.tampa.va.gov/services/NEW_PORT_RICHEY_OUTPATIENT_CLINIC.ASP</v>
      </c>
      <c r="E4476" s="8" t="s">
        <v>392</v>
      </c>
    </row>
    <row r="4477" ht="14.25" hidden="1" customHeight="1">
      <c r="A4477" s="8" t="s">
        <v>3436</v>
      </c>
      <c r="B4477" s="8" t="s">
        <v>4131</v>
      </c>
      <c r="D4477" s="121" t="str">
        <f>HYPERLINK("http://www.tampa.va.gov/services/NUTRITION_OUTPATIENT_PROGRAMS.ASP")</f>
        <v>http://www.tampa.va.gov/services/NUTRITION_OUTPATIENT_PROGRAMS.ASP</v>
      </c>
      <c r="E4477" s="8" t="s">
        <v>392</v>
      </c>
    </row>
    <row r="4478" ht="14.25" hidden="1" customHeight="1">
      <c r="A4478" s="8" t="s">
        <v>3436</v>
      </c>
      <c r="B4478" s="8" t="s">
        <v>4132</v>
      </c>
      <c r="D4478" s="121" t="str">
        <f>HYPERLINK("http://www.tampa.va.gov/services/PMRS_VOCATIONAL_REHABILITATION.ASP")</f>
        <v>http://www.tampa.va.gov/services/PMRS_VOCATIONAL_REHABILITATION.ASP</v>
      </c>
      <c r="E4478" s="8" t="s">
        <v>392</v>
      </c>
    </row>
    <row r="4479" ht="14.25" hidden="1" customHeight="1">
      <c r="A4479" s="8" t="s">
        <v>3436</v>
      </c>
      <c r="B4479" s="8" t="s">
        <v>4133</v>
      </c>
      <c r="D4479" s="121" t="str">
        <f>HYPERLINK("http://www.tampa.va.gov/services/PATIENT_ADVOCATE.ASP")</f>
        <v>http://www.tampa.va.gov/services/PATIENT_ADVOCATE.ASP</v>
      </c>
      <c r="E4479" s="8" t="s">
        <v>392</v>
      </c>
    </row>
    <row r="4480" ht="14.25" hidden="1" customHeight="1">
      <c r="A4480" s="8" t="s">
        <v>3436</v>
      </c>
      <c r="B4480" s="8" t="s">
        <v>343</v>
      </c>
      <c r="D4480" s="121" t="str">
        <f>HYPERLINK("http://www.tampa.va.gov/services/PHARMACY.ASP")</f>
        <v>http://www.tampa.va.gov/services/PHARMACY.ASP</v>
      </c>
      <c r="E4480" s="8" t="s">
        <v>392</v>
      </c>
    </row>
    <row r="4481" ht="14.25" hidden="1" customHeight="1">
      <c r="A4481" s="8" t="s">
        <v>3436</v>
      </c>
      <c r="B4481" s="8" t="s">
        <v>608</v>
      </c>
      <c r="D4481" s="121" t="str">
        <f>HYPERLINK("http://www.tampa.va.gov/services/PHYSICAL_THERAPY.ASP")</f>
        <v>http://www.tampa.va.gov/services/PHYSICAL_THERAPY.ASP</v>
      </c>
      <c r="E4481" s="8" t="s">
        <v>392</v>
      </c>
    </row>
    <row r="4482" ht="14.25" hidden="1" customHeight="1">
      <c r="A4482" s="8" t="s">
        <v>3436</v>
      </c>
      <c r="B4482" s="8" t="s">
        <v>450</v>
      </c>
      <c r="D4482" s="121" t="str">
        <f>HYPERLINK("http://www.tampa.va.gov/services/PODIATRY.ASP")</f>
        <v>http://www.tampa.va.gov/services/PODIATRY.ASP</v>
      </c>
      <c r="E4482" s="8" t="s">
        <v>392</v>
      </c>
    </row>
    <row r="4483" ht="14.25" hidden="1" customHeight="1">
      <c r="A4483" s="8" t="s">
        <v>3436</v>
      </c>
      <c r="B4483" s="8" t="s">
        <v>4134</v>
      </c>
      <c r="D4483" s="121" t="str">
        <f>HYPERLINK("http://www.tampa.va.gov/services/POLYTRAUMA_TRAUMATIC_BRAIN_INJURY_TBI_REHABILITATION_PROGRAM.ASP")</f>
        <v>http://www.tampa.va.gov/services/POLYTRAUMA_TRAUMATIC_BRAIN_INJURY_TBI_REHABILITATION_PROGRAM.ASP</v>
      </c>
      <c r="E4483" s="8" t="s">
        <v>392</v>
      </c>
    </row>
    <row r="4484" ht="14.25" hidden="1" customHeight="1">
      <c r="A4484" s="8" t="s">
        <v>3436</v>
      </c>
      <c r="B4484" s="8" t="s">
        <v>4135</v>
      </c>
      <c r="D4484" s="121" t="str">
        <f>HYPERLINK("http://www.tampa.va.gov/services/PREP.ASP")</f>
        <v>http://www.tampa.va.gov/services/PREP.ASP</v>
      </c>
      <c r="E4484" s="8" t="s">
        <v>392</v>
      </c>
    </row>
    <row r="4485" ht="14.25" hidden="1" customHeight="1">
      <c r="A4485" s="8" t="s">
        <v>3436</v>
      </c>
      <c r="B4485" s="8" t="s">
        <v>4136</v>
      </c>
      <c r="D4485" s="121" t="str">
        <f>HYPERLINK("http://www.tampa.va.gov/services/POST_DEPLOYMENT_TEAM.ASP")</f>
        <v>http://www.tampa.va.gov/services/POST_DEPLOYMENT_TEAM.ASP</v>
      </c>
      <c r="E4485" s="8" t="s">
        <v>392</v>
      </c>
    </row>
    <row r="4486" ht="14.25" hidden="1" customHeight="1">
      <c r="A4486" s="8" t="s">
        <v>3436</v>
      </c>
      <c r="B4486" s="8" t="s">
        <v>348</v>
      </c>
      <c r="D4486" s="121" t="str">
        <f>HYPERLINK("http://www.tampa.va.gov/services/PRIMARY_CARE.ASP")</f>
        <v>http://www.tampa.va.gov/services/PRIMARY_CARE.ASP</v>
      </c>
      <c r="E4486" s="8" t="s">
        <v>392</v>
      </c>
    </row>
    <row r="4487" ht="14.25" hidden="1" customHeight="1">
      <c r="A4487" s="8" t="s">
        <v>3436</v>
      </c>
      <c r="B4487" s="8" t="s">
        <v>793</v>
      </c>
      <c r="D4487" s="121" t="str">
        <f>HYPERLINK("http://www.tampa.va.gov/services/PRIMARY_CARE_CLINICS.ASP")</f>
        <v>http://www.tampa.va.gov/services/PRIMARY_CARE_CLINICS.ASP</v>
      </c>
      <c r="E4487" s="8" t="s">
        <v>392</v>
      </c>
    </row>
    <row r="4488" ht="14.25" hidden="1" customHeight="1">
      <c r="A4488" s="8" t="s">
        <v>3436</v>
      </c>
      <c r="B4488" s="8" t="s">
        <v>4137</v>
      </c>
      <c r="D4488" s="121" t="str">
        <f>HYPERLINK("http://www.tampa.va.gov/services/SCI_SERVICES_AND_PROGRAMS.ASP")</f>
        <v>http://www.tampa.va.gov/services/SCI_SERVICES_AND_PROGRAMS.ASP</v>
      </c>
      <c r="E4488" s="8" t="s">
        <v>392</v>
      </c>
    </row>
    <row r="4489" ht="14.25" hidden="1" customHeight="1">
      <c r="A4489" s="8" t="s">
        <v>3436</v>
      </c>
      <c r="B4489" s="8" t="s">
        <v>456</v>
      </c>
      <c r="D4489" s="121" t="str">
        <f>HYPERLINK("http://www.tampa.va.gov/services/PROSTHETICS_AND_SENSORY_AIDS.ASP")</f>
        <v>http://www.tampa.va.gov/services/PROSTHETICS_AND_SENSORY_AIDS.ASP</v>
      </c>
      <c r="E4489" s="8" t="s">
        <v>392</v>
      </c>
    </row>
    <row r="4490" ht="14.25" hidden="1" customHeight="1">
      <c r="A4490" s="8" t="s">
        <v>3436</v>
      </c>
      <c r="B4490" s="8" t="s">
        <v>457</v>
      </c>
      <c r="D4490" s="121" t="str">
        <f t="shared" ref="D4490:D4491" si="67">HYPERLINK("http://www.tampa.va.gov/services/RADIATION_ONCOLOGY.ASP")</f>
        <v>http://www.tampa.va.gov/services/RADIATION_ONCOLOGY.ASP</v>
      </c>
      <c r="E4490" s="8" t="s">
        <v>392</v>
      </c>
    </row>
    <row r="4491" ht="14.25" hidden="1" customHeight="1">
      <c r="A4491" s="8" t="s">
        <v>3436</v>
      </c>
      <c r="B4491" s="8" t="s">
        <v>4138</v>
      </c>
      <c r="D4491" s="121" t="str">
        <f t="shared" si="67"/>
        <v>http://www.tampa.va.gov/services/RADIATION_ONCOLOGY.ASP</v>
      </c>
      <c r="E4491" s="8" t="s">
        <v>595</v>
      </c>
    </row>
    <row r="4492" ht="14.25" hidden="1" customHeight="1">
      <c r="A4492" s="8" t="s">
        <v>3436</v>
      </c>
      <c r="B4492" s="8" t="s">
        <v>708</v>
      </c>
      <c r="D4492" s="121" t="str">
        <f>HYPERLINK("http://www.tampa.va.gov/services/ROI.ASP")</f>
        <v>http://www.tampa.va.gov/services/ROI.ASP</v>
      </c>
      <c r="E4492" s="8" t="s">
        <v>392</v>
      </c>
    </row>
    <row r="4493" ht="14.25" hidden="1" customHeight="1">
      <c r="A4493" s="8" t="s">
        <v>3436</v>
      </c>
      <c r="B4493" s="8" t="s">
        <v>508</v>
      </c>
      <c r="D4493" s="121" t="str">
        <f>HYPERLINK("http://www.tampa.va.gov/services/RESEARCH.ASP")</f>
        <v>http://www.tampa.va.gov/services/RESEARCH.ASP</v>
      </c>
      <c r="E4493" s="8" t="s">
        <v>392</v>
      </c>
    </row>
    <row r="4494" ht="14.25" hidden="1" customHeight="1">
      <c r="A4494" s="8" t="s">
        <v>3436</v>
      </c>
      <c r="B4494" s="8" t="s">
        <v>4139</v>
      </c>
      <c r="D4494" s="121" t="str">
        <f>HYPERLINK("http://www.tampa.va.gov/services/SCI.ASP")</f>
        <v>http://www.tampa.va.gov/services/SCI.ASP</v>
      </c>
      <c r="E4494" s="8" t="s">
        <v>595</v>
      </c>
    </row>
    <row r="4495" ht="14.25" hidden="1" customHeight="1">
      <c r="A4495" s="8" t="s">
        <v>3436</v>
      </c>
      <c r="B4495" s="8" t="s">
        <v>360</v>
      </c>
      <c r="D4495" s="121" t="str">
        <f>HYPERLINK("http://www.tampa.va.gov/services/SOCIAL_WORK.ASP")</f>
        <v>http://www.tampa.va.gov/services/SOCIAL_WORK.ASP</v>
      </c>
      <c r="E4495" s="8" t="s">
        <v>392</v>
      </c>
    </row>
    <row r="4496" ht="14.25" hidden="1" customHeight="1">
      <c r="A4496" s="8" t="s">
        <v>3436</v>
      </c>
      <c r="B4496" s="8" t="s">
        <v>4140</v>
      </c>
      <c r="D4496" s="121" t="str">
        <f>HYPERLINK("http://www.tampa.va.gov/services/SOUTH_HILLSBOROUGH_OUTPATIENT_CLINIC.ASP")</f>
        <v>http://www.tampa.va.gov/services/SOUTH_HILLSBOROUGH_OUTPATIENT_CLINIC.ASP</v>
      </c>
      <c r="E4496" s="8" t="s">
        <v>392</v>
      </c>
    </row>
    <row r="4497" ht="14.25" hidden="1" customHeight="1">
      <c r="A4497" s="8" t="s">
        <v>3436</v>
      </c>
      <c r="B4497" s="8" t="s">
        <v>804</v>
      </c>
      <c r="D4497" s="121" t="str">
        <f>HYPERLINK("http://www.tampa.va.gov/services/SPEECH_PATHOLOGY.ASP")</f>
        <v>http://www.tampa.va.gov/services/SPEECH_PATHOLOGY.ASP</v>
      </c>
      <c r="E4497" s="8" t="s">
        <v>392</v>
      </c>
    </row>
    <row r="4498" ht="14.25" hidden="1" customHeight="1">
      <c r="A4498" s="8" t="s">
        <v>3436</v>
      </c>
      <c r="B4498" s="8" t="s">
        <v>3721</v>
      </c>
      <c r="D4498" s="121" t="str">
        <f>HYPERLINK("http://www.tampa.va.gov/services/SURGERY_CLINICS.ASP")</f>
        <v>http://www.tampa.va.gov/services/SURGERY_CLINICS.ASP</v>
      </c>
      <c r="E4498" s="8" t="s">
        <v>392</v>
      </c>
    </row>
    <row r="4499" ht="14.25" hidden="1" customHeight="1">
      <c r="A4499" s="8" t="s">
        <v>3436</v>
      </c>
      <c r="B4499" s="8" t="s">
        <v>4141</v>
      </c>
      <c r="D4499" s="121" t="str">
        <f>HYPERLINK("http://www.tampa.va.gov/services/ASSISTIVE_TECHNOLOGY_PROGRAM.ASP")</f>
        <v>http://www.tampa.va.gov/services/ASSISTIVE_TECHNOLOGY_PROGRAM.ASP</v>
      </c>
      <c r="E4499" s="8" t="s">
        <v>595</v>
      </c>
    </row>
    <row r="4500" ht="14.25" hidden="1" customHeight="1">
      <c r="A4500" s="8" t="s">
        <v>3436</v>
      </c>
      <c r="B4500" s="8" t="s">
        <v>4142</v>
      </c>
      <c r="D4500" s="121" t="str">
        <f>HYPERLINK("http://www.tampa.va.gov/services/TRANSITION_AND_CARE_MANAGEMENT_TEAM.ASP")</f>
        <v>http://www.tampa.va.gov/services/TRANSITION_AND_CARE_MANAGEMENT_TEAM.ASP</v>
      </c>
      <c r="E4500" s="8" t="s">
        <v>392</v>
      </c>
    </row>
    <row r="4501" ht="14.25" hidden="1" customHeight="1">
      <c r="A4501" s="8" t="s">
        <v>3436</v>
      </c>
      <c r="B4501" s="8" t="s">
        <v>1796</v>
      </c>
      <c r="D4501" s="121" t="str">
        <f>HYPERLINK("http://www.tampa.va.gov/services/TRAVELING_VETERAN_COORDINATOR.ASP")</f>
        <v>http://www.tampa.va.gov/services/TRAVELING_VETERAN_COORDINATOR.ASP</v>
      </c>
      <c r="E4501" s="8" t="s">
        <v>392</v>
      </c>
    </row>
    <row r="4502" ht="14.25" hidden="1" customHeight="1">
      <c r="A4502" s="8" t="s">
        <v>3436</v>
      </c>
      <c r="B4502" s="8" t="s">
        <v>511</v>
      </c>
      <c r="D4502" s="121" t="str">
        <f>HYPERLINK("http://www.tampa.va.gov/services/VA_POLICE.ASP")</f>
        <v>http://www.tampa.va.gov/services/VA_POLICE.ASP</v>
      </c>
      <c r="E4502" s="8" t="s">
        <v>392</v>
      </c>
    </row>
    <row r="4503" ht="14.25" hidden="1" customHeight="1">
      <c r="A4503" s="8" t="s">
        <v>3436</v>
      </c>
      <c r="B4503" s="8" t="s">
        <v>501</v>
      </c>
      <c r="D4503" s="121" t="str">
        <f>HYPERLINK("http://www.tampa.va.gov/services/VET_CENTERS.ASP")</f>
        <v>http://www.tampa.va.gov/services/VET_CENTERS.ASP</v>
      </c>
      <c r="E4503" s="8" t="s">
        <v>392</v>
      </c>
    </row>
    <row r="4504" ht="14.25" hidden="1" customHeight="1">
      <c r="A4504" s="8" t="s">
        <v>3436</v>
      </c>
      <c r="B4504" s="8" t="s">
        <v>4143</v>
      </c>
      <c r="D4504" s="121" t="str">
        <f>HYPERLINK("http://www.tampa.va.gov/services/VETERANS_BENEFITS_SERVICE.ASP")</f>
        <v>http://www.tampa.va.gov/services/VETERANS_BENEFITS_SERVICE.ASP</v>
      </c>
      <c r="E4504" s="8" t="s">
        <v>392</v>
      </c>
    </row>
    <row r="4505" ht="14.25" hidden="1" customHeight="1">
      <c r="A4505" s="8" t="s">
        <v>3436</v>
      </c>
      <c r="B4505" s="8" t="s">
        <v>4144</v>
      </c>
      <c r="D4505" s="121" t="str">
        <f>HYPERLINK("http://www.tampa.va.gov/services/VETERANS_EXPERIENCE_OFFICER.ASP")</f>
        <v>http://www.tampa.va.gov/services/VETERANS_EXPERIENCE_OFFICER.ASP</v>
      </c>
      <c r="E4505" s="8" t="s">
        <v>392</v>
      </c>
    </row>
    <row r="4506" ht="14.25" hidden="1" customHeight="1">
      <c r="A4506" s="8" t="s">
        <v>3436</v>
      </c>
      <c r="B4506" s="8" t="s">
        <v>375</v>
      </c>
      <c r="D4506" s="121" t="str">
        <f>HYPERLINK("http://www.tampa.va.gov/services/VOCATIONAL_REHABILITATION.ASP")</f>
        <v>http://www.tampa.va.gov/services/VOCATIONAL_REHABILITATION.ASP</v>
      </c>
      <c r="E4506" s="8" t="s">
        <v>392</v>
      </c>
    </row>
    <row r="4507" ht="14.25" hidden="1" customHeight="1">
      <c r="A4507" s="8" t="s">
        <v>3436</v>
      </c>
      <c r="B4507" s="8" t="s">
        <v>741</v>
      </c>
      <c r="D4507" s="121" t="str">
        <f>HYPERLINK("http://www.tampa.va.gov/services/VOLUNTARY_SERVICES.ASP")</f>
        <v>http://www.tampa.va.gov/services/VOLUNTARY_SERVICES.ASP</v>
      </c>
      <c r="E4507" s="8" t="s">
        <v>392</v>
      </c>
    </row>
    <row r="4508" ht="14.25" hidden="1" customHeight="1">
      <c r="A4508" s="8" t="s">
        <v>3436</v>
      </c>
      <c r="B4508" s="8" t="s">
        <v>973</v>
      </c>
      <c r="D4508" s="121" t="str">
        <f>HYPERLINK("http://www.tampa.va.gov/services/WHOLE_HEALTH.ASP")</f>
        <v>http://www.tampa.va.gov/services/WHOLE_HEALTH.ASP</v>
      </c>
      <c r="E4508" s="8" t="s">
        <v>392</v>
      </c>
    </row>
    <row r="4509" ht="14.25" hidden="1" customHeight="1">
      <c r="A4509" s="8" t="s">
        <v>3436</v>
      </c>
      <c r="B4509" s="8" t="s">
        <v>3305</v>
      </c>
      <c r="D4509" s="121" t="str">
        <f>HYPERLINK("http://www.tampa.va.gov/services/WOMEN_VETERANS_CALL_CENTER.ASP")</f>
        <v>http://www.tampa.va.gov/services/WOMEN_VETERANS_CALL_CENTER.ASP</v>
      </c>
      <c r="E4509" s="8" t="s">
        <v>392</v>
      </c>
    </row>
    <row r="4510" ht="14.25" hidden="1" customHeight="1">
      <c r="A4510" s="8" t="s">
        <v>3436</v>
      </c>
      <c r="B4510" s="8" t="s">
        <v>4145</v>
      </c>
      <c r="D4510" s="121" t="str">
        <f>HYPERLINK("http://www.tampa.va.gov/services/ZEPHYRHILLS_COMMUNITY_BASED_OUTPATIENT_CLINIC.ASP")</f>
        <v>http://www.tampa.va.gov/services/ZEPHYRHILLS_COMMUNITY_BASED_OUTPATIENT_CLINIC.ASP</v>
      </c>
      <c r="E4510" s="8" t="s">
        <v>392</v>
      </c>
    </row>
    <row r="4511" ht="14.25" hidden="1" customHeight="1">
      <c r="A4511" s="8" t="s">
        <v>3446</v>
      </c>
      <c r="B4511" s="8" t="s">
        <v>4146</v>
      </c>
      <c r="D4511" s="121" t="str">
        <f>HYPERLINK("http://www.tennesseevalley.va.gov/services/ADDICTION.ASP")</f>
        <v>http://www.tennesseevalley.va.gov/services/ADDICTION.ASP</v>
      </c>
      <c r="E4511" s="8" t="s">
        <v>392</v>
      </c>
    </row>
    <row r="4512" ht="14.25" hidden="1" customHeight="1">
      <c r="A4512" s="8" t="s">
        <v>3446</v>
      </c>
      <c r="B4512" s="8" t="s">
        <v>862</v>
      </c>
      <c r="D4512" s="121" t="str">
        <f>HYPERLINK("http://www.tennesseevalley.va.gov/services/BLIND_REHABILITATION.ASP")</f>
        <v>http://www.tennesseevalley.va.gov/services/BLIND_REHABILITATION.ASP</v>
      </c>
      <c r="E4512" s="8" t="s">
        <v>392</v>
      </c>
    </row>
    <row r="4513" ht="14.25" hidden="1" customHeight="1">
      <c r="A4513" s="8" t="s">
        <v>3446</v>
      </c>
      <c r="B4513" s="8" t="s">
        <v>513</v>
      </c>
      <c r="D4513" s="121" t="str">
        <f>HYPERLINK("http://www.tennesseevalley.va.gov/services/DENTAL_SERVICES.ASP")</f>
        <v>http://www.tennesseevalley.va.gov/services/DENTAL_SERVICES.ASP</v>
      </c>
      <c r="E4513" s="8" t="s">
        <v>392</v>
      </c>
    </row>
    <row r="4514" ht="14.25" hidden="1" customHeight="1">
      <c r="A4514" s="8" t="s">
        <v>3446</v>
      </c>
      <c r="B4514" s="8" t="s">
        <v>2276</v>
      </c>
      <c r="D4514" s="121" t="str">
        <f>HYPERLINK("http://www.tennesseevalley.va.gov/services/FORMER_PRISONERS_OF_WAR_PROGRAM.ASP")</f>
        <v>http://www.tennesseevalley.va.gov/services/FORMER_PRISONERS_OF_WAR_PROGRAM.ASP</v>
      </c>
      <c r="E4514" s="8" t="s">
        <v>392</v>
      </c>
    </row>
    <row r="4515" ht="14.25" hidden="1" customHeight="1">
      <c r="A4515" s="8" t="s">
        <v>3446</v>
      </c>
      <c r="B4515" s="8" t="s">
        <v>556</v>
      </c>
      <c r="D4515" s="121" t="str">
        <f>HYPERLINK("http://www.tennesseevalley.va.gov/services/GERIATRICS_AND_EXTENDED_CARE.ASP")</f>
        <v>http://www.tennesseevalley.va.gov/services/GERIATRICS_AND_EXTENDED_CARE.ASP</v>
      </c>
      <c r="E4515" s="8" t="s">
        <v>392</v>
      </c>
    </row>
    <row r="4516" ht="14.25" hidden="1" customHeight="1">
      <c r="A4516" s="8" t="s">
        <v>3446</v>
      </c>
      <c r="B4516" s="8" t="s">
        <v>437</v>
      </c>
      <c r="D4516" s="121" t="str">
        <f>HYPERLINK("http://www.tennesseevalley.va.gov/services/HOSPICE_PALLIATIVE_CARE.ASP")</f>
        <v>http://www.tennesseevalley.va.gov/services/HOSPICE_PALLIATIVE_CARE.ASP</v>
      </c>
      <c r="E4516" s="8" t="s">
        <v>392</v>
      </c>
    </row>
    <row r="4517" ht="14.25" hidden="1" customHeight="1">
      <c r="A4517" s="8" t="s">
        <v>3446</v>
      </c>
      <c r="B4517" s="8" t="s">
        <v>1265</v>
      </c>
      <c r="D4517" s="121" t="str">
        <f>HYPERLINK("http://www.tennesseevalley.va.gov/services/LGBT_PROGRAM.ASP")</f>
        <v>http://www.tennesseevalley.va.gov/services/LGBT_PROGRAM.ASP</v>
      </c>
      <c r="E4517" s="8" t="s">
        <v>392</v>
      </c>
    </row>
    <row r="4518" ht="14.25" hidden="1" customHeight="1">
      <c r="A4518" s="8" t="s">
        <v>3446</v>
      </c>
      <c r="B4518" s="8" t="s">
        <v>4147</v>
      </c>
      <c r="D4518" s="121" t="str">
        <f>HYPERLINK("http://www.tennesseevalley.va.gov/services/LOW_VISION_REHABILITATION.ASP")</f>
        <v>http://www.tennesseevalley.va.gov/services/LOW_VISION_REHABILITATION.ASP</v>
      </c>
      <c r="E4518" s="8" t="s">
        <v>392</v>
      </c>
    </row>
    <row r="4519" ht="14.25" hidden="1" customHeight="1">
      <c r="A4519" s="8" t="s">
        <v>3446</v>
      </c>
      <c r="B4519" s="8" t="s">
        <v>3218</v>
      </c>
      <c r="D4519" s="121" t="str">
        <f>HYPERLINK("http://www.tennesseevalley.va.gov/services/MEDICINE_SERVICE.ASP")</f>
        <v>http://www.tennesseevalley.va.gov/services/MEDICINE_SERVICE.ASP</v>
      </c>
      <c r="E4519" s="8" t="s">
        <v>392</v>
      </c>
    </row>
    <row r="4520" ht="14.25" hidden="1" customHeight="1">
      <c r="A4520" s="8" t="s">
        <v>3446</v>
      </c>
      <c r="B4520" s="8" t="s">
        <v>323</v>
      </c>
      <c r="D4520" s="121" t="str">
        <f>HYPERLINK("http://www.tennesseevalley.va.gov/services/MENTAL_HEALTH.ASP")</f>
        <v>http://www.tennesseevalley.va.gov/services/MENTAL_HEALTH.ASP</v>
      </c>
      <c r="E4520" s="8" t="s">
        <v>392</v>
      </c>
    </row>
    <row r="4521" ht="14.25" hidden="1" customHeight="1">
      <c r="A4521" s="8" t="s">
        <v>3446</v>
      </c>
      <c r="B4521" s="8" t="s">
        <v>326</v>
      </c>
      <c r="D4521" s="121" t="str">
        <f>HYPERLINK("http://www.tennesseevalley.va.gov/services/MINORITY_VETERANS_PROGRAM.ASP")</f>
        <v>http://www.tennesseevalley.va.gov/services/MINORITY_VETERANS_PROGRAM.ASP</v>
      </c>
      <c r="E4521" s="8" t="s">
        <v>392</v>
      </c>
    </row>
    <row r="4522" ht="14.25" hidden="1" customHeight="1">
      <c r="A4522" s="8" t="s">
        <v>3446</v>
      </c>
      <c r="B4522" s="8" t="s">
        <v>335</v>
      </c>
      <c r="D4522" s="121" t="str">
        <f>HYPERLINK("http://www.tennesseevalley.va.gov/services/NUTRITION_FOOD_SERVICE.ASP")</f>
        <v>http://www.tennesseevalley.va.gov/services/NUTRITION_FOOD_SERVICE.ASP</v>
      </c>
      <c r="E4522" s="8" t="s">
        <v>392</v>
      </c>
    </row>
    <row r="4523" ht="14.25" hidden="1" customHeight="1">
      <c r="A4523" s="8" t="s">
        <v>3446</v>
      </c>
      <c r="B4523" s="8" t="s">
        <v>343</v>
      </c>
      <c r="D4523" s="121" t="str">
        <f>HYPERLINK("http://www.tennesseevalley.va.gov/services/PHARMACY.ASP")</f>
        <v>http://www.tennesseevalley.va.gov/services/PHARMACY.ASP</v>
      </c>
      <c r="E4523" s="8" t="s">
        <v>392</v>
      </c>
    </row>
    <row r="4524" ht="14.25" hidden="1" customHeight="1">
      <c r="A4524" s="8" t="s">
        <v>3446</v>
      </c>
      <c r="B4524" s="8" t="s">
        <v>345</v>
      </c>
      <c r="D4524" s="121" t="str">
        <f>HYPERLINK("http://www.tennesseevalley.va.gov/services/PHYSICAL_MEDICINE_REHABILITATION.ASP")</f>
        <v>http://www.tennesseevalley.va.gov/services/PHYSICAL_MEDICINE_REHABILITATION.ASP</v>
      </c>
      <c r="E4524" s="8" t="s">
        <v>392</v>
      </c>
    </row>
    <row r="4525" ht="14.25" hidden="1" customHeight="1">
      <c r="A4525" s="8" t="s">
        <v>3446</v>
      </c>
      <c r="B4525" s="8" t="s">
        <v>348</v>
      </c>
      <c r="D4525" s="121" t="str">
        <f>HYPERLINK("http://www.tennesseevalley.va.gov/services/PRIMARY_CARE.ASP")</f>
        <v>http://www.tennesseevalley.va.gov/services/PRIMARY_CARE.ASP</v>
      </c>
      <c r="E4525" s="8" t="s">
        <v>392</v>
      </c>
    </row>
    <row r="4526" ht="14.25" hidden="1" customHeight="1">
      <c r="A4526" s="8" t="s">
        <v>3446</v>
      </c>
      <c r="B4526" s="8" t="s">
        <v>2012</v>
      </c>
      <c r="D4526" s="121" t="str">
        <f>HYPERLINK("http://www.tennesseevalley.va.gov/services/PROSTHETIC_SENSORY_AIDS_SERVICE.ASP")</f>
        <v>http://www.tennesseevalley.va.gov/services/PROSTHETIC_SENSORY_AIDS_SERVICE.ASP</v>
      </c>
      <c r="E4526" s="8" t="s">
        <v>392</v>
      </c>
    </row>
    <row r="4527" ht="14.25" hidden="1" customHeight="1">
      <c r="A4527" s="8" t="s">
        <v>3446</v>
      </c>
      <c r="B4527" s="8" t="s">
        <v>505</v>
      </c>
      <c r="D4527" s="121" t="str">
        <f>HYPERLINK("http://www.tennesseevalley.va.gov/services/RECREATIONTHERAPY.ASP")</f>
        <v>http://www.tennesseevalley.va.gov/services/RECREATIONTHERAPY.ASP</v>
      </c>
      <c r="E4527" s="8" t="s">
        <v>392</v>
      </c>
    </row>
    <row r="4528" ht="14.25" hidden="1" customHeight="1">
      <c r="A4528" s="8" t="s">
        <v>3446</v>
      </c>
      <c r="B4528" s="8" t="s">
        <v>1068</v>
      </c>
      <c r="D4528" s="121" t="str">
        <f>HYPERLINK("http://www.tennesseevalley.va.gov/services/RESIDENTIAL_REHABILITATION_TREATMENT_PROGRAM_RRTP.ASP")</f>
        <v>http://www.tennesseevalley.va.gov/services/RESIDENTIAL_REHABILITATION_TREATMENT_PROGRAM_RRTP.ASP</v>
      </c>
      <c r="E4528" s="8" t="s">
        <v>392</v>
      </c>
    </row>
    <row r="4529" ht="14.25" hidden="1" customHeight="1">
      <c r="A4529" s="8" t="s">
        <v>3446</v>
      </c>
      <c r="B4529" s="8" t="s">
        <v>360</v>
      </c>
      <c r="D4529" s="121" t="str">
        <f>HYPERLINK("http://www.tennesseevalley.va.gov/services/SOCIAL_WORK.ASP")</f>
        <v>http://www.tennesseevalley.va.gov/services/SOCIAL_WORK.ASP</v>
      </c>
      <c r="E4529" s="8" t="s">
        <v>392</v>
      </c>
    </row>
    <row r="4530" ht="14.25" hidden="1" customHeight="1">
      <c r="A4530" s="8" t="s">
        <v>3446</v>
      </c>
      <c r="B4530" s="8" t="s">
        <v>363</v>
      </c>
      <c r="D4530" s="121" t="str">
        <f>HYPERLINK("http://www.tennesseevalley.va.gov/services/SPECIALTY_CARE.ASP")</f>
        <v>http://www.tennesseevalley.va.gov/services/SPECIALTY_CARE.ASP</v>
      </c>
      <c r="E4530" s="8" t="s">
        <v>392</v>
      </c>
    </row>
    <row r="4531" ht="14.25" hidden="1" customHeight="1">
      <c r="A4531" s="8" t="s">
        <v>3446</v>
      </c>
      <c r="B4531" s="8" t="s">
        <v>364</v>
      </c>
      <c r="D4531" s="121" t="str">
        <f>HYPERLINK("http://www.tennesseevalley.va.gov/services/SPINAL_CORD_INJURY.ASP")</f>
        <v>http://www.tennesseevalley.va.gov/services/SPINAL_CORD_INJURY.ASP</v>
      </c>
      <c r="E4531" s="8" t="s">
        <v>392</v>
      </c>
    </row>
    <row r="4532" ht="14.25" hidden="1" customHeight="1">
      <c r="A4532" s="8" t="s">
        <v>3446</v>
      </c>
      <c r="B4532" s="8" t="s">
        <v>4148</v>
      </c>
      <c r="D4532" s="121" t="str">
        <f>HYPERLINK("http://www.tennesseevalley.va.gov/services/STEM_CELL_TRANSPLANT.ASP")</f>
        <v>http://www.tennesseevalley.va.gov/services/STEM_CELL_TRANSPLANT.ASP</v>
      </c>
      <c r="E4532" s="8" t="s">
        <v>392</v>
      </c>
    </row>
    <row r="4533" ht="14.25" hidden="1" customHeight="1">
      <c r="A4533" s="8" t="s">
        <v>3446</v>
      </c>
      <c r="B4533" s="8" t="s">
        <v>4149</v>
      </c>
      <c r="D4533" s="121" t="str">
        <f>HYPERLINK("http://www.tennesseevalley.va.gov/services/ADDICTION.ASP")</f>
        <v>http://www.tennesseevalley.va.gov/services/ADDICTION.ASP</v>
      </c>
      <c r="E4533" s="8" t="s">
        <v>595</v>
      </c>
    </row>
    <row r="4534" ht="14.25" hidden="1" customHeight="1">
      <c r="A4534" s="8" t="s">
        <v>3446</v>
      </c>
      <c r="B4534" s="8" t="s">
        <v>1232</v>
      </c>
      <c r="D4534" s="121" t="str">
        <f>HYPERLINK("http://www.tennesseevalley.va.gov/services/MENTAL_HEALTH.ASP")</f>
        <v>http://www.tennesseevalley.va.gov/services/MENTAL_HEALTH.ASP</v>
      </c>
      <c r="E4534" s="8" t="s">
        <v>595</v>
      </c>
    </row>
    <row r="4535" ht="14.25" hidden="1" customHeight="1">
      <c r="A4535" s="8" t="s">
        <v>3446</v>
      </c>
      <c r="B4535" s="8" t="s">
        <v>722</v>
      </c>
      <c r="D4535" s="121" t="str">
        <f>HYPERLINK("http://www.tennesseevalley.va.gov/services/SURGERY.ASP")</f>
        <v>http://www.tennesseevalley.va.gov/services/SURGERY.ASP</v>
      </c>
      <c r="E4535" s="8" t="s">
        <v>392</v>
      </c>
    </row>
    <row r="4536" ht="14.25" hidden="1" customHeight="1">
      <c r="A4536" s="8" t="s">
        <v>3446</v>
      </c>
      <c r="B4536" s="8" t="s">
        <v>318</v>
      </c>
      <c r="D4536" s="121" t="str">
        <f>HYPERLINK("http://www.tennesseevalley.va.gov/services/VISUAL_IMPAIRMENT_SERVICES.ASP")</f>
        <v>http://www.tennesseevalley.va.gov/services/VISUAL_IMPAIRMENT_SERVICES.ASP</v>
      </c>
      <c r="E4536" s="8" t="s">
        <v>392</v>
      </c>
    </row>
    <row r="4537" ht="14.25" hidden="1" customHeight="1">
      <c r="A4537" s="8" t="s">
        <v>3446</v>
      </c>
      <c r="B4537" s="8" t="s">
        <v>378</v>
      </c>
      <c r="D4537" s="121" t="str">
        <f>HYPERLINK("http://www.tennesseevalley.va.gov/services/WOMEN_VETERANS_PROGRAM.ASP")</f>
        <v>http://www.tennesseevalley.va.gov/services/WOMEN_VETERANS_PROGRAM.ASP</v>
      </c>
      <c r="E4537" s="8" t="s">
        <v>392</v>
      </c>
    </row>
    <row r="4538" ht="14.25" hidden="1" customHeight="1">
      <c r="A4538" s="8" t="s">
        <v>3459</v>
      </c>
      <c r="B4538" s="8" t="s">
        <v>4150</v>
      </c>
      <c r="D4538" s="121" t="str">
        <f>HYPERLINK("http://www.texasvalley.va.gov/services/HOSPICEPALLIATIVE.ASP")</f>
        <v>http://www.texasvalley.va.gov/services/HOSPICEPALLIATIVE.ASP</v>
      </c>
      <c r="E4538" s="8" t="s">
        <v>392</v>
      </c>
    </row>
    <row r="4539" ht="14.25" hidden="1" customHeight="1">
      <c r="A4539" s="8" t="s">
        <v>3459</v>
      </c>
      <c r="B4539" s="8" t="s">
        <v>4125</v>
      </c>
      <c r="D4539" s="121" t="str">
        <f>HYPERLINK("http://www.texasvalley.va.gov/services/DENTAL.ASP")</f>
        <v>http://www.texasvalley.va.gov/services/DENTAL.ASP</v>
      </c>
      <c r="E4539" s="8" t="s">
        <v>392</v>
      </c>
    </row>
    <row r="4540" ht="14.25" hidden="1" customHeight="1">
      <c r="A4540" s="8" t="s">
        <v>3459</v>
      </c>
      <c r="B4540" s="8" t="s">
        <v>519</v>
      </c>
      <c r="D4540" s="121" t="str">
        <f>HYPERLINK("http://www.texasvalley.va.gov/services/FPOW_SVC.ASP")</f>
        <v>http://www.texasvalley.va.gov/services/FPOW_SVC.ASP</v>
      </c>
      <c r="E4540" s="8" t="s">
        <v>392</v>
      </c>
    </row>
    <row r="4541" ht="14.25" hidden="1" customHeight="1">
      <c r="A4541" s="8" t="s">
        <v>3459</v>
      </c>
      <c r="B4541" s="8" t="s">
        <v>556</v>
      </c>
      <c r="D4541" s="121" t="str">
        <f>HYPERLINK("http://www.texasvalley.va.gov/services/GEC.ASP")</f>
        <v>http://www.texasvalley.va.gov/services/GEC.ASP</v>
      </c>
      <c r="E4541" s="8" t="s">
        <v>392</v>
      </c>
    </row>
    <row r="4542" ht="14.25" hidden="1" customHeight="1">
      <c r="A4542" s="8" t="s">
        <v>3459</v>
      </c>
      <c r="B4542" s="8" t="s">
        <v>431</v>
      </c>
      <c r="D4542" s="121" t="str">
        <f>HYPERLINK("http://www.texasvalley.va.gov/services/HBPC.ASP")</f>
        <v>http://www.texasvalley.va.gov/services/HBPC.ASP</v>
      </c>
      <c r="E4542" s="8" t="s">
        <v>392</v>
      </c>
    </row>
    <row r="4543" ht="14.25" hidden="1" customHeight="1">
      <c r="A4543" s="8" t="s">
        <v>3459</v>
      </c>
      <c r="B4543" s="8" t="s">
        <v>4151</v>
      </c>
      <c r="D4543" s="121" t="str">
        <f>HYPERLINK("http://www.texasvalley.va.gov/services/MENTAL_HEALTH_CORPUSOPC.ASP")</f>
        <v>http://www.texasvalley.va.gov/services/MENTAL_HEALTH_CORPUSOPC.ASP</v>
      </c>
      <c r="E4543" s="8" t="s">
        <v>392</v>
      </c>
    </row>
    <row r="4544" ht="14.25" hidden="1" customHeight="1">
      <c r="A4544" s="8" t="s">
        <v>3459</v>
      </c>
      <c r="B4544" s="8" t="s">
        <v>4152</v>
      </c>
      <c r="D4544" s="121" t="str">
        <f>HYPERLINK("http://www.texasvalley.va.gov/services/MENTAL_HEALTH_HARLINGENOPC.ASP")</f>
        <v>http://www.texasvalley.va.gov/services/MENTAL_HEALTH_HARLINGENOPC.ASP</v>
      </c>
      <c r="E4544" s="8" t="s">
        <v>392</v>
      </c>
    </row>
    <row r="4545" ht="14.25" hidden="1" customHeight="1">
      <c r="A4545" s="8" t="s">
        <v>3459</v>
      </c>
      <c r="B4545" s="8" t="s">
        <v>4153</v>
      </c>
      <c r="D4545" s="121" t="str">
        <f>HYPERLINK("http://www.texasvalley.va.gov/services/MENTAL_HEALTH_LAREDOOPC.ASP")</f>
        <v>http://www.texasvalley.va.gov/services/MENTAL_HEALTH_LAREDOOPC.ASP</v>
      </c>
      <c r="E4545" s="8" t="s">
        <v>392</v>
      </c>
    </row>
    <row r="4546" ht="14.25" hidden="1" customHeight="1">
      <c r="A4546" s="8" t="s">
        <v>3459</v>
      </c>
      <c r="B4546" s="8" t="s">
        <v>4154</v>
      </c>
      <c r="D4546" s="121" t="str">
        <f>HYPERLINK("http://www.texasvalley.va.gov/services/MENTAL_HEALTH_MCALLENOPC.ASP")</f>
        <v>http://www.texasvalley.va.gov/services/MENTAL_HEALTH_MCALLENOPC.ASP</v>
      </c>
      <c r="E4546" s="8" t="s">
        <v>392</v>
      </c>
    </row>
    <row r="4547" ht="14.25" hidden="1" customHeight="1">
      <c r="A4547" s="8" t="s">
        <v>3459</v>
      </c>
      <c r="B4547" s="8" t="s">
        <v>4155</v>
      </c>
      <c r="D4547" s="121" t="str">
        <f>HYPERLINK("http://www.texasvalley.va.gov/services/MST.ASP")</f>
        <v>http://www.texasvalley.va.gov/services/MST.ASP</v>
      </c>
      <c r="E4547" s="8" t="s">
        <v>392</v>
      </c>
    </row>
    <row r="4548" ht="14.25" hidden="1" customHeight="1">
      <c r="A4548" s="8" t="s">
        <v>3459</v>
      </c>
      <c r="B4548" s="8" t="s">
        <v>4156</v>
      </c>
      <c r="D4548" s="121" t="str">
        <f>HYPERLINK("http://www.texasvalley.va.gov/services/PHARMACY_HARLINGENOPC.ASP")</f>
        <v>http://www.texasvalley.va.gov/services/PHARMACY_HARLINGENOPC.ASP</v>
      </c>
      <c r="E4548" s="8" t="s">
        <v>392</v>
      </c>
    </row>
    <row r="4549" ht="14.25" hidden="1" customHeight="1">
      <c r="A4549" s="8" t="s">
        <v>3459</v>
      </c>
      <c r="B4549" s="8" t="s">
        <v>4157</v>
      </c>
      <c r="D4549" s="121" t="str">
        <f>HYPERLINK("http://www.texasvalley.va.gov/services/PHARMACY_MCALLENOPC.ASP")</f>
        <v>http://www.texasvalley.va.gov/services/PHARMACY_MCALLENOPC.ASP</v>
      </c>
      <c r="E4549" s="8" t="s">
        <v>392</v>
      </c>
    </row>
    <row r="4550" ht="14.25" hidden="1" customHeight="1">
      <c r="A4550" s="8" t="s">
        <v>3459</v>
      </c>
      <c r="B4550" s="8" t="s">
        <v>345</v>
      </c>
      <c r="D4550" s="121" t="str">
        <f>HYPERLINK("http://www.texasvalley.va.gov/services/PMR.ASP")</f>
        <v>http://www.texasvalley.va.gov/services/PMR.ASP</v>
      </c>
      <c r="E4550" s="8" t="s">
        <v>392</v>
      </c>
    </row>
    <row r="4551" ht="14.25" hidden="1" customHeight="1">
      <c r="A4551" s="8" t="s">
        <v>3459</v>
      </c>
      <c r="B4551" s="8" t="s">
        <v>4158</v>
      </c>
      <c r="D4551" s="121" t="str">
        <f>HYPERLINK("http://www.texasvalley.va.gov/services/REFILL.ASP")</f>
        <v>http://www.texasvalley.va.gov/services/REFILL.ASP</v>
      </c>
      <c r="E4551" s="8" t="s">
        <v>392</v>
      </c>
    </row>
    <row r="4552" ht="14.25" hidden="1" customHeight="1">
      <c r="A4552" s="8" t="s">
        <v>3459</v>
      </c>
      <c r="B4552" s="8" t="s">
        <v>348</v>
      </c>
      <c r="D4552" s="121" t="str">
        <f>HYPERLINK("http://www.texasvalley.va.gov/services/PRIMARY_CARE_SVC.ASP")</f>
        <v>http://www.texasvalley.va.gov/services/PRIMARY_CARE_SVC.ASP</v>
      </c>
      <c r="E4552" s="8" t="s">
        <v>392</v>
      </c>
    </row>
    <row r="4553" ht="14.25" hidden="1" customHeight="1">
      <c r="A4553" s="8" t="s">
        <v>3459</v>
      </c>
      <c r="B4553" s="8" t="s">
        <v>544</v>
      </c>
      <c r="D4553" s="121" t="str">
        <f>HYPERLINK("http://www.texasvalley.va.gov/services/PACT.ASP")</f>
        <v>http://www.texasvalley.va.gov/services/PACT.ASP</v>
      </c>
      <c r="E4553" s="8" t="s">
        <v>392</v>
      </c>
    </row>
    <row r="4554" ht="14.25" hidden="1" customHeight="1">
      <c r="A4554" s="8" t="s">
        <v>3459</v>
      </c>
      <c r="B4554" s="8" t="s">
        <v>354</v>
      </c>
      <c r="D4554" s="121" t="str">
        <f>HYPERLINK("http://www.texasvalley.va.gov/services/PROSTHETICS.ASP")</f>
        <v>http://www.texasvalley.va.gov/services/PROSTHETICS.ASP</v>
      </c>
      <c r="E4554" s="8" t="s">
        <v>392</v>
      </c>
    </row>
    <row r="4555" ht="14.25" hidden="1" customHeight="1">
      <c r="A4555" s="8" t="s">
        <v>3459</v>
      </c>
      <c r="B4555" s="8" t="s">
        <v>360</v>
      </c>
      <c r="D4555" s="121" t="str">
        <f>HYPERLINK("http://www.texasvalley.va.gov/services/SWS.ASP")</f>
        <v>http://www.texasvalley.va.gov/services/SWS.ASP</v>
      </c>
      <c r="E4555" s="8" t="s">
        <v>392</v>
      </c>
    </row>
    <row r="4556" ht="14.25" hidden="1" customHeight="1">
      <c r="A4556" s="8" t="s">
        <v>3459</v>
      </c>
      <c r="B4556" s="8" t="s">
        <v>4159</v>
      </c>
      <c r="D4556" s="121" t="str">
        <f>HYPERLINK("http://www.texasvalley.va.gov/services/SPECIALTYCARE.ASP")</f>
        <v>http://www.texasvalley.va.gov/services/SPECIALTYCARE.ASP</v>
      </c>
      <c r="E4556" s="8" t="s">
        <v>392</v>
      </c>
    </row>
    <row r="4557" ht="14.25" hidden="1" customHeight="1">
      <c r="A4557" s="8" t="s">
        <v>3459</v>
      </c>
      <c r="B4557" s="8" t="s">
        <v>370</v>
      </c>
      <c r="D4557" s="121" t="str">
        <f>HYPERLINK("http://www.texasvalley.va.gov/services/TELEHEALTH.ASP")</f>
        <v>http://www.texasvalley.va.gov/services/TELEHEALTH.ASP</v>
      </c>
      <c r="E4557" s="8" t="s">
        <v>392</v>
      </c>
    </row>
    <row r="4558" ht="14.25" hidden="1" customHeight="1">
      <c r="A4558" s="8" t="s">
        <v>3459</v>
      </c>
      <c r="B4558" s="8" t="s">
        <v>318</v>
      </c>
      <c r="D4558" s="121" t="str">
        <f>HYPERLINK("http://www.texasvalley.va.gov/services/VISUALIMPAIRMENT.ASP")</f>
        <v>http://www.texasvalley.va.gov/services/VISUALIMPAIRMENT.ASP</v>
      </c>
      <c r="E4558" s="8" t="s">
        <v>392</v>
      </c>
    </row>
    <row r="4559" ht="14.25" hidden="1" customHeight="1">
      <c r="A4559" s="8" t="s">
        <v>3459</v>
      </c>
      <c r="B4559" s="8" t="s">
        <v>520</v>
      </c>
      <c r="D4559" s="121" t="str">
        <f>HYPERLINK("http://www.texasvalley.va.gov/services/WOMEN.ASP")</f>
        <v>http://www.texasvalley.va.gov/services/WOMEN.ASP</v>
      </c>
      <c r="E4559" s="8" t="s">
        <v>392</v>
      </c>
    </row>
    <row r="4560" ht="14.25" hidden="1" customHeight="1">
      <c r="A4560" s="8" t="s">
        <v>3473</v>
      </c>
      <c r="B4560" s="8" t="s">
        <v>4160</v>
      </c>
      <c r="D4560" s="121" t="str">
        <f>HYPERLINK("http://www.tomah.va.gov/services/ACUTE_MEDICAL_SERVICE.ASP")</f>
        <v>http://www.tomah.va.gov/services/ACUTE_MEDICAL_SERVICE.ASP</v>
      </c>
      <c r="E4560" s="8" t="s">
        <v>392</v>
      </c>
    </row>
    <row r="4561" ht="14.25" hidden="1" customHeight="1">
      <c r="A4561" s="8" t="s">
        <v>3473</v>
      </c>
      <c r="B4561" s="8" t="s">
        <v>4161</v>
      </c>
      <c r="D4561" s="121" t="str">
        <f>HYPERLINK("http://www.tomah.va.gov/services/ACUTE_PSYCHIATRIC_SERVICE.ASP")</f>
        <v>http://www.tomah.va.gov/services/ACUTE_PSYCHIATRIC_SERVICE.ASP</v>
      </c>
      <c r="E4561" s="8" t="s">
        <v>392</v>
      </c>
    </row>
    <row r="4562" ht="14.25" hidden="1" customHeight="1">
      <c r="A4562" s="8" t="s">
        <v>3473</v>
      </c>
      <c r="B4562" s="8" t="s">
        <v>1116</v>
      </c>
      <c r="D4562" s="121" t="str">
        <f>HYPERLINK("http://www.tomah.va.gov/services/ADAPTIVE_SPORTS.ASP")</f>
        <v>http://www.tomah.va.gov/services/ADAPTIVE_SPORTS.ASP</v>
      </c>
      <c r="E4562" s="8" t="s">
        <v>392</v>
      </c>
    </row>
    <row r="4563" ht="14.25" hidden="1" customHeight="1">
      <c r="A4563" s="8" t="s">
        <v>3473</v>
      </c>
      <c r="B4563" s="8" t="s">
        <v>1526</v>
      </c>
      <c r="D4563" s="121" t="str">
        <f>HYPERLINK("http://www.tomah.va.gov/services/ANTICOAGULATION_CLINIC.ASP")</f>
        <v>http://www.tomah.va.gov/services/ANTICOAGULATION_CLINIC.ASP</v>
      </c>
      <c r="E4563" s="8" t="s">
        <v>392</v>
      </c>
    </row>
    <row r="4564" ht="14.25" hidden="1" customHeight="1">
      <c r="A4564" s="8" t="s">
        <v>3473</v>
      </c>
      <c r="B4564" s="8" t="s">
        <v>635</v>
      </c>
      <c r="D4564" s="121" t="str">
        <f>HYPERLINK("http://www.tomah.va.gov/services/APPOINTMENT_SCHEDULING.ASP")</f>
        <v>http://www.tomah.va.gov/services/APPOINTMENT_SCHEDULING.ASP</v>
      </c>
      <c r="E4564" s="8" t="s">
        <v>392</v>
      </c>
    </row>
    <row r="4565" ht="14.25" hidden="1" customHeight="1">
      <c r="A4565" s="8" t="s">
        <v>3473</v>
      </c>
      <c r="B4565" s="8" t="s">
        <v>4162</v>
      </c>
      <c r="D4565" s="121" t="str">
        <f>HYPERLINK("http://www.tomah.va.gov/services/AQUATIC_THERAPY.ASP")</f>
        <v>http://www.tomah.va.gov/services/AQUATIC_THERAPY.ASP</v>
      </c>
      <c r="E4565" s="8" t="s">
        <v>392</v>
      </c>
    </row>
    <row r="4566" ht="14.25" hidden="1" customHeight="1">
      <c r="A4566" s="8" t="s">
        <v>3473</v>
      </c>
      <c r="B4566" s="8" t="s">
        <v>244</v>
      </c>
      <c r="D4566" s="121" t="str">
        <f>HYPERLINK("http://www.tomah.va.gov/services/AUDIOLOGY_CLINIC.ASP")</f>
        <v>http://www.tomah.va.gov/services/AUDIOLOGY_CLINIC.ASP</v>
      </c>
      <c r="E4566" s="8" t="s">
        <v>392</v>
      </c>
    </row>
    <row r="4567" ht="14.25" hidden="1" customHeight="1">
      <c r="A4567" s="8" t="s">
        <v>3473</v>
      </c>
      <c r="B4567" s="8" t="s">
        <v>4163</v>
      </c>
      <c r="D4567" s="121" t="str">
        <f>HYPERLINK("http://www.tomah.va.gov/services/COUNTY_RESOURCE_GUIDE-JACKSON_COUNTY.ASP")</f>
        <v>http://www.tomah.va.gov/services/COUNTY_RESOURCE_GUIDE-JACKSON_COUNTY.ASP</v>
      </c>
      <c r="E4567" s="8" t="s">
        <v>392</v>
      </c>
    </row>
    <row r="4568" ht="14.25" hidden="1" customHeight="1">
      <c r="A4568" s="8" t="s">
        <v>3473</v>
      </c>
      <c r="B4568" s="8" t="s">
        <v>303</v>
      </c>
      <c r="D4568" s="121" t="str">
        <f>HYPERLINK("http://www.tomah.va.gov/services/DENTAL_CLINIC.ASP")</f>
        <v>http://www.tomah.va.gov/services/DENTAL_CLINIC.ASP</v>
      </c>
      <c r="E4568" s="8" t="s">
        <v>392</v>
      </c>
    </row>
    <row r="4569" ht="14.25" hidden="1" customHeight="1">
      <c r="A4569" s="8" t="s">
        <v>3473</v>
      </c>
      <c r="B4569" s="8" t="s">
        <v>309</v>
      </c>
      <c r="D4569" s="121" t="str">
        <f>HYPERLINK("http://www.tomah.va.gov/services/ECRC.ASP")</f>
        <v>http://www.tomah.va.gov/services/ECRC.ASP</v>
      </c>
      <c r="E4569" s="8" t="s">
        <v>392</v>
      </c>
    </row>
    <row r="4570" ht="14.25" hidden="1" customHeight="1">
      <c r="A4570" s="8" t="s">
        <v>3473</v>
      </c>
      <c r="B4570" s="8" t="s">
        <v>2276</v>
      </c>
      <c r="D4570" s="121" t="str">
        <f>HYPERLINK("http://www.tomah.va.gov/services/FORMER_PRISONERS_OF_WAR_PROGRAM.ASP")</f>
        <v>http://www.tomah.va.gov/services/FORMER_PRISONERS_OF_WAR_PROGRAM.ASP</v>
      </c>
      <c r="E4570" s="8" t="s">
        <v>392</v>
      </c>
    </row>
    <row r="4571" ht="14.25" hidden="1" customHeight="1">
      <c r="A4571" s="8" t="s">
        <v>3473</v>
      </c>
      <c r="B4571" s="8" t="s">
        <v>4164</v>
      </c>
      <c r="D4571" s="121" t="str">
        <f>HYPERLINK("http://www.tomah.va.gov/services/HOMELESS_PROGRAMS.ASP")</f>
        <v>http://www.tomah.va.gov/services/HOMELESS_PROGRAMS.ASP</v>
      </c>
      <c r="E4571" s="8" t="s">
        <v>392</v>
      </c>
    </row>
    <row r="4572" ht="14.25" hidden="1" customHeight="1">
      <c r="A4572" s="8" t="s">
        <v>3473</v>
      </c>
      <c r="B4572" s="8" t="s">
        <v>437</v>
      </c>
      <c r="D4572" s="121" t="str">
        <f>HYPERLINK("http://www.tomah.va.gov/services/HOSPICE_AND_PALLIATIVE_CARE.ASP")</f>
        <v>http://www.tomah.va.gov/services/HOSPICE_AND_PALLIATIVE_CARE.ASP</v>
      </c>
      <c r="E4572" s="8" t="s">
        <v>392</v>
      </c>
    </row>
    <row r="4573" ht="14.25" hidden="1" customHeight="1">
      <c r="A4573" s="8" t="s">
        <v>3473</v>
      </c>
      <c r="B4573" s="8" t="s">
        <v>3821</v>
      </c>
      <c r="D4573" s="121" t="str">
        <f>HYPERLINK("http://www.tomah.va.gov/services/LIBRARY_SERVICES.ASP")</f>
        <v>http://www.tomah.va.gov/services/LIBRARY_SERVICES.ASP</v>
      </c>
      <c r="E4573" s="8" t="s">
        <v>392</v>
      </c>
    </row>
    <row r="4574" ht="14.25" hidden="1" customHeight="1">
      <c r="A4574" s="8" t="s">
        <v>3473</v>
      </c>
      <c r="B4574" s="8" t="s">
        <v>476</v>
      </c>
      <c r="D4574" s="121" t="str">
        <f>HYPERLINK("http://www.tomah.va.gov/services/MEDICAL_FOSTER_HOME.ASP")</f>
        <v>http://www.tomah.va.gov/services/MEDICAL_FOSTER_HOME.ASP</v>
      </c>
      <c r="E4574" s="8" t="s">
        <v>392</v>
      </c>
    </row>
    <row r="4575" ht="14.25" hidden="1" customHeight="1">
      <c r="A4575" s="8" t="s">
        <v>3473</v>
      </c>
      <c r="B4575" s="8" t="s">
        <v>323</v>
      </c>
      <c r="D4575" s="121" t="str">
        <f>HYPERLINK("http://www.tomah.va.gov/services/MENTALHEALTH.ASP")</f>
        <v>http://www.tomah.va.gov/services/MENTALHEALTH.ASP</v>
      </c>
      <c r="E4575" s="8" t="s">
        <v>392</v>
      </c>
    </row>
    <row r="4576" ht="14.25" hidden="1" customHeight="1">
      <c r="A4576" s="8" t="s">
        <v>3473</v>
      </c>
      <c r="B4576" s="8" t="s">
        <v>324</v>
      </c>
      <c r="D4576" s="121" t="str">
        <f>HYPERLINK("http://www.tomah.va.gov/services/MST.ASP")</f>
        <v>http://www.tomah.va.gov/services/MST.ASP</v>
      </c>
      <c r="E4576" s="8" t="s">
        <v>392</v>
      </c>
    </row>
    <row r="4577" ht="14.25" hidden="1" customHeight="1">
      <c r="A4577" s="8" t="s">
        <v>3473</v>
      </c>
      <c r="B4577" s="8" t="s">
        <v>325</v>
      </c>
      <c r="D4577" s="121" t="str">
        <f>HYPERLINK("http://www.tomah.va.gov/services/MINORITY_VETERANS_PROGRAM_COORDINATOR.ASP")</f>
        <v>http://www.tomah.va.gov/services/MINORITY_VETERANS_PROGRAM_COORDINATOR.ASP</v>
      </c>
      <c r="E4577" s="8" t="s">
        <v>392</v>
      </c>
    </row>
    <row r="4578" ht="14.25" hidden="1" customHeight="1">
      <c r="A4578" s="8" t="s">
        <v>3473</v>
      </c>
      <c r="B4578" s="8" t="s">
        <v>4165</v>
      </c>
      <c r="D4578" s="121" t="str">
        <f>HYPERLINK("http://www.tomah.va.gov/services/PTSD_COMBAT.ASP")</f>
        <v>http://www.tomah.va.gov/services/PTSD_COMBAT.ASP</v>
      </c>
      <c r="E4578" s="8" t="s">
        <v>392</v>
      </c>
    </row>
    <row r="4579" ht="14.25" hidden="1" customHeight="1">
      <c r="A4579" s="8" t="s">
        <v>3473</v>
      </c>
      <c r="B4579" s="8" t="s">
        <v>1267</v>
      </c>
      <c r="D4579" s="121" t="str">
        <f>HYPERLINK("http://www.tomah.va.gov/services/PADRECC.ASP")</f>
        <v>http://www.tomah.va.gov/services/PADRECC.ASP</v>
      </c>
      <c r="E4579" s="8" t="s">
        <v>392</v>
      </c>
    </row>
    <row r="4580" ht="14.25" hidden="1" customHeight="1">
      <c r="A4580" s="8" t="s">
        <v>3473</v>
      </c>
      <c r="B4580" s="8" t="s">
        <v>343</v>
      </c>
      <c r="D4580" s="121" t="str">
        <f>HYPERLINK("http://www.tomah.va.gov/services/PHARMACY.ASP")</f>
        <v>http://www.tomah.va.gov/services/PHARMACY.ASP</v>
      </c>
      <c r="E4580" s="8" t="s">
        <v>392</v>
      </c>
    </row>
    <row r="4581" ht="14.25" hidden="1" customHeight="1">
      <c r="A4581" s="8" t="s">
        <v>3473</v>
      </c>
      <c r="B4581" s="8" t="s">
        <v>348</v>
      </c>
      <c r="D4581" s="121" t="str">
        <f>HYPERLINK("http://www.tomah.va.gov/services/PRIMARY.ASP")</f>
        <v>http://www.tomah.va.gov/services/PRIMARY.ASP</v>
      </c>
      <c r="E4581" s="8" t="s">
        <v>392</v>
      </c>
    </row>
    <row r="4582" ht="14.25" hidden="1" customHeight="1">
      <c r="A4582" s="8" t="s">
        <v>3473</v>
      </c>
      <c r="B4582" s="8" t="s">
        <v>3123</v>
      </c>
      <c r="D4582" s="121" t="str">
        <f>HYPERLINK("http://www.tomah.va.gov/services/RRTP.ASP")</f>
        <v>http://www.tomah.va.gov/services/RRTP.ASP</v>
      </c>
      <c r="E4582" s="8" t="s">
        <v>392</v>
      </c>
    </row>
    <row r="4583" ht="14.25" hidden="1" customHeight="1">
      <c r="A4583" s="8" t="s">
        <v>3473</v>
      </c>
      <c r="B4583" s="8" t="s">
        <v>360</v>
      </c>
      <c r="D4583" s="121" t="str">
        <f>HYPERLINK("http://www.tomah.va.gov/services/SOCIALWORK.ASP")</f>
        <v>http://www.tomah.va.gov/services/SOCIALWORK.ASP</v>
      </c>
      <c r="E4583" s="8" t="s">
        <v>392</v>
      </c>
    </row>
    <row r="4584" ht="14.25" hidden="1" customHeight="1">
      <c r="A4584" s="8" t="s">
        <v>3473</v>
      </c>
      <c r="B4584" s="8" t="s">
        <v>363</v>
      </c>
      <c r="D4584" s="121" t="str">
        <f>HYPERLINK("http://www.tomah.va.gov/services/SPECIALTY.ASP")</f>
        <v>http://www.tomah.va.gov/services/SPECIALTY.ASP</v>
      </c>
      <c r="E4584" s="8" t="s">
        <v>392</v>
      </c>
    </row>
    <row r="4585" ht="14.25" hidden="1" customHeight="1">
      <c r="A4585" s="8" t="s">
        <v>3473</v>
      </c>
      <c r="B4585" s="8" t="s">
        <v>4166</v>
      </c>
      <c r="D4585" s="121" t="str">
        <f>HYPERLINK("http://www.tomah.va.gov/services/OEF_OIF_OND.ASP")</f>
        <v>http://www.tomah.va.gov/services/OEF_OIF_OND.ASP</v>
      </c>
      <c r="E4585" s="8" t="s">
        <v>392</v>
      </c>
    </row>
    <row r="4586" ht="14.25" hidden="1" customHeight="1">
      <c r="A4586" s="8" t="s">
        <v>3473</v>
      </c>
      <c r="B4586" s="8" t="s">
        <v>4167</v>
      </c>
      <c r="D4586" s="121" t="str">
        <f>HYPERLINK("http://www.tomah.va.gov/services/VALOR_PROGRAM.ASP")</f>
        <v>http://www.tomah.va.gov/services/VALOR_PROGRAM.ASP</v>
      </c>
      <c r="E4586" s="8" t="s">
        <v>392</v>
      </c>
    </row>
    <row r="4587" ht="14.25" hidden="1" customHeight="1">
      <c r="A4587" s="8" t="s">
        <v>3482</v>
      </c>
      <c r="B4587" s="8" t="s">
        <v>446</v>
      </c>
      <c r="D4587" s="121" t="str">
        <f>HYPERLINK("http://www.topeka.va.gov/services/BEHAVIORAL_HEALTH.ASP")</f>
        <v>http://www.topeka.va.gov/services/BEHAVIORAL_HEALTH.ASP</v>
      </c>
      <c r="E4587" s="8" t="s">
        <v>595</v>
      </c>
    </row>
    <row r="4588" ht="14.25" hidden="1" customHeight="1">
      <c r="A4588" s="8" t="s">
        <v>3482</v>
      </c>
      <c r="B4588" s="8" t="s">
        <v>4168</v>
      </c>
      <c r="D4588" s="121" t="str">
        <f>HYPERLINK("http://www.topeka.va.gov/services/CONTINUOUS_SUPPORTED_SELF_CARE_MENTAL_HEALTH_INTENSIVE_CASE_MANAGEMENT.ASP")</f>
        <v>http://www.topeka.va.gov/services/CONTINUOUS_SUPPORTED_SELF_CARE_MENTAL_HEALTH_INTENSIVE_CASE_MANAGEMENT.ASP</v>
      </c>
      <c r="E4588" s="8" t="s">
        <v>392</v>
      </c>
    </row>
    <row r="4589" ht="14.25" hidden="1" customHeight="1">
      <c r="A4589" s="8" t="s">
        <v>3482</v>
      </c>
      <c r="B4589" s="8" t="s">
        <v>4169</v>
      </c>
      <c r="D4589" s="121" t="str">
        <f>HYPERLINK("http://www.topeka.va.gov/services/DAY_TREATMENT_CENTER.ASP")</f>
        <v>http://www.topeka.va.gov/services/DAY_TREATMENT_CENTER.ASP</v>
      </c>
      <c r="E4589" s="8" t="s">
        <v>392</v>
      </c>
    </row>
    <row r="4590" ht="14.25" hidden="1" customHeight="1">
      <c r="A4590" s="8" t="s">
        <v>3482</v>
      </c>
      <c r="B4590" s="8" t="s">
        <v>556</v>
      </c>
      <c r="D4590" s="121" t="str">
        <f>HYPERLINK("http://www.topeka.va.gov/services/GEC.ASP")</f>
        <v>http://www.topeka.va.gov/services/GEC.ASP</v>
      </c>
      <c r="E4590" s="8" t="s">
        <v>392</v>
      </c>
    </row>
    <row r="4591" ht="14.25" hidden="1" customHeight="1">
      <c r="A4591" s="8" t="s">
        <v>3482</v>
      </c>
      <c r="B4591" s="8" t="s">
        <v>4170</v>
      </c>
      <c r="D4591" s="121" t="str">
        <f>HYPERLINK("http://www.topeka.va.gov/services/GEROPSYCHOLOGY_TOPEKA.ASP")</f>
        <v>http://www.topeka.va.gov/services/GEROPSYCHOLOGY_TOPEKA.ASP</v>
      </c>
      <c r="E4591" s="8" t="s">
        <v>392</v>
      </c>
    </row>
    <row r="4592" ht="14.25" hidden="1" customHeight="1">
      <c r="A4592" s="8" t="s">
        <v>3482</v>
      </c>
      <c r="B4592" s="8" t="s">
        <v>323</v>
      </c>
      <c r="D4592" s="121" t="str">
        <f>HYPERLINK("http://www.topeka.va.gov/services/BEHAVIORAL_HEALTH.ASP")</f>
        <v>http://www.topeka.va.gov/services/BEHAVIORAL_HEALTH.ASP</v>
      </c>
      <c r="E4592" s="8" t="s">
        <v>392</v>
      </c>
    </row>
    <row r="4593" ht="14.25" hidden="1" customHeight="1">
      <c r="A4593" s="8" t="s">
        <v>3482</v>
      </c>
      <c r="B4593" s="8" t="s">
        <v>4171</v>
      </c>
      <c r="D4593" s="121" t="str">
        <f>HYPERLINK("http://www.topeka.va.gov/services/MENTAL_HEALTH_CLINIC_ACUTE_PSYCHIATRY_UNIT.ASP")</f>
        <v>http://www.topeka.va.gov/services/MENTAL_HEALTH_CLINIC_ACUTE_PSYCHIATRY_UNIT.ASP</v>
      </c>
      <c r="E4593" s="8" t="s">
        <v>392</v>
      </c>
    </row>
    <row r="4594" ht="14.25" hidden="1" customHeight="1">
      <c r="A4594" s="8" t="s">
        <v>3482</v>
      </c>
      <c r="B4594" s="8" t="s">
        <v>1510</v>
      </c>
      <c r="D4594" s="121" t="str">
        <f>HYPERLINK("http://www.topeka.va.gov/services/NEUROPSYCHOLOGY_SERVICES.ASP")</f>
        <v>http://www.topeka.va.gov/services/NEUROPSYCHOLOGY_SERVICES.ASP</v>
      </c>
      <c r="E4594" s="8" t="s">
        <v>392</v>
      </c>
    </row>
    <row r="4595" ht="14.25" hidden="1" customHeight="1">
      <c r="A4595" s="8" t="s">
        <v>3482</v>
      </c>
      <c r="B4595" s="8" t="s">
        <v>4172</v>
      </c>
      <c r="D4595" s="121" t="str">
        <f>HYPERLINK("http://www.topeka.va.gov/services/PTSD_CLINICAL_TEAM_PCT_TOPEKA.ASP")</f>
        <v>http://www.topeka.va.gov/services/PTSD_CLINICAL_TEAM_PCT_TOPEKA.ASP</v>
      </c>
      <c r="E4595" s="8" t="s">
        <v>392</v>
      </c>
    </row>
    <row r="4596" ht="14.25" hidden="1" customHeight="1">
      <c r="A4596" s="8" t="s">
        <v>3482</v>
      </c>
      <c r="B4596" s="8" t="s">
        <v>343</v>
      </c>
      <c r="D4596" s="121" t="str">
        <f>HYPERLINK("http://www.topeka.va.gov/services/PHARMACY.ASP")</f>
        <v>http://www.topeka.va.gov/services/PHARMACY.ASP</v>
      </c>
      <c r="E4596" s="8" t="s">
        <v>392</v>
      </c>
    </row>
    <row r="4597" ht="14.25" hidden="1" customHeight="1">
      <c r="A4597" s="8" t="s">
        <v>3482</v>
      </c>
      <c r="B4597" s="8" t="s">
        <v>348</v>
      </c>
      <c r="D4597" s="121" t="str">
        <f>HYPERLINK("http://www.topeka.va.gov/services/PRIMARY_CARE.ASP")</f>
        <v>http://www.topeka.va.gov/services/PRIMARY_CARE.ASP</v>
      </c>
      <c r="E4597" s="8" t="s">
        <v>392</v>
      </c>
    </row>
    <row r="4598" ht="14.25" hidden="1" customHeight="1">
      <c r="A4598" s="8" t="s">
        <v>3482</v>
      </c>
      <c r="B4598" s="8" t="s">
        <v>508</v>
      </c>
      <c r="D4598" s="121" t="str">
        <f>HYPERLINK("http://www.topeka.va.gov/services/RESEARCH_PROGRAM.ASP")</f>
        <v>http://www.topeka.va.gov/services/RESEARCH_PROGRAM.ASP</v>
      </c>
      <c r="E4598" s="8" t="s">
        <v>392</v>
      </c>
    </row>
    <row r="4599" ht="14.25" hidden="1" customHeight="1">
      <c r="A4599" s="8" t="s">
        <v>3482</v>
      </c>
      <c r="B4599" s="8" t="s">
        <v>857</v>
      </c>
      <c r="D4599" s="121" t="str">
        <f>HYPERLINK("http://www.topeka.va.gov/services/SLEEP_CENTER.ASP")</f>
        <v>http://www.topeka.va.gov/services/SLEEP_CENTER.ASP</v>
      </c>
      <c r="E4599" s="8" t="s">
        <v>392</v>
      </c>
    </row>
    <row r="4600" ht="14.25" hidden="1" customHeight="1">
      <c r="A4600" s="8" t="s">
        <v>3482</v>
      </c>
      <c r="B4600" s="8" t="s">
        <v>360</v>
      </c>
      <c r="D4600" s="121" t="str">
        <f>HYPERLINK("http://www.topeka.va.gov/services/SOCIAL_WORK.ASP")</f>
        <v>http://www.topeka.va.gov/services/SOCIAL_WORK.ASP</v>
      </c>
      <c r="E4600" s="8" t="s">
        <v>392</v>
      </c>
    </row>
    <row r="4601" ht="14.25" hidden="1" customHeight="1">
      <c r="A4601" s="8" t="s">
        <v>3482</v>
      </c>
      <c r="B4601" s="8" t="s">
        <v>363</v>
      </c>
      <c r="D4601" s="121" t="str">
        <f>HYPERLINK("http://www.topeka.va.gov/services/SPECIALTY_CARE.ASP")</f>
        <v>http://www.topeka.va.gov/services/SPECIALTY_CARE.ASP</v>
      </c>
      <c r="E4601" s="8" t="s">
        <v>392</v>
      </c>
    </row>
    <row r="4602" ht="14.25" hidden="1" customHeight="1">
      <c r="A4602" s="8" t="s">
        <v>3482</v>
      </c>
      <c r="B4602" s="8" t="s">
        <v>2562</v>
      </c>
      <c r="D4602" s="121" t="str">
        <f>HYPERLINK("http://www.topeka.va.gov/services/SUBSTANCE_USE_DISORDER_TREATMENT.ASP")</f>
        <v>http://www.topeka.va.gov/services/SUBSTANCE_USE_DISORDER_TREATMENT.ASP</v>
      </c>
      <c r="E4602" s="8" t="s">
        <v>392</v>
      </c>
    </row>
    <row r="4603" ht="14.25" hidden="1" customHeight="1">
      <c r="A4603" s="8" t="s">
        <v>3482</v>
      </c>
      <c r="B4603" s="8" t="s">
        <v>370</v>
      </c>
      <c r="D4603" s="121" t="str">
        <f>HYPERLINK("http://www.topeka.va.gov/services/TELEHEALTH.ASP")</f>
        <v>http://www.topeka.va.gov/services/TELEHEALTH.ASP</v>
      </c>
      <c r="E4603" s="8" t="s">
        <v>392</v>
      </c>
    </row>
    <row r="4604" ht="14.25" hidden="1" customHeight="1">
      <c r="A4604" s="8" t="s">
        <v>3492</v>
      </c>
      <c r="B4604" s="8" t="s">
        <v>475</v>
      </c>
      <c r="D4604" s="121" t="str">
        <f>HYPERLINK("http://www.tucson.va.gov/services/ADMISSIONS.ASP")</f>
        <v>http://www.tucson.va.gov/services/ADMISSIONS.ASP</v>
      </c>
      <c r="E4604" s="8" t="s">
        <v>392</v>
      </c>
    </row>
    <row r="4605" ht="14.25" hidden="1" customHeight="1">
      <c r="A4605" s="8" t="s">
        <v>3492</v>
      </c>
      <c r="B4605" s="8" t="s">
        <v>575</v>
      </c>
      <c r="D4605" s="121" t="str">
        <f>HYPERLINK("http://www.tucson.va.gov/services/ADVANCE_DIRECTIVES.ASP")</f>
        <v>http://www.tucson.va.gov/services/ADVANCE_DIRECTIVES.ASP</v>
      </c>
      <c r="E4605" s="8" t="s">
        <v>392</v>
      </c>
    </row>
    <row r="4606" ht="14.25" hidden="1" customHeight="1">
      <c r="A4606" s="8" t="s">
        <v>3492</v>
      </c>
      <c r="B4606" s="8" t="s">
        <v>4173</v>
      </c>
      <c r="D4606" s="121" t="str">
        <f>HYPERLINK("http://www.tucson.va.gov/services/AMPUTEE_SERVICES_AND_CLINIC.ASP")</f>
        <v>http://www.tucson.va.gov/services/AMPUTEE_SERVICES_AND_CLINIC.ASP</v>
      </c>
      <c r="E4606" s="8" t="s">
        <v>392</v>
      </c>
    </row>
    <row r="4607" ht="14.25" hidden="1" customHeight="1">
      <c r="A4607" s="8" t="s">
        <v>3492</v>
      </c>
      <c r="B4607" s="8" t="s">
        <v>488</v>
      </c>
      <c r="D4607" s="121" t="str">
        <f>HYPERLINK("http://www.tucson.va.gov/services/CAREGIVER_SUPPORT_PROGRAM.ASP")</f>
        <v>http://www.tucson.va.gov/services/CAREGIVER_SUPPORT_PROGRAM.ASP</v>
      </c>
      <c r="E4607" s="8" t="s">
        <v>392</v>
      </c>
    </row>
    <row r="4608" ht="14.25" hidden="1" customHeight="1">
      <c r="A4608" s="8" t="s">
        <v>3492</v>
      </c>
      <c r="B4608" s="8" t="s">
        <v>478</v>
      </c>
      <c r="D4608" s="121" t="str">
        <f>HYPERLINK("http://www.tucson.va.gov/services/CHAPLAIN_SERVICE.ASP")</f>
        <v>http://www.tucson.va.gov/services/CHAPLAIN_SERVICE.ASP</v>
      </c>
      <c r="E4608" s="8" t="s">
        <v>392</v>
      </c>
    </row>
    <row r="4609" ht="14.25" hidden="1" customHeight="1">
      <c r="A4609" s="8" t="s">
        <v>3492</v>
      </c>
      <c r="B4609" s="8" t="s">
        <v>482</v>
      </c>
      <c r="D4609" s="121" t="str">
        <f>HYPERLINK("http://www.tucson.va.gov/services/COMMUNITY_LIVING_CENTER.ASP")</f>
        <v>http://www.tucson.va.gov/services/COMMUNITY_LIVING_CENTER.ASP</v>
      </c>
      <c r="E4609" s="8" t="s">
        <v>392</v>
      </c>
    </row>
    <row r="4610" ht="14.25" hidden="1" customHeight="1">
      <c r="A4610" s="8" t="s">
        <v>3492</v>
      </c>
      <c r="B4610" s="8" t="s">
        <v>479</v>
      </c>
      <c r="D4610" s="121" t="str">
        <f>HYPERLINK("http://www.tucson.va.gov/services/COUMMUNITY_MENTAL_HEALTH_POINT_OF_CONTACT.ASP")</f>
        <v>http://www.tucson.va.gov/services/COUMMUNITY_MENTAL_HEALTH_POINT_OF_CONTACT.ASP</v>
      </c>
      <c r="E4610" s="8" t="s">
        <v>392</v>
      </c>
    </row>
    <row r="4611" ht="14.25" hidden="1" customHeight="1">
      <c r="A4611" s="8" t="s">
        <v>3492</v>
      </c>
      <c r="B4611" s="8" t="s">
        <v>1774</v>
      </c>
      <c r="D4611" s="121" t="str">
        <f>HYPERLINK("http://www.tucson.va.gov/services/COMPENSATED_WORK_THERAPY_PROGRAMS.ASP")</f>
        <v>http://www.tucson.va.gov/services/COMPENSATED_WORK_THERAPY_PROGRAMS.ASP</v>
      </c>
      <c r="E4611" s="8" t="s">
        <v>392</v>
      </c>
    </row>
    <row r="4612" ht="14.25" hidden="1" customHeight="1">
      <c r="A4612" s="8" t="s">
        <v>3492</v>
      </c>
      <c r="B4612" s="8" t="s">
        <v>583</v>
      </c>
      <c r="D4612" s="121" t="str">
        <f>HYPERLINK("http://www.tucson.va.gov/services/CONTRACT_NURSING_HOME_PROGRAM.ASP")</f>
        <v>http://www.tucson.va.gov/services/CONTRACT_NURSING_HOME_PROGRAM.ASP</v>
      </c>
      <c r="E4612" s="8" t="s">
        <v>392</v>
      </c>
    </row>
    <row r="4613" ht="14.25" hidden="1" customHeight="1">
      <c r="A4613" s="8" t="s">
        <v>3492</v>
      </c>
      <c r="B4613" s="8" t="s">
        <v>2866</v>
      </c>
      <c r="D4613" s="121" t="str">
        <f>HYPERLINK("http://www.tucson.va.gov/services/EMERGENCY_DEPARTMENT_ED.ASP")</f>
        <v>http://www.tucson.va.gov/services/EMERGENCY_DEPARTMENT_ED.ASP</v>
      </c>
      <c r="E4613" s="8" t="s">
        <v>392</v>
      </c>
    </row>
    <row r="4614" ht="14.25" hidden="1" customHeight="1">
      <c r="A4614" s="8" t="s">
        <v>3492</v>
      </c>
      <c r="B4614" s="8" t="s">
        <v>4174</v>
      </c>
      <c r="D4614" s="121" t="str">
        <f>HYPERLINK("http://www.tucson.va.gov/services/GASTROENTEROLOGY_SERVICE.ASP")</f>
        <v>http://www.tucson.va.gov/services/GASTROENTEROLOGY_SERVICE.ASP</v>
      </c>
      <c r="E4614" s="8" t="s">
        <v>392</v>
      </c>
    </row>
    <row r="4615" ht="14.25" hidden="1" customHeight="1">
      <c r="A4615" s="8" t="s">
        <v>3492</v>
      </c>
      <c r="B4615" s="8" t="s">
        <v>4175</v>
      </c>
      <c r="D4615" s="121" t="str">
        <f>HYPERLINK("http://www.tucson.va.gov/services/HEMODIALYSIS_UNIT_HDU.ASP")</f>
        <v>http://www.tucson.va.gov/services/HEMODIALYSIS_UNIT_HDU.ASP</v>
      </c>
      <c r="E4615" s="8" t="s">
        <v>392</v>
      </c>
    </row>
    <row r="4616" ht="14.25" hidden="1" customHeight="1">
      <c r="A4616" s="8" t="s">
        <v>3492</v>
      </c>
      <c r="B4616" s="8" t="s">
        <v>1058</v>
      </c>
      <c r="D4616" s="121" t="str">
        <f>HYPERLINK("http://www.tucson.va.gov/services/HOME_BASED_PRIMARY_CARE_HBPC.ASP")</f>
        <v>http://www.tucson.va.gov/services/HOME_BASED_PRIMARY_CARE_HBPC.ASP</v>
      </c>
      <c r="E4616" s="8" t="s">
        <v>392</v>
      </c>
    </row>
    <row r="4617" ht="14.25" hidden="1" customHeight="1">
      <c r="A4617" s="8" t="s">
        <v>3492</v>
      </c>
      <c r="B4617" s="8" t="s">
        <v>2198</v>
      </c>
      <c r="D4617" s="121" t="str">
        <f>HYPERLINK("http://www.tucson.va.gov/services/LGBT_VETERAN_CARE_COORDINATOR.ASP")</f>
        <v>http://www.tucson.va.gov/services/LGBT_VETERAN_CARE_COORDINATOR.ASP</v>
      </c>
      <c r="E4617" s="8" t="s">
        <v>392</v>
      </c>
    </row>
    <row r="4618" ht="14.25" hidden="1" customHeight="1">
      <c r="A4618" s="8" t="s">
        <v>3492</v>
      </c>
      <c r="B4618" s="8" t="s">
        <v>584</v>
      </c>
      <c r="D4618" s="121" t="str">
        <f>HYPERLINK("http://www.tucson.va.gov/services/LABORATORY.ASP")</f>
        <v>http://www.tucson.va.gov/services/LABORATORY.ASP</v>
      </c>
      <c r="E4618" s="8" t="s">
        <v>392</v>
      </c>
    </row>
    <row r="4619" ht="14.25" hidden="1" customHeight="1">
      <c r="A4619" s="8" t="s">
        <v>3492</v>
      </c>
      <c r="B4619" s="8" t="s">
        <v>598</v>
      </c>
      <c r="D4619" s="121" t="str">
        <f>HYPERLINK("http://www.tucson.va.gov/services/MOVE.ASP")</f>
        <v>http://www.tucson.va.gov/services/MOVE.ASP</v>
      </c>
      <c r="E4619" s="8" t="s">
        <v>392</v>
      </c>
    </row>
    <row r="4620" ht="14.25" hidden="1" customHeight="1">
      <c r="A4620" s="8" t="s">
        <v>3492</v>
      </c>
      <c r="B4620" s="8" t="s">
        <v>323</v>
      </c>
      <c r="D4620" s="121" t="str">
        <f>HYPERLINK("http://www.tucson.va.gov/services/MENTAL_HEALTH_SERVICES.ASP")</f>
        <v>http://www.tucson.va.gov/services/MENTAL_HEALTH_SERVICES.ASP</v>
      </c>
      <c r="E4620" s="8" t="s">
        <v>392</v>
      </c>
    </row>
    <row r="4621" ht="14.25" hidden="1" customHeight="1">
      <c r="A4621" s="8" t="s">
        <v>3492</v>
      </c>
      <c r="B4621" s="8" t="s">
        <v>2001</v>
      </c>
      <c r="D4621" s="121" t="str">
        <f>HYPERLINK("http://www.tucson.va.gov/services/MENTAL_HEALTH_INTENSIVE_CASE_MANAGEMENT_MHICM.ASP")</f>
        <v>http://www.tucson.va.gov/services/MENTAL_HEALTH_INTENSIVE_CASE_MANAGEMENT_MHICM.ASP</v>
      </c>
      <c r="E4621" s="8" t="s">
        <v>392</v>
      </c>
    </row>
    <row r="4622" ht="14.25" hidden="1" customHeight="1">
      <c r="A4622" s="8" t="s">
        <v>3492</v>
      </c>
      <c r="B4622" s="8" t="s">
        <v>4176</v>
      </c>
      <c r="D4622" s="121" t="str">
        <f>HYPERLINK("http://www.tucson.va.gov/services/MENTAL_HEALTH_SUBSTANCE_ABUSE_RESIDENTIAL_REHABILITATION_TREATMENT_PROGRAM.ASP")</f>
        <v>http://www.tucson.va.gov/services/MENTAL_HEALTH_SUBSTANCE_ABUSE_RESIDENTIAL_REHABILITATION_TREATMENT_PROGRAM.ASP</v>
      </c>
      <c r="E4622" s="8" t="s">
        <v>392</v>
      </c>
    </row>
    <row r="4623" ht="14.25" hidden="1" customHeight="1">
      <c r="A4623" s="8" t="s">
        <v>3492</v>
      </c>
      <c r="B4623" s="8" t="s">
        <v>498</v>
      </c>
      <c r="D4623" s="121" t="str">
        <f>HYPERLINK("http://www.tucson.va.gov/services/PATIENT_HEALTH_EDUCATION.ASP")</f>
        <v>http://www.tucson.va.gov/services/PATIENT_HEALTH_EDUCATION.ASP</v>
      </c>
      <c r="E4623" s="8" t="s">
        <v>392</v>
      </c>
    </row>
    <row r="4624" ht="14.25" hidden="1" customHeight="1">
      <c r="A4624" s="8" t="s">
        <v>3492</v>
      </c>
      <c r="B4624" s="8" t="s">
        <v>343</v>
      </c>
      <c r="D4624" s="121" t="str">
        <f>HYPERLINK("http://www.tucson.va.gov/services/PHARMACY.ASP")</f>
        <v>http://www.tucson.va.gov/services/PHARMACY.ASP</v>
      </c>
      <c r="E4624" s="8" t="s">
        <v>392</v>
      </c>
    </row>
    <row r="4625" ht="14.25" hidden="1" customHeight="1">
      <c r="A4625" s="8" t="s">
        <v>3492</v>
      </c>
      <c r="B4625" s="8" t="s">
        <v>961</v>
      </c>
      <c r="D4625" s="121" t="str">
        <f>HYPERLINK("http://www.tucson.va.gov/services/PHYSICAL_MEDICINE_AND_REHABILITATION_SERVICES.ASP")</f>
        <v>http://www.tucson.va.gov/services/PHYSICAL_MEDICINE_AND_REHABILITATION_SERVICES.ASP</v>
      </c>
      <c r="E4625" s="8" t="s">
        <v>392</v>
      </c>
    </row>
    <row r="4626" ht="14.25" hidden="1" customHeight="1">
      <c r="A4626" s="8" t="s">
        <v>3492</v>
      </c>
      <c r="B4626" s="8" t="s">
        <v>4177</v>
      </c>
      <c r="D4626" s="121" t="str">
        <f>HYPERLINK("http://www.tucson.va.gov/services/SPINAL_CORD_INJURY_CLINIC_SCI.ASP")</f>
        <v>http://www.tucson.va.gov/services/SPINAL_CORD_INJURY_CLINIC_SCI.ASP</v>
      </c>
      <c r="E4626" s="8" t="s">
        <v>392</v>
      </c>
    </row>
    <row r="4627" ht="14.25" hidden="1" customHeight="1">
      <c r="A4627" s="8" t="s">
        <v>3492</v>
      </c>
      <c r="B4627" s="8" t="s">
        <v>617</v>
      </c>
      <c r="D4627" s="121" t="str">
        <f>HYPERLINK("http://www.tucson.va.gov/services/SUICIDE_PREVENTION_PROGRAM.ASP")</f>
        <v>http://www.tucson.va.gov/services/SUICIDE_PREVENTION_PROGRAM.ASP</v>
      </c>
      <c r="E4627" s="8" t="s">
        <v>392</v>
      </c>
    </row>
    <row r="4628" ht="14.25" hidden="1" customHeight="1">
      <c r="A4628" s="8" t="s">
        <v>3492</v>
      </c>
      <c r="B4628" s="8" t="s">
        <v>4178</v>
      </c>
      <c r="D4628" s="121" t="str">
        <f>HYPERLINK("http://www.tucson.va.gov/services/TRANSGENDER_SERVICES.ASP")</f>
        <v>http://www.tucson.va.gov/services/TRANSGENDER_SERVICES.ASP</v>
      </c>
      <c r="E4628" s="8" t="s">
        <v>392</v>
      </c>
    </row>
    <row r="4629" ht="14.25" hidden="1" customHeight="1">
      <c r="A4629" s="8" t="s">
        <v>3527</v>
      </c>
      <c r="B4629" s="8" t="s">
        <v>618</v>
      </c>
      <c r="D4629" s="121" t="str">
        <f>HYPERLINK("http://www.tuscaloosa.va.gov/services/AGENT_CASHIER.ASP")</f>
        <v>http://www.tuscaloosa.va.gov/services/AGENT_CASHIER.ASP</v>
      </c>
      <c r="E4629" s="8" t="s">
        <v>392</v>
      </c>
    </row>
    <row r="4630" ht="14.25" hidden="1" customHeight="1">
      <c r="A4630" s="8" t="s">
        <v>3527</v>
      </c>
      <c r="B4630" s="8" t="s">
        <v>4179</v>
      </c>
      <c r="D4630" s="121" t="str">
        <f>HYPERLINK("http://www.tuscaloosa.va.gov/services/AGENT_ORANGE_REGISTRY.ASP")</f>
        <v>http://www.tuscaloosa.va.gov/services/AGENT_ORANGE_REGISTRY.ASP</v>
      </c>
      <c r="E4630" s="8" t="s">
        <v>392</v>
      </c>
    </row>
    <row r="4631" ht="14.25" hidden="1" customHeight="1">
      <c r="A4631" s="8" t="s">
        <v>3527</v>
      </c>
      <c r="B4631" s="8" t="s">
        <v>244</v>
      </c>
      <c r="D4631" s="121" t="str">
        <f>HYPERLINK("http://www.tuscaloosa.va.gov/services/AUDIOLOGY.ASP")</f>
        <v>http://www.tuscaloosa.va.gov/services/AUDIOLOGY.ASP</v>
      </c>
      <c r="E4631" s="8" t="s">
        <v>392</v>
      </c>
    </row>
    <row r="4632" ht="14.25" hidden="1" customHeight="1">
      <c r="A4632" s="8" t="s">
        <v>3527</v>
      </c>
      <c r="B4632" s="8" t="s">
        <v>1781</v>
      </c>
      <c r="D4632" s="121" t="str">
        <f>HYPERLINK("http://www.tuscaloosa.va.gov/services/BARBER_SHOP.ASP")</f>
        <v>http://www.tuscaloosa.va.gov/services/BARBER_SHOP.ASP</v>
      </c>
      <c r="E4632" s="8" t="s">
        <v>392</v>
      </c>
    </row>
    <row r="4633" ht="14.25" hidden="1" customHeight="1">
      <c r="A4633" s="8" t="s">
        <v>3527</v>
      </c>
      <c r="B4633" s="8" t="s">
        <v>636</v>
      </c>
      <c r="D4633" s="121" t="str">
        <f>HYPERLINK("http://www.tuscaloosa.va.gov/services/BENEFICIARY_TRAVEL.ASP")</f>
        <v>http://www.tuscaloosa.va.gov/services/BENEFICIARY_TRAVEL.ASP</v>
      </c>
      <c r="E4633" s="8" t="s">
        <v>392</v>
      </c>
    </row>
    <row r="4634" ht="14.25" hidden="1" customHeight="1">
      <c r="A4634" s="8" t="s">
        <v>3527</v>
      </c>
      <c r="B4634" s="8" t="s">
        <v>631</v>
      </c>
      <c r="D4634" s="121" t="str">
        <f>HYPERLINK("http://www.tuscaloosa.va.gov/services/BILLING_AND_INSURANCE.ASP")</f>
        <v>http://www.tuscaloosa.va.gov/services/BILLING_AND_INSURANCE.ASP</v>
      </c>
      <c r="E4634" s="8" t="s">
        <v>392</v>
      </c>
    </row>
    <row r="4635" ht="14.25" hidden="1" customHeight="1">
      <c r="A4635" s="8" t="s">
        <v>3527</v>
      </c>
      <c r="B4635" s="8" t="s">
        <v>864</v>
      </c>
      <c r="D4635" s="121" t="str">
        <f>HYPERLINK("http://www.tuscaloosa.va.gov/services/CANTEEN.ASP")</f>
        <v>http://www.tuscaloosa.va.gov/services/CANTEEN.ASP</v>
      </c>
      <c r="E4635" s="8" t="s">
        <v>392</v>
      </c>
    </row>
    <row r="4636" ht="14.25" hidden="1" customHeight="1">
      <c r="A4636" s="8" t="s">
        <v>3527</v>
      </c>
      <c r="B4636" s="8" t="s">
        <v>638</v>
      </c>
      <c r="D4636" s="121" t="str">
        <f>HYPERLINK("http://www.tuscaloosa.va.gov/services/CAREERS.ASP")</f>
        <v>http://www.tuscaloosa.va.gov/services/CAREERS.ASP</v>
      </c>
      <c r="E4636" s="8" t="s">
        <v>392</v>
      </c>
    </row>
    <row r="4637" ht="14.25" hidden="1" customHeight="1">
      <c r="A4637" s="8" t="s">
        <v>3527</v>
      </c>
      <c r="B4637" s="8" t="s">
        <v>478</v>
      </c>
      <c r="D4637" s="121" t="str">
        <f>HYPERLINK("http://www.tuscaloosa.va.gov/services/CHAPLAIN_SERVICE.ASP")</f>
        <v>http://www.tuscaloosa.va.gov/services/CHAPLAIN_SERVICE.ASP</v>
      </c>
      <c r="E4637" s="8" t="s">
        <v>392</v>
      </c>
    </row>
    <row r="4638" ht="14.25" hidden="1" customHeight="1">
      <c r="A4638" s="8" t="s">
        <v>3527</v>
      </c>
      <c r="B4638" s="8" t="s">
        <v>4180</v>
      </c>
      <c r="D4638" s="121" t="str">
        <f>HYPERLINK("http://www.tuscaloosa.va.gov/services/COMMUNITY_RESIDENTIAL_CARE_CLINIC.ASP")</f>
        <v>http://www.tuscaloosa.va.gov/services/COMMUNITY_RESIDENTIAL_CARE_CLINIC.ASP</v>
      </c>
      <c r="E4638" s="8" t="s">
        <v>392</v>
      </c>
    </row>
    <row r="4639" ht="14.25" hidden="1" customHeight="1">
      <c r="A4639" s="8" t="s">
        <v>3527</v>
      </c>
      <c r="B4639" s="8" t="s">
        <v>455</v>
      </c>
      <c r="D4639" s="121" t="str">
        <f>HYPERLINK("http://www.tuscaloosa.va.gov/services/COMPENSATION_AND_PENSION.ASP")</f>
        <v>http://www.tuscaloosa.va.gov/services/COMPENSATION_AND_PENSION.ASP</v>
      </c>
      <c r="E4639" s="8" t="s">
        <v>392</v>
      </c>
    </row>
    <row r="4640" ht="14.25" hidden="1" customHeight="1">
      <c r="A4640" s="8" t="s">
        <v>3527</v>
      </c>
      <c r="B4640" s="8" t="s">
        <v>303</v>
      </c>
      <c r="D4640" s="121" t="str">
        <f>HYPERLINK("http://www.tuscaloosa.va.gov/services/DENTAL_CLINIC.ASP")</f>
        <v>http://www.tuscaloosa.va.gov/services/DENTAL_CLINIC.ASP</v>
      </c>
      <c r="E4640" s="8" t="s">
        <v>392</v>
      </c>
    </row>
    <row r="4641" ht="14.25" hidden="1" customHeight="1">
      <c r="A4641" s="8" t="s">
        <v>3527</v>
      </c>
      <c r="B4641" s="8" t="s">
        <v>656</v>
      </c>
      <c r="D4641" s="121" t="str">
        <f>HYPERLINK("http://www.tuscaloosa.va.gov/services/DIAGNOSTIC_SERVICES.ASP")</f>
        <v>http://www.tuscaloosa.va.gov/services/DIAGNOSTIC_SERVICES.ASP</v>
      </c>
      <c r="E4641" s="8" t="s">
        <v>392</v>
      </c>
    </row>
    <row r="4642" ht="14.25" hidden="1" customHeight="1">
      <c r="A4642" s="8" t="s">
        <v>3527</v>
      </c>
      <c r="B4642" s="8" t="s">
        <v>4181</v>
      </c>
      <c r="D4642" s="121" t="str">
        <f>HYPERLINK("http://www.tuscaloosa.va.gov/services/DISABLED_AMERICAN_VETERANS_OFFICE.ASP")</f>
        <v>http://www.tuscaloosa.va.gov/services/DISABLED_AMERICAN_VETERANS_OFFICE.ASP</v>
      </c>
      <c r="E4642" s="8" t="s">
        <v>392</v>
      </c>
    </row>
    <row r="4643" ht="14.25" hidden="1" customHeight="1">
      <c r="A4643" s="8" t="s">
        <v>3527</v>
      </c>
      <c r="B4643" s="8" t="s">
        <v>4182</v>
      </c>
      <c r="D4643" s="121" t="str">
        <f>HYPERLINK("http://www.tuscaloosa.va.gov/services/EEG_EKG.ASP")</f>
        <v>http://www.tuscaloosa.va.gov/services/EEG_EKG.ASP</v>
      </c>
      <c r="E4643" s="8" t="s">
        <v>392</v>
      </c>
    </row>
    <row r="4644" ht="14.25" hidden="1" customHeight="1">
      <c r="A4644" s="8" t="s">
        <v>3527</v>
      </c>
      <c r="B4644" s="8" t="s">
        <v>1963</v>
      </c>
      <c r="D4644" s="121" t="str">
        <f>HYPERLINK("http://www.tuscaloosa.va.gov/services/ELIGIBILITY_AND_ENROLLMENT.ASP")</f>
        <v>http://www.tuscaloosa.va.gov/services/ELIGIBILITY_AND_ENROLLMENT.ASP</v>
      </c>
      <c r="E4644" s="8" t="s">
        <v>392</v>
      </c>
    </row>
    <row r="4645" ht="14.25" hidden="1" customHeight="1">
      <c r="A4645" s="8" t="s">
        <v>3527</v>
      </c>
      <c r="B4645" s="8" t="s">
        <v>1372</v>
      </c>
      <c r="D4645" s="121" t="str">
        <f>HYPERLINK("http://www.tuscaloosa.va.gov/services/FEE_BASIS.ASP")</f>
        <v>http://www.tuscaloosa.va.gov/services/FEE_BASIS.ASP</v>
      </c>
      <c r="E4645" s="8" t="s">
        <v>392</v>
      </c>
    </row>
    <row r="4646" ht="14.25" hidden="1" customHeight="1">
      <c r="A4646" s="8" t="s">
        <v>3527</v>
      </c>
      <c r="B4646" s="8" t="s">
        <v>1147</v>
      </c>
      <c r="D4646" s="121" t="str">
        <f>HYPERLINK("http://www.tuscaloosa.va.gov/services/FORMER_PRISONERS_OF_WAR_ADVOCATE.ASP")</f>
        <v>http://www.tuscaloosa.va.gov/services/FORMER_PRISONERS_OF_WAR_ADVOCATE.ASP</v>
      </c>
      <c r="E4646" s="8" t="s">
        <v>392</v>
      </c>
    </row>
    <row r="4647" ht="14.25" hidden="1" customHeight="1">
      <c r="A4647" s="8" t="s">
        <v>3527</v>
      </c>
      <c r="B4647" s="8" t="s">
        <v>556</v>
      </c>
      <c r="D4647" s="121" t="str">
        <f>HYPERLINK("http://www.tuscaloosa.va.gov/services/GERIATRICS_AND_EXTENDED_CARE.ASP")</f>
        <v>http://www.tuscaloosa.va.gov/services/GERIATRICS_AND_EXTENDED_CARE.ASP</v>
      </c>
      <c r="E4647" s="8" t="s">
        <v>392</v>
      </c>
    </row>
    <row r="4648" ht="14.25" hidden="1" customHeight="1">
      <c r="A4648" s="8" t="s">
        <v>3527</v>
      </c>
      <c r="B4648" s="8" t="s">
        <v>4183</v>
      </c>
      <c r="D4648" s="121" t="str">
        <f>HYPERLINK("http://www.tuscaloosa.va.gov/services/LGBTQ.ASP")</f>
        <v>http://www.tuscaloosa.va.gov/services/LGBTQ.ASP</v>
      </c>
      <c r="E4648" s="8" t="s">
        <v>392</v>
      </c>
    </row>
    <row r="4649" ht="14.25" hidden="1" customHeight="1">
      <c r="A4649" s="8" t="s">
        <v>3527</v>
      </c>
      <c r="B4649" s="8" t="s">
        <v>4184</v>
      </c>
      <c r="D4649" s="121" t="str">
        <f>HYPERLINK("http://www.tuscaloosa.va.gov/services/BILLING_AND_INSURANCE.ASP")</f>
        <v>http://www.tuscaloosa.va.gov/services/BILLING_AND_INSURANCE.ASP</v>
      </c>
      <c r="E4649" s="8" t="s">
        <v>595</v>
      </c>
    </row>
    <row r="4650" ht="14.25" hidden="1" customHeight="1">
      <c r="A4650" s="8" t="s">
        <v>3527</v>
      </c>
      <c r="B4650" s="8" t="s">
        <v>4185</v>
      </c>
      <c r="D4650" s="121" t="str">
        <f>HYPERLINK("http://www.tuscaloosa.va.gov/services/RELEASE_OF_INFORMATION.ASP")</f>
        <v>http://www.tuscaloosa.va.gov/services/RELEASE_OF_INFORMATION.ASP</v>
      </c>
      <c r="E4650" s="8" t="s">
        <v>392</v>
      </c>
    </row>
    <row r="4651" ht="14.25" hidden="1" customHeight="1">
      <c r="A4651" s="8" t="s">
        <v>3527</v>
      </c>
      <c r="B4651" s="8" t="s">
        <v>323</v>
      </c>
      <c r="D4651" s="121" t="str">
        <f>HYPERLINK("http://www.tuscaloosa.va.gov/services/MENTALHEALTH.ASP")</f>
        <v>http://www.tuscaloosa.va.gov/services/MENTALHEALTH.ASP</v>
      </c>
      <c r="E4651" s="8" t="s">
        <v>392</v>
      </c>
    </row>
    <row r="4652" ht="14.25" hidden="1" customHeight="1">
      <c r="A4652" s="8" t="s">
        <v>3527</v>
      </c>
      <c r="B4652" s="8" t="s">
        <v>4186</v>
      </c>
      <c r="D4652" s="121" t="str">
        <f>HYPERLINK("http://www.tuscaloosa.va.gov/services/MH_RRTP.ASP")</f>
        <v>http://www.tuscaloosa.va.gov/services/MH_RRTP.ASP</v>
      </c>
      <c r="E4652" s="8" t="s">
        <v>392</v>
      </c>
    </row>
    <row r="4653" ht="14.25" hidden="1" customHeight="1">
      <c r="A4653" s="8" t="s">
        <v>3527</v>
      </c>
      <c r="B4653" s="8" t="s">
        <v>326</v>
      </c>
      <c r="D4653" s="121" t="str">
        <f>HYPERLINK("http://www.tuscaloosa.va.gov/services/MINORITY_VETERAN_PROGRAM.ASP")</f>
        <v>http://www.tuscaloosa.va.gov/services/MINORITY_VETERAN_PROGRAM.ASP</v>
      </c>
      <c r="E4653" s="8" t="s">
        <v>392</v>
      </c>
    </row>
    <row r="4654" ht="14.25" hidden="1" customHeight="1">
      <c r="A4654" s="8" t="s">
        <v>3527</v>
      </c>
      <c r="B4654" s="8" t="s">
        <v>1951</v>
      </c>
      <c r="D4654" s="121" t="str">
        <f>HYPERLINK("http://www.tuscaloosa.va.gov/services/MYHEALTHEVET_PROGRAM.ASP")</f>
        <v>http://www.tuscaloosa.va.gov/services/MYHEALTHEVET_PROGRAM.ASP</v>
      </c>
      <c r="E4654" s="8" t="s">
        <v>392</v>
      </c>
    </row>
    <row r="4655" ht="14.25" hidden="1" customHeight="1">
      <c r="A4655" s="8" t="s">
        <v>3527</v>
      </c>
      <c r="B4655" s="8" t="s">
        <v>1172</v>
      </c>
      <c r="D4655" s="121" t="str">
        <f>HYPERLINK("http://www.tuscaloosa.va.gov/services/NEUROLOGY.ASP")</f>
        <v>http://www.tuscaloosa.va.gov/services/NEUROLOGY.ASP</v>
      </c>
      <c r="E4655" s="8" t="s">
        <v>392</v>
      </c>
    </row>
    <row r="4656" ht="14.25" hidden="1" customHeight="1">
      <c r="A4656" s="8" t="s">
        <v>3527</v>
      </c>
      <c r="B4656" s="8" t="s">
        <v>839</v>
      </c>
      <c r="D4656" s="121" t="str">
        <f>HYPERLINK("http://www.tuscaloosa.va.gov/services/ONCOLOGY.ASP")</f>
        <v>http://www.tuscaloosa.va.gov/services/ONCOLOGY.ASP</v>
      </c>
      <c r="E4656" s="8" t="s">
        <v>392</v>
      </c>
    </row>
    <row r="4657" ht="14.25" hidden="1" customHeight="1">
      <c r="A4657" s="8" t="s">
        <v>3527</v>
      </c>
      <c r="B4657" s="8" t="s">
        <v>901</v>
      </c>
      <c r="D4657" s="121" t="str">
        <f>HYPERLINK("http://www.tuscaloosa.va.gov/services/OPTOMETRY.ASP")</f>
        <v>http://www.tuscaloosa.va.gov/services/OPTOMETRY.ASP</v>
      </c>
      <c r="E4657" s="8" t="s">
        <v>392</v>
      </c>
    </row>
    <row r="4658" ht="14.25" hidden="1" customHeight="1">
      <c r="A4658" s="8" t="s">
        <v>3527</v>
      </c>
      <c r="B4658" s="8" t="s">
        <v>907</v>
      </c>
      <c r="D4658" s="121" t="str">
        <f>HYPERLINK("http://www.tuscaloosa.va.gov/services/PATIENT_ADVOCATES.ASP")</f>
        <v>http://www.tuscaloosa.va.gov/services/PATIENT_ADVOCATES.ASP</v>
      </c>
      <c r="E4658" s="8" t="s">
        <v>392</v>
      </c>
    </row>
    <row r="4659" ht="14.25" hidden="1" customHeight="1">
      <c r="A4659" s="8" t="s">
        <v>3527</v>
      </c>
      <c r="B4659" s="8" t="s">
        <v>4187</v>
      </c>
      <c r="D4659" s="121" t="str">
        <f>HYPERLINK("http://www.tuscaloosa.va.gov/services/PHERC.ASP")</f>
        <v>http://www.tuscaloosa.va.gov/services/PHERC.ASP</v>
      </c>
      <c r="E4659" s="8" t="s">
        <v>392</v>
      </c>
    </row>
    <row r="4660" ht="14.25" hidden="1" customHeight="1">
      <c r="A4660" s="8" t="s">
        <v>3527</v>
      </c>
      <c r="B4660" s="8" t="s">
        <v>343</v>
      </c>
      <c r="D4660" s="121" t="str">
        <f>HYPERLINK("http://www.tuscaloosa.va.gov/services/PHARMACY.ASP")</f>
        <v>http://www.tuscaloosa.va.gov/services/PHARMACY.ASP</v>
      </c>
      <c r="E4660" s="8" t="s">
        <v>392</v>
      </c>
    </row>
    <row r="4661" ht="14.25" hidden="1" customHeight="1">
      <c r="A4661" s="8" t="s">
        <v>3527</v>
      </c>
      <c r="B4661" s="8" t="s">
        <v>608</v>
      </c>
      <c r="D4661" s="121" t="str">
        <f>HYPERLINK("http://www.tuscaloosa.va.gov/services/PHYSICAL_THERAPY.ASP")</f>
        <v>http://www.tuscaloosa.va.gov/services/PHYSICAL_THERAPY.ASP</v>
      </c>
      <c r="E4661" s="8" t="s">
        <v>392</v>
      </c>
    </row>
    <row r="4662" ht="14.25" hidden="1" customHeight="1">
      <c r="A4662" s="8" t="s">
        <v>3527</v>
      </c>
      <c r="B4662" s="8" t="s">
        <v>450</v>
      </c>
      <c r="D4662" s="121" t="str">
        <f>HYPERLINK("http://www.tuscaloosa.va.gov/services/PODIATRY.ASP")</f>
        <v>http://www.tuscaloosa.va.gov/services/PODIATRY.ASP</v>
      </c>
      <c r="E4662" s="8" t="s">
        <v>392</v>
      </c>
    </row>
    <row r="4663" ht="14.25" hidden="1" customHeight="1">
      <c r="A4663" s="8" t="s">
        <v>3527</v>
      </c>
      <c r="B4663" s="8" t="s">
        <v>775</v>
      </c>
      <c r="D4663" s="121" t="str">
        <f>HYPERLINK("http://www.tuscaloosa.va.gov/services/POLICE_SERVICE.ASP")</f>
        <v>http://www.tuscaloosa.va.gov/services/POLICE_SERVICE.ASP</v>
      </c>
      <c r="E4663" s="8" t="s">
        <v>392</v>
      </c>
    </row>
    <row r="4664" ht="14.25" hidden="1" customHeight="1">
      <c r="A4664" s="8" t="s">
        <v>3527</v>
      </c>
      <c r="B4664" s="8" t="s">
        <v>348</v>
      </c>
      <c r="D4664" s="121" t="str">
        <f>HYPERLINK("http://www.tuscaloosa.va.gov/services/PRIMARY.ASP")</f>
        <v>http://www.tuscaloosa.va.gov/services/PRIMARY.ASP</v>
      </c>
      <c r="E4664" s="8" t="s">
        <v>392</v>
      </c>
    </row>
    <row r="4665" ht="14.25" hidden="1" customHeight="1">
      <c r="A4665" s="8" t="s">
        <v>3527</v>
      </c>
      <c r="B4665" s="8" t="s">
        <v>4188</v>
      </c>
      <c r="D4665" s="121" t="str">
        <f>HYPERLINK("http://www.tuscaloosa.va.gov/services/PRINT_CLINIC.ASP")</f>
        <v>http://www.tuscaloosa.va.gov/services/PRINT_CLINIC.ASP</v>
      </c>
      <c r="E4665" s="8" t="s">
        <v>392</v>
      </c>
    </row>
    <row r="4666" ht="14.25" hidden="1" customHeight="1">
      <c r="A4666" s="8" t="s">
        <v>3527</v>
      </c>
      <c r="B4666" s="8" t="s">
        <v>353</v>
      </c>
      <c r="D4666" s="121" t="str">
        <f>HYPERLINK("http://www.tuscaloosa.va.gov/services/PROSTHETICS.ASP")</f>
        <v>http://www.tuscaloosa.va.gov/services/PROSTHETICS.ASP</v>
      </c>
      <c r="E4666" s="8" t="s">
        <v>392</v>
      </c>
    </row>
    <row r="4667" ht="14.25" hidden="1" customHeight="1">
      <c r="A4667" s="8" t="s">
        <v>3527</v>
      </c>
      <c r="B4667" s="8" t="s">
        <v>1630</v>
      </c>
      <c r="D4667" s="121" t="str">
        <f>HYPERLINK("http://www.tuscaloosa.va.gov/services/SUBSTANCE_ABUSE_DISORDER.ASP")</f>
        <v>http://www.tuscaloosa.va.gov/services/SUBSTANCE_ABUSE_DISORDER.ASP</v>
      </c>
      <c r="E4667" s="8" t="s">
        <v>392</v>
      </c>
    </row>
    <row r="4668" ht="14.25" hidden="1" customHeight="1">
      <c r="A4668" s="8" t="s">
        <v>3527</v>
      </c>
      <c r="B4668" s="8" t="s">
        <v>1630</v>
      </c>
      <c r="D4668" s="121" t="str">
        <f>HYPERLINK("http://www.tuscaloosa.va.gov/services/PSYCHOLOGY.ASP")</f>
        <v>http://www.tuscaloosa.va.gov/services/PSYCHOLOGY.ASP</v>
      </c>
      <c r="E4668" s="8" t="s">
        <v>392</v>
      </c>
    </row>
    <row r="4669" ht="14.25" hidden="1" customHeight="1">
      <c r="A4669" s="8" t="s">
        <v>3527</v>
      </c>
      <c r="B4669" s="8" t="s">
        <v>1067</v>
      </c>
      <c r="D4669" s="121" t="str">
        <f>HYPERLINK("http://www.tuscaloosa.va.gov/services/QUALITY_MANAGEMENT.ASP")</f>
        <v>http://www.tuscaloosa.va.gov/services/QUALITY_MANAGEMENT.ASP</v>
      </c>
      <c r="E4669" s="8" t="s">
        <v>392</v>
      </c>
    </row>
    <row r="4670" ht="14.25" hidden="1" customHeight="1">
      <c r="A4670" s="8" t="s">
        <v>3527</v>
      </c>
      <c r="B4670" s="8" t="s">
        <v>717</v>
      </c>
      <c r="D4670" s="121" t="str">
        <f>HYPERLINK("http://www.tuscaloosa.va.gov/services/RADIOLOGY.ASP")</f>
        <v>http://www.tuscaloosa.va.gov/services/RADIOLOGY.ASP</v>
      </c>
      <c r="E4670" s="8" t="s">
        <v>392</v>
      </c>
    </row>
    <row r="4671" ht="14.25" hidden="1" customHeight="1">
      <c r="A4671" s="8" t="s">
        <v>3527</v>
      </c>
      <c r="B4671" s="8" t="s">
        <v>4189</v>
      </c>
      <c r="D4671" s="121" t="str">
        <f>HYPERLINK("http://www.tuscaloosa.va.gov/services/RE_ENGAGEMENT_OUTREACH_PROGRAM_COORDINATOR.ASP")</f>
        <v>http://www.tuscaloosa.va.gov/services/RE_ENGAGEMENT_OUTREACH_PROGRAM_COORDINATOR.ASP</v>
      </c>
      <c r="E4671" s="8" t="s">
        <v>392</v>
      </c>
    </row>
    <row r="4672" ht="14.25" hidden="1" customHeight="1">
      <c r="A4672" s="8" t="s">
        <v>3527</v>
      </c>
      <c r="B4672" s="8" t="s">
        <v>965</v>
      </c>
      <c r="D4672" s="121" t="str">
        <f>HYPERLINK("http://www.tuscaloosa.va.gov/services/RESEARCH.ASP")</f>
        <v>http://www.tuscaloosa.va.gov/services/RESEARCH.ASP</v>
      </c>
      <c r="E4672" s="8" t="s">
        <v>392</v>
      </c>
    </row>
    <row r="4673" ht="14.25" hidden="1" customHeight="1">
      <c r="A4673" s="8" t="s">
        <v>3527</v>
      </c>
      <c r="B4673" s="8" t="s">
        <v>1428</v>
      </c>
      <c r="D4673" s="121" t="str">
        <f>HYPERLINK("http://www.tuscaloosa.va.gov/services/RESPIRATORY_CARE.ASP")</f>
        <v>http://www.tuscaloosa.va.gov/services/RESPIRATORY_CARE.ASP</v>
      </c>
      <c r="E4673" s="8" t="s">
        <v>392</v>
      </c>
    </row>
    <row r="4674" ht="14.25" hidden="1" customHeight="1">
      <c r="A4674" s="8" t="s">
        <v>3527</v>
      </c>
      <c r="B4674" s="8" t="s">
        <v>4190</v>
      </c>
      <c r="D4674" s="121" t="str">
        <f>HYPERLINK("http://www.tuscaloosa.va.gov/services/SELMA_OUTPATIENT_CLINIC.ASP")</f>
        <v>http://www.tuscaloosa.va.gov/services/SELMA_OUTPATIENT_CLINIC.ASP</v>
      </c>
      <c r="E4674" s="8" t="s">
        <v>392</v>
      </c>
    </row>
    <row r="4675" ht="14.25" hidden="1" customHeight="1">
      <c r="A4675" s="8" t="s">
        <v>3527</v>
      </c>
      <c r="B4675" s="8" t="s">
        <v>360</v>
      </c>
      <c r="D4675" s="121" t="str">
        <f>HYPERLINK("http://www.tuscaloosa.va.gov/services/SOCIALWORK.ASP")</f>
        <v>http://www.tuscaloosa.va.gov/services/SOCIALWORK.ASP</v>
      </c>
      <c r="E4675" s="8" t="s">
        <v>392</v>
      </c>
    </row>
    <row r="4676" ht="14.25" hidden="1" customHeight="1">
      <c r="A4676" s="8" t="s">
        <v>3527</v>
      </c>
      <c r="B4676" s="8" t="s">
        <v>804</v>
      </c>
      <c r="D4676" s="121" t="str">
        <f>HYPERLINK("http://www.tuscaloosa.va.gov/services/SPEECH_PATHOLOGY.ASP")</f>
        <v>http://www.tuscaloosa.va.gov/services/SPEECH_PATHOLOGY.ASP</v>
      </c>
      <c r="E4676" s="8" t="s">
        <v>392</v>
      </c>
    </row>
    <row r="4677" ht="14.25" hidden="1" customHeight="1">
      <c r="A4677" s="8" t="s">
        <v>3527</v>
      </c>
      <c r="B4677" s="8" t="s">
        <v>364</v>
      </c>
      <c r="D4677" s="121" t="str">
        <f>HYPERLINK("http://www.tuscaloosa.va.gov/services/SCI.ASP")</f>
        <v>http://www.tuscaloosa.va.gov/services/SCI.ASP</v>
      </c>
      <c r="E4677" s="8" t="s">
        <v>392</v>
      </c>
    </row>
    <row r="4678" ht="14.25" hidden="1" customHeight="1">
      <c r="A4678" s="8" t="s">
        <v>3527</v>
      </c>
      <c r="B4678" s="8" t="s">
        <v>518</v>
      </c>
      <c r="D4678" s="121" t="str">
        <f>HYPERLINK("http://www.tuscaloosa.va.gov/services/VOLUNTARY_SERVICE.ASP")</f>
        <v>http://www.tuscaloosa.va.gov/services/VOLUNTARY_SERVICE.ASP</v>
      </c>
      <c r="E4678" s="8" t="s">
        <v>392</v>
      </c>
    </row>
    <row r="4679" ht="14.25" hidden="1" customHeight="1">
      <c r="A4679" s="8" t="s">
        <v>3527</v>
      </c>
      <c r="B4679" s="8" t="s">
        <v>4118</v>
      </c>
      <c r="D4679" s="121" t="str">
        <f>HYPERLINK("http://www.tuscaloosa.va.gov/services/WHOLE_HEALTH_FOR_LIFE_TUSCALOOSA.ASP")</f>
        <v>http://www.tuscaloosa.va.gov/services/WHOLE_HEALTH_FOR_LIFE_TUSCALOOSA.ASP</v>
      </c>
      <c r="E4679" s="8" t="s">
        <v>392</v>
      </c>
    </row>
    <row r="4680" ht="14.25" hidden="1" customHeight="1">
      <c r="A4680" s="8" t="s">
        <v>3527</v>
      </c>
      <c r="B4680" s="8" t="s">
        <v>378</v>
      </c>
      <c r="D4680" s="121" t="str">
        <f>HYPERLINK("http://www.tuscaloosa.va.gov/services/WOMEN_VETERANS_PROGRAM.ASP")</f>
        <v>http://www.tuscaloosa.va.gov/services/WOMEN_VETERANS_PROGRAM.ASP</v>
      </c>
      <c r="E4680" s="8" t="s">
        <v>392</v>
      </c>
    </row>
    <row r="4681" ht="14.25" hidden="1" customHeight="1">
      <c r="A4681" s="8" t="s">
        <v>3536</v>
      </c>
      <c r="B4681" s="8" t="s">
        <v>2039</v>
      </c>
      <c r="D4681" s="121" t="str">
        <f>HYPERLINK("http://www.wallawalla.va.gov/services/HPDP.ASP")</f>
        <v>http://www.wallawalla.va.gov/services/HPDP.ASP</v>
      </c>
      <c r="E4681" s="8" t="s">
        <v>392</v>
      </c>
    </row>
    <row r="4682" ht="14.25" hidden="1" customHeight="1">
      <c r="A4682" s="8" t="s">
        <v>3536</v>
      </c>
      <c r="B4682" s="8" t="s">
        <v>323</v>
      </c>
      <c r="D4682" s="121" t="str">
        <f>HYPERLINK("http://www.wallawalla.va.gov/services/MENTAL_HEALTH.ASP")</f>
        <v>http://www.wallawalla.va.gov/services/MENTAL_HEALTH.ASP</v>
      </c>
      <c r="E4682" s="8" t="s">
        <v>392</v>
      </c>
    </row>
    <row r="4683" ht="14.25" hidden="1" customHeight="1">
      <c r="A4683" s="8" t="s">
        <v>3536</v>
      </c>
      <c r="B4683" s="8" t="s">
        <v>1465</v>
      </c>
      <c r="D4683" s="121" t="str">
        <f>HYPERLINK("http://www.wallawalla.va.gov/services/PHARMACY.ASP")</f>
        <v>http://www.wallawalla.va.gov/services/PHARMACY.ASP</v>
      </c>
      <c r="E4683" s="8" t="s">
        <v>392</v>
      </c>
    </row>
    <row r="4684" ht="14.25" hidden="1" customHeight="1">
      <c r="A4684" s="8" t="s">
        <v>3536</v>
      </c>
      <c r="B4684" s="8" t="s">
        <v>4068</v>
      </c>
      <c r="D4684" s="121" t="str">
        <f>HYPERLINK("http://www.wallawalla.va.gov/services/BH/PSYCHOLOGY_INTERNSHIP.ASP")</f>
        <v>http://www.wallawalla.va.gov/services/BH/PSYCHOLOGY_INTERNSHIP.ASP</v>
      </c>
      <c r="E4684" s="8" t="s">
        <v>392</v>
      </c>
    </row>
    <row r="4685" ht="14.25" hidden="1" customHeight="1">
      <c r="A4685" s="8" t="s">
        <v>3536</v>
      </c>
      <c r="B4685" s="8" t="s">
        <v>4191</v>
      </c>
      <c r="D4685" s="121" t="str">
        <f>HYPERLINK("http://www.wallawalla.va.gov/services/SMOKE_FREE.ASP")</f>
        <v>http://www.wallawalla.va.gov/services/SMOKE_FREE.ASP</v>
      </c>
      <c r="E4685" s="8" t="s">
        <v>392</v>
      </c>
    </row>
    <row r="4686" ht="14.25" hidden="1" customHeight="1">
      <c r="A4686" s="8" t="s">
        <v>3536</v>
      </c>
      <c r="B4686" s="8" t="s">
        <v>4192</v>
      </c>
      <c r="D4686" s="121" t="str">
        <f>HYPERLINK("http://www.wallawalla.va.gov/services/SUICIDE_PREVENTION_COORDINATOR.ASP")</f>
        <v>http://www.wallawalla.va.gov/services/SUICIDE_PREVENTION_COORDINATOR.ASP</v>
      </c>
      <c r="E4686" s="8" t="s">
        <v>392</v>
      </c>
    </row>
    <row r="4687" ht="14.25" hidden="1" customHeight="1">
      <c r="A4687" s="8" t="s">
        <v>3536</v>
      </c>
      <c r="B4687" s="8" t="s">
        <v>677</v>
      </c>
      <c r="D4687" s="121" t="str">
        <f>HYPERLINK("http://www.wallawalla.va.gov/services/VITAL.ASP")</f>
        <v>http://www.wallawalla.va.gov/services/VITAL.ASP</v>
      </c>
      <c r="E4687" s="8" t="s">
        <v>392</v>
      </c>
    </row>
    <row r="4688" ht="14.25" hidden="1" customHeight="1">
      <c r="A4688" s="8" t="s">
        <v>3566</v>
      </c>
      <c r="B4688" s="8" t="s">
        <v>4193</v>
      </c>
      <c r="D4688" s="121" t="str">
        <f>HYPERLINK("http://www.washingtondc.va.gov/services/AGENT_CASHIER_SERVICES.ASP")</f>
        <v>http://www.washingtondc.va.gov/services/AGENT_CASHIER_SERVICES.ASP</v>
      </c>
      <c r="E4688" s="8" t="s">
        <v>392</v>
      </c>
    </row>
    <row r="4689" ht="14.25" hidden="1" customHeight="1">
      <c r="A4689" s="8" t="s">
        <v>3566</v>
      </c>
      <c r="B4689" s="8" t="s">
        <v>828</v>
      </c>
      <c r="D4689" s="121" t="str">
        <f>HYPERLINK("http://www.washingtondc.va.gov/services/AUDIOLOGY_AND_SPEECH_PATHOLOGY.ASP")</f>
        <v>http://www.washingtondc.va.gov/services/AUDIOLOGY_AND_SPEECH_PATHOLOGY.ASP</v>
      </c>
      <c r="E4689" s="8" t="s">
        <v>392</v>
      </c>
    </row>
    <row r="4690" ht="14.25" hidden="1" customHeight="1">
      <c r="A4690" s="8" t="s">
        <v>3566</v>
      </c>
      <c r="B4690" s="8" t="s">
        <v>632</v>
      </c>
      <c r="D4690" s="121" t="str">
        <f>HYPERLINK("http://www.washingtondc.va.gov/services/BARIATRIC_SURGERY.ASP")</f>
        <v>http://www.washingtondc.va.gov/services/BARIATRIC_SURGERY.ASP</v>
      </c>
      <c r="E4690" s="8" t="s">
        <v>392</v>
      </c>
    </row>
    <row r="4691" ht="14.25" hidden="1" customHeight="1">
      <c r="A4691" s="8" t="s">
        <v>3566</v>
      </c>
      <c r="B4691" s="8" t="s">
        <v>300</v>
      </c>
      <c r="D4691" s="121" t="str">
        <f>HYPERLINK("http://www.washingtondc.va.gov/services/CAREGIVER_PROGRAM.ASP")</f>
        <v>http://www.washingtondc.va.gov/services/CAREGIVER_PROGRAM.ASP</v>
      </c>
      <c r="E4691" s="8" t="s">
        <v>392</v>
      </c>
    </row>
    <row r="4692" ht="14.25" hidden="1" customHeight="1">
      <c r="A4692" s="8" t="s">
        <v>3566</v>
      </c>
      <c r="B4692" s="8" t="s">
        <v>478</v>
      </c>
      <c r="D4692" s="121" t="str">
        <f>HYPERLINK("http://www.washingtondc.va.gov/services/CHAPLAIN_SERVICE.ASP")</f>
        <v>http://www.washingtondc.va.gov/services/CHAPLAIN_SERVICE.ASP</v>
      </c>
      <c r="E4692" s="8" t="s">
        <v>392</v>
      </c>
    </row>
    <row r="4693" ht="14.25" hidden="1" customHeight="1">
      <c r="A4693" s="8" t="s">
        <v>3566</v>
      </c>
      <c r="B4693" s="8" t="s">
        <v>482</v>
      </c>
      <c r="D4693" s="121" t="str">
        <f>HYPERLINK("http://www.washingtondc.va.gov/services/COMPREHENSIVE_NURSING_AND_REHABILITATION_CENTER_CNRC.ASP")</f>
        <v>http://www.washingtondc.va.gov/services/COMPREHENSIVE_NURSING_AND_REHABILITATION_CENTER_CNRC.ASP</v>
      </c>
      <c r="E4693" s="8" t="s">
        <v>392</v>
      </c>
    </row>
    <row r="4694" ht="14.25" hidden="1" customHeight="1">
      <c r="A4694" s="8" t="s">
        <v>3566</v>
      </c>
      <c r="B4694" s="8" t="s">
        <v>2621</v>
      </c>
      <c r="D4694" s="121" t="str">
        <f>HYPERLINK("http://www.washingtondc.va.gov/services/COMPLIANCE_AND_BUSINESS_INTEGRITY_OFFICE.ASP")</f>
        <v>http://www.washingtondc.va.gov/services/COMPLIANCE_AND_BUSINESS_INTEGRITY_OFFICE.ASP</v>
      </c>
      <c r="E4694" s="8" t="s">
        <v>392</v>
      </c>
    </row>
    <row r="4695" ht="14.25" hidden="1" customHeight="1">
      <c r="A4695" s="8" t="s">
        <v>3566</v>
      </c>
      <c r="B4695" s="8" t="s">
        <v>4194</v>
      </c>
      <c r="D4695" s="121" t="str">
        <f>HYPERLINK("http://www.washingtondc.va.gov/services/FISCAL_SERVICE.ASP")</f>
        <v>http://www.washingtondc.va.gov/services/FISCAL_SERVICE.ASP</v>
      </c>
      <c r="E4695" s="8" t="s">
        <v>392</v>
      </c>
    </row>
    <row r="4696" ht="14.25" hidden="1" customHeight="1">
      <c r="A4696" s="8" t="s">
        <v>3566</v>
      </c>
      <c r="B4696" s="8" t="s">
        <v>3815</v>
      </c>
      <c r="D4696" s="121" t="str">
        <f>HYPERLINK("http://www.washingtondc.va.gov/services/GI_AND_HEPATOLOGY.ASP")</f>
        <v>http://www.washingtondc.va.gov/services/GI_AND_HEPATOLOGY.ASP</v>
      </c>
      <c r="E4696" s="8" t="s">
        <v>392</v>
      </c>
    </row>
    <row r="4697" ht="14.25" hidden="1" customHeight="1">
      <c r="A4697" s="8" t="s">
        <v>3566</v>
      </c>
      <c r="B4697" s="8" t="s">
        <v>4195</v>
      </c>
      <c r="D4697" s="121" t="str">
        <f>HYPERLINK("http://www.washingtondc.va.gov/services/GERIATRICS_AND_EXTENDED_CARE.ASP")</f>
        <v>http://www.washingtondc.va.gov/services/GERIATRICS_AND_EXTENDED_CARE.ASP</v>
      </c>
      <c r="E4697" s="8" t="s">
        <v>392</v>
      </c>
    </row>
    <row r="4698" ht="14.25" hidden="1" customHeight="1">
      <c r="A4698" s="8" t="s">
        <v>3566</v>
      </c>
      <c r="B4698" s="8" t="s">
        <v>4196</v>
      </c>
      <c r="D4698" s="121" t="str">
        <f>HYPERLINK("http://www.washingtondc.va.gov/services/HEMATOLOGY.ASP")</f>
        <v>http://www.washingtondc.va.gov/services/HEMATOLOGY.ASP</v>
      </c>
      <c r="E4698" s="8" t="s">
        <v>392</v>
      </c>
    </row>
    <row r="4699" ht="14.25" hidden="1" customHeight="1">
      <c r="A4699" s="8" t="s">
        <v>3566</v>
      </c>
      <c r="B4699" s="8" t="s">
        <v>312</v>
      </c>
      <c r="D4699" s="121" t="str">
        <f>HYPERLINK("http://www.washingtondc.va.gov/services/HOMELESS_VETERANS.ASP")</f>
        <v>http://www.washingtondc.va.gov/services/HOMELESS_VETERANS.ASP</v>
      </c>
      <c r="E4699" s="8" t="s">
        <v>392</v>
      </c>
    </row>
    <row r="4700" ht="14.25" hidden="1" customHeight="1">
      <c r="A4700" s="8" t="s">
        <v>3566</v>
      </c>
      <c r="B4700" s="8" t="s">
        <v>3205</v>
      </c>
      <c r="D4700" s="121" t="str">
        <f>HYPERLINK("http://www.washingtondc.va.gov/services/HOSPITALIST_SECTION.ASP")</f>
        <v>http://www.washingtondc.va.gov/services/HOSPITALIST_SECTION.ASP</v>
      </c>
      <c r="E4700" s="8" t="s">
        <v>392</v>
      </c>
    </row>
    <row r="4701" ht="14.25" hidden="1" customHeight="1">
      <c r="A4701" s="8" t="s">
        <v>3566</v>
      </c>
      <c r="B4701" s="8" t="s">
        <v>323</v>
      </c>
      <c r="D4701" s="121" t="str">
        <f>HYPERLINK("http://www.washingtondc.va.gov/services/MHC.ASP")</f>
        <v>http://www.washingtondc.va.gov/services/MHC.ASP</v>
      </c>
      <c r="E4701" s="8" t="s">
        <v>392</v>
      </c>
    </row>
    <row r="4702" ht="14.25" hidden="1" customHeight="1">
      <c r="A4702" s="8" t="s">
        <v>3566</v>
      </c>
      <c r="B4702" s="8" t="s">
        <v>1251</v>
      </c>
      <c r="D4702" s="121" t="str">
        <f>HYPERLINK("http://www.washingtondc.va.gov/services/NURSING_SERVICE.ASP")</f>
        <v>http://www.washingtondc.va.gov/services/NURSING_SERVICE.ASP</v>
      </c>
      <c r="E4702" s="8" t="s">
        <v>392</v>
      </c>
    </row>
    <row r="4703" ht="14.25" hidden="1" customHeight="1">
      <c r="A4703" s="8" t="s">
        <v>3566</v>
      </c>
      <c r="B4703" s="8" t="s">
        <v>335</v>
      </c>
      <c r="D4703" s="121" t="str">
        <f>HYPERLINK("http://www.washingtondc.va.gov/services/NUTRITION_AND_FOOD_SERVICE.ASP")</f>
        <v>http://www.washingtondc.va.gov/services/NUTRITION_AND_FOOD_SERVICE.ASP</v>
      </c>
      <c r="E4703" s="8" t="s">
        <v>392</v>
      </c>
    </row>
    <row r="4704" ht="14.25" hidden="1" customHeight="1">
      <c r="A4704" s="8" t="s">
        <v>3566</v>
      </c>
      <c r="B4704" s="8" t="s">
        <v>4197</v>
      </c>
      <c r="D4704" s="121" t="str">
        <f>HYPERLINK("http://www.washingtondc.va.gov/services/OCCUPATIONAL_HEALTH_CLINIC.ASP")</f>
        <v>http://www.washingtondc.va.gov/services/OCCUPATIONAL_HEALTH_CLINIC.ASP</v>
      </c>
      <c r="E4704" s="8" t="s">
        <v>392</v>
      </c>
    </row>
    <row r="4705" ht="14.25" hidden="1" customHeight="1">
      <c r="A4705" s="8" t="s">
        <v>3566</v>
      </c>
      <c r="B4705" s="8" t="s">
        <v>4198</v>
      </c>
      <c r="D4705" s="121" t="str">
        <f>HYPERLINK("http://www.washingtondc.va.gov/services/PACEMAKER_CENTER.ASP")</f>
        <v>http://www.washingtondc.va.gov/services/PACEMAKER_CENTER.ASP</v>
      </c>
      <c r="E4705" s="8" t="s">
        <v>392</v>
      </c>
    </row>
    <row r="4706" ht="14.25" hidden="1" customHeight="1">
      <c r="A4706" s="8" t="s">
        <v>3566</v>
      </c>
      <c r="B4706" s="8" t="s">
        <v>4199</v>
      </c>
      <c r="D4706" s="121" t="str">
        <f>HYPERLINK("http://www.washingtondc.va.gov/services/PATIENT_ADVOCATE_OFFICE.ASP")</f>
        <v>http://www.washingtondc.va.gov/services/PATIENT_ADVOCATE_OFFICE.ASP</v>
      </c>
      <c r="E4706" s="8" t="s">
        <v>392</v>
      </c>
    </row>
    <row r="4707" ht="14.25" hidden="1" customHeight="1">
      <c r="A4707" s="8" t="s">
        <v>3566</v>
      </c>
      <c r="B4707" s="8" t="s">
        <v>343</v>
      </c>
      <c r="D4707" s="121" t="str">
        <f>HYPERLINK("http://www.washingtondc.va.gov/services/PHARMACY.ASP")</f>
        <v>http://www.washingtondc.va.gov/services/PHARMACY.ASP</v>
      </c>
      <c r="E4707" s="8" t="s">
        <v>392</v>
      </c>
    </row>
    <row r="4708" ht="14.25" hidden="1" customHeight="1">
      <c r="A4708" s="8" t="s">
        <v>3566</v>
      </c>
      <c r="B4708" s="8" t="s">
        <v>1283</v>
      </c>
      <c r="D4708" s="121" t="str">
        <f>HYPERLINK("http://www.washingtondc.va.gov/services/PHYSICAL_MEDICINE_REHABILITATION.ASP")</f>
        <v>http://www.washingtondc.va.gov/services/PHYSICAL_MEDICINE_REHABILITATION.ASP</v>
      </c>
      <c r="E4708" s="8" t="s">
        <v>392</v>
      </c>
    </row>
    <row r="4709" ht="14.25" hidden="1" customHeight="1">
      <c r="A4709" s="8" t="s">
        <v>3566</v>
      </c>
      <c r="B4709" s="8" t="s">
        <v>4200</v>
      </c>
      <c r="D4709" s="121" t="str">
        <f>HYPERLINK("http://www.washingtondc.va.gov/services/PSYCHOLOGY_SERVICE.ASP")</f>
        <v>http://www.washingtondc.va.gov/services/PSYCHOLOGY_SERVICE.ASP</v>
      </c>
      <c r="E4709" s="8" t="s">
        <v>392</v>
      </c>
    </row>
    <row r="4710" ht="14.25" hidden="1" customHeight="1">
      <c r="A4710" s="8" t="s">
        <v>3566</v>
      </c>
      <c r="B4710" s="8" t="s">
        <v>508</v>
      </c>
      <c r="D4710" s="121" t="str">
        <f>HYPERLINK("http://www.washingtondc.va.gov/services/RESEARCH.ASP")</f>
        <v>http://www.washingtondc.va.gov/services/RESEARCH.ASP</v>
      </c>
      <c r="E4710" s="8" t="s">
        <v>392</v>
      </c>
    </row>
    <row r="4711" ht="14.25" hidden="1" customHeight="1">
      <c r="A4711" s="8" t="s">
        <v>3566</v>
      </c>
      <c r="B4711" s="8" t="s">
        <v>4201</v>
      </c>
      <c r="D4711" s="121" t="str">
        <f>HYPERLINK("http://www.washingtondc.va.gov/services/RETURNING_SERVICE_MEMBERS.ASP")</f>
        <v>http://www.washingtondc.va.gov/services/RETURNING_SERVICE_MEMBERS.ASP</v>
      </c>
      <c r="E4711" s="8" t="s">
        <v>392</v>
      </c>
    </row>
    <row r="4712" ht="14.25" hidden="1" customHeight="1">
      <c r="A4712" s="8" t="s">
        <v>3566</v>
      </c>
      <c r="B4712" s="8" t="s">
        <v>4202</v>
      </c>
      <c r="D4712" s="121" t="str">
        <f>HYPERLINK("http://www.washingtondc.va.gov/services/WOMEN_VETERANS.ASP")</f>
        <v>http://www.washingtondc.va.gov/services/WOMEN_VETERANS.ASP</v>
      </c>
      <c r="E4712" s="8" t="s">
        <v>392</v>
      </c>
    </row>
    <row r="4713" ht="14.25" hidden="1" customHeight="1">
      <c r="A4713" s="8" t="s">
        <v>3592</v>
      </c>
      <c r="B4713" s="8" t="s">
        <v>4203</v>
      </c>
      <c r="D4713" s="121" t="str">
        <f>HYPERLINK("http://www.westpalmbeach.va.gov/services/ADVANCE_DIRECTIVE_CLINIC.ASP")</f>
        <v>http://www.westpalmbeach.va.gov/services/ADVANCE_DIRECTIVE_CLINIC.ASP</v>
      </c>
      <c r="E4713" s="8" t="s">
        <v>392</v>
      </c>
    </row>
    <row r="4714" ht="14.25" hidden="1" customHeight="1">
      <c r="A4714" s="8" t="s">
        <v>3592</v>
      </c>
      <c r="B4714" s="8" t="s">
        <v>828</v>
      </c>
      <c r="D4714" s="121" t="str">
        <f>HYPERLINK("http://www.westpalmbeach.va.gov/services/AUDIO.ASP")</f>
        <v>http://www.westpalmbeach.va.gov/services/AUDIO.ASP</v>
      </c>
      <c r="E4714" s="8" t="s">
        <v>392</v>
      </c>
    </row>
    <row r="4715" ht="14.25" hidden="1" customHeight="1">
      <c r="A4715" s="8" t="s">
        <v>3592</v>
      </c>
      <c r="B4715" s="8" t="s">
        <v>862</v>
      </c>
      <c r="D4715" s="121" t="str">
        <f>HYPERLINK("http://www.westpalmbeach.va.gov/services/BLIND_REHABILITATION.ASP")</f>
        <v>http://www.westpalmbeach.va.gov/services/BLIND_REHABILITATION.ASP</v>
      </c>
      <c r="E4715" s="8" t="s">
        <v>392</v>
      </c>
    </row>
    <row r="4716" ht="14.25" hidden="1" customHeight="1">
      <c r="A4716" s="8" t="s">
        <v>3592</v>
      </c>
      <c r="B4716" s="8" t="s">
        <v>478</v>
      </c>
      <c r="D4716" s="121" t="str">
        <f>HYPERLINK("http://www.westpalmbeach.va.gov/services/CHAPLAIN_SERVICE.ASP")</f>
        <v>http://www.westpalmbeach.va.gov/services/CHAPLAIN_SERVICE.ASP</v>
      </c>
      <c r="E4716" s="8" t="s">
        <v>392</v>
      </c>
    </row>
    <row r="4717" ht="14.25" hidden="1" customHeight="1">
      <c r="A4717" s="8" t="s">
        <v>3592</v>
      </c>
      <c r="B4717" s="8" t="s">
        <v>4204</v>
      </c>
      <c r="D4717" s="121" t="str">
        <f>HYPERLINK("http://www.westpalmbeach.va.gov/services/COMMUNITY_CARE_PROGRAM.ASP")</f>
        <v>http://www.westpalmbeach.va.gov/services/COMMUNITY_CARE_PROGRAM.ASP</v>
      </c>
      <c r="E4717" s="8" t="s">
        <v>392</v>
      </c>
    </row>
    <row r="4718" ht="14.25" hidden="1" customHeight="1">
      <c r="A4718" s="8" t="s">
        <v>3592</v>
      </c>
      <c r="B4718" s="8" t="s">
        <v>305</v>
      </c>
      <c r="D4718" s="121" t="str">
        <f>HYPERLINK("http://www.westpalmbeach.va.gov/services/DENTAL.ASP")</f>
        <v>http://www.westpalmbeach.va.gov/services/DENTAL.ASP</v>
      </c>
      <c r="E4718" s="8" t="s">
        <v>392</v>
      </c>
    </row>
    <row r="4719" ht="14.25" hidden="1" customHeight="1">
      <c r="A4719" s="8" t="s">
        <v>3592</v>
      </c>
      <c r="B4719" s="8" t="s">
        <v>3016</v>
      </c>
      <c r="D4719" s="121" t="str">
        <f>HYPERLINK("http://www.westpalmbeach.va.gov/services/EMS.ASP")</f>
        <v>http://www.westpalmbeach.va.gov/services/EMS.ASP</v>
      </c>
      <c r="E4719" s="8" t="s">
        <v>392</v>
      </c>
    </row>
    <row r="4720" ht="14.25" hidden="1" customHeight="1">
      <c r="A4720" s="8" t="s">
        <v>3592</v>
      </c>
      <c r="B4720" s="8" t="s">
        <v>1344</v>
      </c>
      <c r="D4720" s="121" t="str">
        <f>HYPERLINK("http://www.westpalmbeach.va.gov/services/FISHER_HOUSE.ASP")</f>
        <v>http://www.westpalmbeach.va.gov/services/FISHER_HOUSE.ASP</v>
      </c>
      <c r="E4720" s="8" t="s">
        <v>392</v>
      </c>
    </row>
    <row r="4721" ht="14.25" hidden="1" customHeight="1">
      <c r="A4721" s="8" t="s">
        <v>3592</v>
      </c>
      <c r="B4721" s="8" t="s">
        <v>4205</v>
      </c>
      <c r="D4721" s="121" t="str">
        <f>HYPERLINK("http://www.westpalmbeach.va.gov/services/GERIATRIC.ASP")</f>
        <v>http://www.westpalmbeach.va.gov/services/GERIATRIC.ASP</v>
      </c>
      <c r="E4721" s="8" t="s">
        <v>392</v>
      </c>
    </row>
    <row r="4722" ht="14.25" hidden="1" customHeight="1">
      <c r="A4722" s="8" t="s">
        <v>3592</v>
      </c>
      <c r="B4722" s="8" t="s">
        <v>437</v>
      </c>
      <c r="D4722" s="121" t="str">
        <f>HYPERLINK("http://www.westpalmbeach.va.gov/services/HOSPICE_AND_PALLIATIVE_CARE.ASP")</f>
        <v>http://www.westpalmbeach.va.gov/services/HOSPICE_AND_PALLIATIVE_CARE.ASP</v>
      </c>
      <c r="E4722" s="8" t="s">
        <v>392</v>
      </c>
    </row>
    <row r="4723" ht="14.25" hidden="1" customHeight="1">
      <c r="A4723" s="8" t="s">
        <v>3592</v>
      </c>
      <c r="B4723" s="8" t="s">
        <v>701</v>
      </c>
      <c r="D4723" s="121" t="str">
        <f>HYPERLINK("http://www.westpalmbeach.va.gov/services/MEDICAL_FOSTER_HOME_CARE.ASP")</f>
        <v>http://www.westpalmbeach.va.gov/services/MEDICAL_FOSTER_HOME_CARE.ASP</v>
      </c>
      <c r="E4723" s="8" t="s">
        <v>392</v>
      </c>
    </row>
    <row r="4724" ht="14.25" hidden="1" customHeight="1">
      <c r="A4724" s="8" t="s">
        <v>3592</v>
      </c>
      <c r="B4724" s="8" t="s">
        <v>3218</v>
      </c>
      <c r="D4724" s="121" t="str">
        <f>HYPERLINK("http://www.westpalmbeach.va.gov/services/MEDICINE.ASP")</f>
        <v>http://www.westpalmbeach.va.gov/services/MEDICINE.ASP</v>
      </c>
      <c r="E4724" s="8" t="s">
        <v>392</v>
      </c>
    </row>
    <row r="4725" ht="14.25" hidden="1" customHeight="1">
      <c r="A4725" s="8" t="s">
        <v>3592</v>
      </c>
      <c r="B4725" s="8" t="s">
        <v>323</v>
      </c>
      <c r="D4725" s="121" t="str">
        <f t="shared" ref="D4725:D4727" si="68">HYPERLINK("http://www.westpalmbeach.va.gov/services/MENTALHEALTH.ASP")</f>
        <v>http://www.westpalmbeach.va.gov/services/MENTALHEALTH.ASP</v>
      </c>
      <c r="E4725" s="8" t="s">
        <v>392</v>
      </c>
    </row>
    <row r="4726" ht="14.25" hidden="1" customHeight="1">
      <c r="A4726" s="8" t="s">
        <v>3592</v>
      </c>
      <c r="B4726" s="8" t="s">
        <v>4206</v>
      </c>
      <c r="D4726" s="121" t="str">
        <f t="shared" si="68"/>
        <v>http://www.westpalmbeach.va.gov/services/MENTALHEALTH.ASP</v>
      </c>
      <c r="E4726" s="8" t="s">
        <v>595</v>
      </c>
    </row>
    <row r="4727" ht="14.25" hidden="1" customHeight="1">
      <c r="A4727" s="8" t="s">
        <v>3592</v>
      </c>
      <c r="B4727" s="8" t="s">
        <v>4207</v>
      </c>
      <c r="D4727" s="121" t="str">
        <f t="shared" si="68"/>
        <v>http://www.westpalmbeach.va.gov/services/MENTALHEALTH.ASP</v>
      </c>
      <c r="E4727" s="8" t="s">
        <v>595</v>
      </c>
    </row>
    <row r="4728" ht="14.25" hidden="1" customHeight="1">
      <c r="A4728" s="8" t="s">
        <v>3592</v>
      </c>
      <c r="B4728" s="8" t="s">
        <v>324</v>
      </c>
      <c r="D4728" s="121" t="str">
        <f>HYPERLINK("http://www.westpalmbeach.va.gov/services/MILITARY_SEXUAL_TRAUMA.ASP")</f>
        <v>http://www.westpalmbeach.va.gov/services/MILITARY_SEXUAL_TRAUMA.ASP</v>
      </c>
      <c r="E4728" s="8" t="s">
        <v>392</v>
      </c>
    </row>
    <row r="4729" ht="14.25" hidden="1" customHeight="1">
      <c r="A4729" s="8" t="s">
        <v>3592</v>
      </c>
      <c r="B4729" s="8" t="s">
        <v>326</v>
      </c>
      <c r="D4729" s="121" t="str">
        <f>HYPERLINK("http://www.westpalmbeach.va.gov/services/MINORITY_VETERANS_PROGRAM.ASP")</f>
        <v>http://www.westpalmbeach.va.gov/services/MINORITY_VETERANS_PROGRAM.ASP</v>
      </c>
      <c r="E4729" s="8" t="s">
        <v>392</v>
      </c>
    </row>
    <row r="4730" ht="14.25" hidden="1" customHeight="1">
      <c r="A4730" s="8" t="s">
        <v>3592</v>
      </c>
      <c r="B4730" s="8" t="s">
        <v>2441</v>
      </c>
      <c r="D4730" s="121" t="str">
        <f>HYPERLINK("http://www.westpalmbeach.va.gov/services/NEWS.ASP")</f>
        <v>http://www.westpalmbeach.va.gov/services/NEWS.ASP</v>
      </c>
      <c r="E4730" s="8" t="s">
        <v>392</v>
      </c>
    </row>
    <row r="4731" ht="14.25" hidden="1" customHeight="1">
      <c r="A4731" s="8" t="s">
        <v>3592</v>
      </c>
      <c r="B4731" s="8" t="s">
        <v>335</v>
      </c>
      <c r="D4731" s="121" t="str">
        <f>HYPERLINK("http://www.westpalmbeach.va.gov/services/NUTRITION_AND_FOOD.ASP")</f>
        <v>http://www.westpalmbeach.va.gov/services/NUTRITION_AND_FOOD.ASP</v>
      </c>
      <c r="E4731" s="8" t="s">
        <v>392</v>
      </c>
    </row>
    <row r="4732" ht="14.25" hidden="1" customHeight="1">
      <c r="A4732" s="8" t="s">
        <v>3592</v>
      </c>
      <c r="B4732" s="8" t="s">
        <v>2917</v>
      </c>
      <c r="D4732" s="121" t="str">
        <f>HYPERLINK("http://www.westpalmbeach.va.gov/services/MENTALHEALTH.ASP")</f>
        <v>http://www.westpalmbeach.va.gov/services/MENTALHEALTH.ASP</v>
      </c>
      <c r="E4732" s="8" t="s">
        <v>595</v>
      </c>
    </row>
    <row r="4733" ht="14.25" hidden="1" customHeight="1">
      <c r="A4733" s="8" t="s">
        <v>3592</v>
      </c>
      <c r="B4733" s="8" t="s">
        <v>343</v>
      </c>
      <c r="D4733" s="121" t="str">
        <f>HYPERLINK("http://www.westpalmbeach.va.gov/services/PHARMACY.ASP")</f>
        <v>http://www.westpalmbeach.va.gov/services/PHARMACY.ASP</v>
      </c>
      <c r="E4733" s="8" t="s">
        <v>392</v>
      </c>
    </row>
    <row r="4734" ht="14.25" hidden="1" customHeight="1">
      <c r="A4734" s="8" t="s">
        <v>3592</v>
      </c>
      <c r="B4734" s="8" t="s">
        <v>1283</v>
      </c>
      <c r="D4734" s="121" t="str">
        <f>HYPERLINK("http://www.westpalmbeach.va.gov/services/ECRC.ASP")</f>
        <v>http://www.westpalmbeach.va.gov/services/ECRC.ASP</v>
      </c>
      <c r="E4734" s="8" t="s">
        <v>392</v>
      </c>
    </row>
    <row r="4735" ht="14.25" hidden="1" customHeight="1">
      <c r="A4735" s="8" t="s">
        <v>3592</v>
      </c>
      <c r="B4735" s="8" t="s">
        <v>4208</v>
      </c>
      <c r="D4735" s="121" t="str">
        <f t="shared" ref="D4735:D4736" si="69">HYPERLINK("http://www.westpalmbeach.va.gov/services/MENTALHEALTH.ASP")</f>
        <v>http://www.westpalmbeach.va.gov/services/MENTALHEALTH.ASP</v>
      </c>
      <c r="E4735" s="8" t="s">
        <v>595</v>
      </c>
    </row>
    <row r="4736" ht="14.25" hidden="1" customHeight="1">
      <c r="A4736" s="8" t="s">
        <v>3592</v>
      </c>
      <c r="B4736" s="8" t="s">
        <v>4209</v>
      </c>
      <c r="D4736" s="121" t="str">
        <f t="shared" si="69"/>
        <v>http://www.westpalmbeach.va.gov/services/MENTALHEALTH.ASP</v>
      </c>
      <c r="E4736" s="8" t="s">
        <v>595</v>
      </c>
    </row>
    <row r="4737" ht="14.25" hidden="1" customHeight="1">
      <c r="A4737" s="8" t="s">
        <v>3592</v>
      </c>
      <c r="B4737" s="8" t="s">
        <v>348</v>
      </c>
      <c r="D4737" s="121" t="str">
        <f>HYPERLINK("http://www.westpalmbeach.va.gov/services/PRIMARY.ASP")</f>
        <v>http://www.westpalmbeach.va.gov/services/PRIMARY.ASP</v>
      </c>
      <c r="E4737" s="8" t="s">
        <v>392</v>
      </c>
    </row>
    <row r="4738" ht="14.25" hidden="1" customHeight="1">
      <c r="A4738" s="8" t="s">
        <v>3592</v>
      </c>
      <c r="B4738" s="8" t="s">
        <v>4210</v>
      </c>
      <c r="D4738" s="121" t="str">
        <f>HYPERLINK("http://www.westpalmbeach.va.gov/services/PRICAREBEHAVHEALTH.ASP")</f>
        <v>http://www.westpalmbeach.va.gov/services/PRICAREBEHAVHEALTH.ASP</v>
      </c>
      <c r="E4738" s="8" t="s">
        <v>392</v>
      </c>
    </row>
    <row r="4739" ht="14.25" hidden="1" customHeight="1">
      <c r="A4739" s="8" t="s">
        <v>3592</v>
      </c>
      <c r="B4739" s="8" t="s">
        <v>1337</v>
      </c>
      <c r="D4739" s="121" t="str">
        <f>HYPERLINK("http://www.westpalmbeach.va.gov/services/RECTHERAPY.ASP")</f>
        <v>http://www.westpalmbeach.va.gov/services/RECTHERAPY.ASP</v>
      </c>
      <c r="E4739" s="8" t="s">
        <v>392</v>
      </c>
    </row>
    <row r="4740" ht="14.25" hidden="1" customHeight="1">
      <c r="A4740" s="8" t="s">
        <v>3592</v>
      </c>
      <c r="B4740" s="8" t="s">
        <v>360</v>
      </c>
      <c r="D4740" s="121" t="str">
        <f>HYPERLINK("http://www.westpalmbeach.va.gov/services/SOCIALWORK.ASP")</f>
        <v>http://www.westpalmbeach.va.gov/services/SOCIALWORK.ASP</v>
      </c>
      <c r="E4740" s="8" t="s">
        <v>392</v>
      </c>
    </row>
    <row r="4741" ht="14.25" hidden="1" customHeight="1">
      <c r="A4741" s="8" t="s">
        <v>3592</v>
      </c>
      <c r="B4741" s="8" t="s">
        <v>4211</v>
      </c>
      <c r="D4741" s="121" t="str">
        <f>HYPERLINK("http://www.westpalmbeach.va.gov/services/MENTALHEALTH.ASP")</f>
        <v>http://www.westpalmbeach.va.gov/services/MENTALHEALTH.ASP</v>
      </c>
      <c r="E4741" s="8" t="s">
        <v>595</v>
      </c>
    </row>
    <row r="4742" ht="14.25" hidden="1" customHeight="1">
      <c r="A4742" s="8" t="s">
        <v>3592</v>
      </c>
      <c r="B4742" s="8" t="s">
        <v>722</v>
      </c>
      <c r="D4742" s="121" t="str">
        <f>HYPERLINK("http://www.westpalmbeach.va.gov/services/SURGERY.ASP")</f>
        <v>http://www.westpalmbeach.va.gov/services/SURGERY.ASP</v>
      </c>
      <c r="E4742" s="8" t="s">
        <v>392</v>
      </c>
    </row>
    <row r="4743" ht="14.25" hidden="1" customHeight="1">
      <c r="A4743" s="8" t="s">
        <v>3592</v>
      </c>
      <c r="B4743" s="8" t="s">
        <v>4212</v>
      </c>
      <c r="D4743" s="121" t="str">
        <f>HYPERLINK("http://www.westpalmbeach.va.gov/services/PRIMARY.ASP")</f>
        <v>http://www.westpalmbeach.va.gov/services/PRIMARY.ASP</v>
      </c>
      <c r="E4743" s="8" t="s">
        <v>595</v>
      </c>
    </row>
    <row r="4744" ht="14.25" hidden="1" customHeight="1">
      <c r="A4744" s="8" t="s">
        <v>3592</v>
      </c>
      <c r="B4744" s="8" t="s">
        <v>377</v>
      </c>
      <c r="D4744" s="121" t="str">
        <f>HYPERLINK("http://www.westpalmbeach.va.gov/services/WHOLE_HEALTH.ASP")</f>
        <v>http://www.westpalmbeach.va.gov/services/WHOLE_HEALTH.ASP</v>
      </c>
      <c r="E4744" s="8" t="s">
        <v>392</v>
      </c>
    </row>
    <row r="4745" ht="14.25" hidden="1" customHeight="1">
      <c r="A4745" s="8" t="s">
        <v>3603</v>
      </c>
      <c r="B4745" s="8" t="s">
        <v>244</v>
      </c>
      <c r="D4745" s="121" t="str">
        <f>HYPERLINK("http://www.whiteriver.va.gov/services/AUDIOLOGY.ASP")</f>
        <v>http://www.whiteriver.va.gov/services/AUDIOLOGY.ASP</v>
      </c>
      <c r="E4745" s="8" t="s">
        <v>392</v>
      </c>
    </row>
    <row r="4746" ht="14.25" hidden="1" customHeight="1">
      <c r="A4746" s="8" t="s">
        <v>3603</v>
      </c>
      <c r="B4746" s="8" t="s">
        <v>2596</v>
      </c>
      <c r="D4746" s="121" t="str">
        <f>HYPERLINK("http://www.whiteriver.va.gov/services/BUSINESS_OFFICE.ASP")</f>
        <v>http://www.whiteriver.va.gov/services/BUSINESS_OFFICE.ASP</v>
      </c>
      <c r="E4746" s="8" t="s">
        <v>392</v>
      </c>
    </row>
    <row r="4747" ht="14.25" hidden="1" customHeight="1">
      <c r="A4747" s="8" t="s">
        <v>3603</v>
      </c>
      <c r="B4747" s="8" t="s">
        <v>300</v>
      </c>
      <c r="D4747" s="121" t="str">
        <f>HYPERLINK("http://www.whiteriver.va.gov/services/CAREGIVER_PROGRAM.ASP")</f>
        <v>http://www.whiteriver.va.gov/services/CAREGIVER_PROGRAM.ASP</v>
      </c>
      <c r="E4747" s="8" t="s">
        <v>392</v>
      </c>
    </row>
    <row r="4748" ht="14.25" hidden="1" customHeight="1">
      <c r="A4748" s="8" t="s">
        <v>3603</v>
      </c>
      <c r="B4748" s="8" t="s">
        <v>692</v>
      </c>
      <c r="D4748" s="121" t="str">
        <f>HYPERLINK("http://www.whiteriver.va.gov/services/COMMUNITYCARE.ASP")</f>
        <v>http://www.whiteriver.va.gov/services/COMMUNITYCARE.ASP</v>
      </c>
      <c r="E4748" s="8" t="s">
        <v>595</v>
      </c>
    </row>
    <row r="4749" ht="14.25" hidden="1" customHeight="1">
      <c r="A4749" s="8" t="s">
        <v>3603</v>
      </c>
      <c r="B4749" s="8" t="s">
        <v>1806</v>
      </c>
      <c r="D4749" s="121" t="str">
        <f>HYPERLINK("http://www.whiteriver.va.gov/services/EAR_NOSE_AND_THROAT.ASP")</f>
        <v>http://www.whiteriver.va.gov/services/EAR_NOSE_AND_THROAT.ASP</v>
      </c>
      <c r="E4749" s="8" t="s">
        <v>392</v>
      </c>
    </row>
    <row r="4750" ht="14.25" hidden="1" customHeight="1">
      <c r="A4750" s="8" t="s">
        <v>3603</v>
      </c>
      <c r="B4750" s="8" t="s">
        <v>4213</v>
      </c>
      <c r="D4750" s="121" t="str">
        <f>HYPERLINK("http://www.whiteriver.va.gov/services/FACILITIES_MANAGEMENT.ASP")</f>
        <v>http://www.whiteriver.va.gov/services/FACILITIES_MANAGEMENT.ASP</v>
      </c>
      <c r="E4750" s="8" t="s">
        <v>392</v>
      </c>
    </row>
    <row r="4751" ht="14.25" hidden="1" customHeight="1">
      <c r="A4751" s="8" t="s">
        <v>3603</v>
      </c>
      <c r="B4751" s="8" t="s">
        <v>556</v>
      </c>
      <c r="D4751" s="121" t="str">
        <f>HYPERLINK("http://www.whiteriver.va.gov/services/LONG_TERM_CARE.ASP")</f>
        <v>http://www.whiteriver.va.gov/services/LONG_TERM_CARE.ASP</v>
      </c>
      <c r="E4751" s="8" t="s">
        <v>392</v>
      </c>
    </row>
    <row r="4752" ht="14.25" hidden="1" customHeight="1">
      <c r="A4752" s="8" t="s">
        <v>3603</v>
      </c>
      <c r="B4752" s="8" t="s">
        <v>431</v>
      </c>
      <c r="D4752" s="121" t="str">
        <f>HYPERLINK("http://www.whiteriver.va.gov/services/HOME_BASES_PRIMARY_CARE.ASP")</f>
        <v>http://www.whiteriver.va.gov/services/HOME_BASES_PRIMARY_CARE.ASP</v>
      </c>
      <c r="E4752" s="8" t="s">
        <v>392</v>
      </c>
    </row>
    <row r="4753" ht="14.25" hidden="1" customHeight="1">
      <c r="A4753" s="8" t="s">
        <v>3603</v>
      </c>
      <c r="B4753" s="8" t="s">
        <v>312</v>
      </c>
      <c r="D4753" s="121" t="str">
        <f>HYPERLINK("http://www.whiteriver.va.gov/services/HOMELESS_VETERANS.ASP")</f>
        <v>http://www.whiteriver.va.gov/services/HOMELESS_VETERANS.ASP</v>
      </c>
      <c r="E4753" s="8" t="s">
        <v>392</v>
      </c>
    </row>
    <row r="4754" ht="14.25" hidden="1" customHeight="1">
      <c r="A4754" s="8" t="s">
        <v>3603</v>
      </c>
      <c r="B4754" s="8" t="s">
        <v>2183</v>
      </c>
      <c r="D4754" s="121" t="str">
        <f>HYPERLINK("http://www.whiteriver.va.gov/services/LESBIAN_GAY_BISEXUAL_AND_TRANSGENDER_VETERANS.ASP")</f>
        <v>http://www.whiteriver.va.gov/services/LESBIAN_GAY_BISEXUAL_AND_TRANSGENDER_VETERANS.ASP</v>
      </c>
      <c r="E4754" s="8" t="s">
        <v>392</v>
      </c>
    </row>
    <row r="4755" ht="14.25" hidden="1" customHeight="1">
      <c r="A4755" s="8" t="s">
        <v>3603</v>
      </c>
      <c r="B4755" s="8" t="s">
        <v>323</v>
      </c>
      <c r="D4755" s="121" t="str">
        <f>HYPERLINK("http://www.whiteriver.va.gov/services/MENTAL_HEALTH.ASP")</f>
        <v>http://www.whiteriver.va.gov/services/MENTAL_HEALTH.ASP</v>
      </c>
      <c r="E4755" s="8" t="s">
        <v>392</v>
      </c>
    </row>
    <row r="4756" ht="14.25" hidden="1" customHeight="1">
      <c r="A4756" s="8" t="s">
        <v>3603</v>
      </c>
      <c r="B4756" s="8" t="s">
        <v>1251</v>
      </c>
      <c r="D4756" s="121" t="str">
        <f>HYPERLINK("http://www.whiteriver.va.gov/services/NURSING_SERVICE.ASP")</f>
        <v>http://www.whiteriver.va.gov/services/NURSING_SERVICE.ASP</v>
      </c>
      <c r="E4756" s="8" t="s">
        <v>392</v>
      </c>
    </row>
    <row r="4757" ht="14.25" hidden="1" customHeight="1">
      <c r="A4757" s="8" t="s">
        <v>3603</v>
      </c>
      <c r="B4757" s="8" t="s">
        <v>335</v>
      </c>
      <c r="D4757" s="121" t="str">
        <f>HYPERLINK("http://www.whiteriver.va.gov/services/NUTRITION_AND_FOOD_SERVICE.ASP")</f>
        <v>http://www.whiteriver.va.gov/services/NUTRITION_AND_FOOD_SERVICE.ASP</v>
      </c>
      <c r="E4757" s="8" t="s">
        <v>392</v>
      </c>
    </row>
    <row r="4758" ht="14.25" hidden="1" customHeight="1">
      <c r="A4758" s="8" t="s">
        <v>3603</v>
      </c>
      <c r="B4758" s="8" t="s">
        <v>3086</v>
      </c>
      <c r="D4758" s="121" t="str">
        <f>HYPERLINK("http://www.whiteriver.va.gov/services/COMMUNITYCARE.ASP")</f>
        <v>http://www.whiteriver.va.gov/services/COMMUNITYCARE.ASP</v>
      </c>
      <c r="E4758" s="8" t="s">
        <v>392</v>
      </c>
    </row>
    <row r="4759" ht="14.25" hidden="1" customHeight="1">
      <c r="A4759" s="8" t="s">
        <v>3603</v>
      </c>
      <c r="B4759" s="8" t="s">
        <v>960</v>
      </c>
      <c r="D4759" s="121" t="str">
        <f>HYPERLINK("http://www.whiteriver.va.gov/services/PATHOLOGY_AND_LABORATORY_MEDICINE_SERVICE.ASP")</f>
        <v>http://www.whiteriver.va.gov/services/PATHOLOGY_AND_LABORATORY_MEDICINE_SERVICE.ASP</v>
      </c>
      <c r="E4759" s="8" t="s">
        <v>392</v>
      </c>
    </row>
    <row r="4760" ht="14.25" hidden="1" customHeight="1">
      <c r="A4760" s="8" t="s">
        <v>3603</v>
      </c>
      <c r="B4760" s="8" t="s">
        <v>343</v>
      </c>
      <c r="D4760" s="121" t="str">
        <f>HYPERLINK("http://www.whiteriver.va.gov/services/PHARMACY.ASP")</f>
        <v>http://www.whiteriver.va.gov/services/PHARMACY.ASP</v>
      </c>
      <c r="E4760" s="8" t="s">
        <v>392</v>
      </c>
    </row>
    <row r="4761" ht="14.25" hidden="1" customHeight="1">
      <c r="A4761" s="8" t="s">
        <v>3603</v>
      </c>
      <c r="B4761" s="8" t="s">
        <v>775</v>
      </c>
      <c r="D4761" s="121" t="str">
        <f>HYPERLINK("http://www.whiteriver.va.gov/services/POLICE_SERVICE.ASP")</f>
        <v>http://www.whiteriver.va.gov/services/POLICE_SERVICE.ASP</v>
      </c>
      <c r="E4761" s="8" t="s">
        <v>392</v>
      </c>
    </row>
    <row r="4762" ht="14.25" hidden="1" customHeight="1">
      <c r="A4762" s="8" t="s">
        <v>3603</v>
      </c>
      <c r="B4762" s="8" t="s">
        <v>355</v>
      </c>
      <c r="D4762" s="121" t="str">
        <f>HYPERLINK("http://www.whiteriver.va.gov/services/RETURNING_SERVICE_MEMBERS.ASP")</f>
        <v>http://www.whiteriver.va.gov/services/RETURNING_SERVICE_MEMBERS.ASP</v>
      </c>
      <c r="E4762" s="8" t="s">
        <v>392</v>
      </c>
    </row>
    <row r="4763" ht="14.25" hidden="1" customHeight="1">
      <c r="A4763" s="8" t="s">
        <v>3603</v>
      </c>
      <c r="B4763" s="8" t="s">
        <v>1950</v>
      </c>
      <c r="D4763" s="121" t="str">
        <f>HYPERLINK("http://www.whiteriver.va.gov/services/TRANSPORTATION.ASP")</f>
        <v>http://www.whiteriver.va.gov/services/TRANSPORTATION.ASP</v>
      </c>
      <c r="E4763" s="8" t="s">
        <v>392</v>
      </c>
    </row>
    <row r="4764" ht="14.25" hidden="1" customHeight="1">
      <c r="A4764" s="8" t="s">
        <v>3610</v>
      </c>
      <c r="B4764" s="8" t="s">
        <v>862</v>
      </c>
      <c r="D4764" s="121" t="str">
        <f>HYPERLINK("http://www.wichita.va.gov/services/VISUAL_IMPAIRMENT_SERVICE_TEAM_BLIND_REHABILITATION.ASP")</f>
        <v>http://www.wichita.va.gov/services/VISUAL_IMPAIRMENT_SERVICE_TEAM_BLIND_REHABILITATION.ASP</v>
      </c>
      <c r="E4764" s="8" t="s">
        <v>595</v>
      </c>
    </row>
    <row r="4765" ht="14.25" hidden="1" customHeight="1">
      <c r="A4765" s="8" t="s">
        <v>3610</v>
      </c>
      <c r="B4765" s="8" t="s">
        <v>4214</v>
      </c>
      <c r="D4765" s="121" t="str">
        <f>HYPERLINK("http://www.wichita.va.gov/services/LOW_VISION_REHAB_CLINIC.ASP")</f>
        <v>http://www.wichita.va.gov/services/LOW_VISION_REHAB_CLINIC.ASP</v>
      </c>
      <c r="E4765" s="8" t="s">
        <v>392</v>
      </c>
    </row>
    <row r="4766" ht="14.25" hidden="1" customHeight="1">
      <c r="A4766" s="8" t="s">
        <v>3610</v>
      </c>
      <c r="B4766" s="8" t="s">
        <v>441</v>
      </c>
      <c r="D4766" s="121" t="str">
        <f>HYPERLINK("http://www.wichita.va.gov/services/MOVE_WEIGHT_MANAGEMENT_PROGRAM.ASP")</f>
        <v>http://www.wichita.va.gov/services/MOVE_WEIGHT_MANAGEMENT_PROGRAM.ASP</v>
      </c>
      <c r="E4766" s="8" t="s">
        <v>392</v>
      </c>
    </row>
    <row r="4767" ht="14.25" hidden="1" customHeight="1">
      <c r="A4767" s="8" t="s">
        <v>3610</v>
      </c>
      <c r="B4767" s="8" t="s">
        <v>476</v>
      </c>
      <c r="D4767" s="121" t="str">
        <f>HYPERLINK("http://www.wichita.va.gov/services/MEDICAL_FOSTER_HOME.ASP")</f>
        <v>http://www.wichita.va.gov/services/MEDICAL_FOSTER_HOME.ASP</v>
      </c>
      <c r="E4767" s="8" t="s">
        <v>392</v>
      </c>
    </row>
    <row r="4768" ht="14.25" hidden="1" customHeight="1">
      <c r="A4768" s="8" t="s">
        <v>3610</v>
      </c>
      <c r="B4768" s="8" t="s">
        <v>323</v>
      </c>
      <c r="D4768" s="121" t="str">
        <f>HYPERLINK("http://www.wichita.va.gov/services/MENTAL_HEALTH.ASP")</f>
        <v>http://www.wichita.va.gov/services/MENTAL_HEALTH.ASP</v>
      </c>
      <c r="E4768" s="8" t="s">
        <v>392</v>
      </c>
    </row>
    <row r="4769" ht="14.25" hidden="1" customHeight="1">
      <c r="A4769" s="8" t="s">
        <v>3610</v>
      </c>
      <c r="B4769" s="8" t="s">
        <v>343</v>
      </c>
      <c r="D4769" s="121" t="str">
        <f>HYPERLINK("http://www.wichita.va.gov/services/PHARMACY.ASP")</f>
        <v>http://www.wichita.va.gov/services/PHARMACY.ASP</v>
      </c>
      <c r="E4769" s="8" t="s">
        <v>392</v>
      </c>
    </row>
    <row r="4770" ht="14.25" hidden="1" customHeight="1">
      <c r="A4770" s="8" t="s">
        <v>3610</v>
      </c>
      <c r="B4770" s="8" t="s">
        <v>4215</v>
      </c>
      <c r="D4770" s="121" t="str">
        <f>HYPERLINK("http://www.wichita.va.gov/services/VISUAL_IMPAIRMENT_SERVICE_TEAM_BLIND_REHABILITATION.ASP")</f>
        <v>http://www.wichita.va.gov/services/VISUAL_IMPAIRMENT_SERVICE_TEAM_BLIND_REHABILITATION.ASP</v>
      </c>
      <c r="E4770" s="8" t="s">
        <v>392</v>
      </c>
    </row>
    <row r="4771" ht="14.25" hidden="1" customHeight="1">
      <c r="A4771" s="272" t="s">
        <v>4216</v>
      </c>
      <c r="B4771" s="306" t="s">
        <v>1007</v>
      </c>
      <c r="D4771" s="121" t="str">
        <f>HYPERLINK("http://www.wilkes-barre.va.gov/services/BEREAVEMENT_SUPPORT_GROUP.ASP")</f>
        <v>http://www.wilkes-barre.va.gov/services/BEREAVEMENT_SUPPORT_GROUP.ASP</v>
      </c>
      <c r="E4771" s="8" t="s">
        <v>392</v>
      </c>
    </row>
    <row r="4772" ht="14.25" hidden="1" customHeight="1">
      <c r="A4772" s="272" t="s">
        <v>4216</v>
      </c>
      <c r="B4772" s="306" t="s">
        <v>631</v>
      </c>
      <c r="D4772" s="121" t="str">
        <f>HYPERLINK("http://www.wilkes-barre.va.gov/services/BILLING_AND_INSURANCE.ASP")</f>
        <v>http://www.wilkes-barre.va.gov/services/BILLING_AND_INSURANCE.ASP</v>
      </c>
      <c r="E4772" s="8" t="s">
        <v>392</v>
      </c>
    </row>
    <row r="4773" ht="14.25" hidden="1" customHeight="1">
      <c r="A4773" s="272" t="s">
        <v>4216</v>
      </c>
      <c r="B4773" s="306" t="s">
        <v>578</v>
      </c>
      <c r="D4773" s="121" t="str">
        <f>HYPERLINK("http://www.wilkes-barre.va.gov/services/CALL_CENTER.ASP")</f>
        <v>http://www.wilkes-barre.va.gov/services/CALL_CENTER.ASP</v>
      </c>
      <c r="E4773" s="8" t="s">
        <v>392</v>
      </c>
    </row>
    <row r="4774" ht="14.25" hidden="1" customHeight="1">
      <c r="A4774" s="272" t="s">
        <v>4216</v>
      </c>
      <c r="B4774" s="306" t="s">
        <v>1022</v>
      </c>
      <c r="D4774" s="121" t="str">
        <f>HYPERLINK("http://www.wilkes-barre.va.gov/services/CANTEEN.ASP")</f>
        <v>http://www.wilkes-barre.va.gov/services/CANTEEN.ASP</v>
      </c>
      <c r="E4774" s="8" t="s">
        <v>392</v>
      </c>
    </row>
    <row r="4775" ht="14.25" hidden="1" customHeight="1">
      <c r="A4775" s="272" t="s">
        <v>4216</v>
      </c>
      <c r="B4775" s="306" t="s">
        <v>897</v>
      </c>
      <c r="D4775" s="121" t="str">
        <f>HYPERLINK("http://www.wilkes-barre.va.gov/services/CCHT.ASP")</f>
        <v>http://www.wilkes-barre.va.gov/services/CCHT.ASP</v>
      </c>
      <c r="E4775" s="8" t="s">
        <v>392</v>
      </c>
    </row>
    <row r="4776" ht="14.25" hidden="1" customHeight="1">
      <c r="A4776" s="272" t="s">
        <v>4216</v>
      </c>
      <c r="B4776" s="306" t="s">
        <v>638</v>
      </c>
      <c r="D4776" s="121" t="str">
        <f>HYPERLINK("http://www.wilkes-barre.va.gov/services/CAREERS.ASP")</f>
        <v>http://www.wilkes-barre.va.gov/services/CAREERS.ASP</v>
      </c>
      <c r="E4776" s="8" t="s">
        <v>392</v>
      </c>
    </row>
    <row r="4777" ht="14.25" hidden="1" customHeight="1">
      <c r="A4777" s="272" t="s">
        <v>4216</v>
      </c>
      <c r="B4777" s="306" t="s">
        <v>468</v>
      </c>
      <c r="D4777" s="121" t="str">
        <f>HYPERLINK("http://www.wilkes-barre.va.gov/services/CHAPLAIN_SERVICE.ASP")</f>
        <v>http://www.wilkes-barre.va.gov/services/CHAPLAIN_SERVICE.ASP</v>
      </c>
      <c r="E4777" s="8" t="s">
        <v>392</v>
      </c>
    </row>
    <row r="4778" ht="14.25" hidden="1" customHeight="1">
      <c r="A4778" s="272" t="s">
        <v>4216</v>
      </c>
      <c r="B4778" s="8" t="s">
        <v>4217</v>
      </c>
      <c r="D4778" s="121" t="str">
        <f>HYPERLINK("http://www.wilkes-barre.va.gov/services/COMMUNITY_HEALTH_NURSING.ASP")</f>
        <v>http://www.wilkes-barre.va.gov/services/COMMUNITY_HEALTH_NURSING.ASP</v>
      </c>
      <c r="E4778" s="8" t="s">
        <v>392</v>
      </c>
    </row>
    <row r="4779" ht="14.25" hidden="1" customHeight="1">
      <c r="A4779" s="272" t="s">
        <v>4216</v>
      </c>
      <c r="B4779" s="8" t="s">
        <v>455</v>
      </c>
      <c r="D4779" s="121" t="str">
        <f>HYPERLINK("http://www.wilkes-barre.va.gov/services/COMPENSATION_AND_PENSION.ASP")</f>
        <v>http://www.wilkes-barre.va.gov/services/COMPENSATION_AND_PENSION.ASP</v>
      </c>
      <c r="E4779" s="8" t="s">
        <v>392</v>
      </c>
    </row>
    <row r="4780" ht="14.25" hidden="1" customHeight="1">
      <c r="A4780" s="272" t="s">
        <v>4216</v>
      </c>
      <c r="B4780" s="8" t="s">
        <v>305</v>
      </c>
      <c r="D4780" s="121" t="str">
        <f>HYPERLINK("http://www.wilkes-barre.va.gov/services/DENTAL_SERVICES.ASP")</f>
        <v>http://www.wilkes-barre.va.gov/services/DENTAL_SERVICES.ASP</v>
      </c>
      <c r="E4780" s="8" t="s">
        <v>392</v>
      </c>
    </row>
    <row r="4781" ht="14.25" hidden="1" customHeight="1">
      <c r="A4781" s="272" t="s">
        <v>4216</v>
      </c>
      <c r="B4781" s="8" t="s">
        <v>663</v>
      </c>
      <c r="D4781" s="121" t="str">
        <f>HYPERLINK("http://www.wilkes-barre.va.gov/services/ELIGIBILITY.ASP")</f>
        <v>http://www.wilkes-barre.va.gov/services/ELIGIBILITY.ASP</v>
      </c>
      <c r="E4781" s="8" t="s">
        <v>392</v>
      </c>
    </row>
    <row r="4782" ht="14.25" hidden="1" customHeight="1">
      <c r="A4782" s="272" t="s">
        <v>4216</v>
      </c>
      <c r="B4782" s="8" t="s">
        <v>1965</v>
      </c>
      <c r="D4782" s="121" t="str">
        <f>HYPERLINK("http://www.wilkes-barre.va.gov/services/FPOW_ADVOCATE.ASP")</f>
        <v>http://www.wilkes-barre.va.gov/services/FPOW_ADVOCATE.ASP</v>
      </c>
      <c r="E4782" s="8" t="s">
        <v>392</v>
      </c>
    </row>
    <row r="4783" ht="14.25" hidden="1" customHeight="1">
      <c r="A4783" s="272" t="s">
        <v>4216</v>
      </c>
      <c r="B4783" s="8" t="s">
        <v>556</v>
      </c>
      <c r="D4783" s="121" t="str">
        <f>HYPERLINK("http://www.wilkes-barre.va.gov/services/GERIATRICS_AND_EXTENDED_CARE.ASP")</f>
        <v>http://www.wilkes-barre.va.gov/services/GERIATRICS_AND_EXTENDED_CARE.ASP</v>
      </c>
      <c r="E4783" s="8" t="s">
        <v>392</v>
      </c>
    </row>
    <row r="4784" ht="14.25" hidden="1" customHeight="1">
      <c r="A4784" s="272" t="s">
        <v>4216</v>
      </c>
      <c r="B4784" s="8" t="s">
        <v>4218</v>
      </c>
      <c r="D4784" s="121" t="str">
        <f>HYPERLINK("http://www.wilkes-barre.va.gov/services/HOME_HOSPICE.ASP")</f>
        <v>http://www.wilkes-barre.va.gov/services/HOME_HOSPICE.ASP</v>
      </c>
      <c r="E4784" s="8" t="s">
        <v>392</v>
      </c>
    </row>
    <row r="4785" ht="14.25" hidden="1" customHeight="1">
      <c r="A4785" s="272" t="s">
        <v>4216</v>
      </c>
      <c r="B4785" s="8" t="s">
        <v>1080</v>
      </c>
      <c r="D4785" s="121" t="str">
        <f>HYPERLINK("http://www.wilkes-barre.va.gov/services/HOME_INFUSION.ASP")</f>
        <v>http://www.wilkes-barre.va.gov/services/HOME_INFUSION.ASP</v>
      </c>
      <c r="E4785" s="8" t="s">
        <v>392</v>
      </c>
    </row>
    <row r="4786" ht="14.25" hidden="1" customHeight="1">
      <c r="A4786" s="272" t="s">
        <v>4216</v>
      </c>
      <c r="B4786" s="8" t="s">
        <v>808</v>
      </c>
      <c r="D4786" s="121" t="str">
        <f>HYPERLINK("http://www.wilkes-barre.va.gov/services/HOME_BASED_PRIMARY_CARE.ASP")</f>
        <v>http://www.wilkes-barre.va.gov/services/HOME_BASED_PRIMARY_CARE.ASP</v>
      </c>
      <c r="E4786" s="8" t="s">
        <v>392</v>
      </c>
    </row>
    <row r="4787" ht="14.25" hidden="1" customHeight="1">
      <c r="A4787" s="272" t="s">
        <v>4216</v>
      </c>
      <c r="B4787" s="8" t="s">
        <v>1263</v>
      </c>
      <c r="D4787" s="121" t="str">
        <f>HYPERLINK("http://www.wilkes-barre.va.gov/services/IMAGING_SERVICE.ASP")</f>
        <v>http://www.wilkes-barre.va.gov/services/IMAGING_SERVICE.ASP</v>
      </c>
      <c r="E4787" s="8" t="s">
        <v>392</v>
      </c>
    </row>
    <row r="4788" ht="14.25" hidden="1" customHeight="1">
      <c r="A4788" s="272" t="s">
        <v>4216</v>
      </c>
      <c r="B4788" s="8" t="s">
        <v>584</v>
      </c>
      <c r="D4788" s="121" t="str">
        <f>HYPERLINK("http://www.wilkes-barre.va.gov/services/LABORATORY.ASP")</f>
        <v>http://www.wilkes-barre.va.gov/services/LABORATORY.ASP</v>
      </c>
      <c r="E4788" s="8" t="s">
        <v>392</v>
      </c>
    </row>
    <row r="4789" ht="14.25" hidden="1" customHeight="1">
      <c r="A4789" s="272" t="s">
        <v>4216</v>
      </c>
      <c r="B4789" s="8" t="s">
        <v>1042</v>
      </c>
      <c r="D4789" s="121" t="str">
        <f>HYPERLINK("http://www.wilkes-barre.va.gov/services/LOGISTICS_AND_PROSTHETICS.ASP")</f>
        <v>http://www.wilkes-barre.va.gov/services/LOGISTICS_AND_PROSTHETICS.ASP</v>
      </c>
      <c r="E4789" s="8" t="s">
        <v>392</v>
      </c>
    </row>
    <row r="4790" ht="14.25" hidden="1" customHeight="1">
      <c r="A4790" s="272" t="s">
        <v>4216</v>
      </c>
      <c r="B4790" s="8" t="s">
        <v>683</v>
      </c>
      <c r="D4790" s="121" t="str">
        <f>HYPERLINK("http://www.wilkes-barre.va.gov/services/LOST_AND_FOUND.ASP")</f>
        <v>http://www.wilkes-barre.va.gov/services/LOST_AND_FOUND.ASP</v>
      </c>
      <c r="E4790" s="8" t="s">
        <v>392</v>
      </c>
    </row>
    <row r="4791" ht="14.25" hidden="1" customHeight="1">
      <c r="A4791" s="272" t="s">
        <v>4216</v>
      </c>
      <c r="B4791" s="8" t="s">
        <v>630</v>
      </c>
      <c r="D4791" s="121" t="str">
        <f>HYPERLINK("http://www.wilkes-barre.va.gov/services/MOVE_WEIGHT_MANAGEMENT.ASP")</f>
        <v>http://www.wilkes-barre.va.gov/services/MOVE_WEIGHT_MANAGEMENT.ASP</v>
      </c>
      <c r="E4791" s="8" t="s">
        <v>392</v>
      </c>
    </row>
    <row r="4792" ht="14.25" hidden="1" customHeight="1">
      <c r="A4792" s="272" t="s">
        <v>4216</v>
      </c>
      <c r="B4792" s="8" t="s">
        <v>1061</v>
      </c>
      <c r="D4792" s="121" t="str">
        <f>HYPERLINK("http://www.wilkes-barre.va.gov/services/MEDICAL_EQUIPMENT.ASP")</f>
        <v>http://www.wilkes-barre.va.gov/services/MEDICAL_EQUIPMENT.ASP</v>
      </c>
      <c r="E4792" s="8" t="s">
        <v>392</v>
      </c>
    </row>
    <row r="4793" ht="14.25" hidden="1" customHeight="1">
      <c r="A4793" s="272" t="s">
        <v>4216</v>
      </c>
      <c r="B4793" s="8" t="s">
        <v>323</v>
      </c>
      <c r="D4793" s="121" t="str">
        <f>HYPERLINK("http://www.wilkes-barre.va.gov/services/MENTAL_HEALTH.ASP")</f>
        <v>http://www.wilkes-barre.va.gov/services/MENTAL_HEALTH.ASP</v>
      </c>
      <c r="E4793" s="8" t="s">
        <v>392</v>
      </c>
    </row>
    <row r="4794" ht="14.25" hidden="1" customHeight="1">
      <c r="A4794" s="272" t="s">
        <v>4216</v>
      </c>
      <c r="B4794" s="8" t="s">
        <v>4219</v>
      </c>
      <c r="D4794" s="121" t="str">
        <f>HYPERLINK("http://www.wilkes-barre.va.gov/services/MHPROGRAMS.ASP")</f>
        <v>http://www.wilkes-barre.va.gov/services/MHPROGRAMS.ASP</v>
      </c>
      <c r="E4794" s="8" t="s">
        <v>392</v>
      </c>
    </row>
    <row r="4795" ht="14.25" hidden="1" customHeight="1">
      <c r="A4795" s="272" t="s">
        <v>4216</v>
      </c>
      <c r="B4795" s="8" t="s">
        <v>4220</v>
      </c>
      <c r="D4795" s="121" t="str">
        <f>HYPERLINK("http://www.wilkes-barre.va.gov/services/MHSPECIALIZED.ASP")</f>
        <v>http://www.wilkes-barre.va.gov/services/MHSPECIALIZED.ASP</v>
      </c>
      <c r="E4795" s="8" t="s">
        <v>392</v>
      </c>
    </row>
    <row r="4796" ht="14.25" hidden="1" customHeight="1">
      <c r="A4796" s="272" t="s">
        <v>4216</v>
      </c>
      <c r="B4796" s="8" t="s">
        <v>4221</v>
      </c>
      <c r="D4796" s="121" t="str">
        <f>HYPERLINK("http://www.wilkes-barre.va.gov/services/MHTHERAPEUTIC.ASP")</f>
        <v>http://www.wilkes-barre.va.gov/services/MHTHERAPEUTIC.ASP</v>
      </c>
      <c r="E4796" s="8" t="s">
        <v>392</v>
      </c>
    </row>
    <row r="4797" ht="14.25" hidden="1" customHeight="1">
      <c r="A4797" s="272" t="s">
        <v>4216</v>
      </c>
      <c r="B4797" s="8" t="s">
        <v>648</v>
      </c>
      <c r="D4797" s="121" t="str">
        <f>HYPERLINK("http://www.wilkes-barre.va.gov/services/MYHEALTHEVET_COORDINATOR.ASP")</f>
        <v>http://www.wilkes-barre.va.gov/services/MYHEALTHEVET_COORDINATOR.ASP</v>
      </c>
      <c r="E4797" s="8" t="s">
        <v>392</v>
      </c>
    </row>
    <row r="4798" ht="14.25" hidden="1" customHeight="1">
      <c r="A4798" s="272" t="s">
        <v>4216</v>
      </c>
      <c r="B4798" s="8" t="s">
        <v>671</v>
      </c>
      <c r="D4798" s="121" t="str">
        <f>HYPERLINK("http://www.wilkes-barre.va.gov/services/NATIONAL_CRISIS_LINE.ASP")</f>
        <v>http://www.wilkes-barre.va.gov/services/NATIONAL_CRISIS_LINE.ASP</v>
      </c>
      <c r="E4798" s="8" t="s">
        <v>392</v>
      </c>
    </row>
    <row r="4799" ht="14.25" hidden="1" customHeight="1">
      <c r="A4799" s="272" t="s">
        <v>4216</v>
      </c>
      <c r="B4799" s="8" t="s">
        <v>691</v>
      </c>
      <c r="D4799" s="121" t="str">
        <f>HYPERLINK("http://www.wilkes-barre.va.gov/services/NEWS_MEDIA.ASP")</f>
        <v>http://www.wilkes-barre.va.gov/services/NEWS_MEDIA.ASP</v>
      </c>
      <c r="E4799" s="8" t="s">
        <v>392</v>
      </c>
    </row>
    <row r="4800" ht="14.25" hidden="1" customHeight="1">
      <c r="A4800" s="272" t="s">
        <v>4216</v>
      </c>
      <c r="B4800" s="8" t="s">
        <v>332</v>
      </c>
      <c r="D4800" s="121" t="str">
        <f>HYPERLINK("http://www.wilkes-barre.va.gov/services/NUTRITION_SERVICES.ASP")</f>
        <v>http://www.wilkes-barre.va.gov/services/NUTRITION_SERVICES.ASP</v>
      </c>
      <c r="E4800" s="8" t="s">
        <v>392</v>
      </c>
    </row>
    <row r="4801" ht="14.25" hidden="1" customHeight="1">
      <c r="A4801" s="272" t="s">
        <v>4216</v>
      </c>
      <c r="B4801" s="8" t="s">
        <v>651</v>
      </c>
      <c r="D4801" s="121" t="str">
        <f>HYPERLINK("http://www.wilkes-barre.va.gov/services/PALLIATIVE_CARE.ASP")</f>
        <v>http://www.wilkes-barre.va.gov/services/PALLIATIVE_CARE.ASP</v>
      </c>
      <c r="E4801" s="8" t="s">
        <v>392</v>
      </c>
    </row>
    <row r="4802" ht="14.25" hidden="1" customHeight="1">
      <c r="A4802" s="272" t="s">
        <v>4216</v>
      </c>
      <c r="B4802" s="8" t="s">
        <v>694</v>
      </c>
      <c r="D4802" s="121" t="str">
        <f>HYPERLINK("http://www.wilkes-barre.va.gov/services/PATIENT_ADVOCATE.ASP")</f>
        <v>http://www.wilkes-barre.va.gov/services/PATIENT_ADVOCATE.ASP</v>
      </c>
      <c r="E4802" s="8" t="s">
        <v>392</v>
      </c>
    </row>
    <row r="4803" ht="14.25" hidden="1" customHeight="1">
      <c r="A4803" s="272" t="s">
        <v>4216</v>
      </c>
      <c r="B4803" s="8" t="s">
        <v>1070</v>
      </c>
      <c r="D4803" s="121" t="str">
        <f>HYPERLINK("http://www.wilkes-barre.va.gov/services/PATIENT_FUNDS_PAYMENTS_AND_BENETRAVEL_REIMBURSEMENTS.ASP")</f>
        <v>http://www.wilkes-barre.va.gov/services/PATIENT_FUNDS_PAYMENTS_AND_BENETRAVEL_REIMBURSEMENTS.ASP</v>
      </c>
      <c r="E4803" s="8" t="s">
        <v>392</v>
      </c>
    </row>
    <row r="4804" ht="14.25" hidden="1" customHeight="1">
      <c r="A4804" s="272" t="s">
        <v>4216</v>
      </c>
      <c r="B4804" s="8" t="s">
        <v>697</v>
      </c>
      <c r="D4804" s="121" t="str">
        <f>HYPERLINK("http://www.wilkes-barre.va.gov/services/PATIENT_LOCATION.ASP")</f>
        <v>http://www.wilkes-barre.va.gov/services/PATIENT_LOCATION.ASP</v>
      </c>
      <c r="E4804" s="8" t="s">
        <v>392</v>
      </c>
    </row>
    <row r="4805" ht="14.25" hidden="1" customHeight="1">
      <c r="A4805" s="272" t="s">
        <v>4216</v>
      </c>
      <c r="B4805" s="8" t="s">
        <v>343</v>
      </c>
      <c r="D4805" s="121" t="str">
        <f>HYPERLINK("http://www.wilkes-barre.va.gov/services/PHARMACY.ASP")</f>
        <v>http://www.wilkes-barre.va.gov/services/PHARMACY.ASP</v>
      </c>
      <c r="E4805" s="8" t="s">
        <v>392</v>
      </c>
    </row>
    <row r="4806" ht="14.25" hidden="1" customHeight="1">
      <c r="A4806" s="272" t="s">
        <v>4216</v>
      </c>
      <c r="B4806" s="8" t="s">
        <v>775</v>
      </c>
      <c r="D4806" s="121" t="str">
        <f>HYPERLINK("http://www.wilkes-barre.va.gov/services/SECURITY.ASP")</f>
        <v>http://www.wilkes-barre.va.gov/services/SECURITY.ASP</v>
      </c>
      <c r="E4806" s="8" t="s">
        <v>392</v>
      </c>
    </row>
    <row r="4807" ht="14.25" hidden="1" customHeight="1">
      <c r="A4807" s="272" t="s">
        <v>4216</v>
      </c>
      <c r="B4807" s="8" t="s">
        <v>4222</v>
      </c>
      <c r="D4807" s="121" t="str">
        <f>HYPERLINK("http://www.wilkes-barre.va.gov/services/PREVENTIVE_CARE_PROGRAM.ASP")</f>
        <v>http://www.wilkes-barre.va.gov/services/PREVENTIVE_CARE_PROGRAM.ASP</v>
      </c>
      <c r="E4807" s="8" t="s">
        <v>392</v>
      </c>
    </row>
    <row r="4808" ht="14.25" hidden="1" customHeight="1">
      <c r="A4808" s="272" t="s">
        <v>4216</v>
      </c>
      <c r="B4808" s="8" t="s">
        <v>348</v>
      </c>
      <c r="D4808" s="121" t="str">
        <f>HYPERLINK("http://www.wilkes-barre.va.gov/services/PRIMARY_CARE.ASP")</f>
        <v>http://www.wilkes-barre.va.gov/services/PRIMARY_CARE.ASP</v>
      </c>
      <c r="E4808" s="8" t="s">
        <v>392</v>
      </c>
    </row>
    <row r="4809" ht="14.25" hidden="1" customHeight="1">
      <c r="A4809" s="272" t="s">
        <v>4216</v>
      </c>
      <c r="B4809" s="8" t="s">
        <v>4223</v>
      </c>
      <c r="D4809" s="121" t="str">
        <f>HYPERLINK("http://www.wilkes-barre.va.gov/services/REHABILITATION.ASP")</f>
        <v>http://www.wilkes-barre.va.gov/services/REHABILITATION.ASP</v>
      </c>
      <c r="E4809" s="8" t="s">
        <v>392</v>
      </c>
    </row>
    <row r="4810" ht="14.25" hidden="1" customHeight="1">
      <c r="A4810" s="272" t="s">
        <v>4216</v>
      </c>
      <c r="B4810" s="8" t="s">
        <v>703</v>
      </c>
      <c r="D4810" s="121" t="str">
        <f>HYPERLINK("http://www.wilkes-barre.va.gov/services/PUBLIC_AFFAIRS_OFFICER.ASP")</f>
        <v>http://www.wilkes-barre.va.gov/services/PUBLIC_AFFAIRS_OFFICER.ASP</v>
      </c>
      <c r="E4810" s="8" t="s">
        <v>392</v>
      </c>
    </row>
    <row r="4811" ht="14.25" hidden="1" customHeight="1">
      <c r="A4811" s="272" t="s">
        <v>4216</v>
      </c>
      <c r="B4811" s="8" t="s">
        <v>708</v>
      </c>
      <c r="D4811" s="121" t="str">
        <f>HYPERLINK("http://www.wilkes-barre.va.gov/services/RELEASE_OF_INFORMATION.ASP")</f>
        <v>http://www.wilkes-barre.va.gov/services/RELEASE_OF_INFORMATION.ASP</v>
      </c>
      <c r="E4811" s="8" t="s">
        <v>392</v>
      </c>
    </row>
    <row r="4812" ht="14.25" hidden="1" customHeight="1">
      <c r="A4812" s="272" t="s">
        <v>4216</v>
      </c>
      <c r="B4812" s="8" t="s">
        <v>360</v>
      </c>
      <c r="D4812" s="121" t="str">
        <f>HYPERLINK("http://www.wilkes-barre.va.gov/services/SOCIAL_WORK.ASP")</f>
        <v>http://www.wilkes-barre.va.gov/services/SOCIAL_WORK.ASP</v>
      </c>
      <c r="E4812" s="8" t="s">
        <v>392</v>
      </c>
    </row>
    <row r="4813" ht="14.25" hidden="1" customHeight="1">
      <c r="A4813" s="272" t="s">
        <v>4216</v>
      </c>
      <c r="B4813" s="8" t="s">
        <v>363</v>
      </c>
      <c r="D4813" s="121" t="str">
        <f>HYPERLINK("http://www.wilkes-barre.va.gov/services/SPECIALTY_CARE.ASP")</f>
        <v>http://www.wilkes-barre.va.gov/services/SPECIALTY_CARE.ASP</v>
      </c>
      <c r="E4813" s="8" t="s">
        <v>392</v>
      </c>
    </row>
    <row r="4814" ht="14.25" hidden="1" customHeight="1">
      <c r="A4814" s="272" t="s">
        <v>4216</v>
      </c>
      <c r="B4814" s="8" t="s">
        <v>463</v>
      </c>
      <c r="D4814" s="121" t="str">
        <f>HYPERLINK("http://www.wilkes-barre.va.gov/services/SPINAL_CORD_INJURY.ASP")</f>
        <v>http://www.wilkes-barre.va.gov/services/SPINAL_CORD_INJURY.ASP</v>
      </c>
      <c r="E4814" s="8" t="s">
        <v>392</v>
      </c>
    </row>
    <row r="4815" ht="14.25" hidden="1" customHeight="1">
      <c r="A4815" s="272" t="s">
        <v>4216</v>
      </c>
      <c r="B4815" s="8" t="s">
        <v>391</v>
      </c>
      <c r="D4815" s="121" t="str">
        <f>HYPERLINK("http://www.wilkes-barre.va.gov/services/SUBSTANCE_ABUSE_RESIDENTIAL_REHABILITATION_TREATMENT_PROGRAM.ASP")</f>
        <v>http://www.wilkes-barre.va.gov/services/SUBSTANCE_ABUSE_RESIDENTIAL_REHABILITATION_TREATMENT_PROGRAM.ASP</v>
      </c>
      <c r="E4815" s="8" t="s">
        <v>392</v>
      </c>
    </row>
    <row r="4816" ht="14.25" hidden="1" customHeight="1">
      <c r="A4816" s="272" t="s">
        <v>4216</v>
      </c>
      <c r="B4816" s="8" t="s">
        <v>796</v>
      </c>
      <c r="D4816" s="121" t="str">
        <f>HYPERLINK("http://www.wilkes-barre.va.gov/services/SUICIDE-PREVENTION.ASP")</f>
        <v>http://www.wilkes-barre.va.gov/services/SUICIDE-PREVENTION.ASP</v>
      </c>
      <c r="E4816" s="8" t="s">
        <v>392</v>
      </c>
    </row>
    <row r="4817" ht="14.25" hidden="1" customHeight="1">
      <c r="A4817" s="272" t="s">
        <v>4216</v>
      </c>
      <c r="B4817" s="8" t="s">
        <v>735</v>
      </c>
      <c r="D4817" s="121" t="str">
        <f>HYPERLINK("http://www.wilkes-barre.va.gov/services/TOBACCO_CESSATION.ASP")</f>
        <v>http://www.wilkes-barre.va.gov/services/TOBACCO_CESSATION.ASP</v>
      </c>
      <c r="E4817" s="8" t="s">
        <v>392</v>
      </c>
    </row>
    <row r="4818" ht="14.25" hidden="1" customHeight="1">
      <c r="A4818" s="272" t="s">
        <v>4216</v>
      </c>
      <c r="B4818" s="8" t="s">
        <v>3763</v>
      </c>
      <c r="D4818" s="121" t="str">
        <f>HYPERLINK("http://www.wilkes-barre.va.gov/services/TRAUMA_RECOVERY_SERVICES.ASP")</f>
        <v>http://www.wilkes-barre.va.gov/services/TRAUMA_RECOVERY_SERVICES.ASP</v>
      </c>
      <c r="E4818" s="8" t="s">
        <v>392</v>
      </c>
    </row>
    <row r="4819" ht="14.25" hidden="1" customHeight="1">
      <c r="A4819" s="272" t="s">
        <v>4216</v>
      </c>
      <c r="B4819" s="8" t="s">
        <v>915</v>
      </c>
      <c r="D4819" s="121" t="str">
        <f>HYPERLINK("http://www.wilkes-barre.va.gov/services/TRAVELING_VETERANS_COORDINATOR.ASP")</f>
        <v>http://www.wilkes-barre.va.gov/services/TRAVELING_VETERANS_COORDINATOR.ASP</v>
      </c>
      <c r="E4819" s="8" t="s">
        <v>392</v>
      </c>
    </row>
    <row r="4820" ht="14.25" hidden="1" customHeight="1">
      <c r="A4820" s="272" t="s">
        <v>4216</v>
      </c>
      <c r="B4820" s="8" t="s">
        <v>318</v>
      </c>
      <c r="D4820" s="121" t="str">
        <f>HYPERLINK("http://www.wilkes-barre.va.gov/services/VIST.ASP")</f>
        <v>http://www.wilkes-barre.va.gov/services/VIST.ASP</v>
      </c>
      <c r="E4820" s="8" t="s">
        <v>392</v>
      </c>
    </row>
    <row r="4821" ht="14.25" hidden="1" customHeight="1">
      <c r="A4821" s="272" t="s">
        <v>4216</v>
      </c>
      <c r="B4821" s="8" t="s">
        <v>734</v>
      </c>
      <c r="D4821" s="121" t="str">
        <f>HYPERLINK("http://www.wilkes-barre.va.gov/services/VOLUNTEER_OR_GIVE.ASP")</f>
        <v>http://www.wilkes-barre.va.gov/services/VOLUNTEER_OR_GIVE.ASP</v>
      </c>
      <c r="E4821" s="8" t="s">
        <v>392</v>
      </c>
    </row>
    <row r="4822" ht="14.25" hidden="1" customHeight="1">
      <c r="A4822" s="272" t="s">
        <v>3612</v>
      </c>
      <c r="B4822" s="8" t="s">
        <v>565</v>
      </c>
      <c r="D4822" s="121" t="str">
        <f>HYPERLINK("http://www.wilmington.va.gov/services/ANTICOAGULATION_MANAGEMENT_AND_EDUCATION.ASP")</f>
        <v>http://www.wilmington.va.gov/services/ANTICOAGULATION_MANAGEMENT_AND_EDUCATION.ASP</v>
      </c>
      <c r="E4822" s="8" t="s">
        <v>392</v>
      </c>
    </row>
    <row r="4823" ht="14.25" hidden="1" customHeight="1">
      <c r="A4823" s="272" t="s">
        <v>3612</v>
      </c>
      <c r="B4823" s="8" t="s">
        <v>244</v>
      </c>
      <c r="D4823" s="121" t="str">
        <f>HYPERLINK("http://www.wilmington.va.gov/services/AUDIOLOGY.ASP")</f>
        <v>http://www.wilmington.va.gov/services/AUDIOLOGY.ASP</v>
      </c>
      <c r="E4823" s="8" t="s">
        <v>392</v>
      </c>
    </row>
    <row r="4824" ht="14.25" hidden="1" customHeight="1">
      <c r="A4824" s="272" t="s">
        <v>3612</v>
      </c>
      <c r="B4824" s="8" t="s">
        <v>446</v>
      </c>
      <c r="D4824" s="121" t="str">
        <f>HYPERLINK("http://www.wilmington.va.gov/services/BEHAVIORAL_HEALTH.ASP")</f>
        <v>http://www.wilmington.va.gov/services/BEHAVIORAL_HEALTH.ASP</v>
      </c>
      <c r="E4824" s="8" t="s">
        <v>595</v>
      </c>
    </row>
    <row r="4825" ht="14.25" hidden="1" customHeight="1">
      <c r="A4825" s="272" t="s">
        <v>3612</v>
      </c>
      <c r="B4825" s="8" t="s">
        <v>462</v>
      </c>
      <c r="D4825" s="121" t="str">
        <f>HYPERLINK("http://www.wilmington.va.gov/services/CANCER_CARE.ASP")</f>
        <v>http://www.wilmington.va.gov/services/CANCER_CARE.ASP</v>
      </c>
      <c r="E4825" s="8" t="s">
        <v>392</v>
      </c>
    </row>
    <row r="4826" ht="14.25" hidden="1" customHeight="1">
      <c r="A4826" s="272" t="s">
        <v>3612</v>
      </c>
      <c r="B4826" s="8" t="s">
        <v>4224</v>
      </c>
      <c r="D4826" s="121" t="str">
        <f>HYPERLINK("http://www.wilmington.va.gov/services/CARE_GIVER_SUPPORT_PROGRAM.ASP")</f>
        <v>http://www.wilmington.va.gov/services/CARE_GIVER_SUPPORT_PROGRAM.ASP</v>
      </c>
      <c r="E4826" s="8" t="s">
        <v>392</v>
      </c>
    </row>
    <row r="4827" ht="14.25" hidden="1" customHeight="1">
      <c r="A4827" s="272" t="s">
        <v>3612</v>
      </c>
      <c r="B4827" s="8" t="s">
        <v>468</v>
      </c>
      <c r="D4827" s="121" t="str">
        <f>HYPERLINK("http://www.wilmington.va.gov/services/CHAPLAINS.ASP")</f>
        <v>http://www.wilmington.va.gov/services/CHAPLAINS.ASP</v>
      </c>
      <c r="E4827" s="8" t="s">
        <v>392</v>
      </c>
    </row>
    <row r="4828" ht="14.25" hidden="1" customHeight="1">
      <c r="A4828" s="272" t="s">
        <v>3612</v>
      </c>
      <c r="B4828" s="8" t="s">
        <v>482</v>
      </c>
      <c r="D4828" s="121" t="str">
        <f>HYPERLINK("http://www.wilmington.va.gov/services/GERIATRICS_AND_EXTENDED_CARE.ASP")</f>
        <v>http://www.wilmington.va.gov/services/GERIATRICS_AND_EXTENDED_CARE.ASP</v>
      </c>
      <c r="E4828" s="8" t="s">
        <v>595</v>
      </c>
    </row>
    <row r="4829" ht="14.25" hidden="1" customHeight="1">
      <c r="A4829" s="272" t="s">
        <v>3612</v>
      </c>
      <c r="B4829" s="8" t="s">
        <v>513</v>
      </c>
      <c r="D4829" s="121" t="str">
        <f>HYPERLINK("http://www.wilmington.va.gov/services/DENTAL.ASP")</f>
        <v>http://www.wilmington.va.gov/services/DENTAL.ASP</v>
      </c>
      <c r="E4829" s="8" t="s">
        <v>392</v>
      </c>
    </row>
    <row r="4830" ht="14.25" hidden="1" customHeight="1">
      <c r="A4830" s="272" t="s">
        <v>3612</v>
      </c>
      <c r="B4830" s="8" t="s">
        <v>4225</v>
      </c>
      <c r="D4830" s="121" t="str">
        <f>HYPERLINK("http://www.wilmington.va.gov/services/DIABETES_EDUCATION_MANAGEMENT.ASP")</f>
        <v>http://www.wilmington.va.gov/services/DIABETES_EDUCATION_MANAGEMENT.ASP</v>
      </c>
      <c r="E4830" s="8" t="s">
        <v>392</v>
      </c>
    </row>
    <row r="4831" ht="14.25" hidden="1" customHeight="1">
      <c r="A4831" s="272" t="s">
        <v>3612</v>
      </c>
      <c r="B4831" s="8" t="s">
        <v>532</v>
      </c>
      <c r="D4831" s="121" t="str">
        <f>HYPERLINK("http://www.wilmington.va.gov/services/EMERGENCY_ROOM.ASP")</f>
        <v>http://www.wilmington.va.gov/services/EMERGENCY_ROOM.ASP</v>
      </c>
      <c r="E4831" s="8" t="s">
        <v>392</v>
      </c>
    </row>
    <row r="4832" ht="14.25" hidden="1" customHeight="1">
      <c r="A4832" s="272" t="s">
        <v>3612</v>
      </c>
      <c r="B4832" s="8" t="s">
        <v>1003</v>
      </c>
      <c r="D4832" s="121" t="str">
        <f>HYPERLINK("http://www.wilmington.va.gov/services/ENVIRONMENT_HEALTH_REGISTRY_FOR_VETERANS.ASP")</f>
        <v>http://www.wilmington.va.gov/services/ENVIRONMENT_HEALTH_REGISTRY_FOR_VETERANS.ASP</v>
      </c>
      <c r="E4832" s="8" t="s">
        <v>392</v>
      </c>
    </row>
    <row r="4833" ht="14.25" hidden="1" customHeight="1">
      <c r="A4833" s="272" t="s">
        <v>3612</v>
      </c>
      <c r="B4833" s="8" t="s">
        <v>719</v>
      </c>
      <c r="D4833" s="121" t="str">
        <f>HYPERLINK("http://www.wilmington.va.gov/services/EYE_CLINIC.ASP")</f>
        <v>http://www.wilmington.va.gov/services/EYE_CLINIC.ASP</v>
      </c>
      <c r="E4833" s="8" t="s">
        <v>392</v>
      </c>
    </row>
    <row r="4834" ht="14.25" hidden="1" customHeight="1">
      <c r="A4834" s="272" t="s">
        <v>3612</v>
      </c>
      <c r="B4834" s="8" t="s">
        <v>556</v>
      </c>
      <c r="D4834" s="121" t="str">
        <f>HYPERLINK("http://www.wilmington.va.gov/services/GERIATRICS_AND_EXTENDED_CARE.ASP")</f>
        <v>http://www.wilmington.va.gov/services/GERIATRICS_AND_EXTENDED_CARE.ASP</v>
      </c>
      <c r="E4834" s="8" t="s">
        <v>392</v>
      </c>
    </row>
    <row r="4835" ht="14.25" hidden="1" customHeight="1">
      <c r="A4835" s="272" t="s">
        <v>3612</v>
      </c>
      <c r="B4835" s="8" t="s">
        <v>4226</v>
      </c>
      <c r="D4835" s="121" t="str">
        <f>HYPERLINK("http://www.wilmington.va.gov/services/WEIGHT_MANAGEMENT_PROGRAM.ASP")</f>
        <v>http://www.wilmington.va.gov/services/WEIGHT_MANAGEMENT_PROGRAM.ASP</v>
      </c>
      <c r="E4835" s="8" t="s">
        <v>595</v>
      </c>
    </row>
    <row r="4836" ht="14.25" hidden="1" customHeight="1">
      <c r="A4836" s="272" t="s">
        <v>3612</v>
      </c>
      <c r="B4836" s="8" t="s">
        <v>395</v>
      </c>
      <c r="D4836" s="121" t="str">
        <f>HYPERLINK("http://www.wilmington.va.gov/services/TELEHEALTH.ASP")</f>
        <v>http://www.wilmington.va.gov/services/TELEHEALTH.ASP</v>
      </c>
      <c r="E4836" s="8" t="s">
        <v>595</v>
      </c>
    </row>
    <row r="4837" ht="14.25" hidden="1" customHeight="1">
      <c r="A4837" s="272" t="s">
        <v>3612</v>
      </c>
      <c r="B4837" s="8" t="s">
        <v>808</v>
      </c>
      <c r="D4837" s="121" t="str">
        <f>HYPERLINK("http://www.wilmington.va.gov/services/HOME_BASED_PRIMARY_CARE.ASP")</f>
        <v>http://www.wilmington.va.gov/services/HOME_BASED_PRIMARY_CARE.ASP</v>
      </c>
      <c r="E4837" s="8" t="s">
        <v>392</v>
      </c>
    </row>
    <row r="4838" ht="14.25" hidden="1" customHeight="1">
      <c r="A4838" s="272" t="s">
        <v>3612</v>
      </c>
      <c r="B4838" s="8" t="s">
        <v>598</v>
      </c>
      <c r="D4838" s="121" t="str">
        <f>HYPERLINK("http://www.wilmington.va.gov/services/WEIGHT_MANAGEMENT_PROGRAM.ASP")</f>
        <v>http://www.wilmington.va.gov/services/WEIGHT_MANAGEMENT_PROGRAM.ASP</v>
      </c>
      <c r="E4838" s="8" t="s">
        <v>595</v>
      </c>
    </row>
    <row r="4839" ht="14.25" hidden="1" customHeight="1">
      <c r="A4839" s="272" t="s">
        <v>3612</v>
      </c>
      <c r="B4839" s="8" t="s">
        <v>1016</v>
      </c>
      <c r="D4839" s="121" t="str">
        <f>HYPERLINK("http://www.wilmington.va.gov/services/MEDICAL_FOSTER_HOME_PROGRAM.ASP")</f>
        <v>http://www.wilmington.va.gov/services/MEDICAL_FOSTER_HOME_PROGRAM.ASP</v>
      </c>
      <c r="E4839" s="8" t="s">
        <v>392</v>
      </c>
    </row>
    <row r="4840" ht="14.25" hidden="1" customHeight="1">
      <c r="A4840" s="272" t="s">
        <v>3612</v>
      </c>
      <c r="B4840" s="8" t="s">
        <v>323</v>
      </c>
      <c r="D4840" s="121" t="str">
        <f>HYPERLINK("http://www.wilmington.va.gov/services/BEHAVIORAL_HEALTH.ASP")</f>
        <v>http://www.wilmington.va.gov/services/BEHAVIORAL_HEALTH.ASP</v>
      </c>
      <c r="E4840" s="8" t="s">
        <v>392</v>
      </c>
    </row>
    <row r="4841" ht="14.25" hidden="1" customHeight="1">
      <c r="A4841" s="272" t="s">
        <v>3612</v>
      </c>
      <c r="B4841" s="8" t="s">
        <v>1231</v>
      </c>
      <c r="D4841" s="121" t="str">
        <f>HYPERLINK("http://www.wilmington.va.gov/services/MILITARY_SEXUAL_TRAUMA.ASP")</f>
        <v>http://www.wilmington.va.gov/services/MILITARY_SEXUAL_TRAUMA.ASP</v>
      </c>
      <c r="E4841" s="8" t="s">
        <v>392</v>
      </c>
    </row>
    <row r="4842" ht="14.25" hidden="1" customHeight="1">
      <c r="A4842" s="272" t="s">
        <v>3612</v>
      </c>
      <c r="B4842" s="8" t="s">
        <v>707</v>
      </c>
      <c r="D4842" s="121" t="str">
        <f>HYPERLINK("http://www.wilmington.va.gov/services/MYHEALTHEVET.ASP")</f>
        <v>http://www.wilmington.va.gov/services/MYHEALTHEVET.ASP</v>
      </c>
      <c r="E4842" s="8" t="s">
        <v>392</v>
      </c>
    </row>
    <row r="4843" ht="14.25" hidden="1" customHeight="1">
      <c r="A4843" s="272" t="s">
        <v>3612</v>
      </c>
      <c r="B4843" s="8" t="s">
        <v>1409</v>
      </c>
      <c r="D4843" s="121" t="str">
        <f>HYPERLINK("http://www.wilmington.va.gov/services/NATIONAL_VETERANS_CRISIS_LINE.ASP")</f>
        <v>http://www.wilmington.va.gov/services/NATIONAL_VETERANS_CRISIS_LINE.ASP</v>
      </c>
      <c r="E4843" s="8" t="s">
        <v>392</v>
      </c>
    </row>
    <row r="4844" ht="14.25" hidden="1" customHeight="1">
      <c r="A4844" s="272" t="s">
        <v>3612</v>
      </c>
      <c r="B4844" s="8" t="s">
        <v>332</v>
      </c>
      <c r="D4844" s="121" t="str">
        <f>HYPERLINK("http://www.wilmington.va.gov/services/NUTRITION_AND_FOOD_SERVICES.ASP")</f>
        <v>http://www.wilmington.va.gov/services/NUTRITION_AND_FOOD_SERVICES.ASP</v>
      </c>
      <c r="E4844" s="8" t="s">
        <v>392</v>
      </c>
    </row>
    <row r="4845" ht="14.25" hidden="1" customHeight="1">
      <c r="A4845" s="272" t="s">
        <v>3612</v>
      </c>
      <c r="B4845" s="8" t="s">
        <v>839</v>
      </c>
      <c r="D4845" s="121" t="str">
        <f>HYPERLINK("http://www.wilmington.va.gov/services/ONCOLOGY.ASP")</f>
        <v>http://www.wilmington.va.gov/services/ONCOLOGY.ASP</v>
      </c>
      <c r="E4845" s="8" t="s">
        <v>392</v>
      </c>
    </row>
    <row r="4846" ht="14.25" hidden="1" customHeight="1">
      <c r="A4846" s="272" t="s">
        <v>3612</v>
      </c>
      <c r="B4846" s="8" t="s">
        <v>770</v>
      </c>
      <c r="D4846" s="121" t="str">
        <f>HYPERLINK("http://www.wilmington.va.gov/services/PHARMACY.ASP")</f>
        <v>http://www.wilmington.va.gov/services/PHARMACY.ASP</v>
      </c>
      <c r="E4846" s="8" t="s">
        <v>392</v>
      </c>
    </row>
    <row r="4847" ht="14.25" hidden="1" customHeight="1">
      <c r="A4847" s="272" t="s">
        <v>3612</v>
      </c>
      <c r="B4847" s="8" t="s">
        <v>849</v>
      </c>
      <c r="D4847" s="121" t="str">
        <f>HYPERLINK("http://www.wilmington.va.gov/services/PROSTHETICS_AND_SENSORY_AIDS.ASP")</f>
        <v>http://www.wilmington.va.gov/services/PROSTHETICS_AND_SENSORY_AIDS.ASP</v>
      </c>
      <c r="E4847" s="8" t="s">
        <v>392</v>
      </c>
    </row>
    <row r="4848" ht="14.25" hidden="1" customHeight="1">
      <c r="A4848" s="272" t="s">
        <v>3612</v>
      </c>
      <c r="B4848" s="8" t="s">
        <v>504</v>
      </c>
      <c r="D4848" s="121" t="str">
        <f>HYPERLINK("http://www.wilmington.va.gov/services/PUBLIC_AFFAIRS.ASP")</f>
        <v>http://www.wilmington.va.gov/services/PUBLIC_AFFAIRS.ASP</v>
      </c>
      <c r="E4848" s="8" t="s">
        <v>392</v>
      </c>
    </row>
    <row r="4849" ht="14.25" hidden="1" customHeight="1">
      <c r="A4849" s="272" t="s">
        <v>3612</v>
      </c>
      <c r="B4849" s="8" t="s">
        <v>861</v>
      </c>
      <c r="D4849" s="121" t="str">
        <f>HYPERLINK("http://www.wilmington.va.gov/services/SMOKING_CESSATION_SERVICES.ASP")</f>
        <v>http://www.wilmington.va.gov/services/SMOKING_CESSATION_SERVICES.ASP</v>
      </c>
      <c r="E4849" s="8" t="s">
        <v>392</v>
      </c>
    </row>
    <row r="4850" ht="14.25" hidden="1" customHeight="1">
      <c r="A4850" s="272" t="s">
        <v>3612</v>
      </c>
      <c r="B4850" s="8" t="s">
        <v>564</v>
      </c>
      <c r="D4850" s="121" t="str">
        <f>HYPERLINK("http://www.wilmington.va.gov/services/SUICIDE-PREVENTION.ASP")</f>
        <v>http://www.wilmington.va.gov/services/SUICIDE-PREVENTION.ASP</v>
      </c>
      <c r="E4850" s="8" t="s">
        <v>392</v>
      </c>
    </row>
    <row r="4851" ht="14.25" hidden="1" customHeight="1">
      <c r="A4851" s="272" t="s">
        <v>3612</v>
      </c>
      <c r="B4851" s="8" t="s">
        <v>370</v>
      </c>
      <c r="D4851" s="121" t="str">
        <f>HYPERLINK("http://www.wilmington.va.gov/services/TELEHEALTH.ASP")</f>
        <v>http://www.wilmington.va.gov/services/TELEHEALTH.ASP</v>
      </c>
      <c r="E4851" s="8" t="s">
        <v>392</v>
      </c>
    </row>
    <row r="4852" ht="14.25" hidden="1" customHeight="1">
      <c r="A4852" s="272" t="s">
        <v>3612</v>
      </c>
      <c r="B4852" s="8" t="s">
        <v>909</v>
      </c>
      <c r="D4852" s="121" t="str">
        <f>HYPERLINK("http://www.wilmington.va.gov/services/TRANSPLANT_COORDINATION.ASP")</f>
        <v>http://www.wilmington.va.gov/services/TRANSPLANT_COORDINATION.ASP</v>
      </c>
      <c r="E4852" s="8" t="s">
        <v>392</v>
      </c>
    </row>
    <row r="4853" ht="14.25" hidden="1" customHeight="1">
      <c r="A4853" s="272" t="s">
        <v>3612</v>
      </c>
      <c r="B4853" s="8" t="s">
        <v>915</v>
      </c>
      <c r="D4853" s="121" t="str">
        <f>HYPERLINK("http://www.wilmington.va.gov/services/TRAVELING_VETERAN_PROGRAM.ASP")</f>
        <v>http://www.wilmington.va.gov/services/TRAVELING_VETERAN_PROGRAM.ASP</v>
      </c>
      <c r="E4853" s="8" t="s">
        <v>392</v>
      </c>
    </row>
    <row r="4854" ht="14.25" hidden="1" customHeight="1">
      <c r="A4854" s="272" t="s">
        <v>3612</v>
      </c>
      <c r="B4854" s="8" t="s">
        <v>4227</v>
      </c>
      <c r="D4854" s="121" t="str">
        <f>HYPERLINK("http://www.wilmington.va.gov/services/WEIGHT_MANAGEMENT_PROGRAM.ASP")</f>
        <v>http://www.wilmington.va.gov/services/WEIGHT_MANAGEMENT_PROGRAM.ASP</v>
      </c>
      <c r="E4854" s="8" t="s">
        <v>392</v>
      </c>
    </row>
    <row r="4855" ht="14.25" hidden="1" customHeight="1">
      <c r="A4855" s="272" t="s">
        <v>3612</v>
      </c>
      <c r="B4855" s="8" t="s">
        <v>4228</v>
      </c>
      <c r="D4855" s="121" t="str">
        <f>HYPERLINK("http://www.wilmington.va.gov/services/WILMINGTON_VA_MEDICAL_CENTER_S_COMMUNITY_OUTREACH_TEAM.ASP")</f>
        <v>http://www.wilmington.va.gov/services/WILMINGTON_VA_MEDICAL_CENTER_S_COMMUNITY_OUTREACH_TEAM.ASP</v>
      </c>
      <c r="E4855" s="8" t="s">
        <v>392</v>
      </c>
    </row>
    <row r="4856" ht="14.25" customHeight="1">
      <c r="A4856" s="307"/>
    </row>
    <row r="4857" ht="14.25" customHeight="1">
      <c r="A4857" s="307"/>
    </row>
    <row r="4858" ht="14.25" customHeight="1">
      <c r="A4858" s="307"/>
    </row>
    <row r="4859" ht="14.25" customHeight="1">
      <c r="A4859" s="307"/>
    </row>
    <row r="4860" ht="14.25" customHeight="1">
      <c r="A4860" s="307"/>
    </row>
    <row r="4861" ht="14.25" customHeight="1">
      <c r="A4861" s="307"/>
    </row>
    <row r="4862" ht="14.25" customHeight="1">
      <c r="A4862" s="307"/>
    </row>
    <row r="4863" ht="14.25" customHeight="1">
      <c r="A4863" s="307"/>
    </row>
    <row r="4864" ht="14.25" customHeight="1">
      <c r="A4864" s="307"/>
    </row>
    <row r="4865" ht="14.25" customHeight="1">
      <c r="A4865" s="307"/>
    </row>
    <row r="4866" ht="14.25" customHeight="1">
      <c r="A4866" s="307"/>
    </row>
    <row r="4867" ht="14.25" customHeight="1">
      <c r="A4867" s="307"/>
    </row>
    <row r="4868" ht="14.25" customHeight="1">
      <c r="A4868" s="307"/>
    </row>
    <row r="4869" ht="14.25" customHeight="1">
      <c r="A4869" s="307"/>
    </row>
    <row r="4870" ht="14.25" customHeight="1">
      <c r="A4870" s="307"/>
    </row>
    <row r="4871" ht="14.25" customHeight="1">
      <c r="A4871" s="307"/>
    </row>
    <row r="4872" ht="14.25" customHeight="1">
      <c r="A4872" s="307"/>
    </row>
    <row r="4873" ht="14.25" customHeight="1">
      <c r="A4873" s="307"/>
    </row>
    <row r="4874" ht="14.25" customHeight="1">
      <c r="A4874" s="307"/>
    </row>
    <row r="4875" ht="14.25" customHeight="1">
      <c r="A4875" s="307"/>
    </row>
    <row r="4876" ht="14.25" customHeight="1">
      <c r="A4876" s="307"/>
    </row>
    <row r="4877" ht="14.25" customHeight="1">
      <c r="A4877" s="307"/>
    </row>
    <row r="4878" ht="14.25" customHeight="1">
      <c r="A4878" s="307"/>
    </row>
    <row r="4879" ht="14.25" customHeight="1">
      <c r="A4879" s="307"/>
    </row>
    <row r="4880" ht="14.25" customHeight="1">
      <c r="A4880" s="307"/>
    </row>
    <row r="4881" ht="14.25" customHeight="1">
      <c r="A4881" s="307"/>
    </row>
    <row r="4882" ht="14.25" customHeight="1">
      <c r="A4882" s="307"/>
    </row>
    <row r="4883" ht="14.25" customHeight="1">
      <c r="A4883" s="307"/>
    </row>
    <row r="4884" ht="14.25" customHeight="1">
      <c r="A4884" s="307"/>
    </row>
    <row r="4885" ht="14.25" customHeight="1">
      <c r="A4885" s="307"/>
    </row>
    <row r="4886" ht="14.25" customHeight="1">
      <c r="A4886" s="307"/>
    </row>
    <row r="4887" ht="14.25" customHeight="1">
      <c r="A4887" s="307"/>
    </row>
    <row r="4888" ht="14.25" customHeight="1">
      <c r="A4888" s="307"/>
    </row>
    <row r="4889" ht="14.25" customHeight="1">
      <c r="A4889" s="307"/>
    </row>
    <row r="4890" ht="14.25" customHeight="1">
      <c r="A4890" s="307"/>
    </row>
    <row r="4891" ht="14.25" customHeight="1">
      <c r="A4891" s="307"/>
    </row>
    <row r="4892" ht="14.25" customHeight="1">
      <c r="A4892" s="307"/>
    </row>
    <row r="4893" ht="14.25" customHeight="1">
      <c r="A4893" s="307"/>
    </row>
    <row r="4894" ht="14.25" customHeight="1">
      <c r="A4894" s="307"/>
    </row>
    <row r="4895" ht="14.25" customHeight="1">
      <c r="A4895" s="307"/>
    </row>
    <row r="4896" ht="14.25" customHeight="1">
      <c r="A4896" s="307"/>
    </row>
    <row r="4897" ht="14.25" customHeight="1">
      <c r="A4897" s="307"/>
    </row>
    <row r="4898" ht="14.25" customHeight="1">
      <c r="A4898" s="307"/>
    </row>
    <row r="4899" ht="14.25" customHeight="1">
      <c r="A4899" s="307"/>
    </row>
    <row r="4900" ht="14.25" customHeight="1">
      <c r="A4900" s="307"/>
    </row>
    <row r="4901" ht="14.25" customHeight="1">
      <c r="A4901" s="307"/>
    </row>
    <row r="4902" ht="14.25" customHeight="1">
      <c r="A4902" s="307"/>
    </row>
    <row r="4903" ht="14.25" customHeight="1">
      <c r="A4903" s="307"/>
    </row>
    <row r="4904" ht="14.25" customHeight="1">
      <c r="A4904" s="307"/>
    </row>
    <row r="4905" ht="14.25" customHeight="1">
      <c r="A4905" s="307"/>
    </row>
    <row r="4906" ht="14.25" customHeight="1">
      <c r="A4906" s="307"/>
    </row>
    <row r="4907" ht="14.25" customHeight="1">
      <c r="A4907" s="307"/>
    </row>
    <row r="4908" ht="14.25" customHeight="1">
      <c r="A4908" s="307"/>
    </row>
    <row r="4909" ht="14.25" customHeight="1">
      <c r="A4909" s="307"/>
    </row>
    <row r="4910" ht="14.25" customHeight="1">
      <c r="A4910" s="307"/>
    </row>
    <row r="4911" ht="14.25" customHeight="1">
      <c r="A4911" s="307"/>
    </row>
    <row r="4912" ht="14.25" customHeight="1">
      <c r="A4912" s="307"/>
    </row>
    <row r="4913" ht="14.25" customHeight="1">
      <c r="A4913" s="307"/>
    </row>
    <row r="4914" ht="14.25" customHeight="1">
      <c r="A4914" s="307"/>
    </row>
    <row r="4915" ht="14.25" customHeight="1">
      <c r="A4915" s="307"/>
    </row>
    <row r="4916" ht="14.25" customHeight="1">
      <c r="A4916" s="307"/>
    </row>
    <row r="4917" ht="14.25" customHeight="1">
      <c r="A4917" s="307"/>
    </row>
    <row r="4918" ht="14.25" customHeight="1">
      <c r="A4918" s="307"/>
    </row>
    <row r="4919" ht="14.25" customHeight="1">
      <c r="A4919" s="307"/>
    </row>
    <row r="4920" ht="14.25" customHeight="1">
      <c r="A4920" s="307"/>
    </row>
    <row r="4921" ht="14.25" customHeight="1">
      <c r="A4921" s="307"/>
    </row>
    <row r="4922" ht="14.25" customHeight="1">
      <c r="A4922" s="307"/>
    </row>
    <row r="4923" ht="14.25" customHeight="1">
      <c r="A4923" s="307"/>
    </row>
    <row r="4924" ht="14.25" customHeight="1">
      <c r="A4924" s="307"/>
    </row>
    <row r="4925" ht="14.25" customHeight="1">
      <c r="A4925" s="307"/>
    </row>
    <row r="4926" ht="14.25" customHeight="1">
      <c r="A4926" s="307"/>
    </row>
    <row r="4927" ht="14.25" customHeight="1">
      <c r="A4927" s="307"/>
    </row>
    <row r="4928" ht="14.25" customHeight="1">
      <c r="A4928" s="307"/>
    </row>
    <row r="4929" ht="14.25" customHeight="1">
      <c r="A4929" s="307"/>
    </row>
    <row r="4930" ht="14.25" customHeight="1">
      <c r="A4930" s="307"/>
    </row>
    <row r="4931" ht="14.25" customHeight="1">
      <c r="A4931" s="307"/>
    </row>
    <row r="4932" ht="14.25" customHeight="1">
      <c r="A4932" s="307"/>
    </row>
    <row r="4933" ht="14.25" customHeight="1">
      <c r="A4933" s="307"/>
    </row>
    <row r="4934" ht="14.25" customHeight="1">
      <c r="A4934" s="307"/>
    </row>
    <row r="4935" ht="14.25" customHeight="1">
      <c r="A4935" s="307"/>
    </row>
    <row r="4936" ht="14.25" customHeight="1">
      <c r="A4936" s="307"/>
    </row>
    <row r="4937" ht="14.25" customHeight="1">
      <c r="A4937" s="307"/>
    </row>
    <row r="4938" ht="14.25" customHeight="1">
      <c r="A4938" s="307"/>
    </row>
    <row r="4939" ht="14.25" customHeight="1">
      <c r="A4939" s="307"/>
    </row>
    <row r="4940" ht="14.25" customHeight="1">
      <c r="A4940" s="307"/>
    </row>
    <row r="4941" ht="14.25" customHeight="1">
      <c r="A4941" s="307"/>
    </row>
    <row r="4942" ht="14.25" customHeight="1">
      <c r="A4942" s="307"/>
    </row>
    <row r="4943" ht="14.25" customHeight="1">
      <c r="A4943" s="307"/>
    </row>
    <row r="4944" ht="14.25" customHeight="1">
      <c r="A4944" s="307"/>
    </row>
    <row r="4945" ht="14.25" customHeight="1">
      <c r="A4945" s="307"/>
    </row>
    <row r="4946" ht="14.25" customHeight="1">
      <c r="A4946" s="307"/>
    </row>
    <row r="4947" ht="14.25" customHeight="1">
      <c r="A4947" s="307"/>
    </row>
    <row r="4948" ht="14.25" customHeight="1">
      <c r="A4948" s="307"/>
    </row>
    <row r="4949" ht="14.25" customHeight="1">
      <c r="A4949" s="307"/>
    </row>
    <row r="4950" ht="14.25" customHeight="1">
      <c r="A4950" s="307"/>
    </row>
    <row r="4951" ht="14.25" customHeight="1">
      <c r="A4951" s="307"/>
    </row>
    <row r="4952" ht="14.25" customHeight="1">
      <c r="A4952" s="307"/>
    </row>
    <row r="4953" ht="14.25" customHeight="1">
      <c r="A4953" s="307"/>
    </row>
    <row r="4954" ht="14.25" customHeight="1">
      <c r="A4954" s="307"/>
    </row>
    <row r="4955" ht="14.25" customHeight="1">
      <c r="A4955" s="307"/>
    </row>
    <row r="4956" ht="14.25" customHeight="1">
      <c r="A4956" s="307"/>
    </row>
    <row r="4957" ht="14.25" customHeight="1">
      <c r="A4957" s="307"/>
    </row>
    <row r="4958" ht="14.25" customHeight="1">
      <c r="A4958" s="307"/>
    </row>
    <row r="4959" ht="14.25" customHeight="1">
      <c r="A4959" s="307"/>
    </row>
    <row r="4960" ht="14.25" customHeight="1">
      <c r="A4960" s="307"/>
    </row>
    <row r="4961" ht="14.25" customHeight="1">
      <c r="A4961" s="307"/>
    </row>
    <row r="4962" ht="14.25" customHeight="1">
      <c r="A4962" s="307"/>
    </row>
    <row r="4963" ht="14.25" customHeight="1">
      <c r="A4963" s="307"/>
    </row>
    <row r="4964" ht="14.25" customHeight="1">
      <c r="A4964" s="307"/>
    </row>
    <row r="4965" ht="14.25" customHeight="1">
      <c r="A4965" s="307"/>
    </row>
    <row r="4966" ht="14.25" customHeight="1">
      <c r="A4966" s="307"/>
    </row>
    <row r="4967" ht="14.25" customHeight="1">
      <c r="A4967" s="307"/>
    </row>
    <row r="4968" ht="14.25" customHeight="1">
      <c r="A4968" s="307"/>
    </row>
    <row r="4969" ht="14.25" customHeight="1">
      <c r="A4969" s="307"/>
    </row>
    <row r="4970" ht="14.25" customHeight="1">
      <c r="A4970" s="307"/>
    </row>
    <row r="4971" ht="14.25" customHeight="1">
      <c r="A4971" s="307"/>
    </row>
    <row r="4972" ht="14.25" customHeight="1">
      <c r="A4972" s="307"/>
    </row>
    <row r="4973" ht="14.25" customHeight="1">
      <c r="A4973" s="307"/>
    </row>
    <row r="4974" ht="14.25" customHeight="1">
      <c r="A4974" s="307"/>
    </row>
    <row r="4975" ht="14.25" customHeight="1">
      <c r="A4975" s="307"/>
    </row>
    <row r="4976" ht="14.25" customHeight="1">
      <c r="A4976" s="307"/>
    </row>
    <row r="4977" ht="14.25" customHeight="1">
      <c r="A4977" s="307"/>
    </row>
    <row r="4978" ht="14.25" customHeight="1">
      <c r="A4978" s="307"/>
    </row>
    <row r="4979" ht="14.25" customHeight="1">
      <c r="A4979" s="307"/>
    </row>
    <row r="4980" ht="14.25" customHeight="1">
      <c r="A4980" s="307"/>
    </row>
    <row r="4981" ht="14.25" customHeight="1">
      <c r="A4981" s="307"/>
    </row>
    <row r="4982" ht="14.25" customHeight="1">
      <c r="A4982" s="307"/>
    </row>
    <row r="4983" ht="14.25" customHeight="1">
      <c r="A4983" s="307"/>
    </row>
    <row r="4984" ht="14.25" customHeight="1">
      <c r="A4984" s="307"/>
    </row>
    <row r="4985" ht="14.25" customHeight="1">
      <c r="A4985" s="307"/>
    </row>
    <row r="4986" ht="14.25" customHeight="1">
      <c r="A4986" s="307"/>
    </row>
    <row r="4987" ht="14.25" customHeight="1">
      <c r="A4987" s="307"/>
    </row>
    <row r="4988" ht="14.25" customHeight="1">
      <c r="A4988" s="307"/>
    </row>
    <row r="4989" ht="14.25" customHeight="1">
      <c r="A4989" s="307"/>
    </row>
    <row r="4990" ht="14.25" customHeight="1">
      <c r="A4990" s="307"/>
    </row>
    <row r="4991" ht="14.25" customHeight="1">
      <c r="A4991" s="307"/>
    </row>
    <row r="4992" ht="14.25" customHeight="1">
      <c r="A4992" s="307"/>
    </row>
    <row r="4993" ht="14.25" customHeight="1">
      <c r="A4993" s="307"/>
    </row>
    <row r="4994" ht="14.25" customHeight="1">
      <c r="A4994" s="307"/>
    </row>
    <row r="4995" ht="14.25" customHeight="1">
      <c r="A4995" s="307"/>
    </row>
    <row r="4996" ht="14.25" customHeight="1">
      <c r="A4996" s="307"/>
    </row>
    <row r="4997" ht="14.25" customHeight="1">
      <c r="A4997" s="307"/>
    </row>
    <row r="4998" ht="14.25" customHeight="1">
      <c r="A4998" s="307"/>
    </row>
    <row r="4999" ht="14.25" customHeight="1">
      <c r="A4999" s="307"/>
    </row>
    <row r="5000" ht="14.25" customHeight="1">
      <c r="A5000" s="307"/>
    </row>
    <row r="5001" ht="14.25" customHeight="1">
      <c r="A5001" s="307"/>
    </row>
    <row r="5002" ht="14.25" customHeight="1">
      <c r="A5002" s="307"/>
    </row>
    <row r="5003" ht="14.25" customHeight="1">
      <c r="A5003" s="307"/>
    </row>
    <row r="5004" ht="14.25" customHeight="1">
      <c r="A5004" s="307"/>
    </row>
    <row r="5005" ht="14.25" customHeight="1">
      <c r="A5005" s="307"/>
    </row>
    <row r="5006" ht="14.25" customHeight="1">
      <c r="A5006" s="307"/>
    </row>
    <row r="5007" ht="14.25" customHeight="1">
      <c r="A5007" s="307"/>
    </row>
    <row r="5008" ht="14.25" customHeight="1">
      <c r="A5008" s="307"/>
    </row>
    <row r="5009" ht="14.25" customHeight="1">
      <c r="A5009" s="307"/>
    </row>
    <row r="5010" ht="14.25" customHeight="1">
      <c r="A5010" s="307"/>
    </row>
    <row r="5011" ht="14.25" customHeight="1">
      <c r="A5011" s="307"/>
    </row>
    <row r="5012" ht="14.25" customHeight="1">
      <c r="A5012" s="307"/>
    </row>
    <row r="5013" ht="14.25" customHeight="1">
      <c r="A5013" s="307"/>
    </row>
    <row r="5014" ht="14.25" customHeight="1">
      <c r="A5014" s="307"/>
    </row>
    <row r="5015" ht="14.25" customHeight="1">
      <c r="A5015" s="307"/>
    </row>
    <row r="5016" ht="14.25" customHeight="1">
      <c r="A5016" s="307"/>
    </row>
    <row r="5017" ht="14.25" customHeight="1">
      <c r="A5017" s="307"/>
    </row>
    <row r="5018" ht="14.25" customHeight="1">
      <c r="A5018" s="307"/>
    </row>
    <row r="5019" ht="14.25" customHeight="1">
      <c r="A5019" s="307"/>
    </row>
    <row r="5020" ht="14.25" customHeight="1">
      <c r="A5020" s="307"/>
    </row>
    <row r="5021" ht="14.25" customHeight="1">
      <c r="A5021" s="307"/>
    </row>
    <row r="5022" ht="14.25" customHeight="1">
      <c r="A5022" s="307"/>
    </row>
    <row r="5023" ht="14.25" customHeight="1">
      <c r="A5023" s="307"/>
    </row>
    <row r="5024" ht="14.25" customHeight="1">
      <c r="A5024" s="307"/>
    </row>
    <row r="5025" ht="14.25" customHeight="1">
      <c r="A5025" s="307"/>
    </row>
    <row r="5026" ht="14.25" customHeight="1">
      <c r="A5026" s="307"/>
    </row>
    <row r="5027" ht="14.25" customHeight="1">
      <c r="A5027" s="307"/>
    </row>
    <row r="5028" ht="14.25" customHeight="1">
      <c r="A5028" s="307"/>
    </row>
    <row r="5029" ht="14.25" customHeight="1">
      <c r="A5029" s="307"/>
    </row>
    <row r="5030" ht="14.25" customHeight="1">
      <c r="A5030" s="307"/>
    </row>
    <row r="5031" ht="14.25" customHeight="1">
      <c r="A5031" s="307"/>
    </row>
    <row r="5032" ht="14.25" customHeight="1">
      <c r="A5032" s="307"/>
    </row>
    <row r="5033" ht="14.25" customHeight="1">
      <c r="A5033" s="307"/>
    </row>
    <row r="5034" ht="14.25" customHeight="1">
      <c r="A5034" s="307"/>
    </row>
    <row r="5035" ht="14.25" customHeight="1">
      <c r="A5035" s="307"/>
    </row>
    <row r="5036" ht="14.25" customHeight="1">
      <c r="A5036" s="307"/>
    </row>
    <row r="5037" ht="14.25" customHeight="1">
      <c r="A5037" s="307"/>
    </row>
    <row r="5038" ht="14.25" customHeight="1">
      <c r="A5038" s="307"/>
    </row>
    <row r="5039" ht="14.25" customHeight="1">
      <c r="A5039" s="307"/>
    </row>
    <row r="5040" ht="14.25" customHeight="1">
      <c r="A5040" s="307"/>
    </row>
    <row r="5041" ht="14.25" customHeight="1">
      <c r="A5041" s="307"/>
    </row>
    <row r="5042" ht="14.25" customHeight="1">
      <c r="A5042" s="307"/>
    </row>
    <row r="5043" ht="14.25" customHeight="1">
      <c r="A5043" s="307"/>
    </row>
    <row r="5044" ht="14.25" customHeight="1">
      <c r="A5044" s="307"/>
    </row>
    <row r="5045" ht="14.25" customHeight="1">
      <c r="A5045" s="307"/>
    </row>
    <row r="5046" ht="14.25" customHeight="1">
      <c r="A5046" s="307"/>
    </row>
    <row r="5047" ht="14.25" customHeight="1">
      <c r="A5047" s="307"/>
    </row>
    <row r="5048" ht="14.25" customHeight="1">
      <c r="A5048" s="307"/>
    </row>
    <row r="5049" ht="14.25" customHeight="1">
      <c r="A5049" s="307"/>
    </row>
    <row r="5050" ht="14.25" customHeight="1">
      <c r="A5050" s="307"/>
    </row>
    <row r="5051" ht="14.25" customHeight="1">
      <c r="A5051" s="307"/>
    </row>
    <row r="5052" ht="14.25" customHeight="1">
      <c r="A5052" s="307"/>
    </row>
    <row r="5053" ht="14.25" customHeight="1">
      <c r="A5053" s="307"/>
    </row>
    <row r="5054" ht="14.25" customHeight="1">
      <c r="A5054" s="307"/>
    </row>
    <row r="5055" ht="14.25" customHeight="1">
      <c r="A5055" s="307"/>
    </row>
    <row r="5056" ht="14.25" customHeight="1">
      <c r="A5056" s="307"/>
    </row>
    <row r="5057" ht="14.25" customHeight="1">
      <c r="A5057" s="307"/>
    </row>
    <row r="5058" ht="14.25" customHeight="1">
      <c r="A5058" s="307"/>
    </row>
    <row r="5059" ht="14.25" customHeight="1">
      <c r="A5059" s="307"/>
    </row>
    <row r="5060" ht="14.25" customHeight="1">
      <c r="A5060" s="307"/>
    </row>
    <row r="5061" ht="14.25" customHeight="1">
      <c r="A5061" s="307"/>
    </row>
    <row r="5062" ht="14.25" customHeight="1">
      <c r="A5062" s="307"/>
    </row>
    <row r="5063" ht="14.25" customHeight="1">
      <c r="A5063" s="307"/>
    </row>
    <row r="5064" ht="14.25" customHeight="1">
      <c r="A5064" s="307"/>
    </row>
    <row r="5065" ht="14.25" customHeight="1">
      <c r="A5065" s="307"/>
    </row>
    <row r="5066" ht="14.25" customHeight="1">
      <c r="A5066" s="307"/>
    </row>
    <row r="5067" ht="14.25" customHeight="1">
      <c r="A5067" s="307"/>
    </row>
    <row r="5068" ht="14.25" customHeight="1">
      <c r="A5068" s="307"/>
    </row>
    <row r="5069" ht="14.25" customHeight="1">
      <c r="A5069" s="307"/>
    </row>
    <row r="5070" ht="14.25" customHeight="1">
      <c r="A5070" s="307"/>
    </row>
    <row r="5071" ht="14.25" customHeight="1">
      <c r="A5071" s="307"/>
    </row>
    <row r="5072" ht="14.25" customHeight="1">
      <c r="A5072" s="307"/>
    </row>
    <row r="5073" ht="14.25" customHeight="1">
      <c r="A5073" s="307"/>
    </row>
    <row r="5074" ht="14.25" customHeight="1">
      <c r="A5074" s="307"/>
    </row>
    <row r="5075" ht="14.25" customHeight="1">
      <c r="A5075" s="307"/>
    </row>
    <row r="5076" ht="14.25" customHeight="1">
      <c r="A5076" s="307"/>
    </row>
    <row r="5077" ht="14.25" customHeight="1">
      <c r="A5077" s="307"/>
    </row>
    <row r="5078" ht="14.25" customHeight="1">
      <c r="A5078" s="307"/>
    </row>
    <row r="5079" ht="14.25" customHeight="1">
      <c r="A5079" s="307"/>
    </row>
    <row r="5080" ht="14.25" customHeight="1">
      <c r="A5080" s="307"/>
    </row>
    <row r="5081" ht="14.25" customHeight="1">
      <c r="A5081" s="307"/>
    </row>
    <row r="5082" ht="14.25" customHeight="1">
      <c r="A5082" s="307"/>
    </row>
    <row r="5083" ht="14.25" customHeight="1">
      <c r="A5083" s="307"/>
    </row>
    <row r="5084" ht="14.25" customHeight="1">
      <c r="A5084" s="307"/>
    </row>
    <row r="5085" ht="14.25" customHeight="1">
      <c r="A5085" s="307"/>
    </row>
    <row r="5086" ht="14.25" customHeight="1">
      <c r="A5086" s="307"/>
    </row>
    <row r="5087" ht="14.25" customHeight="1">
      <c r="A5087" s="307"/>
    </row>
    <row r="5088" ht="14.25" customHeight="1">
      <c r="A5088" s="307"/>
    </row>
    <row r="5089" ht="14.25" customHeight="1">
      <c r="A5089" s="307"/>
    </row>
    <row r="5090" ht="14.25" customHeight="1">
      <c r="A5090" s="307"/>
    </row>
    <row r="5091" ht="14.25" customHeight="1">
      <c r="A5091" s="307"/>
    </row>
    <row r="5092" ht="14.25" customHeight="1">
      <c r="A5092" s="307"/>
    </row>
    <row r="5093" ht="14.25" customHeight="1">
      <c r="A5093" s="307"/>
    </row>
    <row r="5094" ht="14.25" customHeight="1">
      <c r="A5094" s="307"/>
    </row>
    <row r="5095" ht="14.25" customHeight="1">
      <c r="A5095" s="307"/>
    </row>
    <row r="5096" ht="14.25" customHeight="1">
      <c r="A5096" s="307"/>
    </row>
    <row r="5097" ht="14.25" customHeight="1">
      <c r="A5097" s="307"/>
    </row>
    <row r="5098" ht="14.25" customHeight="1">
      <c r="A5098" s="307"/>
    </row>
    <row r="5099" ht="14.25" customHeight="1">
      <c r="A5099" s="307"/>
    </row>
    <row r="5100" ht="14.25" customHeight="1">
      <c r="A5100" s="307"/>
    </row>
    <row r="5101" ht="14.25" customHeight="1">
      <c r="A5101" s="307"/>
    </row>
    <row r="5102" ht="14.25" customHeight="1">
      <c r="A5102" s="307"/>
    </row>
    <row r="5103" ht="14.25" customHeight="1">
      <c r="A5103" s="307"/>
    </row>
    <row r="5104" ht="14.25" customHeight="1">
      <c r="A5104" s="307"/>
    </row>
    <row r="5105" ht="14.25" customHeight="1">
      <c r="A5105" s="307"/>
    </row>
    <row r="5106" ht="14.25" customHeight="1">
      <c r="A5106" s="307"/>
    </row>
    <row r="5107" ht="14.25" customHeight="1">
      <c r="A5107" s="307"/>
    </row>
    <row r="5108" ht="14.25" customHeight="1">
      <c r="A5108" s="307"/>
    </row>
    <row r="5109" ht="14.25" customHeight="1">
      <c r="A5109" s="307"/>
    </row>
    <row r="5110" ht="14.25" customHeight="1">
      <c r="A5110" s="307"/>
    </row>
    <row r="5111" ht="14.25" customHeight="1">
      <c r="A5111" s="307"/>
    </row>
    <row r="5112" ht="14.25" customHeight="1">
      <c r="A5112" s="307"/>
    </row>
    <row r="5113" ht="14.25" customHeight="1">
      <c r="A5113" s="307"/>
    </row>
    <row r="5114" ht="14.25" customHeight="1">
      <c r="A5114" s="307"/>
    </row>
    <row r="5115" ht="14.25" customHeight="1">
      <c r="A5115" s="307"/>
    </row>
    <row r="5116" ht="14.25" customHeight="1">
      <c r="A5116" s="307"/>
    </row>
    <row r="5117" ht="14.25" customHeight="1">
      <c r="A5117" s="307"/>
    </row>
    <row r="5118" ht="14.25" customHeight="1">
      <c r="A5118" s="307"/>
    </row>
    <row r="5119" ht="14.25" customHeight="1">
      <c r="A5119" s="307"/>
    </row>
    <row r="5120" ht="14.25" customHeight="1">
      <c r="A5120" s="307"/>
    </row>
    <row r="5121" ht="14.25" customHeight="1">
      <c r="A5121" s="307"/>
    </row>
    <row r="5122" ht="14.25" customHeight="1">
      <c r="A5122" s="307"/>
    </row>
    <row r="5123" ht="14.25" customHeight="1">
      <c r="A5123" s="307"/>
    </row>
    <row r="5124" ht="14.25" customHeight="1">
      <c r="A5124" s="307"/>
    </row>
    <row r="5125" ht="14.25" customHeight="1">
      <c r="A5125" s="307"/>
    </row>
    <row r="5126" ht="14.25" customHeight="1">
      <c r="A5126" s="307"/>
    </row>
    <row r="5127" ht="14.25" customHeight="1">
      <c r="A5127" s="307"/>
    </row>
    <row r="5128" ht="14.25" customHeight="1">
      <c r="A5128" s="307"/>
    </row>
    <row r="5129" ht="14.25" customHeight="1">
      <c r="A5129" s="307"/>
    </row>
    <row r="5130" ht="14.25" customHeight="1">
      <c r="A5130" s="307"/>
    </row>
    <row r="5131" ht="14.25" customHeight="1">
      <c r="A5131" s="307"/>
    </row>
    <row r="5132" ht="14.25" customHeight="1">
      <c r="A5132" s="307"/>
    </row>
    <row r="5133" ht="14.25" customHeight="1">
      <c r="A5133" s="307"/>
    </row>
    <row r="5134" ht="14.25" customHeight="1">
      <c r="A5134" s="307"/>
    </row>
    <row r="5135" ht="14.25" customHeight="1">
      <c r="A5135" s="307"/>
    </row>
    <row r="5136" ht="14.25" customHeight="1">
      <c r="A5136" s="307"/>
    </row>
    <row r="5137" ht="14.25" customHeight="1">
      <c r="A5137" s="307"/>
    </row>
    <row r="5138" ht="14.25" customHeight="1">
      <c r="A5138" s="307"/>
    </row>
    <row r="5139" ht="14.25" customHeight="1">
      <c r="A5139" s="307"/>
    </row>
    <row r="5140" ht="14.25" customHeight="1">
      <c r="A5140" s="307"/>
    </row>
    <row r="5141" ht="14.25" customHeight="1">
      <c r="A5141" s="307"/>
    </row>
    <row r="5142" ht="14.25" customHeight="1">
      <c r="A5142" s="307"/>
    </row>
    <row r="5143" ht="14.25" customHeight="1">
      <c r="A5143" s="307"/>
    </row>
    <row r="5144" ht="14.25" customHeight="1">
      <c r="A5144" s="307"/>
    </row>
    <row r="5145" ht="14.25" customHeight="1">
      <c r="A5145" s="307"/>
    </row>
    <row r="5146" ht="14.25" customHeight="1">
      <c r="A5146" s="307"/>
    </row>
    <row r="5147" ht="14.25" customHeight="1">
      <c r="A5147" s="307"/>
    </row>
    <row r="5148" ht="14.25" customHeight="1">
      <c r="A5148" s="307"/>
    </row>
    <row r="5149" ht="14.25" customHeight="1">
      <c r="A5149" s="307"/>
    </row>
    <row r="5150" ht="14.25" customHeight="1">
      <c r="A5150" s="307"/>
    </row>
    <row r="5151" ht="14.25" customHeight="1">
      <c r="A5151" s="307"/>
    </row>
    <row r="5152" ht="14.25" customHeight="1">
      <c r="A5152" s="307"/>
    </row>
    <row r="5153" ht="14.25" customHeight="1">
      <c r="A5153" s="307"/>
    </row>
    <row r="5154" ht="14.25" customHeight="1">
      <c r="A5154" s="307"/>
    </row>
    <row r="5155" ht="14.25" customHeight="1">
      <c r="A5155" s="307"/>
    </row>
    <row r="5156" ht="14.25" customHeight="1">
      <c r="A5156" s="307"/>
    </row>
    <row r="5157" ht="14.25" customHeight="1">
      <c r="A5157" s="307"/>
    </row>
    <row r="5158" ht="14.25" customHeight="1">
      <c r="A5158" s="307"/>
    </row>
    <row r="5159" ht="14.25" customHeight="1">
      <c r="A5159" s="307"/>
    </row>
    <row r="5160" ht="14.25" customHeight="1">
      <c r="A5160" s="307"/>
    </row>
    <row r="5161" ht="14.25" customHeight="1">
      <c r="A5161" s="307"/>
    </row>
    <row r="5162" ht="14.25" customHeight="1">
      <c r="A5162" s="307"/>
    </row>
    <row r="5163" ht="14.25" customHeight="1">
      <c r="A5163" s="307"/>
    </row>
    <row r="5164" ht="14.25" customHeight="1">
      <c r="A5164" s="307"/>
    </row>
    <row r="5165" ht="14.25" customHeight="1">
      <c r="A5165" s="307"/>
    </row>
    <row r="5166" ht="14.25" customHeight="1">
      <c r="A5166" s="307"/>
    </row>
    <row r="5167" ht="14.25" customHeight="1">
      <c r="A5167" s="307"/>
    </row>
    <row r="5168" ht="14.25" customHeight="1">
      <c r="A5168" s="307"/>
    </row>
    <row r="5169" ht="14.25" customHeight="1">
      <c r="A5169" s="307"/>
    </row>
    <row r="5170" ht="14.25" customHeight="1">
      <c r="A5170" s="307"/>
    </row>
    <row r="5171" ht="14.25" customHeight="1">
      <c r="A5171" s="307"/>
    </row>
    <row r="5172" ht="14.25" customHeight="1">
      <c r="A5172" s="307"/>
    </row>
    <row r="5173" ht="14.25" customHeight="1">
      <c r="A5173" s="307"/>
    </row>
    <row r="5174" ht="14.25" customHeight="1">
      <c r="A5174" s="307"/>
    </row>
    <row r="5175" ht="14.25" customHeight="1">
      <c r="A5175" s="307"/>
    </row>
    <row r="5176" ht="14.25" customHeight="1">
      <c r="A5176" s="307"/>
    </row>
    <row r="5177" ht="14.25" customHeight="1">
      <c r="A5177" s="307"/>
    </row>
    <row r="5178" ht="14.25" customHeight="1">
      <c r="A5178" s="307"/>
    </row>
    <row r="5179" ht="14.25" customHeight="1">
      <c r="A5179" s="307"/>
    </row>
    <row r="5180" ht="14.25" customHeight="1">
      <c r="A5180" s="307"/>
    </row>
    <row r="5181" ht="14.25" customHeight="1">
      <c r="A5181" s="307"/>
    </row>
    <row r="5182" ht="14.25" customHeight="1">
      <c r="A5182" s="307"/>
    </row>
    <row r="5183" ht="14.25" customHeight="1">
      <c r="A5183" s="307"/>
    </row>
    <row r="5184" ht="14.25" customHeight="1">
      <c r="A5184" s="307"/>
    </row>
    <row r="5185" ht="14.25" customHeight="1">
      <c r="A5185" s="307"/>
    </row>
    <row r="5186" ht="14.25" customHeight="1">
      <c r="A5186" s="307"/>
    </row>
    <row r="5187" ht="14.25" customHeight="1">
      <c r="A5187" s="307"/>
    </row>
    <row r="5188" ht="14.25" customHeight="1">
      <c r="A5188" s="307"/>
    </row>
    <row r="5189" ht="14.25" customHeight="1">
      <c r="A5189" s="307"/>
    </row>
    <row r="5190" ht="14.25" customHeight="1">
      <c r="A5190" s="307"/>
    </row>
    <row r="5191" ht="14.25" customHeight="1">
      <c r="A5191" s="307"/>
    </row>
    <row r="5192" ht="14.25" customHeight="1">
      <c r="A5192" s="307"/>
    </row>
    <row r="5193" ht="14.25" customHeight="1">
      <c r="A5193" s="307"/>
    </row>
    <row r="5194" ht="14.25" customHeight="1">
      <c r="A5194" s="307"/>
    </row>
    <row r="5195" ht="14.25" customHeight="1">
      <c r="A5195" s="307"/>
    </row>
    <row r="5196" ht="14.25" customHeight="1">
      <c r="A5196" s="307"/>
    </row>
    <row r="5197" ht="14.25" customHeight="1">
      <c r="A5197" s="307"/>
    </row>
    <row r="5198" ht="14.25" customHeight="1">
      <c r="A5198" s="307"/>
    </row>
    <row r="5199" ht="14.25" customHeight="1">
      <c r="A5199" s="307"/>
    </row>
    <row r="5200" ht="14.25" customHeight="1">
      <c r="A5200" s="307"/>
    </row>
    <row r="5201" ht="14.25" customHeight="1">
      <c r="A5201" s="307"/>
    </row>
    <row r="5202" ht="14.25" customHeight="1">
      <c r="A5202" s="307"/>
    </row>
    <row r="5203" ht="14.25" customHeight="1">
      <c r="A5203" s="307"/>
    </row>
    <row r="5204" ht="14.25" customHeight="1">
      <c r="A5204" s="307"/>
    </row>
    <row r="5205" ht="14.25" customHeight="1">
      <c r="A5205" s="307"/>
    </row>
    <row r="5206" ht="14.25" customHeight="1">
      <c r="A5206" s="307"/>
    </row>
    <row r="5207" ht="14.25" customHeight="1">
      <c r="A5207" s="307"/>
    </row>
    <row r="5208" ht="14.25" customHeight="1">
      <c r="A5208" s="307"/>
    </row>
    <row r="5209" ht="14.25" customHeight="1">
      <c r="A5209" s="307"/>
    </row>
    <row r="5210" ht="14.25" customHeight="1">
      <c r="A5210" s="307"/>
    </row>
    <row r="5211" ht="14.25" customHeight="1">
      <c r="A5211" s="307"/>
    </row>
    <row r="5212" ht="14.25" customHeight="1">
      <c r="A5212" s="307"/>
    </row>
    <row r="5213" ht="14.25" customHeight="1">
      <c r="A5213" s="307"/>
    </row>
    <row r="5214" ht="14.25" customHeight="1">
      <c r="A5214" s="307"/>
    </row>
    <row r="5215" ht="14.25" customHeight="1">
      <c r="A5215" s="307"/>
    </row>
    <row r="5216" ht="14.25" customHeight="1">
      <c r="A5216" s="307"/>
    </row>
    <row r="5217" ht="14.25" customHeight="1">
      <c r="A5217" s="307"/>
    </row>
    <row r="5218" ht="14.25" customHeight="1">
      <c r="A5218" s="307"/>
    </row>
    <row r="5219" ht="14.25" customHeight="1">
      <c r="A5219" s="307"/>
    </row>
    <row r="5220" ht="14.25" customHeight="1">
      <c r="A5220" s="307"/>
    </row>
    <row r="5221" ht="14.25" customHeight="1">
      <c r="A5221" s="307"/>
    </row>
    <row r="5222" ht="14.25" customHeight="1">
      <c r="A5222" s="307"/>
    </row>
    <row r="5223" ht="14.25" customHeight="1">
      <c r="A5223" s="307"/>
    </row>
    <row r="5224" ht="14.25" customHeight="1">
      <c r="A5224" s="307"/>
    </row>
    <row r="5225" ht="14.25" customHeight="1">
      <c r="A5225" s="307"/>
    </row>
    <row r="5226" ht="14.25" customHeight="1">
      <c r="A5226" s="307"/>
    </row>
    <row r="5227" ht="14.25" customHeight="1">
      <c r="A5227" s="307"/>
    </row>
    <row r="5228" ht="14.25" customHeight="1">
      <c r="A5228" s="307"/>
    </row>
    <row r="5229" ht="14.25" customHeight="1">
      <c r="A5229" s="307"/>
    </row>
    <row r="5230" ht="14.25" customHeight="1">
      <c r="A5230" s="307"/>
    </row>
    <row r="5231" ht="14.25" customHeight="1">
      <c r="A5231" s="307"/>
    </row>
    <row r="5232" ht="14.25" customHeight="1">
      <c r="A5232" s="307"/>
    </row>
    <row r="5233" ht="14.25" customHeight="1">
      <c r="A5233" s="307"/>
    </row>
    <row r="5234" ht="14.25" customHeight="1">
      <c r="A5234" s="307"/>
    </row>
    <row r="5235" ht="14.25" customHeight="1">
      <c r="A5235" s="307"/>
    </row>
    <row r="5236" ht="14.25" customHeight="1">
      <c r="A5236" s="307"/>
    </row>
    <row r="5237" ht="14.25" customHeight="1">
      <c r="A5237" s="307"/>
    </row>
    <row r="5238" ht="14.25" customHeight="1">
      <c r="A5238" s="307"/>
    </row>
    <row r="5239" ht="14.25" customHeight="1">
      <c r="A5239" s="307"/>
    </row>
    <row r="5240" ht="14.25" customHeight="1">
      <c r="A5240" s="307"/>
    </row>
    <row r="5241" ht="14.25" customHeight="1">
      <c r="A5241" s="307"/>
    </row>
    <row r="5242" ht="14.25" customHeight="1">
      <c r="A5242" s="307"/>
    </row>
    <row r="5243" ht="14.25" customHeight="1">
      <c r="A5243" s="307"/>
    </row>
    <row r="5244" ht="14.25" customHeight="1">
      <c r="A5244" s="307"/>
    </row>
    <row r="5245" ht="14.25" customHeight="1">
      <c r="A5245" s="307"/>
    </row>
    <row r="5246" ht="14.25" customHeight="1">
      <c r="A5246" s="307"/>
    </row>
    <row r="5247" ht="14.25" customHeight="1">
      <c r="A5247" s="307"/>
    </row>
    <row r="5248" ht="14.25" customHeight="1">
      <c r="A5248" s="307"/>
    </row>
    <row r="5249" ht="14.25" customHeight="1">
      <c r="A5249" s="307"/>
    </row>
    <row r="5250" ht="14.25" customHeight="1">
      <c r="A5250" s="307"/>
    </row>
    <row r="5251" ht="14.25" customHeight="1">
      <c r="A5251" s="307"/>
    </row>
    <row r="5252" ht="14.25" customHeight="1">
      <c r="A5252" s="307"/>
    </row>
    <row r="5253" ht="14.25" customHeight="1">
      <c r="A5253" s="307"/>
    </row>
    <row r="5254" ht="14.25" customHeight="1">
      <c r="A5254" s="307"/>
    </row>
    <row r="5255" ht="14.25" customHeight="1">
      <c r="A5255" s="307"/>
    </row>
    <row r="5256" ht="14.25" customHeight="1">
      <c r="A5256" s="307"/>
    </row>
    <row r="5257" ht="14.25" customHeight="1">
      <c r="A5257" s="307"/>
    </row>
    <row r="5258" ht="14.25" customHeight="1">
      <c r="A5258" s="307"/>
    </row>
    <row r="5259" ht="14.25" customHeight="1">
      <c r="A5259" s="307"/>
    </row>
    <row r="5260" ht="14.25" customHeight="1">
      <c r="A5260" s="307"/>
    </row>
    <row r="5261" ht="14.25" customHeight="1">
      <c r="A5261" s="307"/>
    </row>
    <row r="5262" ht="14.25" customHeight="1">
      <c r="A5262" s="307"/>
    </row>
    <row r="5263" ht="14.25" customHeight="1">
      <c r="A5263" s="307"/>
    </row>
    <row r="5264" ht="14.25" customHeight="1">
      <c r="A5264" s="307"/>
    </row>
    <row r="5265" ht="14.25" customHeight="1">
      <c r="A5265" s="307"/>
    </row>
    <row r="5266" ht="14.25" customHeight="1">
      <c r="A5266" s="307"/>
    </row>
    <row r="5267" ht="14.25" customHeight="1">
      <c r="A5267" s="307"/>
    </row>
    <row r="5268" ht="14.25" customHeight="1">
      <c r="A5268" s="307"/>
    </row>
    <row r="5269" ht="14.25" customHeight="1">
      <c r="A5269" s="307"/>
    </row>
    <row r="5270" ht="14.25" customHeight="1">
      <c r="A5270" s="307"/>
    </row>
    <row r="5271" ht="14.25" customHeight="1">
      <c r="A5271" s="307"/>
    </row>
    <row r="5272" ht="14.25" customHeight="1">
      <c r="A5272" s="307"/>
    </row>
    <row r="5273" ht="14.25" customHeight="1">
      <c r="A5273" s="307"/>
    </row>
    <row r="5274" ht="14.25" customHeight="1">
      <c r="A5274" s="307"/>
    </row>
    <row r="5275" ht="14.25" customHeight="1">
      <c r="A5275" s="307"/>
    </row>
    <row r="5276" ht="14.25" customHeight="1">
      <c r="A5276" s="307"/>
    </row>
    <row r="5277" ht="14.25" customHeight="1">
      <c r="A5277" s="307"/>
    </row>
    <row r="5278" ht="14.25" customHeight="1">
      <c r="A5278" s="307"/>
    </row>
    <row r="5279" ht="14.25" customHeight="1">
      <c r="A5279" s="307"/>
    </row>
    <row r="5280" ht="14.25" customHeight="1">
      <c r="A5280" s="307"/>
    </row>
    <row r="5281" ht="14.25" customHeight="1">
      <c r="A5281" s="307"/>
    </row>
    <row r="5282" ht="14.25" customHeight="1">
      <c r="A5282" s="307"/>
    </row>
    <row r="5283" ht="14.25" customHeight="1">
      <c r="A5283" s="307"/>
    </row>
    <row r="5284" ht="14.25" customHeight="1">
      <c r="A5284" s="307"/>
    </row>
    <row r="5285" ht="14.25" customHeight="1">
      <c r="A5285" s="307"/>
    </row>
    <row r="5286" ht="14.25" customHeight="1">
      <c r="A5286" s="307"/>
    </row>
    <row r="5287" ht="14.25" customHeight="1">
      <c r="A5287" s="307"/>
    </row>
    <row r="5288" ht="14.25" customHeight="1">
      <c r="A5288" s="307"/>
    </row>
    <row r="5289" ht="14.25" customHeight="1">
      <c r="A5289" s="307"/>
    </row>
    <row r="5290" ht="14.25" customHeight="1">
      <c r="A5290" s="307"/>
    </row>
    <row r="5291" ht="14.25" customHeight="1">
      <c r="A5291" s="307"/>
    </row>
    <row r="5292" ht="14.25" customHeight="1">
      <c r="A5292" s="307"/>
    </row>
    <row r="5293" ht="14.25" customHeight="1">
      <c r="A5293" s="307"/>
    </row>
    <row r="5294" ht="14.25" customHeight="1">
      <c r="A5294" s="307"/>
    </row>
    <row r="5295" ht="14.25" customHeight="1">
      <c r="A5295" s="307"/>
    </row>
    <row r="5296" ht="14.25" customHeight="1">
      <c r="A5296" s="307"/>
    </row>
    <row r="5297" ht="14.25" customHeight="1">
      <c r="A5297" s="307"/>
    </row>
    <row r="5298" ht="14.25" customHeight="1">
      <c r="A5298" s="307"/>
    </row>
    <row r="5299" ht="14.25" customHeight="1">
      <c r="A5299" s="307"/>
    </row>
    <row r="5300" ht="14.25" customHeight="1">
      <c r="A5300" s="307"/>
    </row>
    <row r="5301" ht="14.25" customHeight="1">
      <c r="A5301" s="307"/>
    </row>
    <row r="5302" ht="14.25" customHeight="1">
      <c r="A5302" s="307"/>
    </row>
    <row r="5303" ht="14.25" customHeight="1">
      <c r="A5303" s="307"/>
    </row>
    <row r="5304" ht="14.25" customHeight="1">
      <c r="A5304" s="307"/>
    </row>
    <row r="5305" ht="14.25" customHeight="1">
      <c r="A5305" s="307"/>
    </row>
    <row r="5306" ht="14.25" customHeight="1">
      <c r="A5306" s="307"/>
    </row>
    <row r="5307" ht="14.25" customHeight="1">
      <c r="A5307" s="307"/>
    </row>
    <row r="5308" ht="14.25" customHeight="1">
      <c r="A5308" s="307"/>
    </row>
    <row r="5309" ht="14.25" customHeight="1">
      <c r="A5309" s="307"/>
    </row>
    <row r="5310" ht="14.25" customHeight="1">
      <c r="A5310" s="307"/>
    </row>
    <row r="5311" ht="14.25" customHeight="1">
      <c r="A5311" s="307"/>
    </row>
    <row r="5312" ht="14.25" customHeight="1">
      <c r="A5312" s="307"/>
    </row>
    <row r="5313" ht="14.25" customHeight="1">
      <c r="A5313" s="307"/>
    </row>
    <row r="5314" ht="14.25" customHeight="1">
      <c r="A5314" s="307"/>
    </row>
    <row r="5315" ht="14.25" customHeight="1">
      <c r="A5315" s="307"/>
    </row>
    <row r="5316" ht="14.25" customHeight="1">
      <c r="A5316" s="307"/>
    </row>
    <row r="5317" ht="14.25" customHeight="1">
      <c r="A5317" s="307"/>
    </row>
    <row r="5318" ht="14.25" customHeight="1">
      <c r="A5318" s="307"/>
    </row>
    <row r="5319" ht="14.25" customHeight="1">
      <c r="A5319" s="307"/>
    </row>
    <row r="5320" ht="14.25" customHeight="1">
      <c r="A5320" s="307"/>
    </row>
    <row r="5321" ht="14.25" customHeight="1">
      <c r="A5321" s="307"/>
    </row>
    <row r="5322" ht="14.25" customHeight="1">
      <c r="A5322" s="307"/>
    </row>
    <row r="5323" ht="14.25" customHeight="1">
      <c r="A5323" s="307"/>
    </row>
    <row r="5324" ht="14.25" customHeight="1">
      <c r="A5324" s="307"/>
    </row>
    <row r="5325" ht="14.25" customHeight="1">
      <c r="A5325" s="307"/>
    </row>
    <row r="5326" ht="14.25" customHeight="1">
      <c r="A5326" s="307"/>
    </row>
    <row r="5327" ht="14.25" customHeight="1">
      <c r="A5327" s="307"/>
    </row>
    <row r="5328" ht="14.25" customHeight="1">
      <c r="A5328" s="307"/>
    </row>
    <row r="5329" ht="14.25" customHeight="1">
      <c r="A5329" s="307"/>
    </row>
    <row r="5330" ht="14.25" customHeight="1">
      <c r="A5330" s="307"/>
    </row>
    <row r="5331" ht="14.25" customHeight="1">
      <c r="A5331" s="307"/>
    </row>
    <row r="5332" ht="14.25" customHeight="1">
      <c r="A5332" s="307"/>
    </row>
    <row r="5333" ht="14.25" customHeight="1">
      <c r="A5333" s="307"/>
    </row>
    <row r="5334" ht="14.25" customHeight="1">
      <c r="A5334" s="307"/>
    </row>
    <row r="5335" ht="14.25" customHeight="1">
      <c r="A5335" s="307"/>
    </row>
    <row r="5336" ht="14.25" customHeight="1">
      <c r="A5336" s="307"/>
    </row>
    <row r="5337" ht="14.25" customHeight="1">
      <c r="A5337" s="307"/>
    </row>
    <row r="5338" ht="14.25" customHeight="1">
      <c r="A5338" s="307"/>
    </row>
    <row r="5339" ht="14.25" customHeight="1">
      <c r="A5339" s="307"/>
    </row>
    <row r="5340" ht="14.25" customHeight="1">
      <c r="A5340" s="307"/>
    </row>
    <row r="5341" ht="14.25" customHeight="1">
      <c r="A5341" s="307"/>
    </row>
    <row r="5342" ht="14.25" customHeight="1">
      <c r="A5342" s="307"/>
    </row>
    <row r="5343" ht="14.25" customHeight="1">
      <c r="A5343" s="307"/>
    </row>
    <row r="5344" ht="14.25" customHeight="1">
      <c r="A5344" s="307"/>
    </row>
    <row r="5345" ht="14.25" customHeight="1">
      <c r="A5345" s="307"/>
    </row>
    <row r="5346" ht="14.25" customHeight="1">
      <c r="A5346" s="307"/>
    </row>
    <row r="5347" ht="14.25" customHeight="1">
      <c r="A5347" s="307"/>
    </row>
    <row r="5348" ht="14.25" customHeight="1">
      <c r="A5348" s="307"/>
    </row>
    <row r="5349" ht="14.25" customHeight="1">
      <c r="A5349" s="307"/>
    </row>
    <row r="5350" ht="14.25" customHeight="1">
      <c r="A5350" s="307"/>
    </row>
    <row r="5351" ht="14.25" customHeight="1">
      <c r="A5351" s="307"/>
    </row>
    <row r="5352" ht="14.25" customHeight="1">
      <c r="A5352" s="307"/>
    </row>
    <row r="5353" ht="14.25" customHeight="1">
      <c r="A5353" s="307"/>
    </row>
    <row r="5354" ht="14.25" customHeight="1">
      <c r="A5354" s="307"/>
    </row>
    <row r="5355" ht="14.25" customHeight="1">
      <c r="A5355" s="307"/>
    </row>
    <row r="5356" ht="14.25" customHeight="1">
      <c r="A5356" s="307"/>
    </row>
    <row r="5357" ht="14.25" customHeight="1">
      <c r="A5357" s="307"/>
    </row>
    <row r="5358" ht="14.25" customHeight="1">
      <c r="A5358" s="307"/>
    </row>
    <row r="5359" ht="14.25" customHeight="1">
      <c r="A5359" s="307"/>
    </row>
    <row r="5360" ht="14.25" customHeight="1">
      <c r="A5360" s="307"/>
    </row>
    <row r="5361" ht="14.25" customHeight="1">
      <c r="A5361" s="307"/>
    </row>
    <row r="5362" ht="14.25" customHeight="1">
      <c r="A5362" s="307"/>
    </row>
    <row r="5363" ht="14.25" customHeight="1">
      <c r="A5363" s="307"/>
    </row>
    <row r="5364" ht="14.25" customHeight="1">
      <c r="A5364" s="307"/>
    </row>
    <row r="5365" ht="14.25" customHeight="1">
      <c r="A5365" s="307"/>
    </row>
    <row r="5366" ht="14.25" customHeight="1">
      <c r="A5366" s="307"/>
    </row>
    <row r="5367" ht="14.25" customHeight="1">
      <c r="A5367" s="307"/>
    </row>
    <row r="5368" ht="14.25" customHeight="1">
      <c r="A5368" s="307"/>
    </row>
    <row r="5369" ht="14.25" customHeight="1">
      <c r="A5369" s="307"/>
    </row>
    <row r="5370" ht="14.25" customHeight="1">
      <c r="A5370" s="307"/>
    </row>
    <row r="5371" ht="14.25" customHeight="1">
      <c r="A5371" s="307"/>
    </row>
    <row r="5372" ht="14.25" customHeight="1">
      <c r="A5372" s="307"/>
    </row>
    <row r="5373" ht="14.25" customHeight="1">
      <c r="A5373" s="307"/>
    </row>
    <row r="5374" ht="14.25" customHeight="1">
      <c r="A5374" s="307"/>
    </row>
    <row r="5375" ht="14.25" customHeight="1">
      <c r="A5375" s="307"/>
    </row>
    <row r="5376" ht="14.25" customHeight="1">
      <c r="A5376" s="307"/>
    </row>
    <row r="5377" ht="14.25" customHeight="1">
      <c r="A5377" s="307"/>
    </row>
    <row r="5378" ht="14.25" customHeight="1">
      <c r="A5378" s="307"/>
    </row>
    <row r="5379" ht="14.25" customHeight="1">
      <c r="A5379" s="307"/>
    </row>
    <row r="5380" ht="14.25" customHeight="1">
      <c r="A5380" s="307"/>
    </row>
    <row r="5381" ht="14.25" customHeight="1">
      <c r="A5381" s="307"/>
    </row>
    <row r="5382" ht="14.25" customHeight="1">
      <c r="A5382" s="307"/>
    </row>
    <row r="5383" ht="14.25" customHeight="1">
      <c r="A5383" s="307"/>
    </row>
    <row r="5384" ht="14.25" customHeight="1">
      <c r="A5384" s="307"/>
    </row>
    <row r="5385" ht="14.25" customHeight="1">
      <c r="A5385" s="307"/>
    </row>
    <row r="5386" ht="14.25" customHeight="1">
      <c r="A5386" s="307"/>
    </row>
    <row r="5387" ht="14.25" customHeight="1">
      <c r="A5387" s="307"/>
    </row>
    <row r="5388" ht="14.25" customHeight="1">
      <c r="A5388" s="307"/>
    </row>
    <row r="5389" ht="14.25" customHeight="1">
      <c r="A5389" s="307"/>
    </row>
    <row r="5390" ht="14.25" customHeight="1">
      <c r="A5390" s="307"/>
    </row>
    <row r="5391" ht="14.25" customHeight="1">
      <c r="A5391" s="307"/>
    </row>
    <row r="5392" ht="14.25" customHeight="1">
      <c r="A5392" s="307"/>
    </row>
    <row r="5393" ht="14.25" customHeight="1">
      <c r="A5393" s="307"/>
    </row>
    <row r="5394" ht="14.25" customHeight="1">
      <c r="A5394" s="307"/>
    </row>
    <row r="5395" ht="14.25" customHeight="1">
      <c r="A5395" s="307"/>
    </row>
    <row r="5396" ht="14.25" customHeight="1">
      <c r="A5396" s="307"/>
    </row>
    <row r="5397" ht="14.25" customHeight="1">
      <c r="A5397" s="307"/>
    </row>
    <row r="5398" ht="14.25" customHeight="1">
      <c r="A5398" s="307"/>
    </row>
    <row r="5399" ht="14.25" customHeight="1">
      <c r="A5399" s="307"/>
    </row>
    <row r="5400" ht="14.25" customHeight="1">
      <c r="A5400" s="307"/>
    </row>
    <row r="5401" ht="14.25" customHeight="1">
      <c r="A5401" s="307"/>
    </row>
    <row r="5402" ht="14.25" customHeight="1">
      <c r="A5402" s="307"/>
    </row>
    <row r="5403" ht="14.25" customHeight="1">
      <c r="A5403" s="307"/>
    </row>
    <row r="5404" ht="14.25" customHeight="1">
      <c r="A5404" s="307"/>
    </row>
    <row r="5405" ht="14.25" customHeight="1">
      <c r="A5405" s="307"/>
    </row>
    <row r="5406" ht="14.25" customHeight="1">
      <c r="A5406" s="307"/>
    </row>
    <row r="5407" ht="14.25" customHeight="1">
      <c r="A5407" s="307"/>
    </row>
    <row r="5408" ht="14.25" customHeight="1">
      <c r="A5408" s="307"/>
    </row>
    <row r="5409" ht="14.25" customHeight="1">
      <c r="A5409" s="307"/>
    </row>
    <row r="5410" ht="14.25" customHeight="1">
      <c r="A5410" s="307"/>
    </row>
    <row r="5411" ht="14.25" customHeight="1">
      <c r="A5411" s="307"/>
    </row>
    <row r="5412" ht="14.25" customHeight="1">
      <c r="A5412" s="307"/>
    </row>
    <row r="5413" ht="14.25" customHeight="1">
      <c r="A5413" s="307"/>
    </row>
    <row r="5414" ht="14.25" customHeight="1">
      <c r="A5414" s="307"/>
    </row>
    <row r="5415" ht="14.25" customHeight="1">
      <c r="A5415" s="307"/>
    </row>
    <row r="5416" ht="14.25" customHeight="1">
      <c r="A5416" s="307"/>
    </row>
    <row r="5417" ht="14.25" customHeight="1">
      <c r="A5417" s="307"/>
    </row>
    <row r="5418" ht="14.25" customHeight="1">
      <c r="A5418" s="307"/>
    </row>
    <row r="5419" ht="14.25" customHeight="1">
      <c r="A5419" s="307"/>
    </row>
    <row r="5420" ht="14.25" customHeight="1">
      <c r="A5420" s="307"/>
    </row>
    <row r="5421" ht="14.25" customHeight="1">
      <c r="A5421" s="307"/>
    </row>
    <row r="5422" ht="14.25" customHeight="1">
      <c r="A5422" s="307"/>
    </row>
    <row r="5423" ht="14.25" customHeight="1">
      <c r="A5423" s="307"/>
    </row>
    <row r="5424" ht="14.25" customHeight="1">
      <c r="A5424" s="307"/>
    </row>
    <row r="5425" ht="14.25" customHeight="1">
      <c r="A5425" s="307"/>
    </row>
    <row r="5426" ht="14.25" customHeight="1">
      <c r="A5426" s="307"/>
    </row>
    <row r="5427" ht="14.25" customHeight="1">
      <c r="A5427" s="307"/>
    </row>
    <row r="5428" ht="14.25" customHeight="1">
      <c r="A5428" s="307"/>
    </row>
    <row r="5429" ht="14.25" customHeight="1">
      <c r="A5429" s="307"/>
    </row>
    <row r="5430" ht="14.25" customHeight="1">
      <c r="A5430" s="307"/>
    </row>
    <row r="5431" ht="14.25" customHeight="1">
      <c r="A5431" s="307"/>
    </row>
    <row r="5432" ht="14.25" customHeight="1">
      <c r="A5432" s="307"/>
    </row>
    <row r="5433" ht="14.25" customHeight="1">
      <c r="A5433" s="307"/>
    </row>
    <row r="5434" ht="14.25" customHeight="1">
      <c r="A5434" s="307"/>
    </row>
    <row r="5435" ht="14.25" customHeight="1">
      <c r="A5435" s="307"/>
    </row>
    <row r="5436" ht="14.25" customHeight="1">
      <c r="A5436" s="307"/>
    </row>
    <row r="5437" ht="14.25" customHeight="1">
      <c r="A5437" s="307"/>
    </row>
    <row r="5438" ht="14.25" customHeight="1">
      <c r="A5438" s="307"/>
    </row>
    <row r="5439" ht="14.25" customHeight="1">
      <c r="A5439" s="307"/>
    </row>
    <row r="5440" ht="14.25" customHeight="1">
      <c r="A5440" s="307"/>
    </row>
    <row r="5441" ht="14.25" customHeight="1">
      <c r="A5441" s="307"/>
    </row>
    <row r="5442" ht="14.25" customHeight="1">
      <c r="A5442" s="307"/>
    </row>
    <row r="5443" ht="14.25" customHeight="1">
      <c r="A5443" s="307"/>
    </row>
    <row r="5444" ht="14.25" customHeight="1">
      <c r="A5444" s="307"/>
    </row>
    <row r="5445" ht="14.25" customHeight="1">
      <c r="A5445" s="307"/>
    </row>
    <row r="5446" ht="14.25" customHeight="1">
      <c r="A5446" s="307"/>
    </row>
    <row r="5447" ht="14.25" customHeight="1">
      <c r="A5447" s="307"/>
    </row>
    <row r="5448" ht="14.25" customHeight="1">
      <c r="A5448" s="307"/>
    </row>
    <row r="5449" ht="14.25" customHeight="1">
      <c r="A5449" s="307"/>
    </row>
    <row r="5450" ht="14.25" customHeight="1">
      <c r="A5450" s="307"/>
    </row>
    <row r="5451" ht="14.25" customHeight="1">
      <c r="A5451" s="307"/>
    </row>
    <row r="5452" ht="14.25" customHeight="1">
      <c r="A5452" s="307"/>
    </row>
    <row r="5453" ht="14.25" customHeight="1">
      <c r="A5453" s="307"/>
    </row>
    <row r="5454" ht="14.25" customHeight="1">
      <c r="A5454" s="307"/>
    </row>
    <row r="5455" ht="14.25" customHeight="1">
      <c r="A5455" s="307"/>
    </row>
    <row r="5456" ht="14.25" customHeight="1">
      <c r="A5456" s="307"/>
    </row>
    <row r="5457" ht="14.25" customHeight="1">
      <c r="A5457" s="307"/>
    </row>
    <row r="5458" ht="14.25" customHeight="1">
      <c r="A5458" s="307"/>
    </row>
    <row r="5459" ht="14.25" customHeight="1">
      <c r="A5459" s="307"/>
    </row>
    <row r="5460" ht="14.25" customHeight="1">
      <c r="A5460" s="307"/>
    </row>
    <row r="5461" ht="14.25" customHeight="1">
      <c r="A5461" s="307"/>
    </row>
    <row r="5462" ht="14.25" customHeight="1">
      <c r="A5462" s="307"/>
    </row>
    <row r="5463" ht="14.25" customHeight="1">
      <c r="A5463" s="307"/>
    </row>
    <row r="5464" ht="14.25" customHeight="1">
      <c r="A5464" s="307"/>
    </row>
    <row r="5465" ht="14.25" customHeight="1">
      <c r="A5465" s="307"/>
    </row>
    <row r="5466" ht="14.25" customHeight="1">
      <c r="A5466" s="307"/>
    </row>
    <row r="5467" ht="14.25" customHeight="1">
      <c r="A5467" s="307"/>
    </row>
    <row r="5468" ht="14.25" customHeight="1">
      <c r="A5468" s="307"/>
    </row>
    <row r="5469" ht="14.25" customHeight="1">
      <c r="A5469" s="307"/>
    </row>
    <row r="5470" ht="14.25" customHeight="1">
      <c r="A5470" s="307"/>
    </row>
    <row r="5471" ht="14.25" customHeight="1">
      <c r="A5471" s="307"/>
    </row>
    <row r="5472" ht="14.25" customHeight="1">
      <c r="A5472" s="307"/>
    </row>
    <row r="5473" ht="14.25" customHeight="1">
      <c r="A5473" s="307"/>
    </row>
    <row r="5474" ht="14.25" customHeight="1">
      <c r="A5474" s="307"/>
    </row>
    <row r="5475" ht="14.25" customHeight="1">
      <c r="A5475" s="307"/>
    </row>
    <row r="5476" ht="14.25" customHeight="1">
      <c r="A5476" s="307"/>
    </row>
    <row r="5477" ht="14.25" customHeight="1">
      <c r="A5477" s="307"/>
    </row>
    <row r="5478" ht="14.25" customHeight="1">
      <c r="A5478" s="307"/>
    </row>
    <row r="5479" ht="14.25" customHeight="1">
      <c r="A5479" s="307"/>
    </row>
    <row r="5480" ht="14.25" customHeight="1">
      <c r="A5480" s="307"/>
    </row>
    <row r="5481" ht="14.25" customHeight="1">
      <c r="A5481" s="307"/>
    </row>
    <row r="5482" ht="14.25" customHeight="1">
      <c r="A5482" s="307"/>
    </row>
    <row r="5483" ht="14.25" customHeight="1">
      <c r="A5483" s="307"/>
    </row>
    <row r="5484" ht="14.25" customHeight="1">
      <c r="A5484" s="307"/>
    </row>
    <row r="5485" ht="14.25" customHeight="1">
      <c r="A5485" s="307"/>
    </row>
    <row r="5486" ht="14.25" customHeight="1">
      <c r="A5486" s="307"/>
    </row>
    <row r="5487" ht="14.25" customHeight="1">
      <c r="A5487" s="307"/>
    </row>
    <row r="5488" ht="14.25" customHeight="1">
      <c r="A5488" s="307"/>
    </row>
    <row r="5489" ht="14.25" customHeight="1">
      <c r="A5489" s="307"/>
    </row>
    <row r="5490" ht="14.25" customHeight="1">
      <c r="A5490" s="307"/>
    </row>
    <row r="5491" ht="14.25" customHeight="1">
      <c r="A5491" s="307"/>
    </row>
    <row r="5492" ht="14.25" customHeight="1">
      <c r="A5492" s="307"/>
    </row>
    <row r="5493" ht="14.25" customHeight="1">
      <c r="A5493" s="307"/>
    </row>
    <row r="5494" ht="14.25" customHeight="1">
      <c r="A5494" s="307"/>
    </row>
    <row r="5495" ht="14.25" customHeight="1">
      <c r="A5495" s="307"/>
    </row>
    <row r="5496" ht="14.25" customHeight="1">
      <c r="A5496" s="307"/>
    </row>
    <row r="5497" ht="14.25" customHeight="1">
      <c r="A5497" s="307"/>
    </row>
    <row r="5498" ht="14.25" customHeight="1">
      <c r="A5498" s="307"/>
    </row>
    <row r="5499" ht="14.25" customHeight="1">
      <c r="A5499" s="307"/>
    </row>
    <row r="5500" ht="14.25" customHeight="1">
      <c r="A5500" s="307"/>
    </row>
    <row r="5501" ht="14.25" customHeight="1">
      <c r="A5501" s="307"/>
    </row>
    <row r="5502" ht="14.25" customHeight="1">
      <c r="A5502" s="307"/>
    </row>
    <row r="5503" ht="14.25" customHeight="1">
      <c r="A5503" s="307"/>
    </row>
    <row r="5504" ht="14.25" customHeight="1">
      <c r="A5504" s="307"/>
    </row>
    <row r="5505" ht="14.25" customHeight="1">
      <c r="A5505" s="307"/>
    </row>
    <row r="5506" ht="14.25" customHeight="1">
      <c r="A5506" s="307"/>
    </row>
    <row r="5507" ht="14.25" customHeight="1">
      <c r="A5507" s="307"/>
    </row>
    <row r="5508" ht="14.25" customHeight="1">
      <c r="A5508" s="307"/>
    </row>
    <row r="5509" ht="14.25" customHeight="1">
      <c r="A5509" s="307"/>
    </row>
    <row r="5510" ht="14.25" customHeight="1">
      <c r="A5510" s="307"/>
    </row>
    <row r="5511" ht="14.25" customHeight="1">
      <c r="A5511" s="307"/>
    </row>
    <row r="5512" ht="14.25" customHeight="1">
      <c r="A5512" s="307"/>
    </row>
    <row r="5513" ht="14.25" customHeight="1">
      <c r="A5513" s="307"/>
    </row>
    <row r="5514" ht="14.25" customHeight="1">
      <c r="A5514" s="307"/>
    </row>
    <row r="5515" ht="14.25" customHeight="1">
      <c r="A5515" s="307"/>
    </row>
    <row r="5516" ht="14.25" customHeight="1">
      <c r="A5516" s="307"/>
    </row>
    <row r="5517" ht="14.25" customHeight="1">
      <c r="A5517" s="307"/>
    </row>
    <row r="5518" ht="14.25" customHeight="1">
      <c r="A5518" s="307"/>
    </row>
    <row r="5519" ht="14.25" customHeight="1">
      <c r="A5519" s="307"/>
    </row>
    <row r="5520" ht="14.25" customHeight="1">
      <c r="A5520" s="307"/>
    </row>
    <row r="5521" ht="14.25" customHeight="1">
      <c r="A5521" s="307"/>
    </row>
    <row r="5522" ht="14.25" customHeight="1">
      <c r="A5522" s="307"/>
    </row>
    <row r="5523" ht="14.25" customHeight="1">
      <c r="A5523" s="307"/>
    </row>
    <row r="5524" ht="14.25" customHeight="1">
      <c r="A5524" s="307"/>
    </row>
    <row r="5525" ht="14.25" customHeight="1">
      <c r="A5525" s="307"/>
    </row>
    <row r="5526" ht="14.25" customHeight="1">
      <c r="A5526" s="307"/>
    </row>
    <row r="5527" ht="14.25" customHeight="1">
      <c r="A5527" s="307"/>
    </row>
    <row r="5528" ht="14.25" customHeight="1">
      <c r="A5528" s="307"/>
    </row>
    <row r="5529" ht="14.25" customHeight="1">
      <c r="A5529" s="307"/>
    </row>
    <row r="5530" ht="14.25" customHeight="1">
      <c r="A5530" s="307"/>
    </row>
    <row r="5531" ht="14.25" customHeight="1">
      <c r="A5531" s="307"/>
    </row>
    <row r="5532" ht="14.25" customHeight="1">
      <c r="A5532" s="307"/>
    </row>
    <row r="5533" ht="14.25" customHeight="1">
      <c r="A5533" s="307"/>
    </row>
    <row r="5534" ht="14.25" customHeight="1">
      <c r="A5534" s="307"/>
    </row>
    <row r="5535" ht="14.25" customHeight="1">
      <c r="A5535" s="307"/>
    </row>
    <row r="5536" ht="14.25" customHeight="1">
      <c r="A5536" s="307"/>
    </row>
    <row r="5537" ht="14.25" customHeight="1">
      <c r="A5537" s="307"/>
    </row>
    <row r="5538" ht="14.25" customHeight="1">
      <c r="A5538" s="307"/>
    </row>
    <row r="5539" ht="14.25" customHeight="1">
      <c r="A5539" s="307"/>
    </row>
    <row r="5540" ht="14.25" customHeight="1">
      <c r="A5540" s="307"/>
    </row>
    <row r="5541" ht="14.25" customHeight="1">
      <c r="A5541" s="307"/>
    </row>
    <row r="5542" ht="14.25" customHeight="1">
      <c r="A5542" s="307"/>
    </row>
    <row r="5543" ht="14.25" customHeight="1">
      <c r="A5543" s="307"/>
    </row>
    <row r="5544" ht="14.25" customHeight="1">
      <c r="A5544" s="307"/>
    </row>
    <row r="5545" ht="14.25" customHeight="1">
      <c r="A5545" s="307"/>
    </row>
    <row r="5546" ht="14.25" customHeight="1">
      <c r="A5546" s="307"/>
    </row>
    <row r="5547" ht="14.25" customHeight="1">
      <c r="A5547" s="307"/>
    </row>
    <row r="5548" ht="14.25" customHeight="1">
      <c r="A5548" s="307"/>
    </row>
    <row r="5549" ht="14.25" customHeight="1">
      <c r="A5549" s="307"/>
    </row>
    <row r="5550" ht="14.25" customHeight="1">
      <c r="A5550" s="307"/>
    </row>
    <row r="5551" ht="14.25" customHeight="1">
      <c r="A5551" s="307"/>
    </row>
    <row r="5552" ht="14.25" customHeight="1">
      <c r="A5552" s="307"/>
    </row>
    <row r="5553" ht="14.25" customHeight="1">
      <c r="A5553" s="307"/>
    </row>
    <row r="5554" ht="14.25" customHeight="1">
      <c r="A5554" s="307"/>
    </row>
    <row r="5555" ht="14.25" customHeight="1">
      <c r="A5555" s="307"/>
    </row>
    <row r="5556" ht="14.25" customHeight="1">
      <c r="A5556" s="307"/>
    </row>
    <row r="5557" ht="14.25" customHeight="1">
      <c r="A5557" s="307"/>
    </row>
    <row r="5558" ht="14.25" customHeight="1">
      <c r="A5558" s="307"/>
    </row>
    <row r="5559" ht="14.25" customHeight="1">
      <c r="A5559" s="307"/>
    </row>
    <row r="5560" ht="14.25" customHeight="1">
      <c r="A5560" s="307"/>
    </row>
    <row r="5561" ht="14.25" customHeight="1">
      <c r="A5561" s="307"/>
    </row>
    <row r="5562" ht="14.25" customHeight="1">
      <c r="A5562" s="307"/>
    </row>
    <row r="5563" ht="14.25" customHeight="1">
      <c r="A5563" s="307"/>
    </row>
    <row r="5564" ht="14.25" customHeight="1">
      <c r="A5564" s="307"/>
    </row>
    <row r="5565" ht="14.25" customHeight="1">
      <c r="A5565" s="307"/>
    </row>
    <row r="5566" ht="14.25" customHeight="1">
      <c r="A5566" s="307"/>
    </row>
    <row r="5567" ht="14.25" customHeight="1">
      <c r="A5567" s="307"/>
    </row>
    <row r="5568" ht="14.25" customHeight="1">
      <c r="A5568" s="307"/>
    </row>
    <row r="5569" ht="14.25" customHeight="1">
      <c r="A5569" s="307"/>
    </row>
    <row r="5570" ht="14.25" customHeight="1">
      <c r="A5570" s="307"/>
    </row>
    <row r="5571" ht="14.25" customHeight="1">
      <c r="A5571" s="307"/>
    </row>
    <row r="5572" ht="14.25" customHeight="1">
      <c r="A5572" s="307"/>
    </row>
    <row r="5573" ht="14.25" customHeight="1">
      <c r="A5573" s="307"/>
    </row>
    <row r="5574" ht="14.25" customHeight="1">
      <c r="A5574" s="307"/>
    </row>
    <row r="5575" ht="14.25" customHeight="1">
      <c r="A5575" s="307"/>
    </row>
    <row r="5576" ht="14.25" customHeight="1">
      <c r="A5576" s="307"/>
    </row>
    <row r="5577" ht="14.25" customHeight="1">
      <c r="A5577" s="307"/>
    </row>
    <row r="5578" ht="14.25" customHeight="1">
      <c r="A5578" s="307"/>
    </row>
    <row r="5579" ht="14.25" customHeight="1">
      <c r="A5579" s="307"/>
    </row>
    <row r="5580" ht="14.25" customHeight="1">
      <c r="A5580" s="307"/>
    </row>
    <row r="5581" ht="14.25" customHeight="1">
      <c r="A5581" s="307"/>
    </row>
    <row r="5582" ht="14.25" customHeight="1">
      <c r="A5582" s="307"/>
    </row>
    <row r="5583" ht="14.25" customHeight="1">
      <c r="A5583" s="307"/>
    </row>
    <row r="5584" ht="14.25" customHeight="1">
      <c r="A5584" s="307"/>
    </row>
    <row r="5585" ht="14.25" customHeight="1">
      <c r="A5585" s="307"/>
    </row>
    <row r="5586" ht="14.25" customHeight="1">
      <c r="A5586" s="307"/>
    </row>
    <row r="5587" ht="14.25" customHeight="1">
      <c r="A5587" s="307"/>
    </row>
    <row r="5588" ht="14.25" customHeight="1">
      <c r="A5588" s="307"/>
    </row>
    <row r="5589" ht="14.25" customHeight="1">
      <c r="A5589" s="307"/>
    </row>
    <row r="5590" ht="14.25" customHeight="1">
      <c r="A5590" s="307"/>
    </row>
    <row r="5591" ht="14.25" customHeight="1">
      <c r="A5591" s="307"/>
    </row>
    <row r="5592" ht="14.25" customHeight="1">
      <c r="A5592" s="307"/>
    </row>
    <row r="5593" ht="14.25" customHeight="1">
      <c r="A5593" s="307"/>
    </row>
    <row r="5594" ht="14.25" customHeight="1">
      <c r="A5594" s="307"/>
    </row>
    <row r="5595" ht="14.25" customHeight="1">
      <c r="A5595" s="307"/>
    </row>
    <row r="5596" ht="14.25" customHeight="1">
      <c r="A5596" s="307"/>
    </row>
    <row r="5597" ht="14.25" customHeight="1">
      <c r="A5597" s="307"/>
    </row>
    <row r="5598" ht="14.25" customHeight="1">
      <c r="A5598" s="307"/>
    </row>
    <row r="5599" ht="14.25" customHeight="1">
      <c r="A5599" s="307"/>
    </row>
    <row r="5600" ht="14.25" customHeight="1">
      <c r="A5600" s="307"/>
    </row>
    <row r="5601" ht="14.25" customHeight="1">
      <c r="A5601" s="307"/>
    </row>
    <row r="5602" ht="14.25" customHeight="1">
      <c r="A5602" s="307"/>
    </row>
    <row r="5603" ht="14.25" customHeight="1">
      <c r="A5603" s="307"/>
    </row>
    <row r="5604" ht="14.25" customHeight="1">
      <c r="A5604" s="307"/>
    </row>
    <row r="5605" ht="14.25" customHeight="1">
      <c r="A5605" s="307"/>
    </row>
    <row r="5606" ht="14.25" customHeight="1">
      <c r="A5606" s="307"/>
    </row>
    <row r="5607" ht="14.25" customHeight="1">
      <c r="A5607" s="307"/>
    </row>
    <row r="5608" ht="14.25" customHeight="1">
      <c r="A5608" s="307"/>
    </row>
    <row r="5609" ht="14.25" customHeight="1">
      <c r="A5609" s="307"/>
    </row>
    <row r="5610" ht="14.25" customHeight="1">
      <c r="A5610" s="307"/>
    </row>
    <row r="5611" ht="14.25" customHeight="1">
      <c r="A5611" s="307"/>
    </row>
    <row r="5612" ht="14.25" customHeight="1">
      <c r="A5612" s="307"/>
    </row>
    <row r="5613" ht="14.25" customHeight="1">
      <c r="A5613" s="307"/>
    </row>
    <row r="5614" ht="14.25" customHeight="1">
      <c r="A5614" s="307"/>
    </row>
    <row r="5615" ht="14.25" customHeight="1">
      <c r="A5615" s="307"/>
    </row>
    <row r="5616" ht="14.25" customHeight="1">
      <c r="A5616" s="307"/>
    </row>
    <row r="5617" ht="14.25" customHeight="1">
      <c r="A5617" s="307"/>
    </row>
    <row r="5618" ht="14.25" customHeight="1">
      <c r="A5618" s="307"/>
    </row>
    <row r="5619" ht="14.25" customHeight="1">
      <c r="A5619" s="307"/>
    </row>
    <row r="5620" ht="14.25" customHeight="1">
      <c r="A5620" s="307"/>
    </row>
    <row r="5621" ht="14.25" customHeight="1">
      <c r="A5621" s="307"/>
    </row>
    <row r="5622" ht="14.25" customHeight="1">
      <c r="A5622" s="307"/>
    </row>
    <row r="5623" ht="14.25" customHeight="1">
      <c r="A5623" s="307"/>
    </row>
    <row r="5624" ht="14.25" customHeight="1">
      <c r="A5624" s="307"/>
    </row>
    <row r="5625" ht="14.25" customHeight="1">
      <c r="A5625" s="307"/>
    </row>
    <row r="5626" ht="14.25" customHeight="1">
      <c r="A5626" s="307"/>
    </row>
    <row r="5627" ht="14.25" customHeight="1">
      <c r="A5627" s="307"/>
    </row>
    <row r="5628" ht="14.25" customHeight="1">
      <c r="A5628" s="307"/>
    </row>
    <row r="5629" ht="14.25" customHeight="1">
      <c r="A5629" s="307"/>
    </row>
    <row r="5630" ht="14.25" customHeight="1">
      <c r="A5630" s="307"/>
    </row>
    <row r="5631" ht="14.25" customHeight="1">
      <c r="A5631" s="307"/>
    </row>
    <row r="5632" ht="14.25" customHeight="1">
      <c r="A5632" s="307"/>
    </row>
    <row r="5633" ht="14.25" customHeight="1">
      <c r="A5633" s="307"/>
    </row>
    <row r="5634" ht="14.25" customHeight="1">
      <c r="A5634" s="307"/>
    </row>
    <row r="5635" ht="14.25" customHeight="1">
      <c r="A5635" s="307"/>
    </row>
    <row r="5636" ht="14.25" customHeight="1">
      <c r="A5636" s="307"/>
    </row>
    <row r="5637" ht="14.25" customHeight="1">
      <c r="A5637" s="307"/>
    </row>
    <row r="5638" ht="14.25" customHeight="1">
      <c r="A5638" s="307"/>
    </row>
    <row r="5639" ht="14.25" customHeight="1">
      <c r="A5639" s="307"/>
    </row>
    <row r="5640" ht="14.25" customHeight="1">
      <c r="A5640" s="307"/>
    </row>
    <row r="5641" ht="14.25" customHeight="1">
      <c r="A5641" s="307"/>
    </row>
    <row r="5642" ht="14.25" customHeight="1">
      <c r="A5642" s="307"/>
    </row>
    <row r="5643" ht="14.25" customHeight="1">
      <c r="A5643" s="307"/>
    </row>
    <row r="5644" ht="14.25" customHeight="1">
      <c r="A5644" s="307"/>
    </row>
    <row r="5645" ht="14.25" customHeight="1">
      <c r="A5645" s="307"/>
    </row>
    <row r="5646" ht="14.25" customHeight="1">
      <c r="A5646" s="307"/>
    </row>
    <row r="5647" ht="14.25" customHeight="1">
      <c r="A5647" s="307"/>
    </row>
    <row r="5648" ht="14.25" customHeight="1">
      <c r="A5648" s="307"/>
    </row>
    <row r="5649" ht="14.25" customHeight="1">
      <c r="A5649" s="307"/>
    </row>
    <row r="5650" ht="14.25" customHeight="1">
      <c r="A5650" s="307"/>
    </row>
    <row r="5651" ht="14.25" customHeight="1">
      <c r="A5651" s="307"/>
    </row>
    <row r="5652" ht="14.25" customHeight="1">
      <c r="A5652" s="307"/>
    </row>
    <row r="5653" ht="14.25" customHeight="1">
      <c r="A5653" s="307"/>
    </row>
    <row r="5654" ht="14.25" customHeight="1">
      <c r="A5654" s="307"/>
    </row>
    <row r="5655" ht="14.25" customHeight="1">
      <c r="A5655" s="307"/>
    </row>
    <row r="5656" ht="14.25" customHeight="1">
      <c r="A5656" s="307"/>
    </row>
    <row r="5657" ht="14.25" customHeight="1">
      <c r="A5657" s="307"/>
    </row>
    <row r="5658" ht="14.25" customHeight="1">
      <c r="A5658" s="307"/>
    </row>
    <row r="5659" ht="14.25" customHeight="1">
      <c r="A5659" s="307"/>
    </row>
    <row r="5660" ht="14.25" customHeight="1">
      <c r="A5660" s="307"/>
    </row>
    <row r="5661" ht="14.25" customHeight="1">
      <c r="A5661" s="307"/>
    </row>
    <row r="5662" ht="14.25" customHeight="1">
      <c r="A5662" s="307"/>
    </row>
    <row r="5663" ht="14.25" customHeight="1">
      <c r="A5663" s="307"/>
    </row>
    <row r="5664" ht="14.25" customHeight="1">
      <c r="A5664" s="307"/>
    </row>
    <row r="5665" ht="14.25" customHeight="1">
      <c r="A5665" s="307"/>
    </row>
    <row r="5666" ht="14.25" customHeight="1">
      <c r="A5666" s="307"/>
    </row>
    <row r="5667" ht="14.25" customHeight="1">
      <c r="A5667" s="307"/>
    </row>
    <row r="5668" ht="14.25" customHeight="1">
      <c r="A5668" s="307"/>
    </row>
    <row r="5669" ht="14.25" customHeight="1">
      <c r="A5669" s="307"/>
    </row>
    <row r="5670" ht="14.25" customHeight="1">
      <c r="A5670" s="307"/>
    </row>
    <row r="5671" ht="14.25" customHeight="1">
      <c r="A5671" s="307"/>
    </row>
    <row r="5672" ht="14.25" customHeight="1">
      <c r="A5672" s="307"/>
    </row>
    <row r="5673" ht="14.25" customHeight="1">
      <c r="A5673" s="307"/>
    </row>
    <row r="5674" ht="14.25" customHeight="1">
      <c r="A5674" s="307"/>
    </row>
    <row r="5675" ht="14.25" customHeight="1">
      <c r="A5675" s="307"/>
    </row>
    <row r="5676" ht="14.25" customHeight="1">
      <c r="A5676" s="307"/>
    </row>
    <row r="5677" ht="14.25" customHeight="1">
      <c r="A5677" s="307"/>
    </row>
    <row r="5678" ht="14.25" customHeight="1">
      <c r="A5678" s="307"/>
    </row>
    <row r="5679" ht="14.25" customHeight="1">
      <c r="A5679" s="307"/>
    </row>
    <row r="5680" ht="14.25" customHeight="1">
      <c r="A5680" s="307"/>
    </row>
    <row r="5681" ht="14.25" customHeight="1">
      <c r="A5681" s="307"/>
    </row>
    <row r="5682" ht="14.25" customHeight="1">
      <c r="A5682" s="307"/>
    </row>
    <row r="5683" ht="14.25" customHeight="1">
      <c r="A5683" s="307"/>
    </row>
    <row r="5684" ht="14.25" customHeight="1">
      <c r="A5684" s="307"/>
    </row>
    <row r="5685" ht="14.25" customHeight="1">
      <c r="A5685" s="307"/>
    </row>
    <row r="5686" ht="14.25" customHeight="1">
      <c r="A5686" s="307"/>
    </row>
    <row r="5687" ht="14.25" customHeight="1">
      <c r="A5687" s="307"/>
    </row>
    <row r="5688" ht="14.25" customHeight="1">
      <c r="A5688" s="307"/>
    </row>
    <row r="5689" ht="14.25" customHeight="1">
      <c r="A5689" s="307"/>
    </row>
    <row r="5690" ht="14.25" customHeight="1">
      <c r="A5690" s="307"/>
    </row>
    <row r="5691" ht="14.25" customHeight="1">
      <c r="A5691" s="307"/>
    </row>
    <row r="5692" ht="14.25" customHeight="1">
      <c r="A5692" s="307"/>
    </row>
    <row r="5693" ht="14.25" customHeight="1">
      <c r="A5693" s="307"/>
    </row>
    <row r="5694" ht="14.25" customHeight="1">
      <c r="A5694" s="307"/>
    </row>
    <row r="5695" ht="14.25" customHeight="1">
      <c r="A5695" s="307"/>
    </row>
    <row r="5696" ht="14.25" customHeight="1">
      <c r="A5696" s="307"/>
    </row>
    <row r="5697" ht="14.25" customHeight="1">
      <c r="A5697" s="307"/>
    </row>
    <row r="5698" ht="14.25" customHeight="1">
      <c r="A5698" s="307"/>
    </row>
    <row r="5699" ht="14.25" customHeight="1">
      <c r="A5699" s="307"/>
    </row>
    <row r="5700" ht="14.25" customHeight="1">
      <c r="A5700" s="307"/>
    </row>
    <row r="5701" ht="14.25" customHeight="1">
      <c r="A5701" s="307"/>
    </row>
    <row r="5702" ht="14.25" customHeight="1">
      <c r="A5702" s="307"/>
    </row>
    <row r="5703" ht="14.25" customHeight="1">
      <c r="A5703" s="307"/>
    </row>
    <row r="5704" ht="14.25" customHeight="1">
      <c r="A5704" s="307"/>
    </row>
    <row r="5705" ht="14.25" customHeight="1">
      <c r="A5705" s="307"/>
    </row>
    <row r="5706" ht="14.25" customHeight="1">
      <c r="A5706" s="307"/>
    </row>
    <row r="5707" ht="14.25" customHeight="1">
      <c r="A5707" s="307"/>
    </row>
    <row r="5708" ht="14.25" customHeight="1">
      <c r="A5708" s="307"/>
    </row>
    <row r="5709" ht="14.25" customHeight="1">
      <c r="A5709" s="307"/>
    </row>
    <row r="5710" ht="14.25" customHeight="1">
      <c r="A5710" s="307"/>
    </row>
    <row r="5711" ht="14.25" customHeight="1">
      <c r="A5711" s="307"/>
    </row>
    <row r="5712" ht="14.25" customHeight="1">
      <c r="A5712" s="307"/>
    </row>
    <row r="5713" ht="14.25" customHeight="1">
      <c r="A5713" s="307"/>
    </row>
    <row r="5714" ht="14.25" customHeight="1">
      <c r="A5714" s="307"/>
    </row>
    <row r="5715" ht="14.25" customHeight="1">
      <c r="A5715" s="307"/>
    </row>
    <row r="5716" ht="14.25" customHeight="1">
      <c r="A5716" s="307"/>
    </row>
    <row r="5717" ht="14.25" customHeight="1">
      <c r="A5717" s="307"/>
    </row>
    <row r="5718" ht="14.25" customHeight="1">
      <c r="A5718" s="307"/>
    </row>
    <row r="5719" ht="14.25" customHeight="1">
      <c r="A5719" s="307"/>
    </row>
    <row r="5720" ht="14.25" customHeight="1">
      <c r="A5720" s="307"/>
    </row>
    <row r="5721" ht="14.25" customHeight="1">
      <c r="A5721" s="307"/>
    </row>
    <row r="5722" ht="14.25" customHeight="1">
      <c r="A5722" s="307"/>
    </row>
    <row r="5723" ht="14.25" customHeight="1">
      <c r="A5723" s="307"/>
    </row>
    <row r="5724" ht="14.25" customHeight="1">
      <c r="A5724" s="307"/>
    </row>
    <row r="5725" ht="14.25" customHeight="1">
      <c r="A5725" s="307"/>
    </row>
    <row r="5726" ht="14.25" customHeight="1">
      <c r="A5726" s="307"/>
    </row>
    <row r="5727" ht="14.25" customHeight="1">
      <c r="A5727" s="307"/>
    </row>
    <row r="5728" ht="14.25" customHeight="1">
      <c r="A5728" s="307"/>
    </row>
    <row r="5729" ht="14.25" customHeight="1">
      <c r="A5729" s="307"/>
    </row>
    <row r="5730" ht="14.25" customHeight="1">
      <c r="A5730" s="307"/>
    </row>
    <row r="5731" ht="14.25" customHeight="1">
      <c r="A5731" s="307"/>
    </row>
    <row r="5732" ht="14.25" customHeight="1">
      <c r="A5732" s="307"/>
    </row>
    <row r="5733" ht="14.25" customHeight="1">
      <c r="A5733" s="307"/>
    </row>
    <row r="5734" ht="14.25" customHeight="1">
      <c r="A5734" s="307"/>
    </row>
    <row r="5735" ht="14.25" customHeight="1">
      <c r="A5735" s="307"/>
    </row>
    <row r="5736" ht="14.25" customHeight="1">
      <c r="A5736" s="307"/>
    </row>
    <row r="5737" ht="14.25" customHeight="1">
      <c r="A5737" s="307"/>
    </row>
    <row r="5738" ht="14.25" customHeight="1">
      <c r="A5738" s="307"/>
    </row>
    <row r="5739" ht="14.25" customHeight="1">
      <c r="A5739" s="307"/>
    </row>
    <row r="5740" ht="14.25" customHeight="1">
      <c r="A5740" s="307"/>
    </row>
    <row r="5741" ht="14.25" customHeight="1">
      <c r="A5741" s="307"/>
    </row>
    <row r="5742" ht="14.25" customHeight="1">
      <c r="A5742" s="307"/>
    </row>
    <row r="5743" ht="14.25" customHeight="1">
      <c r="A5743" s="307"/>
    </row>
    <row r="5744" ht="14.25" customHeight="1">
      <c r="A5744" s="307"/>
    </row>
    <row r="5745" ht="14.25" customHeight="1">
      <c r="A5745" s="307"/>
    </row>
    <row r="5746" ht="14.25" customHeight="1">
      <c r="A5746" s="307"/>
    </row>
    <row r="5747" ht="14.25" customHeight="1">
      <c r="A5747" s="307"/>
    </row>
    <row r="5748" ht="14.25" customHeight="1">
      <c r="A5748" s="307"/>
    </row>
    <row r="5749" ht="14.25" customHeight="1">
      <c r="A5749" s="307"/>
    </row>
    <row r="5750" ht="14.25" customHeight="1">
      <c r="A5750" s="307"/>
    </row>
    <row r="5751" ht="14.25" customHeight="1">
      <c r="A5751" s="307"/>
    </row>
    <row r="5752" ht="14.25" customHeight="1">
      <c r="A5752" s="307"/>
    </row>
    <row r="5753" ht="14.25" customHeight="1">
      <c r="A5753" s="307"/>
    </row>
    <row r="5754" ht="14.25" customHeight="1">
      <c r="A5754" s="307"/>
    </row>
    <row r="5755" ht="14.25" customHeight="1">
      <c r="A5755" s="307"/>
    </row>
    <row r="5756" ht="14.25" customHeight="1">
      <c r="A5756" s="307"/>
    </row>
    <row r="5757" ht="14.25" customHeight="1">
      <c r="A5757" s="307"/>
    </row>
    <row r="5758" ht="14.25" customHeight="1">
      <c r="A5758" s="307"/>
    </row>
    <row r="5759" ht="14.25" customHeight="1">
      <c r="A5759" s="307"/>
    </row>
    <row r="5760" ht="14.25" customHeight="1">
      <c r="A5760" s="307"/>
    </row>
    <row r="5761" ht="14.25" customHeight="1">
      <c r="A5761" s="307"/>
    </row>
    <row r="5762" ht="14.25" customHeight="1">
      <c r="A5762" s="307"/>
    </row>
    <row r="5763" ht="14.25" customHeight="1">
      <c r="A5763" s="307"/>
    </row>
    <row r="5764" ht="14.25" customHeight="1">
      <c r="A5764" s="307"/>
    </row>
    <row r="5765" ht="14.25" customHeight="1">
      <c r="A5765" s="307"/>
    </row>
    <row r="5766" ht="14.25" customHeight="1">
      <c r="A5766" s="307"/>
    </row>
    <row r="5767" ht="14.25" customHeight="1">
      <c r="A5767" s="307"/>
    </row>
    <row r="5768" ht="14.25" customHeight="1">
      <c r="A5768" s="307"/>
    </row>
    <row r="5769" ht="14.25" customHeight="1">
      <c r="A5769" s="307"/>
    </row>
    <row r="5770" ht="14.25" customHeight="1">
      <c r="A5770" s="307"/>
    </row>
    <row r="5771" ht="14.25" customHeight="1">
      <c r="A5771" s="307"/>
    </row>
    <row r="5772" ht="14.25" customHeight="1">
      <c r="A5772" s="307"/>
    </row>
    <row r="5773" ht="14.25" customHeight="1">
      <c r="A5773" s="307"/>
    </row>
    <row r="5774" ht="14.25" customHeight="1">
      <c r="A5774" s="307"/>
    </row>
    <row r="5775" ht="14.25" customHeight="1">
      <c r="A5775" s="307"/>
    </row>
    <row r="5776" ht="14.25" customHeight="1">
      <c r="A5776" s="307"/>
    </row>
    <row r="5777" ht="14.25" customHeight="1">
      <c r="A5777" s="307"/>
    </row>
    <row r="5778" ht="14.25" customHeight="1">
      <c r="A5778" s="307"/>
    </row>
    <row r="5779" ht="14.25" customHeight="1">
      <c r="A5779" s="307"/>
    </row>
    <row r="5780" ht="14.25" customHeight="1">
      <c r="A5780" s="307"/>
    </row>
    <row r="5781" ht="14.25" customHeight="1">
      <c r="A5781" s="307"/>
    </row>
    <row r="5782" ht="14.25" customHeight="1">
      <c r="A5782" s="307"/>
    </row>
    <row r="5783" ht="14.25" customHeight="1">
      <c r="A5783" s="307"/>
    </row>
    <row r="5784" ht="14.25" customHeight="1">
      <c r="A5784" s="307"/>
    </row>
    <row r="5785" ht="14.25" customHeight="1">
      <c r="A5785" s="307"/>
    </row>
    <row r="5786" ht="14.25" customHeight="1">
      <c r="A5786" s="307"/>
    </row>
    <row r="5787" ht="14.25" customHeight="1">
      <c r="A5787" s="307"/>
    </row>
    <row r="5788" ht="14.25" customHeight="1">
      <c r="A5788" s="307"/>
    </row>
    <row r="5789" ht="14.25" customHeight="1">
      <c r="A5789" s="307"/>
    </row>
    <row r="5790" ht="14.25" customHeight="1">
      <c r="A5790" s="307"/>
    </row>
    <row r="5791" ht="14.25" customHeight="1">
      <c r="A5791" s="307"/>
    </row>
    <row r="5792" ht="14.25" customHeight="1">
      <c r="A5792" s="307"/>
    </row>
    <row r="5793" ht="14.25" customHeight="1">
      <c r="A5793" s="307"/>
    </row>
    <row r="5794" ht="14.25" customHeight="1">
      <c r="A5794" s="307"/>
    </row>
    <row r="5795" ht="14.25" customHeight="1">
      <c r="A5795" s="307"/>
    </row>
    <row r="5796" ht="14.25" customHeight="1">
      <c r="A5796" s="307"/>
    </row>
    <row r="5797" ht="14.25" customHeight="1">
      <c r="A5797" s="307"/>
    </row>
    <row r="5798" ht="14.25" customHeight="1">
      <c r="A5798" s="307"/>
    </row>
    <row r="5799" ht="14.25" customHeight="1">
      <c r="A5799" s="307"/>
    </row>
    <row r="5800" ht="14.25" customHeight="1">
      <c r="A5800" s="307"/>
    </row>
    <row r="5801" ht="14.25" customHeight="1">
      <c r="A5801" s="307"/>
    </row>
    <row r="5802" ht="14.25" customHeight="1">
      <c r="A5802" s="307"/>
    </row>
    <row r="5803" ht="14.25" customHeight="1">
      <c r="A5803" s="307"/>
    </row>
    <row r="5804" ht="14.25" customHeight="1">
      <c r="A5804" s="307"/>
    </row>
    <row r="5805" ht="14.25" customHeight="1">
      <c r="A5805" s="307"/>
    </row>
    <row r="5806" ht="14.25" customHeight="1">
      <c r="A5806" s="307"/>
    </row>
    <row r="5807" ht="14.25" customHeight="1">
      <c r="A5807" s="307"/>
    </row>
    <row r="5808" ht="14.25" customHeight="1">
      <c r="A5808" s="307"/>
    </row>
    <row r="5809" ht="14.25" customHeight="1">
      <c r="A5809" s="307"/>
    </row>
    <row r="5810" ht="14.25" customHeight="1">
      <c r="A5810" s="307"/>
    </row>
    <row r="5811" ht="14.25" customHeight="1">
      <c r="A5811" s="307"/>
    </row>
    <row r="5812" ht="14.25" customHeight="1">
      <c r="A5812" s="307"/>
    </row>
    <row r="5813" ht="14.25" customHeight="1">
      <c r="A5813" s="307"/>
    </row>
    <row r="5814" ht="14.25" customHeight="1">
      <c r="A5814" s="307"/>
    </row>
    <row r="5815" ht="14.25" customHeight="1">
      <c r="A5815" s="307"/>
    </row>
    <row r="5816" ht="14.25" customHeight="1">
      <c r="A5816" s="307"/>
    </row>
    <row r="5817" ht="14.25" customHeight="1">
      <c r="A5817" s="307"/>
    </row>
    <row r="5818" ht="14.25" customHeight="1">
      <c r="A5818" s="307"/>
    </row>
    <row r="5819" ht="14.25" customHeight="1">
      <c r="A5819" s="307"/>
    </row>
    <row r="5820" ht="14.25" customHeight="1">
      <c r="A5820" s="307"/>
    </row>
    <row r="5821" ht="14.25" customHeight="1">
      <c r="A5821" s="307"/>
    </row>
    <row r="5822" ht="14.25" customHeight="1">
      <c r="A5822" s="307"/>
    </row>
    <row r="5823" ht="14.25" customHeight="1">
      <c r="A5823" s="307"/>
    </row>
    <row r="5824" ht="14.25" customHeight="1">
      <c r="A5824" s="307"/>
    </row>
    <row r="5825" ht="14.25" customHeight="1">
      <c r="A5825" s="307"/>
    </row>
    <row r="5826" ht="14.25" customHeight="1">
      <c r="A5826" s="307"/>
    </row>
    <row r="5827" ht="14.25" customHeight="1">
      <c r="A5827" s="307"/>
    </row>
    <row r="5828" ht="14.25" customHeight="1">
      <c r="A5828" s="307"/>
    </row>
    <row r="5829" ht="14.25" customHeight="1">
      <c r="A5829" s="307"/>
    </row>
    <row r="5830" ht="14.25" customHeight="1">
      <c r="A5830" s="307"/>
    </row>
    <row r="5831" ht="14.25" customHeight="1">
      <c r="A5831" s="307"/>
    </row>
    <row r="5832" ht="14.25" customHeight="1">
      <c r="A5832" s="307"/>
    </row>
    <row r="5833" ht="14.25" customHeight="1">
      <c r="A5833" s="307"/>
    </row>
    <row r="5834" ht="14.25" customHeight="1">
      <c r="A5834" s="307"/>
    </row>
    <row r="5835" ht="14.25" customHeight="1">
      <c r="A5835" s="307"/>
    </row>
    <row r="5836" ht="14.25" customHeight="1">
      <c r="A5836" s="307"/>
    </row>
    <row r="5837" ht="14.25" customHeight="1">
      <c r="A5837" s="307"/>
    </row>
    <row r="5838" ht="14.25" customHeight="1">
      <c r="A5838" s="307"/>
    </row>
    <row r="5839" ht="14.25" customHeight="1">
      <c r="A5839" s="307"/>
    </row>
    <row r="5840" ht="14.25" customHeight="1">
      <c r="A5840" s="307"/>
    </row>
    <row r="5841" ht="14.25" customHeight="1">
      <c r="A5841" s="307"/>
    </row>
    <row r="5842" ht="14.25" customHeight="1">
      <c r="A5842" s="307"/>
    </row>
    <row r="5843" ht="14.25" customHeight="1">
      <c r="A5843" s="307"/>
    </row>
    <row r="5844" ht="14.25" customHeight="1">
      <c r="A5844" s="307"/>
    </row>
    <row r="5845" ht="14.25" customHeight="1">
      <c r="A5845" s="307"/>
    </row>
    <row r="5846" ht="14.25" customHeight="1">
      <c r="A5846" s="307"/>
    </row>
    <row r="5847" ht="14.25" customHeight="1">
      <c r="A5847" s="307"/>
    </row>
    <row r="5848" ht="14.25" customHeight="1">
      <c r="A5848" s="307"/>
    </row>
    <row r="5849" ht="14.25" customHeight="1">
      <c r="A5849" s="307"/>
    </row>
    <row r="5850" ht="14.25" customHeight="1">
      <c r="A5850" s="307"/>
    </row>
    <row r="5851" ht="14.25" customHeight="1">
      <c r="A5851" s="307"/>
    </row>
    <row r="5852" ht="14.25" customHeight="1">
      <c r="A5852" s="307"/>
    </row>
    <row r="5853" ht="14.25" customHeight="1">
      <c r="A5853" s="307"/>
    </row>
    <row r="5854" ht="14.25" customHeight="1">
      <c r="A5854" s="307"/>
    </row>
    <row r="5855" ht="14.25" customHeight="1">
      <c r="A5855" s="307"/>
    </row>
    <row r="5856" ht="14.25" customHeight="1">
      <c r="A5856" s="307"/>
    </row>
    <row r="5857" ht="14.25" customHeight="1">
      <c r="A5857" s="307"/>
    </row>
    <row r="5858" ht="14.25" customHeight="1">
      <c r="A5858" s="307"/>
    </row>
    <row r="5859" ht="14.25" customHeight="1">
      <c r="A5859" s="307"/>
    </row>
    <row r="5860" ht="14.25" customHeight="1">
      <c r="A5860" s="307"/>
    </row>
    <row r="5861" ht="14.25" customHeight="1">
      <c r="A5861" s="307"/>
    </row>
    <row r="5862" ht="14.25" customHeight="1">
      <c r="A5862" s="307"/>
    </row>
    <row r="5863" ht="14.25" customHeight="1">
      <c r="A5863" s="307"/>
    </row>
    <row r="5864" ht="14.25" customHeight="1">
      <c r="A5864" s="307"/>
    </row>
    <row r="5865" ht="14.25" customHeight="1">
      <c r="A5865" s="307"/>
    </row>
    <row r="5866" ht="14.25" customHeight="1">
      <c r="A5866" s="307"/>
    </row>
    <row r="5867" ht="14.25" customHeight="1">
      <c r="A5867" s="307"/>
    </row>
    <row r="5868" ht="14.25" customHeight="1">
      <c r="A5868" s="307"/>
    </row>
    <row r="5869" ht="14.25" customHeight="1">
      <c r="A5869" s="307"/>
    </row>
    <row r="5870" ht="14.25" customHeight="1">
      <c r="A5870" s="307"/>
    </row>
    <row r="5871" ht="14.25" customHeight="1">
      <c r="A5871" s="307"/>
    </row>
    <row r="5872" ht="14.25" customHeight="1">
      <c r="A5872" s="307"/>
    </row>
    <row r="5873" ht="14.25" customHeight="1">
      <c r="A5873" s="307"/>
    </row>
    <row r="5874" ht="14.25" customHeight="1">
      <c r="A5874" s="307"/>
    </row>
    <row r="5875" ht="14.25" customHeight="1">
      <c r="A5875" s="307"/>
    </row>
    <row r="5876" ht="14.25" customHeight="1">
      <c r="A5876" s="307"/>
    </row>
    <row r="5877" ht="14.25" customHeight="1">
      <c r="A5877" s="307"/>
    </row>
    <row r="5878" ht="14.25" customHeight="1">
      <c r="A5878" s="307"/>
    </row>
    <row r="5879" ht="14.25" customHeight="1">
      <c r="A5879" s="307"/>
    </row>
    <row r="5880" ht="14.25" customHeight="1">
      <c r="A5880" s="307"/>
    </row>
    <row r="5881" ht="14.25" customHeight="1">
      <c r="A5881" s="307"/>
    </row>
    <row r="5882" ht="14.25" customHeight="1">
      <c r="A5882" s="307"/>
    </row>
    <row r="5883" ht="14.25" customHeight="1">
      <c r="A5883" s="307"/>
    </row>
    <row r="5884" ht="14.25" customHeight="1">
      <c r="A5884" s="307"/>
    </row>
    <row r="5885" ht="14.25" customHeight="1">
      <c r="A5885" s="307"/>
    </row>
    <row r="5886" ht="14.25" customHeight="1">
      <c r="A5886" s="307"/>
    </row>
    <row r="5887" ht="14.25" customHeight="1">
      <c r="A5887" s="307"/>
    </row>
    <row r="5888" ht="14.25" customHeight="1">
      <c r="A5888" s="307"/>
    </row>
    <row r="5889" ht="14.25" customHeight="1">
      <c r="A5889" s="307"/>
    </row>
    <row r="5890" ht="14.25" customHeight="1">
      <c r="A5890" s="307"/>
    </row>
    <row r="5891" ht="14.25" customHeight="1">
      <c r="A5891" s="307"/>
    </row>
    <row r="5892" ht="14.25" customHeight="1">
      <c r="A5892" s="307"/>
    </row>
    <row r="5893" ht="14.25" customHeight="1">
      <c r="A5893" s="307"/>
    </row>
    <row r="5894" ht="14.25" customHeight="1">
      <c r="A5894" s="307"/>
    </row>
    <row r="5895" ht="14.25" customHeight="1">
      <c r="A5895" s="307"/>
    </row>
    <row r="5896" ht="14.25" customHeight="1">
      <c r="A5896" s="307"/>
    </row>
    <row r="5897" ht="14.25" customHeight="1">
      <c r="A5897" s="307"/>
    </row>
    <row r="5898" ht="14.25" customHeight="1">
      <c r="A5898" s="307"/>
    </row>
    <row r="5899" ht="14.25" customHeight="1">
      <c r="A5899" s="307"/>
    </row>
    <row r="5900" ht="14.25" customHeight="1">
      <c r="A5900" s="307"/>
    </row>
    <row r="5901" ht="14.25" customHeight="1">
      <c r="A5901" s="307"/>
    </row>
    <row r="5902" ht="14.25" customHeight="1">
      <c r="A5902" s="307"/>
    </row>
    <row r="5903" ht="14.25" customHeight="1">
      <c r="A5903" s="307"/>
    </row>
    <row r="5904" ht="14.25" customHeight="1">
      <c r="A5904" s="307"/>
    </row>
    <row r="5905" ht="14.25" customHeight="1">
      <c r="A5905" s="307"/>
    </row>
    <row r="5906" ht="14.25" customHeight="1">
      <c r="A5906" s="307"/>
    </row>
    <row r="5907" ht="14.25" customHeight="1">
      <c r="A5907" s="307"/>
    </row>
    <row r="5908" ht="14.25" customHeight="1">
      <c r="A5908" s="307"/>
    </row>
    <row r="5909" ht="14.25" customHeight="1">
      <c r="A5909" s="307"/>
    </row>
    <row r="5910" ht="14.25" customHeight="1">
      <c r="A5910" s="307"/>
    </row>
    <row r="5911" ht="14.25" customHeight="1">
      <c r="A5911" s="307"/>
    </row>
    <row r="5912" ht="14.25" customHeight="1">
      <c r="A5912" s="307"/>
    </row>
    <row r="5913" ht="14.25" customHeight="1">
      <c r="A5913" s="307"/>
    </row>
    <row r="5914" ht="14.25" customHeight="1">
      <c r="A5914" s="307"/>
    </row>
    <row r="5915" ht="14.25" customHeight="1">
      <c r="A5915" s="307"/>
    </row>
    <row r="5916" ht="14.25" customHeight="1">
      <c r="A5916" s="307"/>
    </row>
    <row r="5917" ht="14.25" customHeight="1">
      <c r="A5917" s="307"/>
    </row>
    <row r="5918" ht="14.25" customHeight="1">
      <c r="A5918" s="307"/>
    </row>
    <row r="5919" ht="14.25" customHeight="1">
      <c r="A5919" s="307"/>
    </row>
    <row r="5920" ht="14.25" customHeight="1">
      <c r="A5920" s="307"/>
    </row>
    <row r="5921" ht="14.25" customHeight="1">
      <c r="A5921" s="307"/>
    </row>
    <row r="5922" ht="14.25" customHeight="1">
      <c r="A5922" s="307"/>
    </row>
    <row r="5923" ht="14.25" customHeight="1">
      <c r="A5923" s="307"/>
    </row>
    <row r="5924" ht="14.25" customHeight="1">
      <c r="A5924" s="307"/>
    </row>
    <row r="5925" ht="14.25" customHeight="1">
      <c r="A5925" s="307"/>
    </row>
    <row r="5926" ht="14.25" customHeight="1">
      <c r="A5926" s="307"/>
    </row>
    <row r="5927" ht="14.25" customHeight="1">
      <c r="A5927" s="307"/>
    </row>
    <row r="5928" ht="14.25" customHeight="1">
      <c r="A5928" s="307"/>
    </row>
    <row r="5929" ht="14.25" customHeight="1">
      <c r="A5929" s="307"/>
    </row>
    <row r="5930" ht="14.25" customHeight="1">
      <c r="A5930" s="307"/>
    </row>
    <row r="5931" ht="14.25" customHeight="1">
      <c r="A5931" s="307"/>
    </row>
    <row r="5932" ht="14.25" customHeight="1">
      <c r="A5932" s="307"/>
    </row>
    <row r="5933" ht="14.25" customHeight="1">
      <c r="A5933" s="307"/>
    </row>
    <row r="5934" ht="14.25" customHeight="1">
      <c r="A5934" s="307"/>
    </row>
    <row r="5935" ht="14.25" customHeight="1">
      <c r="A5935" s="307"/>
    </row>
    <row r="5936" ht="14.25" customHeight="1">
      <c r="A5936" s="307"/>
    </row>
    <row r="5937" ht="14.25" customHeight="1">
      <c r="A5937" s="307"/>
    </row>
    <row r="5938" ht="14.25" customHeight="1">
      <c r="A5938" s="307"/>
    </row>
    <row r="5939" ht="14.25" customHeight="1">
      <c r="A5939" s="307"/>
    </row>
    <row r="5940" ht="14.25" customHeight="1">
      <c r="A5940" s="307"/>
    </row>
    <row r="5941" ht="14.25" customHeight="1">
      <c r="A5941" s="307"/>
    </row>
    <row r="5942" ht="14.25" customHeight="1">
      <c r="A5942" s="307"/>
    </row>
    <row r="5943" ht="14.25" customHeight="1">
      <c r="A5943" s="307"/>
    </row>
    <row r="5944" ht="14.25" customHeight="1">
      <c r="A5944" s="307"/>
    </row>
    <row r="5945" ht="14.25" customHeight="1">
      <c r="A5945" s="307"/>
    </row>
    <row r="5946" ht="14.25" customHeight="1">
      <c r="A5946" s="307"/>
    </row>
    <row r="5947" ht="14.25" customHeight="1">
      <c r="A5947" s="307"/>
    </row>
    <row r="5948" ht="14.25" customHeight="1">
      <c r="A5948" s="307"/>
    </row>
    <row r="5949" ht="14.25" customHeight="1">
      <c r="A5949" s="307"/>
    </row>
    <row r="5950" ht="14.25" customHeight="1">
      <c r="A5950" s="307"/>
    </row>
    <row r="5951" ht="14.25" customHeight="1">
      <c r="A5951" s="307"/>
    </row>
    <row r="5952" ht="14.25" customHeight="1">
      <c r="A5952" s="307"/>
    </row>
    <row r="5953" ht="14.25" customHeight="1">
      <c r="A5953" s="307"/>
    </row>
    <row r="5954" ht="14.25" customHeight="1">
      <c r="A5954" s="307"/>
    </row>
    <row r="5955" ht="14.25" customHeight="1">
      <c r="A5955" s="307"/>
    </row>
    <row r="5956" ht="14.25" customHeight="1">
      <c r="A5956" s="307"/>
    </row>
    <row r="5957" ht="14.25" customHeight="1">
      <c r="A5957" s="307"/>
    </row>
    <row r="5958" ht="14.25" customHeight="1">
      <c r="A5958" s="307"/>
    </row>
    <row r="5959" ht="14.25" customHeight="1">
      <c r="A5959" s="307"/>
    </row>
    <row r="5960" ht="14.25" customHeight="1">
      <c r="A5960" s="307"/>
    </row>
    <row r="5961" ht="14.25" customHeight="1">
      <c r="A5961" s="307"/>
    </row>
    <row r="5962" ht="14.25" customHeight="1">
      <c r="A5962" s="307"/>
    </row>
    <row r="5963" ht="14.25" customHeight="1">
      <c r="A5963" s="307"/>
    </row>
    <row r="5964" ht="14.25" customHeight="1">
      <c r="A5964" s="307"/>
    </row>
    <row r="5965" ht="14.25" customHeight="1">
      <c r="A5965" s="307"/>
    </row>
    <row r="5966" ht="14.25" customHeight="1">
      <c r="A5966" s="307"/>
    </row>
    <row r="5967" ht="14.25" customHeight="1">
      <c r="A5967" s="307"/>
    </row>
    <row r="5968" ht="14.25" customHeight="1">
      <c r="A5968" s="307"/>
    </row>
    <row r="5969" ht="14.25" customHeight="1">
      <c r="A5969" s="307"/>
    </row>
    <row r="5970" ht="14.25" customHeight="1">
      <c r="A5970" s="307"/>
    </row>
    <row r="5971" ht="14.25" customHeight="1">
      <c r="A5971" s="307"/>
    </row>
    <row r="5972" ht="14.25" customHeight="1">
      <c r="A5972" s="307"/>
    </row>
    <row r="5973" ht="14.25" customHeight="1">
      <c r="A5973" s="307"/>
    </row>
    <row r="5974" ht="14.25" customHeight="1">
      <c r="A5974" s="307"/>
    </row>
    <row r="5975" ht="14.25" customHeight="1">
      <c r="A5975" s="307"/>
    </row>
    <row r="5976" ht="14.25" customHeight="1">
      <c r="A5976" s="307"/>
    </row>
    <row r="5977" ht="14.25" customHeight="1">
      <c r="A5977" s="307"/>
    </row>
    <row r="5978" ht="14.25" customHeight="1">
      <c r="A5978" s="307"/>
    </row>
    <row r="5979" ht="14.25" customHeight="1">
      <c r="A5979" s="307"/>
    </row>
    <row r="5980" ht="14.25" customHeight="1">
      <c r="A5980" s="307"/>
    </row>
    <row r="5981" ht="14.25" customHeight="1">
      <c r="A5981" s="307"/>
    </row>
    <row r="5982" ht="14.25" customHeight="1">
      <c r="A5982" s="307"/>
    </row>
    <row r="5983" ht="14.25" customHeight="1">
      <c r="A5983" s="307"/>
    </row>
    <row r="5984" ht="14.25" customHeight="1">
      <c r="A5984" s="307"/>
    </row>
    <row r="5985" ht="14.25" customHeight="1">
      <c r="A5985" s="307"/>
    </row>
    <row r="5986" ht="14.25" customHeight="1">
      <c r="A5986" s="307"/>
    </row>
    <row r="5987" ht="14.25" customHeight="1">
      <c r="A5987" s="307"/>
    </row>
    <row r="5988" ht="14.25" customHeight="1">
      <c r="A5988" s="307"/>
    </row>
    <row r="5989" ht="14.25" customHeight="1">
      <c r="A5989" s="307"/>
    </row>
    <row r="5990" ht="14.25" customHeight="1">
      <c r="A5990" s="307"/>
    </row>
    <row r="5991" ht="14.25" customHeight="1">
      <c r="A5991" s="307"/>
    </row>
    <row r="5992" ht="14.25" customHeight="1">
      <c r="A5992" s="307"/>
    </row>
    <row r="5993" ht="14.25" customHeight="1">
      <c r="A5993" s="307"/>
    </row>
    <row r="5994" ht="14.25" customHeight="1">
      <c r="A5994" s="307"/>
    </row>
    <row r="5995" ht="14.25" customHeight="1">
      <c r="A5995" s="307"/>
    </row>
    <row r="5996" ht="14.25" customHeight="1">
      <c r="A5996" s="307"/>
    </row>
    <row r="5997" ht="14.25" customHeight="1">
      <c r="A5997" s="307"/>
    </row>
    <row r="5998" ht="14.25" customHeight="1">
      <c r="A5998" s="307"/>
    </row>
    <row r="5999" ht="14.25" customHeight="1">
      <c r="A5999" s="307"/>
    </row>
    <row r="6000" ht="14.25" customHeight="1">
      <c r="A6000" s="307"/>
    </row>
    <row r="6001" ht="14.25" customHeight="1">
      <c r="A6001" s="307"/>
    </row>
    <row r="6002" ht="14.25" customHeight="1">
      <c r="A6002" s="307"/>
    </row>
    <row r="6003" ht="14.25" customHeight="1">
      <c r="A6003" s="307"/>
    </row>
    <row r="6004" ht="14.25" customHeight="1">
      <c r="A6004" s="307"/>
    </row>
    <row r="6005" ht="14.25" customHeight="1">
      <c r="A6005" s="307"/>
    </row>
    <row r="6006" ht="14.25" customHeight="1">
      <c r="A6006" s="307"/>
    </row>
    <row r="6007" ht="14.25" customHeight="1">
      <c r="A6007" s="307"/>
    </row>
    <row r="6008" ht="14.25" customHeight="1">
      <c r="A6008" s="307"/>
    </row>
    <row r="6009" ht="14.25" customHeight="1">
      <c r="A6009" s="307"/>
    </row>
    <row r="6010" ht="14.25" customHeight="1">
      <c r="A6010" s="307"/>
    </row>
    <row r="6011" ht="14.25" customHeight="1">
      <c r="A6011" s="307"/>
    </row>
    <row r="6012" ht="14.25" customHeight="1">
      <c r="A6012" s="307"/>
    </row>
    <row r="6013" ht="14.25" customHeight="1">
      <c r="A6013" s="307"/>
    </row>
    <row r="6014" ht="14.25" customHeight="1">
      <c r="A6014" s="307"/>
    </row>
    <row r="6015" ht="14.25" customHeight="1">
      <c r="A6015" s="307"/>
    </row>
    <row r="6016" ht="14.25" customHeight="1">
      <c r="A6016" s="307"/>
    </row>
    <row r="6017" ht="14.25" customHeight="1">
      <c r="A6017" s="307"/>
    </row>
    <row r="6018" ht="14.25" customHeight="1">
      <c r="A6018" s="307"/>
    </row>
    <row r="6019" ht="14.25" customHeight="1">
      <c r="A6019" s="307"/>
    </row>
    <row r="6020" ht="14.25" customHeight="1">
      <c r="A6020" s="307"/>
    </row>
    <row r="6021" ht="14.25" customHeight="1">
      <c r="A6021" s="307"/>
    </row>
    <row r="6022" ht="14.25" customHeight="1">
      <c r="A6022" s="307"/>
    </row>
    <row r="6023" ht="14.25" customHeight="1">
      <c r="A6023" s="307"/>
    </row>
    <row r="6024" ht="14.25" customHeight="1">
      <c r="A6024" s="307"/>
    </row>
    <row r="6025" ht="14.25" customHeight="1">
      <c r="A6025" s="307"/>
    </row>
    <row r="6026" ht="14.25" customHeight="1">
      <c r="A6026" s="307"/>
    </row>
    <row r="6027" ht="14.25" customHeight="1">
      <c r="A6027" s="307"/>
    </row>
    <row r="6028" ht="14.25" customHeight="1">
      <c r="A6028" s="307"/>
    </row>
    <row r="6029" ht="14.25" customHeight="1">
      <c r="A6029" s="307"/>
    </row>
    <row r="6030" ht="14.25" customHeight="1">
      <c r="A6030" s="307"/>
    </row>
    <row r="6031" ht="14.25" customHeight="1">
      <c r="A6031" s="307"/>
    </row>
    <row r="6032" ht="14.25" customHeight="1">
      <c r="A6032" s="307"/>
    </row>
    <row r="6033" ht="14.25" customHeight="1">
      <c r="A6033" s="307"/>
    </row>
    <row r="6034" ht="14.25" customHeight="1">
      <c r="A6034" s="307"/>
    </row>
    <row r="6035" ht="14.25" customHeight="1">
      <c r="A6035" s="307"/>
    </row>
    <row r="6036" ht="14.25" customHeight="1">
      <c r="A6036" s="307"/>
    </row>
    <row r="6037" ht="14.25" customHeight="1">
      <c r="A6037" s="307"/>
    </row>
    <row r="6038" ht="14.25" customHeight="1">
      <c r="A6038" s="307"/>
    </row>
    <row r="6039" ht="14.25" customHeight="1">
      <c r="A6039" s="307"/>
    </row>
    <row r="6040" ht="14.25" customHeight="1">
      <c r="A6040" s="307"/>
    </row>
    <row r="6041" ht="14.25" customHeight="1">
      <c r="A6041" s="307"/>
    </row>
    <row r="6042" ht="14.25" customHeight="1">
      <c r="A6042" s="307"/>
    </row>
    <row r="6043" ht="14.25" customHeight="1">
      <c r="A6043" s="307"/>
    </row>
    <row r="6044" ht="14.25" customHeight="1">
      <c r="A6044" s="307"/>
    </row>
    <row r="6045" ht="14.25" customHeight="1">
      <c r="A6045" s="307"/>
    </row>
    <row r="6046" ht="14.25" customHeight="1">
      <c r="A6046" s="307"/>
    </row>
    <row r="6047" ht="14.25" customHeight="1">
      <c r="A6047" s="307"/>
    </row>
    <row r="6048" ht="14.25" customHeight="1">
      <c r="A6048" s="307"/>
    </row>
    <row r="6049" ht="14.25" customHeight="1">
      <c r="A6049" s="307"/>
    </row>
    <row r="6050" ht="14.25" customHeight="1">
      <c r="A6050" s="307"/>
    </row>
    <row r="6051" ht="14.25" customHeight="1">
      <c r="A6051" s="307"/>
    </row>
    <row r="6052" ht="14.25" customHeight="1">
      <c r="A6052" s="307"/>
    </row>
    <row r="6053" ht="14.25" customHeight="1">
      <c r="A6053" s="307"/>
    </row>
    <row r="6054" ht="14.25" customHeight="1">
      <c r="A6054" s="307"/>
    </row>
    <row r="6055" ht="14.25" customHeight="1">
      <c r="A6055" s="307"/>
    </row>
    <row r="6056" ht="14.25" customHeight="1">
      <c r="A6056" s="307"/>
    </row>
    <row r="6057" ht="14.25" customHeight="1">
      <c r="A6057" s="307"/>
    </row>
    <row r="6058" ht="14.25" customHeight="1">
      <c r="A6058" s="307"/>
    </row>
    <row r="6059" ht="14.25" customHeight="1">
      <c r="A6059" s="307"/>
    </row>
    <row r="6060" ht="14.25" customHeight="1">
      <c r="A6060" s="307"/>
    </row>
    <row r="6061" ht="14.25" customHeight="1">
      <c r="A6061" s="307"/>
    </row>
    <row r="6062" ht="14.25" customHeight="1">
      <c r="A6062" s="307"/>
    </row>
    <row r="6063" ht="14.25" customHeight="1">
      <c r="A6063" s="307"/>
    </row>
    <row r="6064" ht="14.25" customHeight="1">
      <c r="A6064" s="307"/>
    </row>
    <row r="6065" ht="14.25" customHeight="1">
      <c r="A6065" s="307"/>
    </row>
    <row r="6066" ht="14.25" customHeight="1">
      <c r="A6066" s="307"/>
    </row>
    <row r="6067" ht="14.25" customHeight="1">
      <c r="A6067" s="307"/>
    </row>
    <row r="6068" ht="14.25" customHeight="1">
      <c r="A6068" s="307"/>
    </row>
    <row r="6069" ht="14.25" customHeight="1">
      <c r="A6069" s="307"/>
    </row>
    <row r="6070" ht="14.25" customHeight="1">
      <c r="A6070" s="307"/>
    </row>
    <row r="6071" ht="14.25" customHeight="1">
      <c r="A6071" s="307"/>
    </row>
    <row r="6072" ht="14.25" customHeight="1">
      <c r="A6072" s="307"/>
    </row>
    <row r="6073" ht="14.25" customHeight="1">
      <c r="A6073" s="307"/>
    </row>
    <row r="6074" ht="14.25" customHeight="1">
      <c r="A6074" s="307"/>
    </row>
    <row r="6075" ht="14.25" customHeight="1">
      <c r="A6075" s="307"/>
    </row>
    <row r="6076" ht="14.25" customHeight="1">
      <c r="A6076" s="307"/>
    </row>
    <row r="6077" ht="14.25" customHeight="1">
      <c r="A6077" s="307"/>
    </row>
    <row r="6078" ht="14.25" customHeight="1">
      <c r="A6078" s="307"/>
    </row>
    <row r="6079" ht="14.25" customHeight="1">
      <c r="A6079" s="307"/>
    </row>
    <row r="6080" ht="14.25" customHeight="1">
      <c r="A6080" s="307"/>
    </row>
    <row r="6081" ht="14.25" customHeight="1">
      <c r="A6081" s="307"/>
    </row>
    <row r="6082" ht="14.25" customHeight="1">
      <c r="A6082" s="307"/>
    </row>
    <row r="6083" ht="14.25" customHeight="1">
      <c r="A6083" s="307"/>
    </row>
    <row r="6084" ht="14.25" customHeight="1">
      <c r="A6084" s="307"/>
    </row>
    <row r="6085" ht="14.25" customHeight="1">
      <c r="A6085" s="307"/>
    </row>
    <row r="6086" ht="14.25" customHeight="1">
      <c r="A6086" s="307"/>
    </row>
    <row r="6087" ht="14.25" customHeight="1">
      <c r="A6087" s="307"/>
    </row>
    <row r="6088" ht="14.25" customHeight="1">
      <c r="A6088" s="307"/>
    </row>
    <row r="6089" ht="14.25" customHeight="1">
      <c r="A6089" s="307"/>
    </row>
    <row r="6090" ht="14.25" customHeight="1">
      <c r="A6090" s="307"/>
    </row>
    <row r="6091" ht="14.25" customHeight="1">
      <c r="A6091" s="307"/>
    </row>
    <row r="6092" ht="14.25" customHeight="1">
      <c r="A6092" s="307"/>
    </row>
    <row r="6093" ht="14.25" customHeight="1">
      <c r="A6093" s="307"/>
    </row>
    <row r="6094" ht="14.25" customHeight="1">
      <c r="A6094" s="307"/>
    </row>
    <row r="6095" ht="14.25" customHeight="1">
      <c r="A6095" s="307"/>
    </row>
    <row r="6096" ht="14.25" customHeight="1">
      <c r="A6096" s="307"/>
    </row>
    <row r="6097" ht="14.25" customHeight="1">
      <c r="A6097" s="307"/>
    </row>
    <row r="6098" ht="14.25" customHeight="1">
      <c r="A6098" s="307"/>
    </row>
    <row r="6099" ht="14.25" customHeight="1">
      <c r="A6099" s="307"/>
    </row>
    <row r="6100" ht="14.25" customHeight="1">
      <c r="A6100" s="307"/>
    </row>
    <row r="6101" ht="14.25" customHeight="1">
      <c r="A6101" s="307"/>
    </row>
    <row r="6102" ht="14.25" customHeight="1">
      <c r="A6102" s="307"/>
    </row>
    <row r="6103" ht="14.25" customHeight="1">
      <c r="A6103" s="307"/>
    </row>
    <row r="6104" ht="14.25" customHeight="1">
      <c r="A6104" s="307"/>
    </row>
    <row r="6105" ht="14.25" customHeight="1">
      <c r="A6105" s="307"/>
    </row>
    <row r="6106" ht="14.25" customHeight="1">
      <c r="A6106" s="307"/>
    </row>
    <row r="6107" ht="14.25" customHeight="1">
      <c r="A6107" s="307"/>
    </row>
    <row r="6108" ht="14.25" customHeight="1">
      <c r="A6108" s="307"/>
    </row>
    <row r="6109" ht="14.25" customHeight="1">
      <c r="A6109" s="307"/>
    </row>
    <row r="6110" ht="14.25" customHeight="1">
      <c r="A6110" s="307"/>
    </row>
    <row r="6111" ht="14.25" customHeight="1">
      <c r="A6111" s="307"/>
    </row>
    <row r="6112" ht="14.25" customHeight="1">
      <c r="A6112" s="307"/>
    </row>
    <row r="6113" ht="14.25" customHeight="1">
      <c r="A6113" s="307"/>
    </row>
    <row r="6114" ht="14.25" customHeight="1">
      <c r="A6114" s="307"/>
    </row>
    <row r="6115" ht="14.25" customHeight="1">
      <c r="A6115" s="307"/>
    </row>
    <row r="6116" ht="14.25" customHeight="1">
      <c r="A6116" s="307"/>
    </row>
    <row r="6117" ht="14.25" customHeight="1">
      <c r="A6117" s="307"/>
    </row>
    <row r="6118" ht="14.25" customHeight="1">
      <c r="A6118" s="307"/>
    </row>
    <row r="6119" ht="14.25" customHeight="1">
      <c r="A6119" s="307"/>
    </row>
    <row r="6120" ht="14.25" customHeight="1">
      <c r="A6120" s="307"/>
    </row>
    <row r="6121" ht="14.25" customHeight="1">
      <c r="A6121" s="307"/>
    </row>
    <row r="6122" ht="14.25" customHeight="1">
      <c r="A6122" s="307"/>
    </row>
    <row r="6123" ht="14.25" customHeight="1">
      <c r="A6123" s="307"/>
    </row>
    <row r="6124" ht="14.25" customHeight="1">
      <c r="A6124" s="307"/>
    </row>
    <row r="6125" ht="14.25" customHeight="1">
      <c r="A6125" s="307"/>
    </row>
    <row r="6126" ht="14.25" customHeight="1">
      <c r="A6126" s="307"/>
    </row>
    <row r="6127" ht="14.25" customHeight="1">
      <c r="A6127" s="307"/>
    </row>
    <row r="6128" ht="14.25" customHeight="1">
      <c r="A6128" s="307"/>
    </row>
    <row r="6129" ht="14.25" customHeight="1">
      <c r="A6129" s="307"/>
    </row>
    <row r="6130" ht="14.25" customHeight="1">
      <c r="A6130" s="307"/>
    </row>
    <row r="6131" ht="14.25" customHeight="1">
      <c r="A6131" s="307"/>
    </row>
    <row r="6132" ht="14.25" customHeight="1">
      <c r="A6132" s="307"/>
    </row>
    <row r="6133" ht="14.25" customHeight="1">
      <c r="A6133" s="307"/>
    </row>
    <row r="6134" ht="14.25" customHeight="1">
      <c r="A6134" s="307"/>
    </row>
    <row r="6135" ht="14.25" customHeight="1">
      <c r="A6135" s="307"/>
    </row>
    <row r="6136" ht="14.25" customHeight="1">
      <c r="A6136" s="307"/>
    </row>
    <row r="6137" ht="14.25" customHeight="1">
      <c r="A6137" s="307"/>
    </row>
    <row r="6138" ht="14.25" customHeight="1">
      <c r="A6138" s="307"/>
    </row>
    <row r="6139" ht="14.25" customHeight="1">
      <c r="A6139" s="307"/>
    </row>
    <row r="6140" ht="14.25" customHeight="1">
      <c r="A6140" s="307"/>
    </row>
    <row r="6141" ht="14.25" customHeight="1">
      <c r="A6141" s="307"/>
    </row>
    <row r="6142" ht="14.25" customHeight="1">
      <c r="A6142" s="307"/>
    </row>
    <row r="6143" ht="14.25" customHeight="1">
      <c r="A6143" s="307"/>
    </row>
    <row r="6144" ht="14.25" customHeight="1">
      <c r="A6144" s="307"/>
    </row>
    <row r="6145" ht="14.25" customHeight="1">
      <c r="A6145" s="307"/>
    </row>
    <row r="6146" ht="14.25" customHeight="1">
      <c r="A6146" s="307"/>
    </row>
    <row r="6147" ht="14.25" customHeight="1">
      <c r="A6147" s="307"/>
    </row>
    <row r="6148" ht="14.25" customHeight="1">
      <c r="A6148" s="307"/>
    </row>
    <row r="6149" ht="14.25" customHeight="1">
      <c r="A6149" s="307"/>
    </row>
    <row r="6150" ht="14.25" customHeight="1">
      <c r="A6150" s="307"/>
    </row>
    <row r="6151" ht="14.25" customHeight="1">
      <c r="A6151" s="307"/>
    </row>
    <row r="6152" ht="14.25" customHeight="1">
      <c r="A6152" s="307"/>
    </row>
    <row r="6153" ht="14.25" customHeight="1">
      <c r="A6153" s="307"/>
    </row>
    <row r="6154" ht="14.25" customHeight="1">
      <c r="A6154" s="307"/>
    </row>
    <row r="6155" ht="14.25" customHeight="1">
      <c r="A6155" s="307"/>
    </row>
    <row r="6156" ht="14.25" customHeight="1">
      <c r="A6156" s="307"/>
    </row>
    <row r="6157" ht="14.25" customHeight="1">
      <c r="A6157" s="307"/>
    </row>
    <row r="6158" ht="14.25" customHeight="1">
      <c r="A6158" s="307"/>
    </row>
    <row r="6159" ht="14.25" customHeight="1">
      <c r="A6159" s="307"/>
    </row>
    <row r="6160" ht="14.25" customHeight="1">
      <c r="A6160" s="307"/>
    </row>
    <row r="6161" ht="14.25" customHeight="1">
      <c r="A6161" s="307"/>
    </row>
    <row r="6162" ht="14.25" customHeight="1">
      <c r="A6162" s="307"/>
    </row>
    <row r="6163" ht="14.25" customHeight="1">
      <c r="A6163" s="307"/>
    </row>
    <row r="6164" ht="14.25" customHeight="1">
      <c r="A6164" s="307"/>
    </row>
    <row r="6165" ht="14.25" customHeight="1">
      <c r="A6165" s="307"/>
    </row>
    <row r="6166" ht="14.25" customHeight="1">
      <c r="A6166" s="307"/>
    </row>
    <row r="6167" ht="14.25" customHeight="1">
      <c r="A6167" s="307"/>
    </row>
    <row r="6168" ht="14.25" customHeight="1">
      <c r="A6168" s="307"/>
    </row>
    <row r="6169" ht="14.25" customHeight="1">
      <c r="A6169" s="307"/>
    </row>
    <row r="6170" ht="14.25" customHeight="1">
      <c r="A6170" s="307"/>
    </row>
    <row r="6171" ht="14.25" customHeight="1">
      <c r="A6171" s="307"/>
    </row>
    <row r="6172" ht="14.25" customHeight="1">
      <c r="A6172" s="307"/>
    </row>
    <row r="6173" ht="14.25" customHeight="1">
      <c r="A6173" s="307"/>
    </row>
    <row r="6174" ht="14.25" customHeight="1">
      <c r="A6174" s="307"/>
    </row>
    <row r="6175" ht="14.25" customHeight="1">
      <c r="A6175" s="307"/>
    </row>
    <row r="6176" ht="14.25" customHeight="1">
      <c r="A6176" s="307"/>
    </row>
    <row r="6177" ht="14.25" customHeight="1">
      <c r="A6177" s="307"/>
    </row>
    <row r="6178" ht="14.25" customHeight="1">
      <c r="A6178" s="307"/>
    </row>
    <row r="6179" ht="14.25" customHeight="1">
      <c r="A6179" s="307"/>
    </row>
    <row r="6180" ht="14.25" customHeight="1">
      <c r="A6180" s="307"/>
    </row>
    <row r="6181" ht="14.25" customHeight="1">
      <c r="A6181" s="307"/>
    </row>
    <row r="6182" ht="14.25" customHeight="1">
      <c r="A6182" s="307"/>
    </row>
    <row r="6183" ht="14.25" customHeight="1">
      <c r="A6183" s="307"/>
    </row>
    <row r="6184" ht="14.25" customHeight="1">
      <c r="A6184" s="307"/>
    </row>
    <row r="6185" ht="14.25" customHeight="1">
      <c r="A6185" s="307"/>
    </row>
    <row r="6186" ht="14.25" customHeight="1">
      <c r="A6186" s="307"/>
    </row>
    <row r="6187" ht="14.25" customHeight="1">
      <c r="A6187" s="307"/>
    </row>
    <row r="6188" ht="14.25" customHeight="1">
      <c r="A6188" s="307"/>
    </row>
    <row r="6189" ht="14.25" customHeight="1">
      <c r="A6189" s="307"/>
    </row>
    <row r="6190" ht="14.25" customHeight="1">
      <c r="A6190" s="307"/>
    </row>
    <row r="6191" ht="14.25" customHeight="1">
      <c r="A6191" s="307"/>
    </row>
    <row r="6192" ht="14.25" customHeight="1">
      <c r="A6192" s="307"/>
    </row>
    <row r="6193" ht="14.25" customHeight="1">
      <c r="A6193" s="307"/>
    </row>
    <row r="6194" ht="14.25" customHeight="1">
      <c r="A6194" s="307"/>
    </row>
    <row r="6195" ht="14.25" customHeight="1">
      <c r="A6195" s="307"/>
    </row>
    <row r="6196" ht="14.25" customHeight="1">
      <c r="A6196" s="307"/>
    </row>
    <row r="6197" ht="14.25" customHeight="1">
      <c r="A6197" s="307"/>
    </row>
    <row r="6198" ht="14.25" customHeight="1">
      <c r="A6198" s="307"/>
    </row>
    <row r="6199" ht="14.25" customHeight="1">
      <c r="A6199" s="307"/>
    </row>
    <row r="6200" ht="14.25" customHeight="1">
      <c r="A6200" s="307"/>
    </row>
    <row r="6201" ht="14.25" customHeight="1">
      <c r="A6201" s="307"/>
    </row>
    <row r="6202" ht="14.25" customHeight="1">
      <c r="A6202" s="307"/>
    </row>
    <row r="6203" ht="14.25" customHeight="1">
      <c r="A6203" s="307"/>
    </row>
    <row r="6204" ht="14.25" customHeight="1">
      <c r="A6204" s="307"/>
    </row>
    <row r="6205" ht="14.25" customHeight="1">
      <c r="A6205" s="307"/>
    </row>
    <row r="6206" ht="14.25" customHeight="1">
      <c r="A6206" s="307"/>
    </row>
    <row r="6207" ht="14.25" customHeight="1">
      <c r="A6207" s="307"/>
    </row>
    <row r="6208" ht="14.25" customHeight="1">
      <c r="A6208" s="307"/>
    </row>
    <row r="6209" ht="14.25" customHeight="1">
      <c r="A6209" s="307"/>
    </row>
    <row r="6210" ht="14.25" customHeight="1">
      <c r="A6210" s="307"/>
    </row>
    <row r="6211" ht="14.25" customHeight="1">
      <c r="A6211" s="307"/>
    </row>
    <row r="6212" ht="14.25" customHeight="1">
      <c r="A6212" s="307"/>
    </row>
    <row r="6213" ht="14.25" customHeight="1">
      <c r="A6213" s="307"/>
    </row>
    <row r="6214" ht="14.25" customHeight="1">
      <c r="A6214" s="307"/>
    </row>
    <row r="6215" ht="14.25" customHeight="1">
      <c r="A6215" s="307"/>
    </row>
    <row r="6216" ht="14.25" customHeight="1">
      <c r="A6216" s="307"/>
    </row>
    <row r="6217" ht="14.25" customHeight="1">
      <c r="A6217" s="307"/>
    </row>
    <row r="6218" ht="14.25" customHeight="1">
      <c r="A6218" s="307"/>
    </row>
    <row r="6219" ht="14.25" customHeight="1">
      <c r="A6219" s="307"/>
    </row>
    <row r="6220" ht="14.25" customHeight="1">
      <c r="A6220" s="307"/>
    </row>
    <row r="6221" ht="14.25" customHeight="1">
      <c r="A6221" s="307"/>
    </row>
    <row r="6222" ht="14.25" customHeight="1">
      <c r="A6222" s="307"/>
    </row>
    <row r="6223" ht="14.25" customHeight="1">
      <c r="A6223" s="307"/>
    </row>
    <row r="6224" ht="14.25" customHeight="1">
      <c r="A6224" s="307"/>
    </row>
    <row r="6225" ht="14.25" customHeight="1">
      <c r="A6225" s="307"/>
    </row>
    <row r="6226" ht="14.25" customHeight="1">
      <c r="A6226" s="307"/>
    </row>
    <row r="6227" ht="14.25" customHeight="1">
      <c r="A6227" s="307"/>
    </row>
    <row r="6228" ht="14.25" customHeight="1">
      <c r="A6228" s="307"/>
    </row>
    <row r="6229" ht="14.25" customHeight="1">
      <c r="A6229" s="307"/>
    </row>
    <row r="6230" ht="14.25" customHeight="1">
      <c r="A6230" s="307"/>
    </row>
    <row r="6231" ht="14.25" customHeight="1">
      <c r="A6231" s="307"/>
    </row>
    <row r="6232" ht="14.25" customHeight="1">
      <c r="A6232" s="307"/>
    </row>
    <row r="6233" ht="14.25" customHeight="1">
      <c r="A6233" s="307"/>
    </row>
    <row r="6234" ht="14.25" customHeight="1">
      <c r="A6234" s="307"/>
    </row>
    <row r="6235" ht="14.25" customHeight="1">
      <c r="A6235" s="307"/>
    </row>
    <row r="6236" ht="14.25" customHeight="1">
      <c r="A6236" s="307"/>
    </row>
    <row r="6237" ht="14.25" customHeight="1">
      <c r="A6237" s="307"/>
    </row>
    <row r="6238" ht="14.25" customHeight="1">
      <c r="A6238" s="307"/>
    </row>
    <row r="6239" ht="14.25" customHeight="1">
      <c r="A6239" s="307"/>
    </row>
    <row r="6240" ht="14.25" customHeight="1">
      <c r="A6240" s="307"/>
    </row>
    <row r="6241" ht="14.25" customHeight="1">
      <c r="A6241" s="307"/>
    </row>
    <row r="6242" ht="14.25" customHeight="1">
      <c r="A6242" s="307"/>
    </row>
    <row r="6243" ht="14.25" customHeight="1">
      <c r="A6243" s="307"/>
    </row>
    <row r="6244" ht="14.25" customHeight="1">
      <c r="A6244" s="307"/>
    </row>
    <row r="6245" ht="14.25" customHeight="1">
      <c r="A6245" s="307"/>
    </row>
    <row r="6246" ht="14.25" customHeight="1">
      <c r="A6246" s="307"/>
    </row>
    <row r="6247" ht="14.25" customHeight="1">
      <c r="A6247" s="307"/>
    </row>
    <row r="6248" ht="14.25" customHeight="1">
      <c r="A6248" s="307"/>
    </row>
    <row r="6249" ht="14.25" customHeight="1">
      <c r="A6249" s="307"/>
    </row>
    <row r="6250" ht="14.25" customHeight="1">
      <c r="A6250" s="307"/>
    </row>
    <row r="6251" ht="14.25" customHeight="1">
      <c r="A6251" s="307"/>
    </row>
    <row r="6252" ht="14.25" customHeight="1">
      <c r="A6252" s="307"/>
    </row>
    <row r="6253" ht="14.25" customHeight="1">
      <c r="A6253" s="307"/>
    </row>
    <row r="6254" ht="14.25" customHeight="1">
      <c r="A6254" s="307"/>
    </row>
    <row r="6255" ht="14.25" customHeight="1">
      <c r="A6255" s="307"/>
    </row>
    <row r="6256" ht="14.25" customHeight="1">
      <c r="A6256" s="307"/>
    </row>
    <row r="6257" ht="14.25" customHeight="1">
      <c r="A6257" s="307"/>
    </row>
    <row r="6258" ht="14.25" customHeight="1">
      <c r="A6258" s="307"/>
    </row>
    <row r="6259" ht="14.25" customHeight="1">
      <c r="A6259" s="307"/>
    </row>
    <row r="6260" ht="14.25" customHeight="1">
      <c r="A6260" s="307"/>
    </row>
    <row r="6261" ht="14.25" customHeight="1">
      <c r="A6261" s="307"/>
    </row>
    <row r="6262" ht="14.25" customHeight="1">
      <c r="A6262" s="307"/>
    </row>
    <row r="6263" ht="14.25" customHeight="1">
      <c r="A6263" s="307"/>
    </row>
    <row r="6264" ht="14.25" customHeight="1">
      <c r="A6264" s="307"/>
    </row>
    <row r="6265" ht="14.25" customHeight="1">
      <c r="A6265" s="307"/>
    </row>
    <row r="6266" ht="14.25" customHeight="1">
      <c r="A6266" s="307"/>
    </row>
    <row r="6267" ht="14.25" customHeight="1">
      <c r="A6267" s="307"/>
    </row>
    <row r="6268" ht="14.25" customHeight="1">
      <c r="A6268" s="307"/>
    </row>
    <row r="6269" ht="14.25" customHeight="1">
      <c r="A6269" s="307"/>
    </row>
    <row r="6270" ht="14.25" customHeight="1">
      <c r="A6270" s="307"/>
    </row>
    <row r="6271" ht="14.25" customHeight="1">
      <c r="A6271" s="307"/>
    </row>
    <row r="6272" ht="14.25" customHeight="1">
      <c r="A6272" s="307"/>
    </row>
    <row r="6273" ht="14.25" customHeight="1">
      <c r="A6273" s="307"/>
    </row>
    <row r="6274" ht="14.25" customHeight="1">
      <c r="A6274" s="307"/>
    </row>
    <row r="6275" ht="14.25" customHeight="1">
      <c r="A6275" s="307"/>
    </row>
    <row r="6276" ht="14.25" customHeight="1">
      <c r="A6276" s="307"/>
    </row>
    <row r="6277" ht="14.25" customHeight="1">
      <c r="A6277" s="307"/>
    </row>
    <row r="6278" ht="14.25" customHeight="1">
      <c r="A6278" s="307"/>
    </row>
    <row r="6279" ht="14.25" customHeight="1">
      <c r="A6279" s="307"/>
    </row>
    <row r="6280" ht="14.25" customHeight="1">
      <c r="A6280" s="307"/>
    </row>
    <row r="6281" ht="14.25" customHeight="1">
      <c r="A6281" s="307"/>
    </row>
    <row r="6282" ht="14.25" customHeight="1">
      <c r="A6282" s="307"/>
    </row>
    <row r="6283" ht="14.25" customHeight="1">
      <c r="A6283" s="307"/>
    </row>
    <row r="6284" ht="14.25" customHeight="1">
      <c r="A6284" s="307"/>
    </row>
    <row r="6285" ht="14.25" customHeight="1">
      <c r="A6285" s="307"/>
    </row>
    <row r="6286" ht="14.25" customHeight="1">
      <c r="A6286" s="307"/>
    </row>
    <row r="6287" ht="14.25" customHeight="1">
      <c r="A6287" s="307"/>
    </row>
    <row r="6288" ht="14.25" customHeight="1">
      <c r="A6288" s="307"/>
    </row>
    <row r="6289" ht="14.25" customHeight="1">
      <c r="A6289" s="307"/>
    </row>
    <row r="6290" ht="14.25" customHeight="1">
      <c r="A6290" s="307"/>
    </row>
    <row r="6291" ht="14.25" customHeight="1">
      <c r="A6291" s="307"/>
    </row>
    <row r="6292" ht="14.25" customHeight="1">
      <c r="A6292" s="307"/>
    </row>
    <row r="6293" ht="14.25" customHeight="1">
      <c r="A6293" s="307"/>
    </row>
    <row r="6294" ht="14.25" customHeight="1">
      <c r="A6294" s="307"/>
    </row>
    <row r="6295" ht="14.25" customHeight="1">
      <c r="A6295" s="307"/>
    </row>
    <row r="6296" ht="14.25" customHeight="1">
      <c r="A6296" s="307"/>
    </row>
    <row r="6297" ht="14.25" customHeight="1">
      <c r="A6297" s="307"/>
    </row>
    <row r="6298" ht="14.25" customHeight="1">
      <c r="A6298" s="307"/>
    </row>
    <row r="6299" ht="14.25" customHeight="1">
      <c r="A6299" s="307"/>
    </row>
    <row r="6300" ht="14.25" customHeight="1">
      <c r="A6300" s="307"/>
    </row>
    <row r="6301" ht="14.25" customHeight="1">
      <c r="A6301" s="307"/>
    </row>
    <row r="6302" ht="14.25" customHeight="1">
      <c r="A6302" s="307"/>
    </row>
    <row r="6303" ht="14.25" customHeight="1">
      <c r="A6303" s="307"/>
    </row>
    <row r="6304" ht="14.25" customHeight="1">
      <c r="A6304" s="307"/>
    </row>
    <row r="6305" ht="14.25" customHeight="1">
      <c r="A6305" s="307"/>
    </row>
    <row r="6306" ht="14.25" customHeight="1">
      <c r="A6306" s="307"/>
    </row>
    <row r="6307" ht="14.25" customHeight="1">
      <c r="A6307" s="307"/>
    </row>
    <row r="6308" ht="14.25" customHeight="1">
      <c r="A6308" s="307"/>
    </row>
    <row r="6309" ht="14.25" customHeight="1">
      <c r="A6309" s="307"/>
    </row>
    <row r="6310" ht="14.25" customHeight="1">
      <c r="A6310" s="307"/>
    </row>
    <row r="6311" ht="14.25" customHeight="1">
      <c r="A6311" s="307"/>
    </row>
    <row r="6312" ht="14.25" customHeight="1">
      <c r="A6312" s="307"/>
    </row>
    <row r="6313" ht="14.25" customHeight="1">
      <c r="A6313" s="307"/>
    </row>
    <row r="6314" ht="14.25" customHeight="1">
      <c r="A6314" s="307"/>
    </row>
    <row r="6315" ht="14.25" customHeight="1">
      <c r="A6315" s="307"/>
    </row>
    <row r="6316" ht="14.25" customHeight="1">
      <c r="A6316" s="307"/>
    </row>
    <row r="6317" ht="14.25" customHeight="1">
      <c r="A6317" s="307"/>
    </row>
    <row r="6318" ht="14.25" customHeight="1">
      <c r="A6318" s="307"/>
    </row>
    <row r="6319" ht="14.25" customHeight="1">
      <c r="A6319" s="307"/>
    </row>
    <row r="6320" ht="14.25" customHeight="1">
      <c r="A6320" s="307"/>
    </row>
    <row r="6321" ht="14.25" customHeight="1">
      <c r="A6321" s="307"/>
    </row>
    <row r="6322" ht="14.25" customHeight="1">
      <c r="A6322" s="307"/>
    </row>
    <row r="6323" ht="14.25" customHeight="1">
      <c r="A6323" s="307"/>
    </row>
    <row r="6324" ht="14.25" customHeight="1">
      <c r="A6324" s="307"/>
    </row>
    <row r="6325" ht="14.25" customHeight="1">
      <c r="A6325" s="307"/>
    </row>
    <row r="6326" ht="14.25" customHeight="1">
      <c r="A6326" s="307"/>
    </row>
    <row r="6327" ht="14.25" customHeight="1">
      <c r="A6327" s="307"/>
    </row>
    <row r="6328" ht="14.25" customHeight="1">
      <c r="A6328" s="307"/>
    </row>
    <row r="6329" ht="14.25" customHeight="1">
      <c r="A6329" s="307"/>
    </row>
    <row r="6330" ht="14.25" customHeight="1">
      <c r="A6330" s="307"/>
    </row>
    <row r="6331" ht="14.25" customHeight="1">
      <c r="A6331" s="307"/>
    </row>
    <row r="6332" ht="14.25" customHeight="1">
      <c r="A6332" s="307"/>
    </row>
    <row r="6333" ht="14.25" customHeight="1">
      <c r="A6333" s="307"/>
    </row>
    <row r="6334" ht="14.25" customHeight="1">
      <c r="A6334" s="307"/>
    </row>
    <row r="6335" ht="14.25" customHeight="1">
      <c r="A6335" s="307"/>
    </row>
    <row r="6336" ht="14.25" customHeight="1">
      <c r="A6336" s="307"/>
    </row>
    <row r="6337" ht="14.25" customHeight="1">
      <c r="A6337" s="307"/>
    </row>
    <row r="6338" ht="14.25" customHeight="1">
      <c r="A6338" s="307"/>
    </row>
    <row r="6339" ht="14.25" customHeight="1">
      <c r="A6339" s="307"/>
    </row>
    <row r="6340" ht="14.25" customHeight="1">
      <c r="A6340" s="307"/>
    </row>
    <row r="6341" ht="14.25" customHeight="1">
      <c r="A6341" s="307"/>
    </row>
    <row r="6342" ht="14.25" customHeight="1">
      <c r="A6342" s="307"/>
    </row>
    <row r="6343" ht="14.25" customHeight="1">
      <c r="A6343" s="307"/>
    </row>
    <row r="6344" ht="14.25" customHeight="1">
      <c r="A6344" s="307"/>
    </row>
    <row r="6345" ht="14.25" customHeight="1">
      <c r="A6345" s="307"/>
    </row>
    <row r="6346" ht="14.25" customHeight="1">
      <c r="A6346" s="307"/>
    </row>
    <row r="6347" ht="14.25" customHeight="1">
      <c r="A6347" s="307"/>
    </row>
    <row r="6348" ht="14.25" customHeight="1">
      <c r="A6348" s="307"/>
    </row>
    <row r="6349" ht="14.25" customHeight="1">
      <c r="A6349" s="307"/>
    </row>
    <row r="6350" ht="14.25" customHeight="1">
      <c r="A6350" s="307"/>
    </row>
    <row r="6351" ht="14.25" customHeight="1">
      <c r="A6351" s="307"/>
    </row>
    <row r="6352" ht="14.25" customHeight="1">
      <c r="A6352" s="307"/>
    </row>
    <row r="6353" ht="14.25" customHeight="1">
      <c r="A6353" s="307"/>
    </row>
    <row r="6354" ht="14.25" customHeight="1">
      <c r="A6354" s="307"/>
    </row>
    <row r="6355" ht="14.25" customHeight="1">
      <c r="A6355" s="307"/>
    </row>
    <row r="6356" ht="14.25" customHeight="1">
      <c r="A6356" s="307"/>
    </row>
    <row r="6357" ht="14.25" customHeight="1">
      <c r="A6357" s="307"/>
    </row>
    <row r="6358" ht="14.25" customHeight="1">
      <c r="A6358" s="307"/>
    </row>
    <row r="6359" ht="14.25" customHeight="1">
      <c r="A6359" s="307"/>
    </row>
    <row r="6360" ht="14.25" customHeight="1">
      <c r="A6360" s="307"/>
    </row>
    <row r="6361" ht="14.25" customHeight="1">
      <c r="A6361" s="307"/>
    </row>
    <row r="6362" ht="14.25" customHeight="1">
      <c r="A6362" s="307"/>
    </row>
    <row r="6363" ht="14.25" customHeight="1">
      <c r="A6363" s="307"/>
    </row>
    <row r="6364" ht="14.25" customHeight="1">
      <c r="A6364" s="307"/>
    </row>
    <row r="6365" ht="14.25" customHeight="1">
      <c r="A6365" s="307"/>
    </row>
    <row r="6366" ht="14.25" customHeight="1">
      <c r="A6366" s="307"/>
    </row>
    <row r="6367" ht="14.25" customHeight="1">
      <c r="A6367" s="307"/>
    </row>
    <row r="6368" ht="14.25" customHeight="1">
      <c r="A6368" s="307"/>
    </row>
    <row r="6369" ht="14.25" customHeight="1">
      <c r="A6369" s="307"/>
    </row>
    <row r="6370" ht="14.25" customHeight="1">
      <c r="A6370" s="307"/>
    </row>
    <row r="6371" ht="14.25" customHeight="1">
      <c r="A6371" s="307"/>
    </row>
    <row r="6372" ht="14.25" customHeight="1">
      <c r="A6372" s="307"/>
    </row>
    <row r="6373" ht="14.25" customHeight="1">
      <c r="A6373" s="307"/>
    </row>
    <row r="6374" ht="14.25" customHeight="1">
      <c r="A6374" s="307"/>
    </row>
    <row r="6375" ht="14.25" customHeight="1">
      <c r="A6375" s="307"/>
    </row>
    <row r="6376" ht="14.25" customHeight="1">
      <c r="A6376" s="307"/>
    </row>
    <row r="6377" ht="14.25" customHeight="1">
      <c r="A6377" s="307"/>
    </row>
    <row r="6378" ht="14.25" customHeight="1">
      <c r="A6378" s="307"/>
    </row>
    <row r="6379" ht="14.25" customHeight="1">
      <c r="A6379" s="307"/>
    </row>
    <row r="6380" ht="14.25" customHeight="1">
      <c r="A6380" s="307"/>
    </row>
    <row r="6381" ht="14.25" customHeight="1">
      <c r="A6381" s="307"/>
    </row>
    <row r="6382" ht="14.25" customHeight="1">
      <c r="A6382" s="307"/>
    </row>
    <row r="6383" ht="14.25" customHeight="1">
      <c r="A6383" s="307"/>
    </row>
    <row r="6384" ht="14.25" customHeight="1">
      <c r="A6384" s="307"/>
    </row>
    <row r="6385" ht="14.25" customHeight="1">
      <c r="A6385" s="307"/>
    </row>
    <row r="6386" ht="14.25" customHeight="1">
      <c r="A6386" s="307"/>
    </row>
    <row r="6387" ht="14.25" customHeight="1">
      <c r="A6387" s="307"/>
    </row>
    <row r="6388" ht="14.25" customHeight="1">
      <c r="A6388" s="307"/>
    </row>
    <row r="6389" ht="14.25" customHeight="1">
      <c r="A6389" s="307"/>
    </row>
    <row r="6390" ht="14.25" customHeight="1">
      <c r="A6390" s="307"/>
    </row>
    <row r="6391" ht="14.25" customHeight="1">
      <c r="A6391" s="307"/>
    </row>
    <row r="6392" ht="14.25" customHeight="1">
      <c r="A6392" s="307"/>
    </row>
    <row r="6393" ht="14.25" customHeight="1">
      <c r="A6393" s="307"/>
    </row>
    <row r="6394" ht="14.25" customHeight="1">
      <c r="A6394" s="307"/>
    </row>
    <row r="6395" ht="14.25" customHeight="1">
      <c r="A6395" s="307"/>
    </row>
    <row r="6396" ht="14.25" customHeight="1">
      <c r="A6396" s="307"/>
    </row>
    <row r="6397" ht="14.25" customHeight="1">
      <c r="A6397" s="307"/>
    </row>
    <row r="6398" ht="14.25" customHeight="1">
      <c r="A6398" s="307"/>
    </row>
    <row r="6399" ht="14.25" customHeight="1">
      <c r="A6399" s="307"/>
    </row>
    <row r="6400" ht="14.25" customHeight="1">
      <c r="A6400" s="307"/>
    </row>
    <row r="6401" ht="14.25" customHeight="1">
      <c r="A6401" s="307"/>
    </row>
    <row r="6402" ht="14.25" customHeight="1">
      <c r="A6402" s="307"/>
    </row>
    <row r="6403" ht="14.25" customHeight="1">
      <c r="A6403" s="307"/>
    </row>
    <row r="6404" ht="14.25" customHeight="1">
      <c r="A6404" s="307"/>
    </row>
    <row r="6405" ht="14.25" customHeight="1">
      <c r="A6405" s="307"/>
    </row>
    <row r="6406" ht="14.25" customHeight="1">
      <c r="A6406" s="307"/>
    </row>
    <row r="6407" ht="14.25" customHeight="1">
      <c r="A6407" s="307"/>
    </row>
    <row r="6408" ht="14.25" customHeight="1">
      <c r="A6408" s="307"/>
    </row>
    <row r="6409" ht="14.25" customHeight="1">
      <c r="A6409" s="307"/>
    </row>
    <row r="6410" ht="14.25" customHeight="1">
      <c r="A6410" s="307"/>
    </row>
    <row r="6411" ht="14.25" customHeight="1">
      <c r="A6411" s="307"/>
    </row>
    <row r="6412" ht="14.25" customHeight="1">
      <c r="A6412" s="307"/>
    </row>
    <row r="6413" ht="14.25" customHeight="1">
      <c r="A6413" s="307"/>
    </row>
    <row r="6414" ht="14.25" customHeight="1">
      <c r="A6414" s="307"/>
    </row>
    <row r="6415" ht="14.25" customHeight="1">
      <c r="A6415" s="307"/>
    </row>
    <row r="6416" ht="14.25" customHeight="1">
      <c r="A6416" s="307"/>
    </row>
    <row r="6417" ht="14.25" customHeight="1">
      <c r="A6417" s="307"/>
    </row>
    <row r="6418" ht="14.25" customHeight="1">
      <c r="A6418" s="307"/>
    </row>
    <row r="6419" ht="14.25" customHeight="1">
      <c r="A6419" s="307"/>
    </row>
    <row r="6420" ht="14.25" customHeight="1">
      <c r="A6420" s="307"/>
    </row>
    <row r="6421" ht="14.25" customHeight="1">
      <c r="A6421" s="307"/>
    </row>
    <row r="6422" ht="14.25" customHeight="1">
      <c r="A6422" s="307"/>
    </row>
    <row r="6423" ht="14.25" customHeight="1">
      <c r="A6423" s="307"/>
    </row>
    <row r="6424" ht="14.25" customHeight="1">
      <c r="A6424" s="307"/>
    </row>
    <row r="6425" ht="14.25" customHeight="1">
      <c r="A6425" s="307"/>
    </row>
    <row r="6426" ht="14.25" customHeight="1">
      <c r="A6426" s="307"/>
    </row>
    <row r="6427" ht="14.25" customHeight="1">
      <c r="A6427" s="307"/>
    </row>
    <row r="6428" ht="14.25" customHeight="1">
      <c r="A6428" s="307"/>
    </row>
    <row r="6429" ht="14.25" customHeight="1">
      <c r="A6429" s="307"/>
    </row>
    <row r="6430" ht="14.25" customHeight="1">
      <c r="A6430" s="307"/>
    </row>
    <row r="6431" ht="14.25" customHeight="1">
      <c r="A6431" s="307"/>
    </row>
    <row r="6432" ht="14.25" customHeight="1">
      <c r="A6432" s="307"/>
    </row>
    <row r="6433" ht="14.25" customHeight="1">
      <c r="A6433" s="307"/>
    </row>
    <row r="6434" ht="14.25" customHeight="1">
      <c r="A6434" s="307"/>
    </row>
    <row r="6435" ht="14.25" customHeight="1">
      <c r="A6435" s="307"/>
    </row>
    <row r="6436" ht="14.25" customHeight="1">
      <c r="A6436" s="307"/>
    </row>
    <row r="6437" ht="14.25" customHeight="1">
      <c r="A6437" s="307"/>
    </row>
    <row r="6438" ht="14.25" customHeight="1">
      <c r="A6438" s="307"/>
    </row>
    <row r="6439" ht="14.25" customHeight="1">
      <c r="A6439" s="307"/>
    </row>
    <row r="6440" ht="14.25" customHeight="1">
      <c r="A6440" s="307"/>
    </row>
    <row r="6441" ht="14.25" customHeight="1">
      <c r="A6441" s="307"/>
    </row>
    <row r="6442" ht="14.25" customHeight="1">
      <c r="A6442" s="307"/>
    </row>
    <row r="6443" ht="14.25" customHeight="1">
      <c r="A6443" s="307"/>
    </row>
    <row r="6444" ht="14.25" customHeight="1">
      <c r="A6444" s="307"/>
    </row>
    <row r="6445" ht="14.25" customHeight="1">
      <c r="A6445" s="307"/>
    </row>
    <row r="6446" ht="14.25" customHeight="1">
      <c r="A6446" s="307"/>
    </row>
    <row r="6447" ht="14.25" customHeight="1">
      <c r="A6447" s="307"/>
    </row>
    <row r="6448" ht="14.25" customHeight="1">
      <c r="A6448" s="307"/>
    </row>
    <row r="6449" ht="14.25" customHeight="1">
      <c r="A6449" s="307"/>
    </row>
    <row r="6450" ht="14.25" customHeight="1">
      <c r="A6450" s="307"/>
    </row>
    <row r="6451" ht="14.25" customHeight="1">
      <c r="A6451" s="307"/>
    </row>
    <row r="6452" ht="14.25" customHeight="1">
      <c r="A6452" s="307"/>
    </row>
    <row r="6453" ht="14.25" customHeight="1">
      <c r="A6453" s="307"/>
    </row>
    <row r="6454" ht="14.25" customHeight="1">
      <c r="A6454" s="307"/>
    </row>
    <row r="6455" ht="14.25" customHeight="1">
      <c r="A6455" s="307"/>
    </row>
    <row r="6456" ht="14.25" customHeight="1">
      <c r="A6456" s="307"/>
    </row>
    <row r="6457" ht="14.25" customHeight="1">
      <c r="A6457" s="307"/>
    </row>
    <row r="6458" ht="14.25" customHeight="1">
      <c r="A6458" s="307"/>
    </row>
    <row r="6459" ht="14.25" customHeight="1">
      <c r="A6459" s="307"/>
    </row>
    <row r="6460" ht="14.25" customHeight="1">
      <c r="A6460" s="307"/>
    </row>
    <row r="6461" ht="14.25" customHeight="1">
      <c r="A6461" s="307"/>
    </row>
    <row r="6462" ht="14.25" customHeight="1">
      <c r="A6462" s="307"/>
    </row>
    <row r="6463" ht="14.25" customHeight="1">
      <c r="A6463" s="307"/>
    </row>
    <row r="6464" ht="14.25" customHeight="1">
      <c r="A6464" s="307"/>
    </row>
    <row r="6465" ht="14.25" customHeight="1">
      <c r="A6465" s="307"/>
    </row>
    <row r="6466" ht="14.25" customHeight="1">
      <c r="A6466" s="307"/>
    </row>
    <row r="6467" ht="14.25" customHeight="1">
      <c r="A6467" s="307"/>
    </row>
    <row r="6468" ht="14.25" customHeight="1">
      <c r="A6468" s="307"/>
    </row>
    <row r="6469" ht="14.25" customHeight="1">
      <c r="A6469" s="307"/>
    </row>
    <row r="6470" ht="14.25" customHeight="1">
      <c r="A6470" s="307"/>
    </row>
    <row r="6471" ht="14.25" customHeight="1">
      <c r="A6471" s="307"/>
    </row>
    <row r="6472" ht="14.25" customHeight="1">
      <c r="A6472" s="307"/>
    </row>
    <row r="6473" ht="14.25" customHeight="1">
      <c r="A6473" s="307"/>
    </row>
    <row r="6474" ht="14.25" customHeight="1">
      <c r="A6474" s="307"/>
    </row>
    <row r="6475" ht="14.25" customHeight="1">
      <c r="A6475" s="307"/>
    </row>
    <row r="6476" ht="14.25" customHeight="1">
      <c r="A6476" s="307"/>
    </row>
    <row r="6477" ht="14.25" customHeight="1">
      <c r="A6477" s="307"/>
    </row>
    <row r="6478" ht="14.25" customHeight="1">
      <c r="A6478" s="307"/>
    </row>
    <row r="6479" ht="14.25" customHeight="1">
      <c r="A6479" s="307"/>
    </row>
    <row r="6480" ht="14.25" customHeight="1">
      <c r="A6480" s="307"/>
    </row>
    <row r="6481" ht="14.25" customHeight="1">
      <c r="A6481" s="307"/>
    </row>
    <row r="6482" ht="14.25" customHeight="1">
      <c r="A6482" s="307"/>
    </row>
    <row r="6483" ht="14.25" customHeight="1">
      <c r="A6483" s="307"/>
    </row>
    <row r="6484" ht="14.25" customHeight="1">
      <c r="A6484" s="307"/>
    </row>
    <row r="6485" ht="14.25" customHeight="1">
      <c r="A6485" s="307"/>
    </row>
    <row r="6486" ht="14.25" customHeight="1">
      <c r="A6486" s="307"/>
    </row>
    <row r="6487" ht="14.25" customHeight="1">
      <c r="A6487" s="307"/>
    </row>
    <row r="6488" ht="14.25" customHeight="1">
      <c r="A6488" s="307"/>
    </row>
    <row r="6489" ht="14.25" customHeight="1">
      <c r="A6489" s="307"/>
    </row>
    <row r="6490" ht="14.25" customHeight="1">
      <c r="A6490" s="307"/>
    </row>
    <row r="6491" ht="14.25" customHeight="1">
      <c r="A6491" s="307"/>
    </row>
    <row r="6492" ht="14.25" customHeight="1">
      <c r="A6492" s="307"/>
    </row>
    <row r="6493" ht="14.25" customHeight="1">
      <c r="A6493" s="307"/>
    </row>
    <row r="6494" ht="14.25" customHeight="1">
      <c r="A6494" s="307"/>
    </row>
    <row r="6495" ht="14.25" customHeight="1">
      <c r="A6495" s="307"/>
    </row>
    <row r="6496" ht="14.25" customHeight="1">
      <c r="A6496" s="307"/>
    </row>
    <row r="6497" ht="14.25" customHeight="1">
      <c r="A6497" s="307"/>
    </row>
    <row r="6498" ht="14.25" customHeight="1">
      <c r="A6498" s="307"/>
    </row>
    <row r="6499" ht="14.25" customHeight="1">
      <c r="A6499" s="307"/>
    </row>
    <row r="6500" ht="14.25" customHeight="1">
      <c r="A6500" s="307"/>
    </row>
    <row r="6501" ht="14.25" customHeight="1">
      <c r="A6501" s="307"/>
    </row>
    <row r="6502" ht="14.25" customHeight="1">
      <c r="A6502" s="307"/>
    </row>
    <row r="6503" ht="14.25" customHeight="1">
      <c r="A6503" s="307"/>
    </row>
    <row r="6504" ht="14.25" customHeight="1">
      <c r="A6504" s="307"/>
    </row>
    <row r="6505" ht="14.25" customHeight="1">
      <c r="A6505" s="307"/>
    </row>
    <row r="6506" ht="14.25" customHeight="1">
      <c r="A6506" s="307"/>
    </row>
    <row r="6507" ht="14.25" customHeight="1">
      <c r="A6507" s="307"/>
    </row>
    <row r="6508" ht="14.25" customHeight="1">
      <c r="A6508" s="307"/>
    </row>
    <row r="6509" ht="14.25" customHeight="1">
      <c r="A6509" s="307"/>
    </row>
    <row r="6510" ht="14.25" customHeight="1">
      <c r="A6510" s="307"/>
    </row>
    <row r="6511" ht="14.25" customHeight="1">
      <c r="A6511" s="307"/>
    </row>
    <row r="6512" ht="14.25" customHeight="1">
      <c r="A6512" s="307"/>
    </row>
    <row r="6513" ht="14.25" customHeight="1">
      <c r="A6513" s="307"/>
    </row>
    <row r="6514" ht="14.25" customHeight="1">
      <c r="A6514" s="307"/>
    </row>
    <row r="6515" ht="14.25" customHeight="1">
      <c r="A6515" s="307"/>
    </row>
    <row r="6516" ht="14.25" customHeight="1">
      <c r="A6516" s="307"/>
    </row>
    <row r="6517" ht="14.25" customHeight="1">
      <c r="A6517" s="307"/>
    </row>
    <row r="6518" ht="14.25" customHeight="1">
      <c r="A6518" s="307"/>
    </row>
    <row r="6519" ht="14.25" customHeight="1">
      <c r="A6519" s="307"/>
    </row>
    <row r="6520" ht="14.25" customHeight="1">
      <c r="A6520" s="307"/>
    </row>
    <row r="6521" ht="14.25" customHeight="1">
      <c r="A6521" s="307"/>
    </row>
    <row r="6522" ht="14.25" customHeight="1">
      <c r="A6522" s="307"/>
    </row>
    <row r="6523" ht="14.25" customHeight="1">
      <c r="A6523" s="307"/>
    </row>
    <row r="6524" ht="14.25" customHeight="1">
      <c r="A6524" s="307"/>
    </row>
    <row r="6525" ht="14.25" customHeight="1">
      <c r="A6525" s="307"/>
    </row>
    <row r="6526" ht="14.25" customHeight="1">
      <c r="A6526" s="307"/>
    </row>
    <row r="6527" ht="14.25" customHeight="1">
      <c r="A6527" s="307"/>
    </row>
    <row r="6528" ht="14.25" customHeight="1">
      <c r="A6528" s="307"/>
    </row>
    <row r="6529" ht="14.25" customHeight="1">
      <c r="A6529" s="307"/>
    </row>
    <row r="6530" ht="14.25" customHeight="1">
      <c r="A6530" s="307"/>
    </row>
    <row r="6531" ht="14.25" customHeight="1">
      <c r="A6531" s="307"/>
    </row>
    <row r="6532" ht="14.25" customHeight="1">
      <c r="A6532" s="307"/>
    </row>
    <row r="6533" ht="14.25" customHeight="1">
      <c r="A6533" s="307"/>
    </row>
    <row r="6534" ht="14.25" customHeight="1">
      <c r="A6534" s="307"/>
    </row>
    <row r="6535" ht="14.25" customHeight="1">
      <c r="A6535" s="307"/>
    </row>
    <row r="6536" ht="14.25" customHeight="1">
      <c r="A6536" s="307"/>
    </row>
    <row r="6537" ht="14.25" customHeight="1">
      <c r="A6537" s="307"/>
    </row>
    <row r="6538" ht="14.25" customHeight="1">
      <c r="A6538" s="307"/>
    </row>
    <row r="6539" ht="14.25" customHeight="1">
      <c r="A6539" s="307"/>
    </row>
    <row r="6540" ht="14.25" customHeight="1">
      <c r="A6540" s="307"/>
    </row>
    <row r="6541" ht="14.25" customHeight="1">
      <c r="A6541" s="307"/>
    </row>
    <row r="6542" ht="14.25" customHeight="1">
      <c r="A6542" s="307"/>
    </row>
    <row r="6543" ht="14.25" customHeight="1">
      <c r="A6543" s="307"/>
    </row>
    <row r="6544" ht="14.25" customHeight="1">
      <c r="A6544" s="307"/>
    </row>
    <row r="6545" ht="14.25" customHeight="1">
      <c r="A6545" s="307"/>
    </row>
    <row r="6546" ht="14.25" customHeight="1">
      <c r="A6546" s="307"/>
    </row>
    <row r="6547" ht="14.25" customHeight="1">
      <c r="A6547" s="307"/>
    </row>
    <row r="6548" ht="14.25" customHeight="1">
      <c r="A6548" s="307"/>
    </row>
    <row r="6549" ht="14.25" customHeight="1">
      <c r="A6549" s="307"/>
    </row>
    <row r="6550" ht="14.25" customHeight="1">
      <c r="A6550" s="307"/>
    </row>
    <row r="6551" ht="14.25" customHeight="1">
      <c r="A6551" s="307"/>
    </row>
    <row r="6552" ht="14.25" customHeight="1">
      <c r="A6552" s="307"/>
    </row>
    <row r="6553" ht="14.25" customHeight="1">
      <c r="A6553" s="307"/>
    </row>
    <row r="6554" ht="14.25" customHeight="1">
      <c r="A6554" s="307"/>
    </row>
    <row r="6555" ht="14.25" customHeight="1">
      <c r="A6555" s="307"/>
    </row>
    <row r="6556" ht="14.25" customHeight="1">
      <c r="A6556" s="307"/>
    </row>
    <row r="6557" ht="14.25" customHeight="1">
      <c r="A6557" s="307"/>
    </row>
    <row r="6558" ht="14.25" customHeight="1">
      <c r="A6558" s="307"/>
    </row>
    <row r="6559" ht="14.25" customHeight="1">
      <c r="A6559" s="307"/>
    </row>
    <row r="6560" ht="14.25" customHeight="1">
      <c r="A6560" s="307"/>
    </row>
    <row r="6561" ht="14.25" customHeight="1">
      <c r="A6561" s="307"/>
    </row>
    <row r="6562" ht="14.25" customHeight="1">
      <c r="A6562" s="307"/>
    </row>
    <row r="6563" ht="14.25" customHeight="1">
      <c r="A6563" s="307"/>
    </row>
    <row r="6564" ht="14.25" customHeight="1">
      <c r="A6564" s="307"/>
    </row>
    <row r="6565" ht="14.25" customHeight="1">
      <c r="A6565" s="307"/>
    </row>
    <row r="6566" ht="14.25" customHeight="1">
      <c r="A6566" s="307"/>
    </row>
    <row r="6567" ht="14.25" customHeight="1">
      <c r="A6567" s="307"/>
    </row>
    <row r="6568" ht="14.25" customHeight="1">
      <c r="A6568" s="307"/>
    </row>
    <row r="6569" ht="14.25" customHeight="1">
      <c r="A6569" s="307"/>
    </row>
    <row r="6570" ht="14.25" customHeight="1">
      <c r="A6570" s="307"/>
    </row>
    <row r="6571" ht="14.25" customHeight="1">
      <c r="A6571" s="307"/>
    </row>
    <row r="6572" ht="14.25" customHeight="1">
      <c r="A6572" s="307"/>
    </row>
    <row r="6573" ht="14.25" customHeight="1">
      <c r="A6573" s="307"/>
    </row>
    <row r="6574" ht="14.25" customHeight="1">
      <c r="A6574" s="307"/>
    </row>
    <row r="6575" ht="14.25" customHeight="1">
      <c r="A6575" s="307"/>
    </row>
    <row r="6576" ht="14.25" customHeight="1">
      <c r="A6576" s="307"/>
    </row>
    <row r="6577" ht="14.25" customHeight="1">
      <c r="A6577" s="307"/>
    </row>
    <row r="6578" ht="14.25" customHeight="1">
      <c r="A6578" s="307"/>
    </row>
    <row r="6579" ht="14.25" customHeight="1">
      <c r="A6579" s="307"/>
    </row>
    <row r="6580" ht="14.25" customHeight="1">
      <c r="A6580" s="307"/>
    </row>
    <row r="6581" ht="14.25" customHeight="1">
      <c r="A6581" s="307"/>
    </row>
    <row r="6582" ht="14.25" customHeight="1">
      <c r="A6582" s="307"/>
    </row>
    <row r="6583" ht="14.25" customHeight="1">
      <c r="A6583" s="307"/>
    </row>
    <row r="6584" ht="14.25" customHeight="1">
      <c r="A6584" s="307"/>
    </row>
    <row r="6585" ht="14.25" customHeight="1">
      <c r="A6585" s="307"/>
    </row>
    <row r="6586" ht="14.25" customHeight="1">
      <c r="A6586" s="307"/>
    </row>
    <row r="6587" ht="14.25" customHeight="1">
      <c r="A6587" s="307"/>
    </row>
    <row r="6588" ht="14.25" customHeight="1">
      <c r="A6588" s="307"/>
    </row>
    <row r="6589" ht="14.25" customHeight="1">
      <c r="A6589" s="307"/>
    </row>
    <row r="6590" ht="14.25" customHeight="1">
      <c r="A6590" s="307"/>
    </row>
    <row r="6591" ht="14.25" customHeight="1">
      <c r="A6591" s="307"/>
    </row>
    <row r="6592" ht="14.25" customHeight="1">
      <c r="A6592" s="307"/>
    </row>
    <row r="6593" ht="14.25" customHeight="1">
      <c r="A6593" s="307"/>
    </row>
    <row r="6594" ht="14.25" customHeight="1">
      <c r="A6594" s="307"/>
    </row>
    <row r="6595" ht="14.25" customHeight="1">
      <c r="A6595" s="307"/>
    </row>
    <row r="6596" ht="14.25" customHeight="1">
      <c r="A6596" s="307"/>
    </row>
    <row r="6597" ht="14.25" customHeight="1">
      <c r="A6597" s="307"/>
    </row>
    <row r="6598" ht="14.25" customHeight="1">
      <c r="A6598" s="307"/>
    </row>
    <row r="6599" ht="14.25" customHeight="1">
      <c r="A6599" s="307"/>
    </row>
    <row r="6600" ht="14.25" customHeight="1">
      <c r="A6600" s="307"/>
    </row>
    <row r="6601" ht="14.25" customHeight="1">
      <c r="A6601" s="307"/>
    </row>
    <row r="6602" ht="14.25" customHeight="1">
      <c r="A6602" s="307"/>
    </row>
    <row r="6603" ht="14.25" customHeight="1">
      <c r="A6603" s="307"/>
    </row>
    <row r="6604" ht="14.25" customHeight="1">
      <c r="A6604" s="307"/>
    </row>
    <row r="6605" ht="14.25" customHeight="1">
      <c r="A6605" s="307"/>
    </row>
    <row r="6606" ht="14.25" customHeight="1">
      <c r="A6606" s="307"/>
    </row>
    <row r="6607" ht="14.25" customHeight="1">
      <c r="A6607" s="307"/>
    </row>
    <row r="6608" ht="14.25" customHeight="1">
      <c r="A6608" s="307"/>
    </row>
    <row r="6609" ht="14.25" customHeight="1">
      <c r="A6609" s="307"/>
    </row>
    <row r="6610" ht="14.25" customHeight="1">
      <c r="A6610" s="307"/>
    </row>
    <row r="6611" ht="14.25" customHeight="1">
      <c r="A6611" s="307"/>
    </row>
    <row r="6612" ht="14.25" customHeight="1">
      <c r="A6612" s="307"/>
    </row>
    <row r="6613" ht="14.25" customHeight="1">
      <c r="A6613" s="307"/>
    </row>
    <row r="6614" ht="14.25" customHeight="1">
      <c r="A6614" s="307"/>
    </row>
    <row r="6615" ht="14.25" customHeight="1">
      <c r="A6615" s="307"/>
    </row>
    <row r="6616" ht="14.25" customHeight="1">
      <c r="A6616" s="307"/>
    </row>
    <row r="6617" ht="14.25" customHeight="1">
      <c r="A6617" s="307"/>
    </row>
    <row r="6618" ht="14.25" customHeight="1">
      <c r="A6618" s="307"/>
    </row>
    <row r="6619" ht="14.25" customHeight="1">
      <c r="A6619" s="307"/>
    </row>
    <row r="6620" ht="14.25" customHeight="1">
      <c r="A6620" s="307"/>
    </row>
    <row r="6621" ht="14.25" customHeight="1">
      <c r="A6621" s="307"/>
    </row>
    <row r="6622" ht="14.25" customHeight="1">
      <c r="A6622" s="307"/>
    </row>
    <row r="6623" ht="14.25" customHeight="1">
      <c r="A6623" s="307"/>
    </row>
    <row r="6624" ht="14.25" customHeight="1">
      <c r="A6624" s="307"/>
    </row>
    <row r="6625" ht="14.25" customHeight="1">
      <c r="A6625" s="307"/>
    </row>
    <row r="6626" ht="14.25" customHeight="1">
      <c r="A6626" s="307"/>
    </row>
    <row r="6627" ht="14.25" customHeight="1">
      <c r="A6627" s="307"/>
    </row>
    <row r="6628" ht="14.25" customHeight="1">
      <c r="A6628" s="307"/>
    </row>
    <row r="6629" ht="14.25" customHeight="1">
      <c r="A6629" s="307"/>
    </row>
    <row r="6630" ht="14.25" customHeight="1">
      <c r="A6630" s="307"/>
    </row>
    <row r="6631" ht="14.25" customHeight="1">
      <c r="A6631" s="307"/>
    </row>
    <row r="6632" ht="14.25" customHeight="1">
      <c r="A6632" s="307"/>
    </row>
    <row r="6633" ht="14.25" customHeight="1">
      <c r="A6633" s="307"/>
    </row>
    <row r="6634" ht="14.25" customHeight="1">
      <c r="A6634" s="307"/>
    </row>
    <row r="6635" ht="14.25" customHeight="1">
      <c r="A6635" s="307"/>
    </row>
    <row r="6636" ht="14.25" customHeight="1">
      <c r="A6636" s="307"/>
    </row>
    <row r="6637" ht="14.25" customHeight="1">
      <c r="A6637" s="307"/>
    </row>
    <row r="6638" ht="14.25" customHeight="1">
      <c r="A6638" s="307"/>
    </row>
    <row r="6639" ht="14.25" customHeight="1">
      <c r="A6639" s="307"/>
    </row>
    <row r="6640" ht="14.25" customHeight="1">
      <c r="A6640" s="307"/>
    </row>
    <row r="6641" ht="14.25" customHeight="1">
      <c r="A6641" s="307"/>
    </row>
    <row r="6642" ht="14.25" customHeight="1">
      <c r="A6642" s="307"/>
    </row>
    <row r="6643" ht="14.25" customHeight="1">
      <c r="A6643" s="307"/>
    </row>
    <row r="6644" ht="14.25" customHeight="1">
      <c r="A6644" s="307"/>
    </row>
    <row r="6645" ht="14.25" customHeight="1">
      <c r="A6645" s="307"/>
    </row>
    <row r="6646" ht="14.25" customHeight="1">
      <c r="A6646" s="307"/>
    </row>
    <row r="6647" ht="14.25" customHeight="1">
      <c r="A6647" s="307"/>
    </row>
    <row r="6648" ht="14.25" customHeight="1">
      <c r="A6648" s="307"/>
    </row>
    <row r="6649" ht="14.25" customHeight="1">
      <c r="A6649" s="307"/>
    </row>
    <row r="6650" ht="14.25" customHeight="1">
      <c r="A6650" s="307"/>
    </row>
    <row r="6651" ht="14.25" customHeight="1">
      <c r="A6651" s="307"/>
    </row>
    <row r="6652" ht="14.25" customHeight="1">
      <c r="A6652" s="307"/>
    </row>
    <row r="6653" ht="14.25" customHeight="1">
      <c r="A6653" s="307"/>
    </row>
    <row r="6654" ht="14.25" customHeight="1">
      <c r="A6654" s="307"/>
    </row>
    <row r="6655" ht="14.25" customHeight="1">
      <c r="A6655" s="307"/>
    </row>
    <row r="6656" ht="14.25" customHeight="1">
      <c r="A6656" s="307"/>
    </row>
    <row r="6657" ht="14.25" customHeight="1">
      <c r="A6657" s="307"/>
    </row>
    <row r="6658" ht="14.25" customHeight="1">
      <c r="A6658" s="307"/>
    </row>
    <row r="6659" ht="14.25" customHeight="1">
      <c r="A6659" s="307"/>
    </row>
    <row r="6660" ht="14.25" customHeight="1">
      <c r="A6660" s="307"/>
    </row>
    <row r="6661" ht="14.25" customHeight="1">
      <c r="A6661" s="307"/>
    </row>
    <row r="6662" ht="14.25" customHeight="1">
      <c r="A6662" s="307"/>
    </row>
    <row r="6663" ht="14.25" customHeight="1">
      <c r="A6663" s="307"/>
    </row>
    <row r="6664" ht="14.25" customHeight="1">
      <c r="A6664" s="307"/>
    </row>
    <row r="6665" ht="14.25" customHeight="1">
      <c r="A6665" s="307"/>
    </row>
    <row r="6666" ht="14.25" customHeight="1">
      <c r="A6666" s="307"/>
    </row>
    <row r="6667" ht="14.25" customHeight="1">
      <c r="A6667" s="307"/>
    </row>
    <row r="6668" ht="14.25" customHeight="1">
      <c r="A6668" s="307"/>
    </row>
    <row r="6669" ht="14.25" customHeight="1">
      <c r="A6669" s="307"/>
    </row>
    <row r="6670" ht="14.25" customHeight="1">
      <c r="A6670" s="307"/>
    </row>
    <row r="6671" ht="14.25" customHeight="1">
      <c r="A6671" s="307"/>
    </row>
    <row r="6672" ht="14.25" customHeight="1">
      <c r="A6672" s="307"/>
    </row>
    <row r="6673" ht="14.25" customHeight="1">
      <c r="A6673" s="307"/>
    </row>
    <row r="6674" ht="14.25" customHeight="1">
      <c r="A6674" s="307"/>
    </row>
    <row r="6675" ht="14.25" customHeight="1">
      <c r="A6675" s="307"/>
    </row>
    <row r="6676" ht="14.25" customHeight="1">
      <c r="A6676" s="307"/>
    </row>
    <row r="6677" ht="14.25" customHeight="1">
      <c r="A6677" s="307"/>
    </row>
    <row r="6678" ht="14.25" customHeight="1">
      <c r="A6678" s="307"/>
    </row>
    <row r="6679" ht="14.25" customHeight="1">
      <c r="A6679" s="307"/>
    </row>
    <row r="6680" ht="14.25" customHeight="1">
      <c r="A6680" s="307"/>
    </row>
    <row r="6681" ht="14.25" customHeight="1">
      <c r="A6681" s="307"/>
    </row>
    <row r="6682" ht="14.25" customHeight="1">
      <c r="A6682" s="307"/>
    </row>
    <row r="6683" ht="14.25" customHeight="1">
      <c r="A6683" s="307"/>
    </row>
    <row r="6684" ht="14.25" customHeight="1">
      <c r="A6684" s="307"/>
    </row>
    <row r="6685" ht="14.25" customHeight="1">
      <c r="A6685" s="307"/>
    </row>
    <row r="6686" ht="14.25" customHeight="1">
      <c r="A6686" s="307"/>
    </row>
    <row r="6687" ht="14.25" customHeight="1">
      <c r="A6687" s="307"/>
    </row>
    <row r="6688" ht="14.25" customHeight="1">
      <c r="A6688" s="307"/>
    </row>
    <row r="6689" ht="14.25" customHeight="1">
      <c r="A6689" s="307"/>
    </row>
    <row r="6690" ht="14.25" customHeight="1">
      <c r="A6690" s="307"/>
    </row>
    <row r="6691" ht="14.25" customHeight="1">
      <c r="A6691" s="307"/>
    </row>
    <row r="6692" ht="14.25" customHeight="1">
      <c r="A6692" s="307"/>
    </row>
    <row r="6693" ht="14.25" customHeight="1">
      <c r="A6693" s="307"/>
    </row>
    <row r="6694" ht="14.25" customHeight="1">
      <c r="A6694" s="307"/>
    </row>
    <row r="6695" ht="14.25" customHeight="1">
      <c r="A6695" s="307"/>
    </row>
    <row r="6696" ht="14.25" customHeight="1">
      <c r="A6696" s="307"/>
    </row>
    <row r="6697" ht="14.25" customHeight="1">
      <c r="A6697" s="307"/>
    </row>
    <row r="6698" ht="14.25" customHeight="1">
      <c r="A6698" s="307"/>
    </row>
    <row r="6699" ht="14.25" customHeight="1">
      <c r="A6699" s="307"/>
    </row>
    <row r="6700" ht="14.25" customHeight="1">
      <c r="A6700" s="307"/>
    </row>
    <row r="6701" ht="14.25" customHeight="1">
      <c r="A6701" s="307"/>
    </row>
    <row r="6702" ht="14.25" customHeight="1">
      <c r="A6702" s="307"/>
    </row>
    <row r="6703" ht="14.25" customHeight="1">
      <c r="A6703" s="307"/>
    </row>
    <row r="6704" ht="14.25" customHeight="1">
      <c r="A6704" s="307"/>
    </row>
    <row r="6705" ht="14.25" customHeight="1">
      <c r="A6705" s="307"/>
    </row>
    <row r="6706" ht="14.25" customHeight="1">
      <c r="A6706" s="307"/>
    </row>
    <row r="6707" ht="14.25" customHeight="1">
      <c r="A6707" s="307"/>
    </row>
    <row r="6708" ht="14.25" customHeight="1">
      <c r="A6708" s="307"/>
    </row>
    <row r="6709" ht="14.25" customHeight="1">
      <c r="A6709" s="307"/>
    </row>
    <row r="6710" ht="14.25" customHeight="1">
      <c r="A6710" s="307"/>
    </row>
    <row r="6711" ht="14.25" customHeight="1">
      <c r="A6711" s="307"/>
    </row>
    <row r="6712" ht="14.25" customHeight="1">
      <c r="A6712" s="307"/>
    </row>
    <row r="6713" ht="14.25" customHeight="1">
      <c r="A6713" s="307"/>
    </row>
    <row r="6714" ht="14.25" customHeight="1">
      <c r="A6714" s="307"/>
    </row>
    <row r="6715" ht="14.25" customHeight="1">
      <c r="A6715" s="307"/>
    </row>
    <row r="6716" ht="14.25" customHeight="1">
      <c r="A6716" s="307"/>
    </row>
    <row r="6717" ht="14.25" customHeight="1">
      <c r="A6717" s="307"/>
    </row>
    <row r="6718" ht="14.25" customHeight="1">
      <c r="A6718" s="307"/>
    </row>
    <row r="6719" ht="14.25" customHeight="1">
      <c r="A6719" s="307"/>
    </row>
    <row r="6720" ht="14.25" customHeight="1">
      <c r="A6720" s="307"/>
    </row>
    <row r="6721" ht="14.25" customHeight="1">
      <c r="A6721" s="307"/>
    </row>
    <row r="6722" ht="14.25" customHeight="1">
      <c r="A6722" s="307"/>
    </row>
    <row r="6723" ht="14.25" customHeight="1">
      <c r="A6723" s="307"/>
    </row>
    <row r="6724" ht="14.25" customHeight="1">
      <c r="A6724" s="307"/>
    </row>
    <row r="6725" ht="14.25" customHeight="1">
      <c r="A6725" s="307"/>
    </row>
    <row r="6726" ht="14.25" customHeight="1">
      <c r="A6726" s="307"/>
    </row>
    <row r="6727" ht="14.25" customHeight="1">
      <c r="A6727" s="307"/>
    </row>
    <row r="6728" ht="14.25" customHeight="1">
      <c r="A6728" s="307"/>
    </row>
    <row r="6729" ht="14.25" customHeight="1">
      <c r="A6729" s="307"/>
    </row>
    <row r="6730" ht="14.25" customHeight="1">
      <c r="A6730" s="307"/>
    </row>
    <row r="6731" ht="14.25" customHeight="1">
      <c r="A6731" s="307"/>
    </row>
    <row r="6732" ht="14.25" customHeight="1">
      <c r="A6732" s="307"/>
    </row>
    <row r="6733" ht="14.25" customHeight="1">
      <c r="A6733" s="307"/>
    </row>
    <row r="6734" ht="14.25" customHeight="1">
      <c r="A6734" s="307"/>
    </row>
    <row r="6735" ht="14.25" customHeight="1">
      <c r="A6735" s="307"/>
    </row>
    <row r="6736" ht="14.25" customHeight="1">
      <c r="A6736" s="307"/>
    </row>
    <row r="6737" ht="14.25" customHeight="1">
      <c r="A6737" s="307"/>
    </row>
    <row r="6738" ht="14.25" customHeight="1">
      <c r="A6738" s="307"/>
    </row>
    <row r="6739" ht="14.25" customHeight="1">
      <c r="A6739" s="307"/>
    </row>
    <row r="6740" ht="14.25" customHeight="1">
      <c r="A6740" s="307"/>
    </row>
    <row r="6741" ht="14.25" customHeight="1">
      <c r="A6741" s="307"/>
    </row>
    <row r="6742" ht="14.25" customHeight="1">
      <c r="A6742" s="307"/>
    </row>
    <row r="6743" ht="14.25" customHeight="1">
      <c r="A6743" s="307"/>
    </row>
    <row r="6744" ht="14.25" customHeight="1">
      <c r="A6744" s="307"/>
    </row>
    <row r="6745" ht="14.25" customHeight="1">
      <c r="A6745" s="307"/>
    </row>
    <row r="6746" ht="14.25" customHeight="1">
      <c r="A6746" s="307"/>
    </row>
    <row r="6747" ht="14.25" customHeight="1">
      <c r="A6747" s="307"/>
    </row>
    <row r="6748" ht="14.25" customHeight="1">
      <c r="A6748" s="307"/>
    </row>
    <row r="6749" ht="14.25" customHeight="1">
      <c r="A6749" s="307"/>
    </row>
    <row r="6750" ht="14.25" customHeight="1">
      <c r="A6750" s="307"/>
    </row>
    <row r="6751" ht="14.25" customHeight="1">
      <c r="A6751" s="307"/>
    </row>
    <row r="6752" ht="14.25" customHeight="1">
      <c r="A6752" s="307"/>
    </row>
    <row r="6753" ht="14.25" customHeight="1">
      <c r="A6753" s="307"/>
    </row>
    <row r="6754" ht="14.25" customHeight="1">
      <c r="A6754" s="307"/>
    </row>
    <row r="6755" ht="14.25" customHeight="1">
      <c r="A6755" s="307"/>
    </row>
    <row r="6756" ht="14.25" customHeight="1">
      <c r="A6756" s="307"/>
    </row>
    <row r="6757" ht="14.25" customHeight="1">
      <c r="A6757" s="307"/>
    </row>
    <row r="6758" ht="14.25" customHeight="1">
      <c r="A6758" s="307"/>
    </row>
    <row r="6759" ht="14.25" customHeight="1">
      <c r="A6759" s="307"/>
    </row>
    <row r="6760" ht="14.25" customHeight="1">
      <c r="A6760" s="307"/>
    </row>
    <row r="6761" ht="14.25" customHeight="1">
      <c r="A6761" s="307"/>
    </row>
    <row r="6762" ht="14.25" customHeight="1">
      <c r="A6762" s="307"/>
    </row>
    <row r="6763" ht="14.25" customHeight="1">
      <c r="A6763" s="307"/>
    </row>
    <row r="6764" ht="14.25" customHeight="1">
      <c r="A6764" s="307"/>
    </row>
    <row r="6765" ht="14.25" customHeight="1">
      <c r="A6765" s="307"/>
    </row>
    <row r="6766" ht="14.25" customHeight="1">
      <c r="A6766" s="307"/>
    </row>
    <row r="6767" ht="14.25" customHeight="1">
      <c r="A6767" s="307"/>
    </row>
    <row r="6768" ht="14.25" customHeight="1">
      <c r="A6768" s="307"/>
    </row>
    <row r="6769" ht="14.25" customHeight="1">
      <c r="A6769" s="307"/>
    </row>
    <row r="6770" ht="14.25" customHeight="1">
      <c r="A6770" s="307"/>
    </row>
    <row r="6771" ht="14.25" customHeight="1">
      <c r="A6771" s="307"/>
    </row>
    <row r="6772" ht="14.25" customHeight="1">
      <c r="A6772" s="307"/>
    </row>
    <row r="6773" ht="14.25" customHeight="1">
      <c r="A6773" s="307"/>
    </row>
    <row r="6774" ht="14.25" customHeight="1">
      <c r="A6774" s="307"/>
    </row>
    <row r="6775" ht="14.25" customHeight="1">
      <c r="A6775" s="307"/>
    </row>
    <row r="6776" ht="14.25" customHeight="1">
      <c r="A6776" s="307"/>
    </row>
    <row r="6777" ht="14.25" customHeight="1">
      <c r="A6777" s="307"/>
    </row>
    <row r="6778" ht="14.25" customHeight="1">
      <c r="A6778" s="307"/>
    </row>
    <row r="6779" ht="14.25" customHeight="1">
      <c r="A6779" s="307"/>
    </row>
    <row r="6780" ht="14.25" customHeight="1">
      <c r="A6780" s="307"/>
    </row>
    <row r="6781" ht="14.25" customHeight="1">
      <c r="A6781" s="307"/>
    </row>
    <row r="6782" ht="14.25" customHeight="1">
      <c r="A6782" s="307"/>
    </row>
    <row r="6783" ht="14.25" customHeight="1">
      <c r="A6783" s="307"/>
    </row>
    <row r="6784" ht="14.25" customHeight="1">
      <c r="A6784" s="307"/>
    </row>
    <row r="6785" ht="14.25" customHeight="1">
      <c r="A6785" s="307"/>
    </row>
    <row r="6786" ht="14.25" customHeight="1">
      <c r="A6786" s="307"/>
    </row>
    <row r="6787" ht="14.25" customHeight="1">
      <c r="A6787" s="307"/>
    </row>
    <row r="6788" ht="14.25" customHeight="1">
      <c r="A6788" s="307"/>
    </row>
    <row r="6789" ht="14.25" customHeight="1">
      <c r="A6789" s="307"/>
    </row>
    <row r="6790" ht="14.25" customHeight="1">
      <c r="A6790" s="307"/>
    </row>
    <row r="6791" ht="14.25" customHeight="1">
      <c r="A6791" s="307"/>
    </row>
    <row r="6792" ht="14.25" customHeight="1">
      <c r="A6792" s="307"/>
    </row>
    <row r="6793" ht="14.25" customHeight="1">
      <c r="A6793" s="307"/>
    </row>
    <row r="6794" ht="14.25" customHeight="1">
      <c r="A6794" s="307"/>
    </row>
    <row r="6795" ht="14.25" customHeight="1">
      <c r="A6795" s="307"/>
    </row>
    <row r="6796" ht="14.25" customHeight="1">
      <c r="A6796" s="307"/>
    </row>
    <row r="6797" ht="14.25" customHeight="1">
      <c r="A6797" s="307"/>
    </row>
    <row r="6798" ht="14.25" customHeight="1">
      <c r="A6798" s="307"/>
    </row>
    <row r="6799" ht="14.25" customHeight="1">
      <c r="A6799" s="307"/>
    </row>
    <row r="6800" ht="14.25" customHeight="1">
      <c r="A6800" s="307"/>
    </row>
    <row r="6801" ht="14.25" customHeight="1">
      <c r="A6801" s="307"/>
    </row>
    <row r="6802" ht="14.25" customHeight="1">
      <c r="A6802" s="307"/>
    </row>
    <row r="6803" ht="14.25" customHeight="1">
      <c r="A6803" s="307"/>
    </row>
    <row r="6804" ht="14.25" customHeight="1">
      <c r="A6804" s="307"/>
    </row>
    <row r="6805" ht="14.25" customHeight="1">
      <c r="A6805" s="307"/>
    </row>
    <row r="6806" ht="14.25" customHeight="1">
      <c r="A6806" s="307"/>
    </row>
    <row r="6807" ht="14.25" customHeight="1">
      <c r="A6807" s="307"/>
    </row>
    <row r="6808" ht="14.25" customHeight="1">
      <c r="A6808" s="307"/>
    </row>
    <row r="6809" ht="14.25" customHeight="1">
      <c r="A6809" s="307"/>
    </row>
    <row r="6810" ht="14.25" customHeight="1">
      <c r="A6810" s="307"/>
    </row>
    <row r="6811" ht="14.25" customHeight="1">
      <c r="A6811" s="307"/>
    </row>
    <row r="6812" ht="14.25" customHeight="1">
      <c r="A6812" s="307"/>
    </row>
    <row r="6813" ht="14.25" customHeight="1">
      <c r="A6813" s="307"/>
    </row>
    <row r="6814" ht="14.25" customHeight="1">
      <c r="A6814" s="307"/>
    </row>
    <row r="6815" ht="14.25" customHeight="1">
      <c r="A6815" s="307"/>
    </row>
    <row r="6816" ht="14.25" customHeight="1">
      <c r="A6816" s="307"/>
    </row>
    <row r="6817" ht="14.25" customHeight="1">
      <c r="A6817" s="307"/>
    </row>
    <row r="6818" ht="14.25" customHeight="1">
      <c r="A6818" s="307"/>
    </row>
    <row r="6819" ht="14.25" customHeight="1">
      <c r="A6819" s="307"/>
    </row>
    <row r="6820" ht="14.25" customHeight="1">
      <c r="A6820" s="307"/>
    </row>
    <row r="6821" ht="14.25" customHeight="1">
      <c r="A6821" s="307"/>
    </row>
    <row r="6822" ht="14.25" customHeight="1">
      <c r="A6822" s="307"/>
    </row>
    <row r="6823" ht="14.25" customHeight="1">
      <c r="A6823" s="307"/>
    </row>
    <row r="6824" ht="14.25" customHeight="1">
      <c r="A6824" s="307"/>
    </row>
    <row r="6825" ht="14.25" customHeight="1">
      <c r="A6825" s="307"/>
    </row>
    <row r="6826" ht="14.25" customHeight="1">
      <c r="A6826" s="307"/>
    </row>
    <row r="6827" ht="14.25" customHeight="1">
      <c r="A6827" s="307"/>
    </row>
    <row r="6828" ht="14.25" customHeight="1">
      <c r="A6828" s="307"/>
    </row>
    <row r="6829" ht="14.25" customHeight="1">
      <c r="A6829" s="307"/>
    </row>
    <row r="6830" ht="14.25" customHeight="1">
      <c r="A6830" s="307"/>
    </row>
    <row r="6831" ht="14.25" customHeight="1">
      <c r="A6831" s="307"/>
    </row>
    <row r="6832" ht="14.25" customHeight="1">
      <c r="A6832" s="307"/>
    </row>
    <row r="6833" ht="14.25" customHeight="1">
      <c r="A6833" s="307"/>
    </row>
    <row r="6834" ht="14.25" customHeight="1">
      <c r="A6834" s="307"/>
    </row>
    <row r="6835" ht="14.25" customHeight="1">
      <c r="A6835" s="307"/>
    </row>
    <row r="6836" ht="14.25" customHeight="1">
      <c r="A6836" s="307"/>
    </row>
    <row r="6837" ht="14.25" customHeight="1">
      <c r="A6837" s="307"/>
    </row>
    <row r="6838" ht="14.25" customHeight="1">
      <c r="A6838" s="307"/>
    </row>
    <row r="6839" ht="14.25" customHeight="1">
      <c r="A6839" s="307"/>
    </row>
    <row r="6840" ht="14.25" customHeight="1">
      <c r="A6840" s="307"/>
    </row>
    <row r="6841" ht="14.25" customHeight="1">
      <c r="A6841" s="307"/>
    </row>
    <row r="6842" ht="14.25" customHeight="1">
      <c r="A6842" s="307"/>
    </row>
    <row r="6843" ht="14.25" customHeight="1">
      <c r="A6843" s="307"/>
    </row>
    <row r="6844" ht="14.25" customHeight="1">
      <c r="A6844" s="307"/>
    </row>
    <row r="6845" ht="14.25" customHeight="1">
      <c r="A6845" s="307"/>
    </row>
    <row r="6846" ht="14.25" customHeight="1">
      <c r="A6846" s="307"/>
    </row>
    <row r="6847" ht="14.25" customHeight="1">
      <c r="A6847" s="307"/>
    </row>
    <row r="6848" ht="14.25" customHeight="1">
      <c r="A6848" s="307"/>
    </row>
    <row r="6849" ht="14.25" customHeight="1">
      <c r="A6849" s="307"/>
    </row>
    <row r="6850" ht="14.25" customHeight="1">
      <c r="A6850" s="307"/>
    </row>
    <row r="6851" ht="14.25" customHeight="1">
      <c r="A6851" s="307"/>
    </row>
    <row r="6852" ht="14.25" customHeight="1">
      <c r="A6852" s="307"/>
    </row>
    <row r="6853" ht="14.25" customHeight="1">
      <c r="A6853" s="307"/>
    </row>
    <row r="6854" ht="14.25" customHeight="1">
      <c r="A6854" s="307"/>
    </row>
    <row r="6855" ht="14.25" customHeight="1">
      <c r="A6855" s="307"/>
    </row>
    <row r="6856" ht="14.25" customHeight="1">
      <c r="A6856" s="307"/>
    </row>
    <row r="6857" ht="14.25" customHeight="1">
      <c r="A6857" s="307"/>
    </row>
    <row r="6858" ht="14.25" customHeight="1">
      <c r="A6858" s="307"/>
    </row>
    <row r="6859" ht="14.25" customHeight="1">
      <c r="A6859" s="307"/>
    </row>
    <row r="6860" ht="14.25" customHeight="1">
      <c r="A6860" s="307"/>
    </row>
    <row r="6861" ht="14.25" customHeight="1">
      <c r="A6861" s="307"/>
    </row>
    <row r="6862" ht="14.25" customHeight="1">
      <c r="A6862" s="307"/>
    </row>
    <row r="6863" ht="14.25" customHeight="1">
      <c r="A6863" s="307"/>
    </row>
    <row r="6864" ht="14.25" customHeight="1">
      <c r="A6864" s="307"/>
    </row>
    <row r="6865" ht="14.25" customHeight="1">
      <c r="A6865" s="307"/>
    </row>
    <row r="6866" ht="14.25" customHeight="1">
      <c r="A6866" s="307"/>
    </row>
    <row r="6867" ht="14.25" customHeight="1">
      <c r="A6867" s="307"/>
    </row>
    <row r="6868" ht="14.25" customHeight="1">
      <c r="A6868" s="307"/>
    </row>
    <row r="6869" ht="14.25" customHeight="1">
      <c r="A6869" s="307"/>
    </row>
    <row r="6870" ht="14.25" customHeight="1">
      <c r="A6870" s="307"/>
    </row>
    <row r="6871" ht="14.25" customHeight="1">
      <c r="A6871" s="307"/>
    </row>
    <row r="6872" ht="14.25" customHeight="1">
      <c r="A6872" s="307"/>
    </row>
    <row r="6873" ht="14.25" customHeight="1">
      <c r="A6873" s="307"/>
    </row>
    <row r="6874" ht="14.25" customHeight="1">
      <c r="A6874" s="307"/>
    </row>
    <row r="6875" ht="14.25" customHeight="1">
      <c r="A6875" s="307"/>
    </row>
    <row r="6876" ht="14.25" customHeight="1">
      <c r="A6876" s="307"/>
    </row>
    <row r="6877" ht="14.25" customHeight="1">
      <c r="A6877" s="307"/>
    </row>
    <row r="6878" ht="14.25" customHeight="1">
      <c r="A6878" s="307"/>
    </row>
    <row r="6879" ht="14.25" customHeight="1">
      <c r="A6879" s="307"/>
    </row>
    <row r="6880" ht="14.25" customHeight="1">
      <c r="A6880" s="307"/>
    </row>
    <row r="6881" ht="14.25" customHeight="1">
      <c r="A6881" s="307"/>
    </row>
    <row r="6882" ht="14.25" customHeight="1">
      <c r="A6882" s="307"/>
    </row>
    <row r="6883" ht="14.25" customHeight="1">
      <c r="A6883" s="307"/>
    </row>
    <row r="6884" ht="14.25" customHeight="1">
      <c r="A6884" s="307"/>
    </row>
    <row r="6885" ht="14.25" customHeight="1">
      <c r="A6885" s="307"/>
    </row>
    <row r="6886" ht="14.25" customHeight="1">
      <c r="A6886" s="307"/>
    </row>
    <row r="6887" ht="14.25" customHeight="1">
      <c r="A6887" s="307"/>
    </row>
    <row r="6888" ht="14.25" customHeight="1">
      <c r="A6888" s="307"/>
    </row>
    <row r="6889" ht="14.25" customHeight="1">
      <c r="A6889" s="307"/>
    </row>
    <row r="6890" ht="14.25" customHeight="1">
      <c r="A6890" s="307"/>
    </row>
    <row r="6891" ht="14.25" customHeight="1">
      <c r="A6891" s="307"/>
    </row>
    <row r="6892" ht="14.25" customHeight="1">
      <c r="A6892" s="307"/>
    </row>
    <row r="6893" ht="14.25" customHeight="1">
      <c r="A6893" s="307"/>
    </row>
    <row r="6894" ht="14.25" customHeight="1">
      <c r="A6894" s="307"/>
    </row>
    <row r="6895" ht="14.25" customHeight="1">
      <c r="A6895" s="307"/>
    </row>
    <row r="6896" ht="14.25" customHeight="1">
      <c r="A6896" s="307"/>
    </row>
    <row r="6897" ht="14.25" customHeight="1">
      <c r="A6897" s="307"/>
    </row>
    <row r="6898" ht="14.25" customHeight="1">
      <c r="A6898" s="307"/>
    </row>
    <row r="6899" ht="14.25" customHeight="1">
      <c r="A6899" s="307"/>
    </row>
    <row r="6900" ht="14.25" customHeight="1">
      <c r="A6900" s="307"/>
    </row>
    <row r="6901" ht="14.25" customHeight="1">
      <c r="A6901" s="307"/>
    </row>
    <row r="6902" ht="14.25" customHeight="1">
      <c r="A6902" s="307"/>
    </row>
    <row r="6903" ht="14.25" customHeight="1">
      <c r="A6903" s="307"/>
    </row>
    <row r="6904" ht="14.25" customHeight="1">
      <c r="A6904" s="307"/>
    </row>
    <row r="6905" ht="14.25" customHeight="1">
      <c r="A6905" s="307"/>
    </row>
    <row r="6906" ht="14.25" customHeight="1">
      <c r="A6906" s="307"/>
    </row>
    <row r="6907" ht="14.25" customHeight="1">
      <c r="A6907" s="307"/>
    </row>
    <row r="6908" ht="14.25" customHeight="1">
      <c r="A6908" s="307"/>
    </row>
    <row r="6909" ht="14.25" customHeight="1">
      <c r="A6909" s="307"/>
    </row>
    <row r="6910" ht="14.25" customHeight="1">
      <c r="A6910" s="307"/>
    </row>
    <row r="6911" ht="14.25" customHeight="1">
      <c r="A6911" s="307"/>
    </row>
    <row r="6912" ht="14.25" customHeight="1">
      <c r="A6912" s="307"/>
    </row>
    <row r="6913" ht="14.25" customHeight="1">
      <c r="A6913" s="307"/>
    </row>
    <row r="6914" ht="14.25" customHeight="1">
      <c r="A6914" s="307"/>
    </row>
    <row r="6915" ht="14.25" customHeight="1">
      <c r="A6915" s="307"/>
    </row>
    <row r="6916" ht="14.25" customHeight="1">
      <c r="A6916" s="307"/>
    </row>
    <row r="6917" ht="14.25" customHeight="1">
      <c r="A6917" s="307"/>
    </row>
    <row r="6918" ht="14.25" customHeight="1">
      <c r="A6918" s="307"/>
    </row>
    <row r="6919" ht="14.25" customHeight="1">
      <c r="A6919" s="307"/>
    </row>
    <row r="6920" ht="14.25" customHeight="1">
      <c r="A6920" s="307"/>
    </row>
    <row r="6921" ht="14.25" customHeight="1">
      <c r="A6921" s="307"/>
    </row>
    <row r="6922" ht="14.25" customHeight="1">
      <c r="A6922" s="307"/>
    </row>
    <row r="6923" ht="14.25" customHeight="1">
      <c r="A6923" s="307"/>
    </row>
    <row r="6924" ht="14.25" customHeight="1">
      <c r="A6924" s="307"/>
    </row>
    <row r="6925" ht="14.25" customHeight="1">
      <c r="A6925" s="307"/>
    </row>
    <row r="6926" ht="14.25" customHeight="1">
      <c r="A6926" s="307"/>
    </row>
    <row r="6927" ht="14.25" customHeight="1">
      <c r="A6927" s="307"/>
    </row>
    <row r="6928" ht="14.25" customHeight="1">
      <c r="A6928" s="307"/>
    </row>
    <row r="6929" ht="14.25" customHeight="1">
      <c r="A6929" s="307"/>
    </row>
    <row r="6930" ht="14.25" customHeight="1">
      <c r="A6930" s="307"/>
    </row>
    <row r="6931" ht="14.25" customHeight="1">
      <c r="A6931" s="307"/>
    </row>
    <row r="6932" ht="14.25" customHeight="1">
      <c r="A6932" s="307"/>
    </row>
    <row r="6933" ht="14.25" customHeight="1">
      <c r="A6933" s="307"/>
    </row>
    <row r="6934" ht="14.25" customHeight="1">
      <c r="A6934" s="307"/>
    </row>
    <row r="6935" ht="14.25" customHeight="1">
      <c r="A6935" s="307"/>
    </row>
    <row r="6936" ht="14.25" customHeight="1">
      <c r="A6936" s="307"/>
    </row>
    <row r="6937" ht="14.25" customHeight="1">
      <c r="A6937" s="307"/>
    </row>
    <row r="6938" ht="14.25" customHeight="1">
      <c r="A6938" s="307"/>
    </row>
    <row r="6939" ht="14.25" customHeight="1">
      <c r="A6939" s="307"/>
    </row>
    <row r="6940" ht="14.25" customHeight="1">
      <c r="A6940" s="307"/>
    </row>
    <row r="6941" ht="14.25" customHeight="1">
      <c r="A6941" s="307"/>
    </row>
    <row r="6942" ht="14.25" customHeight="1">
      <c r="A6942" s="307"/>
    </row>
    <row r="6943" ht="14.25" customHeight="1">
      <c r="A6943" s="307"/>
    </row>
    <row r="6944" ht="14.25" customHeight="1">
      <c r="A6944" s="307"/>
    </row>
    <row r="6945" ht="14.25" customHeight="1">
      <c r="A6945" s="307"/>
    </row>
    <row r="6946" ht="14.25" customHeight="1">
      <c r="A6946" s="307"/>
    </row>
    <row r="6947" ht="14.25" customHeight="1">
      <c r="A6947" s="307"/>
    </row>
    <row r="6948" ht="14.25" customHeight="1">
      <c r="A6948" s="307"/>
    </row>
    <row r="6949" ht="14.25" customHeight="1">
      <c r="A6949" s="307"/>
    </row>
    <row r="6950" ht="14.25" customHeight="1">
      <c r="A6950" s="307"/>
    </row>
    <row r="6951" ht="14.25" customHeight="1">
      <c r="A6951" s="307"/>
    </row>
    <row r="6952" ht="14.25" customHeight="1">
      <c r="A6952" s="307"/>
    </row>
    <row r="6953" ht="14.25" customHeight="1">
      <c r="A6953" s="307"/>
    </row>
    <row r="6954" ht="14.25" customHeight="1">
      <c r="A6954" s="307"/>
    </row>
    <row r="6955" ht="14.25" customHeight="1">
      <c r="A6955" s="307"/>
    </row>
    <row r="6956" ht="14.25" customHeight="1">
      <c r="A6956" s="307"/>
    </row>
    <row r="6957" ht="14.25" customHeight="1">
      <c r="A6957" s="307"/>
    </row>
    <row r="6958" ht="14.25" customHeight="1">
      <c r="A6958" s="307"/>
    </row>
    <row r="6959" ht="14.25" customHeight="1">
      <c r="A6959" s="307"/>
    </row>
    <row r="6960" ht="14.25" customHeight="1">
      <c r="A6960" s="307"/>
    </row>
    <row r="6961" ht="14.25" customHeight="1">
      <c r="A6961" s="307"/>
    </row>
    <row r="6962" ht="14.25" customHeight="1">
      <c r="A6962" s="307"/>
    </row>
    <row r="6963" ht="14.25" customHeight="1">
      <c r="A6963" s="307"/>
    </row>
    <row r="6964" ht="14.25" customHeight="1">
      <c r="A6964" s="307"/>
    </row>
    <row r="6965" ht="14.25" customHeight="1">
      <c r="A6965" s="307"/>
    </row>
    <row r="6966" ht="14.25" customHeight="1">
      <c r="A6966" s="307"/>
    </row>
    <row r="6967" ht="14.25" customHeight="1">
      <c r="A6967" s="307"/>
    </row>
    <row r="6968" ht="14.25" customHeight="1">
      <c r="A6968" s="307"/>
    </row>
    <row r="6969" ht="14.25" customHeight="1">
      <c r="A6969" s="307"/>
    </row>
    <row r="6970" ht="14.25" customHeight="1">
      <c r="A6970" s="307"/>
    </row>
    <row r="6971" ht="14.25" customHeight="1">
      <c r="A6971" s="307"/>
    </row>
    <row r="6972" ht="14.25" customHeight="1">
      <c r="A6972" s="307"/>
    </row>
    <row r="6973" ht="14.25" customHeight="1">
      <c r="A6973" s="307"/>
    </row>
    <row r="6974" ht="14.25" customHeight="1">
      <c r="A6974" s="307"/>
    </row>
    <row r="6975" ht="14.25" customHeight="1">
      <c r="A6975" s="307"/>
    </row>
    <row r="6976" ht="14.25" customHeight="1">
      <c r="A6976" s="307"/>
    </row>
    <row r="6977" ht="14.25" customHeight="1">
      <c r="A6977" s="307"/>
    </row>
    <row r="6978" ht="14.25" customHeight="1">
      <c r="A6978" s="307"/>
    </row>
    <row r="6979" ht="14.25" customHeight="1">
      <c r="A6979" s="307"/>
    </row>
    <row r="6980" ht="14.25" customHeight="1">
      <c r="A6980" s="307"/>
    </row>
    <row r="6981" ht="14.25" customHeight="1">
      <c r="A6981" s="307"/>
    </row>
    <row r="6982" ht="14.25" customHeight="1">
      <c r="A6982" s="307"/>
    </row>
    <row r="6983" ht="14.25" customHeight="1">
      <c r="A6983" s="307"/>
    </row>
    <row r="6984" ht="14.25" customHeight="1">
      <c r="A6984" s="307"/>
    </row>
    <row r="6985" ht="14.25" customHeight="1">
      <c r="A6985" s="307"/>
    </row>
    <row r="6986" ht="14.25" customHeight="1">
      <c r="A6986" s="307"/>
    </row>
    <row r="6987" ht="14.25" customHeight="1">
      <c r="A6987" s="307"/>
    </row>
    <row r="6988" ht="14.25" customHeight="1">
      <c r="A6988" s="307"/>
    </row>
    <row r="6989" ht="14.25" customHeight="1">
      <c r="A6989" s="307"/>
    </row>
    <row r="6990" ht="14.25" customHeight="1">
      <c r="A6990" s="307"/>
    </row>
    <row r="6991" ht="14.25" customHeight="1">
      <c r="A6991" s="307"/>
    </row>
    <row r="6992" ht="14.25" customHeight="1">
      <c r="A6992" s="307"/>
    </row>
    <row r="6993" ht="14.25" customHeight="1">
      <c r="A6993" s="307"/>
    </row>
    <row r="6994" ht="14.25" customHeight="1">
      <c r="A6994" s="307"/>
    </row>
    <row r="6995" ht="14.25" customHeight="1">
      <c r="A6995" s="307"/>
    </row>
    <row r="6996" ht="14.25" customHeight="1">
      <c r="A6996" s="307"/>
    </row>
    <row r="6997" ht="14.25" customHeight="1">
      <c r="A6997" s="307"/>
    </row>
    <row r="6998" ht="14.25" customHeight="1">
      <c r="A6998" s="307"/>
    </row>
    <row r="6999" ht="14.25" customHeight="1">
      <c r="A6999" s="307"/>
    </row>
    <row r="7000" ht="14.25" customHeight="1">
      <c r="A7000" s="307"/>
    </row>
    <row r="7001" ht="14.25" customHeight="1">
      <c r="A7001" s="307"/>
    </row>
    <row r="7002" ht="14.25" customHeight="1">
      <c r="A7002" s="307"/>
    </row>
    <row r="7003" ht="14.25" customHeight="1">
      <c r="A7003" s="307"/>
    </row>
    <row r="7004" ht="14.25" customHeight="1">
      <c r="A7004" s="307"/>
    </row>
    <row r="7005" ht="14.25" customHeight="1">
      <c r="A7005" s="307"/>
    </row>
    <row r="7006" ht="14.25" customHeight="1">
      <c r="A7006" s="307"/>
    </row>
    <row r="7007" ht="14.25" customHeight="1">
      <c r="A7007" s="307"/>
    </row>
    <row r="7008" ht="14.25" customHeight="1">
      <c r="A7008" s="307"/>
    </row>
    <row r="7009" ht="14.25" customHeight="1">
      <c r="A7009" s="307"/>
    </row>
    <row r="7010" ht="14.25" customHeight="1">
      <c r="A7010" s="307"/>
    </row>
    <row r="7011" ht="14.25" customHeight="1">
      <c r="A7011" s="307"/>
    </row>
    <row r="7012" ht="14.25" customHeight="1">
      <c r="A7012" s="307"/>
    </row>
    <row r="7013" ht="14.25" customHeight="1">
      <c r="A7013" s="307"/>
    </row>
    <row r="7014" ht="14.25" customHeight="1">
      <c r="A7014" s="307"/>
    </row>
    <row r="7015" ht="14.25" customHeight="1">
      <c r="A7015" s="307"/>
    </row>
    <row r="7016" ht="14.25" customHeight="1">
      <c r="A7016" s="307"/>
    </row>
    <row r="7017" ht="14.25" customHeight="1">
      <c r="A7017" s="307"/>
    </row>
    <row r="7018" ht="14.25" customHeight="1">
      <c r="A7018" s="307"/>
    </row>
    <row r="7019" ht="14.25" customHeight="1">
      <c r="A7019" s="307"/>
    </row>
    <row r="7020" ht="14.25" customHeight="1">
      <c r="A7020" s="307"/>
    </row>
    <row r="7021" ht="14.25" customHeight="1">
      <c r="A7021" s="307"/>
    </row>
    <row r="7022" ht="14.25" customHeight="1">
      <c r="A7022" s="307"/>
    </row>
    <row r="7023" ht="14.25" customHeight="1">
      <c r="A7023" s="307"/>
    </row>
    <row r="7024" ht="14.25" customHeight="1">
      <c r="A7024" s="307"/>
    </row>
    <row r="7025" ht="14.25" customHeight="1">
      <c r="A7025" s="307"/>
    </row>
    <row r="7026" ht="14.25" customHeight="1">
      <c r="A7026" s="307"/>
    </row>
    <row r="7027" ht="14.25" customHeight="1">
      <c r="A7027" s="307"/>
    </row>
    <row r="7028" ht="14.25" customHeight="1">
      <c r="A7028" s="307"/>
    </row>
    <row r="7029" ht="14.25" customHeight="1">
      <c r="A7029" s="307"/>
    </row>
    <row r="7030" ht="14.25" customHeight="1">
      <c r="A7030" s="307"/>
    </row>
    <row r="7031" ht="14.25" customHeight="1">
      <c r="A7031" s="307"/>
    </row>
    <row r="7032" ht="14.25" customHeight="1">
      <c r="A7032" s="307"/>
    </row>
    <row r="7033" ht="14.25" customHeight="1">
      <c r="A7033" s="307"/>
    </row>
    <row r="7034" ht="14.25" customHeight="1">
      <c r="A7034" s="307"/>
    </row>
    <row r="7035" ht="14.25" customHeight="1">
      <c r="A7035" s="307"/>
    </row>
    <row r="7036" ht="14.25" customHeight="1">
      <c r="A7036" s="307"/>
    </row>
    <row r="7037" ht="14.25" customHeight="1">
      <c r="A7037" s="307"/>
    </row>
    <row r="7038" ht="14.25" customHeight="1">
      <c r="A7038" s="307"/>
    </row>
    <row r="7039" ht="14.25" customHeight="1">
      <c r="A7039" s="307"/>
    </row>
    <row r="7040" ht="14.25" customHeight="1">
      <c r="A7040" s="307"/>
    </row>
    <row r="7041" ht="14.25" customHeight="1">
      <c r="A7041" s="307"/>
    </row>
    <row r="7042" ht="14.25" customHeight="1">
      <c r="A7042" s="307"/>
    </row>
    <row r="7043" ht="14.25" customHeight="1">
      <c r="A7043" s="307"/>
    </row>
    <row r="7044" ht="14.25" customHeight="1">
      <c r="A7044" s="307"/>
    </row>
    <row r="7045" ht="14.25" customHeight="1">
      <c r="A7045" s="307"/>
    </row>
    <row r="7046" ht="14.25" customHeight="1">
      <c r="A7046" s="307"/>
    </row>
    <row r="7047" ht="14.25" customHeight="1">
      <c r="A7047" s="307"/>
    </row>
    <row r="7048" ht="14.25" customHeight="1">
      <c r="A7048" s="307"/>
    </row>
    <row r="7049" ht="14.25" customHeight="1">
      <c r="A7049" s="307"/>
    </row>
    <row r="7050" ht="14.25" customHeight="1">
      <c r="A7050" s="307"/>
    </row>
    <row r="7051" ht="14.25" customHeight="1">
      <c r="A7051" s="307"/>
    </row>
    <row r="7052" ht="14.25" customHeight="1">
      <c r="A7052" s="307"/>
    </row>
    <row r="7053" ht="14.25" customHeight="1">
      <c r="A7053" s="307"/>
    </row>
    <row r="7054" ht="14.25" customHeight="1">
      <c r="A7054" s="307"/>
    </row>
    <row r="7055" ht="14.25" customHeight="1">
      <c r="A7055" s="307"/>
    </row>
    <row r="7056" ht="14.25" customHeight="1">
      <c r="A7056" s="307"/>
    </row>
    <row r="7057" ht="14.25" customHeight="1">
      <c r="A7057" s="307"/>
    </row>
    <row r="7058" ht="14.25" customHeight="1">
      <c r="A7058" s="307"/>
    </row>
    <row r="7059" ht="14.25" customHeight="1">
      <c r="A7059" s="307"/>
    </row>
    <row r="7060" ht="14.25" customHeight="1">
      <c r="A7060" s="307"/>
    </row>
    <row r="7061" ht="14.25" customHeight="1">
      <c r="A7061" s="307"/>
    </row>
    <row r="7062" ht="14.25" customHeight="1">
      <c r="A7062" s="307"/>
    </row>
    <row r="7063" ht="14.25" customHeight="1">
      <c r="A7063" s="307"/>
    </row>
    <row r="7064" ht="14.25" customHeight="1">
      <c r="A7064" s="307"/>
    </row>
    <row r="7065" ht="14.25" customHeight="1">
      <c r="A7065" s="307"/>
    </row>
    <row r="7066" ht="14.25" customHeight="1">
      <c r="A7066" s="307"/>
    </row>
    <row r="7067" ht="14.25" customHeight="1">
      <c r="A7067" s="307"/>
    </row>
    <row r="7068" ht="14.25" customHeight="1">
      <c r="A7068" s="307"/>
    </row>
    <row r="7069" ht="14.25" customHeight="1">
      <c r="A7069" s="307"/>
    </row>
    <row r="7070" ht="14.25" customHeight="1">
      <c r="A7070" s="307"/>
    </row>
    <row r="7071" ht="14.25" customHeight="1">
      <c r="A7071" s="307"/>
    </row>
    <row r="7072" ht="14.25" customHeight="1">
      <c r="A7072" s="307"/>
    </row>
    <row r="7073" ht="14.25" customHeight="1">
      <c r="A7073" s="307"/>
    </row>
    <row r="7074" ht="14.25" customHeight="1">
      <c r="A7074" s="307"/>
    </row>
    <row r="7075" ht="14.25" customHeight="1">
      <c r="A7075" s="307"/>
    </row>
    <row r="7076" ht="14.25" customHeight="1">
      <c r="A7076" s="307"/>
    </row>
    <row r="7077" ht="14.25" customHeight="1">
      <c r="A7077" s="307"/>
    </row>
    <row r="7078" ht="14.25" customHeight="1">
      <c r="A7078" s="307"/>
    </row>
    <row r="7079" ht="14.25" customHeight="1">
      <c r="A7079" s="307"/>
    </row>
    <row r="7080" ht="14.25" customHeight="1">
      <c r="A7080" s="307"/>
    </row>
    <row r="7081" ht="14.25" customHeight="1">
      <c r="A7081" s="307"/>
    </row>
    <row r="7082" ht="14.25" customHeight="1">
      <c r="A7082" s="307"/>
    </row>
    <row r="7083" ht="14.25" customHeight="1">
      <c r="A7083" s="307"/>
    </row>
    <row r="7084" ht="14.25" customHeight="1">
      <c r="A7084" s="307"/>
    </row>
    <row r="7085" ht="14.25" customHeight="1">
      <c r="A7085" s="307"/>
    </row>
    <row r="7086" ht="14.25" customHeight="1">
      <c r="A7086" s="307"/>
    </row>
    <row r="7087" ht="14.25" customHeight="1">
      <c r="A7087" s="307"/>
    </row>
    <row r="7088" ht="14.25" customHeight="1">
      <c r="A7088" s="307"/>
    </row>
    <row r="7089" ht="14.25" customHeight="1">
      <c r="A7089" s="307"/>
    </row>
    <row r="7090" ht="14.25" customHeight="1">
      <c r="A7090" s="307"/>
    </row>
    <row r="7091" ht="14.25" customHeight="1">
      <c r="A7091" s="307"/>
    </row>
    <row r="7092" ht="14.25" customHeight="1">
      <c r="A7092" s="307"/>
    </row>
    <row r="7093" ht="14.25" customHeight="1">
      <c r="A7093" s="307"/>
    </row>
    <row r="7094" ht="14.25" customHeight="1">
      <c r="A7094" s="307"/>
    </row>
    <row r="7095" ht="14.25" customHeight="1">
      <c r="A7095" s="307"/>
    </row>
    <row r="7096" ht="14.25" customHeight="1">
      <c r="A7096" s="307"/>
    </row>
    <row r="7097" ht="14.25" customHeight="1">
      <c r="A7097" s="307"/>
    </row>
    <row r="7098" ht="14.25" customHeight="1">
      <c r="A7098" s="307"/>
    </row>
    <row r="7099" ht="14.25" customHeight="1">
      <c r="A7099" s="307"/>
    </row>
    <row r="7100" ht="14.25" customHeight="1">
      <c r="A7100" s="307"/>
    </row>
    <row r="7101" ht="14.25" customHeight="1">
      <c r="A7101" s="307"/>
    </row>
    <row r="7102" ht="14.25" customHeight="1">
      <c r="A7102" s="307"/>
    </row>
    <row r="7103" ht="14.25" customHeight="1">
      <c r="A7103" s="307"/>
    </row>
    <row r="7104" ht="14.25" customHeight="1">
      <c r="A7104" s="307"/>
    </row>
    <row r="7105" ht="14.25" customHeight="1">
      <c r="A7105" s="307"/>
    </row>
    <row r="7106" ht="14.25" customHeight="1">
      <c r="A7106" s="307"/>
    </row>
    <row r="7107" ht="14.25" customHeight="1">
      <c r="A7107" s="307"/>
    </row>
    <row r="7108" ht="14.25" customHeight="1">
      <c r="A7108" s="307"/>
    </row>
    <row r="7109" ht="14.25" customHeight="1">
      <c r="A7109" s="307"/>
    </row>
    <row r="7110" ht="14.25" customHeight="1">
      <c r="A7110" s="307"/>
    </row>
    <row r="7111" ht="14.25" customHeight="1">
      <c r="A7111" s="307"/>
    </row>
    <row r="7112" ht="14.25" customHeight="1">
      <c r="A7112" s="307"/>
    </row>
    <row r="7113" ht="14.25" customHeight="1">
      <c r="A7113" s="307"/>
    </row>
    <row r="7114" ht="14.25" customHeight="1">
      <c r="A7114" s="307"/>
    </row>
    <row r="7115" ht="14.25" customHeight="1">
      <c r="A7115" s="307"/>
    </row>
    <row r="7116" ht="14.25" customHeight="1">
      <c r="A7116" s="307"/>
    </row>
    <row r="7117" ht="14.25" customHeight="1">
      <c r="A7117" s="307"/>
    </row>
    <row r="7118" ht="14.25" customHeight="1">
      <c r="A7118" s="307"/>
    </row>
    <row r="7119" ht="14.25" customHeight="1">
      <c r="A7119" s="307"/>
    </row>
    <row r="7120" ht="14.25" customHeight="1">
      <c r="A7120" s="307"/>
    </row>
    <row r="7121" ht="14.25" customHeight="1">
      <c r="A7121" s="307"/>
    </row>
    <row r="7122" ht="14.25" customHeight="1">
      <c r="A7122" s="307"/>
    </row>
    <row r="7123" ht="14.25" customHeight="1">
      <c r="A7123" s="307"/>
    </row>
    <row r="7124" ht="14.25" customHeight="1">
      <c r="A7124" s="307"/>
    </row>
    <row r="7125" ht="14.25" customHeight="1">
      <c r="A7125" s="307"/>
    </row>
    <row r="7126" ht="14.25" customHeight="1">
      <c r="A7126" s="307"/>
    </row>
    <row r="7127" ht="14.25" customHeight="1">
      <c r="A7127" s="307"/>
    </row>
    <row r="7128" ht="14.25" customHeight="1">
      <c r="A7128" s="307"/>
    </row>
    <row r="7129" ht="14.25" customHeight="1">
      <c r="A7129" s="307"/>
    </row>
    <row r="7130" ht="14.25" customHeight="1">
      <c r="A7130" s="307"/>
    </row>
    <row r="7131" ht="14.25" customHeight="1">
      <c r="A7131" s="307"/>
    </row>
    <row r="7132" ht="14.25" customHeight="1">
      <c r="A7132" s="307"/>
    </row>
    <row r="7133" ht="14.25" customHeight="1">
      <c r="A7133" s="307"/>
    </row>
    <row r="7134" ht="14.25" customHeight="1">
      <c r="A7134" s="307"/>
    </row>
    <row r="7135" ht="14.25" customHeight="1">
      <c r="A7135" s="307"/>
    </row>
    <row r="7136" ht="14.25" customHeight="1">
      <c r="A7136" s="307"/>
    </row>
    <row r="7137" ht="14.25" customHeight="1">
      <c r="A7137" s="307"/>
    </row>
    <row r="7138" ht="14.25" customHeight="1">
      <c r="A7138" s="307"/>
    </row>
    <row r="7139" ht="14.25" customHeight="1">
      <c r="A7139" s="307"/>
    </row>
    <row r="7140" ht="14.25" customHeight="1">
      <c r="A7140" s="307"/>
    </row>
    <row r="7141" ht="14.25" customHeight="1">
      <c r="A7141" s="307"/>
    </row>
    <row r="7142" ht="14.25" customHeight="1">
      <c r="A7142" s="307"/>
    </row>
    <row r="7143" ht="14.25" customHeight="1">
      <c r="A7143" s="307"/>
    </row>
    <row r="7144" ht="14.25" customHeight="1">
      <c r="A7144" s="307"/>
    </row>
    <row r="7145" ht="14.25" customHeight="1">
      <c r="A7145" s="307"/>
    </row>
    <row r="7146" ht="14.25" customHeight="1">
      <c r="A7146" s="307"/>
    </row>
    <row r="7147" ht="14.25" customHeight="1">
      <c r="A7147" s="307"/>
    </row>
    <row r="7148" ht="14.25" customHeight="1">
      <c r="A7148" s="307"/>
    </row>
    <row r="7149" ht="14.25" customHeight="1">
      <c r="A7149" s="307"/>
    </row>
    <row r="7150" ht="14.25" customHeight="1">
      <c r="A7150" s="307"/>
    </row>
    <row r="7151" ht="14.25" customHeight="1">
      <c r="A7151" s="307"/>
    </row>
    <row r="7152" ht="14.25" customHeight="1">
      <c r="A7152" s="307"/>
    </row>
    <row r="7153" ht="14.25" customHeight="1">
      <c r="A7153" s="307"/>
    </row>
    <row r="7154" ht="14.25" customHeight="1">
      <c r="A7154" s="307"/>
    </row>
    <row r="7155" ht="14.25" customHeight="1">
      <c r="A7155" s="307"/>
    </row>
    <row r="7156" ht="14.25" customHeight="1">
      <c r="A7156" s="307"/>
    </row>
    <row r="7157" ht="14.25" customHeight="1">
      <c r="A7157" s="307"/>
    </row>
    <row r="7158" ht="14.25" customHeight="1">
      <c r="A7158" s="307"/>
    </row>
    <row r="7159" ht="14.25" customHeight="1">
      <c r="A7159" s="307"/>
    </row>
    <row r="7160" ht="14.25" customHeight="1">
      <c r="A7160" s="307"/>
    </row>
    <row r="7161" ht="14.25" customHeight="1">
      <c r="A7161" s="307"/>
    </row>
    <row r="7162" ht="14.25" customHeight="1">
      <c r="A7162" s="307"/>
    </row>
    <row r="7163" ht="14.25" customHeight="1">
      <c r="A7163" s="307"/>
    </row>
    <row r="7164" ht="14.25" customHeight="1">
      <c r="A7164" s="307"/>
    </row>
    <row r="7165" ht="14.25" customHeight="1">
      <c r="A7165" s="307"/>
    </row>
    <row r="7166" ht="14.25" customHeight="1">
      <c r="A7166" s="307"/>
    </row>
    <row r="7167" ht="14.25" customHeight="1">
      <c r="A7167" s="307"/>
    </row>
    <row r="7168" ht="14.25" customHeight="1">
      <c r="A7168" s="307"/>
    </row>
    <row r="7169" ht="14.25" customHeight="1">
      <c r="A7169" s="307"/>
    </row>
    <row r="7170" ht="14.25" customHeight="1">
      <c r="A7170" s="307"/>
    </row>
    <row r="7171" ht="14.25" customHeight="1">
      <c r="A7171" s="307"/>
    </row>
    <row r="7172" ht="14.25" customHeight="1">
      <c r="A7172" s="307"/>
    </row>
    <row r="7173" ht="14.25" customHeight="1">
      <c r="A7173" s="307"/>
    </row>
    <row r="7174" ht="14.25" customHeight="1">
      <c r="A7174" s="307"/>
    </row>
    <row r="7175" ht="14.25" customHeight="1">
      <c r="A7175" s="307"/>
    </row>
    <row r="7176" ht="14.25" customHeight="1">
      <c r="A7176" s="307"/>
    </row>
    <row r="7177" ht="14.25" customHeight="1">
      <c r="A7177" s="307"/>
    </row>
    <row r="7178" ht="14.25" customHeight="1">
      <c r="A7178" s="307"/>
    </row>
    <row r="7179" ht="14.25" customHeight="1">
      <c r="A7179" s="307"/>
    </row>
    <row r="7180" ht="14.25" customHeight="1">
      <c r="A7180" s="307"/>
    </row>
    <row r="7181" ht="14.25" customHeight="1">
      <c r="A7181" s="307"/>
    </row>
    <row r="7182" ht="14.25" customHeight="1">
      <c r="A7182" s="307"/>
    </row>
    <row r="7183" ht="14.25" customHeight="1">
      <c r="A7183" s="307"/>
    </row>
    <row r="7184" ht="14.25" customHeight="1">
      <c r="A7184" s="307"/>
    </row>
    <row r="7185" ht="14.25" customHeight="1">
      <c r="A7185" s="307"/>
    </row>
    <row r="7186" ht="14.25" customHeight="1">
      <c r="A7186" s="307"/>
    </row>
    <row r="7187" ht="14.25" customHeight="1">
      <c r="A7187" s="307"/>
    </row>
    <row r="7188" ht="14.25" customHeight="1">
      <c r="A7188" s="307"/>
    </row>
    <row r="7189" ht="14.25" customHeight="1">
      <c r="A7189" s="307"/>
    </row>
    <row r="7190" ht="14.25" customHeight="1">
      <c r="A7190" s="307"/>
    </row>
    <row r="7191" ht="14.25" customHeight="1">
      <c r="A7191" s="307"/>
    </row>
    <row r="7192" ht="14.25" customHeight="1">
      <c r="A7192" s="307"/>
    </row>
    <row r="7193" ht="14.25" customHeight="1">
      <c r="A7193" s="307"/>
    </row>
    <row r="7194" ht="14.25" customHeight="1">
      <c r="A7194" s="307"/>
    </row>
    <row r="7195" ht="14.25" customHeight="1">
      <c r="A7195" s="307"/>
    </row>
    <row r="7196" ht="14.25" customHeight="1">
      <c r="A7196" s="307"/>
    </row>
    <row r="7197" ht="14.25" customHeight="1">
      <c r="A7197" s="307"/>
    </row>
    <row r="7198" ht="14.25" customHeight="1">
      <c r="A7198" s="307"/>
    </row>
    <row r="7199" ht="14.25" customHeight="1">
      <c r="A7199" s="307"/>
    </row>
    <row r="7200" ht="14.25" customHeight="1">
      <c r="A7200" s="307"/>
    </row>
    <row r="7201" ht="14.25" customHeight="1">
      <c r="A7201" s="307"/>
    </row>
    <row r="7202" ht="14.25" customHeight="1">
      <c r="A7202" s="307"/>
    </row>
    <row r="7203" ht="14.25" customHeight="1">
      <c r="A7203" s="307"/>
    </row>
    <row r="7204" ht="14.25" customHeight="1">
      <c r="A7204" s="307"/>
    </row>
    <row r="7205" ht="14.25" customHeight="1">
      <c r="A7205" s="307"/>
    </row>
    <row r="7206" ht="14.25" customHeight="1">
      <c r="A7206" s="307"/>
    </row>
    <row r="7207" ht="14.25" customHeight="1">
      <c r="A7207" s="307"/>
    </row>
    <row r="7208" ht="14.25" customHeight="1">
      <c r="A7208" s="307"/>
    </row>
    <row r="7209" ht="14.25" customHeight="1">
      <c r="A7209" s="307"/>
    </row>
    <row r="7210" ht="14.25" customHeight="1">
      <c r="A7210" s="307"/>
    </row>
    <row r="7211" ht="14.25" customHeight="1">
      <c r="A7211" s="307"/>
    </row>
    <row r="7212" ht="14.25" customHeight="1">
      <c r="A7212" s="307"/>
    </row>
    <row r="7213" ht="14.25" customHeight="1">
      <c r="A7213" s="307"/>
    </row>
    <row r="7214" ht="14.25" customHeight="1">
      <c r="A7214" s="307"/>
    </row>
    <row r="7215" ht="14.25" customHeight="1">
      <c r="A7215" s="307"/>
    </row>
    <row r="7216" ht="14.25" customHeight="1">
      <c r="A7216" s="307"/>
    </row>
    <row r="7217" ht="14.25" customHeight="1">
      <c r="A7217" s="307"/>
    </row>
    <row r="7218" ht="14.25" customHeight="1">
      <c r="A7218" s="307"/>
    </row>
    <row r="7219" ht="14.25" customHeight="1">
      <c r="A7219" s="307"/>
    </row>
    <row r="7220" ht="14.25" customHeight="1">
      <c r="A7220" s="307"/>
    </row>
    <row r="7221" ht="14.25" customHeight="1">
      <c r="A7221" s="307"/>
    </row>
    <row r="7222" ht="14.25" customHeight="1">
      <c r="A7222" s="307"/>
    </row>
    <row r="7223" ht="14.25" customHeight="1">
      <c r="A7223" s="307"/>
    </row>
    <row r="7224" ht="14.25" customHeight="1">
      <c r="A7224" s="307"/>
    </row>
    <row r="7225" ht="14.25" customHeight="1">
      <c r="A7225" s="307"/>
    </row>
    <row r="7226" ht="14.25" customHeight="1">
      <c r="A7226" s="307"/>
    </row>
    <row r="7227" ht="14.25" customHeight="1">
      <c r="A7227" s="307"/>
    </row>
    <row r="7228" ht="14.25" customHeight="1">
      <c r="A7228" s="307"/>
    </row>
    <row r="7229" ht="14.25" customHeight="1">
      <c r="A7229" s="307"/>
    </row>
    <row r="7230" ht="14.25" customHeight="1">
      <c r="A7230" s="307"/>
    </row>
    <row r="7231" ht="14.25" customHeight="1">
      <c r="A7231" s="307"/>
    </row>
    <row r="7232" ht="14.25" customHeight="1">
      <c r="A7232" s="307"/>
    </row>
    <row r="7233" ht="14.25" customHeight="1">
      <c r="A7233" s="307"/>
    </row>
    <row r="7234" ht="14.25" customHeight="1">
      <c r="A7234" s="307"/>
    </row>
    <row r="7235" ht="14.25" customHeight="1">
      <c r="A7235" s="307"/>
    </row>
    <row r="7236" ht="14.25" customHeight="1">
      <c r="A7236" s="307"/>
    </row>
    <row r="7237" ht="14.25" customHeight="1">
      <c r="A7237" s="307"/>
    </row>
    <row r="7238" ht="14.25" customHeight="1">
      <c r="A7238" s="307"/>
    </row>
    <row r="7239" ht="14.25" customHeight="1">
      <c r="A7239" s="307"/>
    </row>
    <row r="7240" ht="14.25" customHeight="1">
      <c r="A7240" s="307"/>
    </row>
    <row r="7241" ht="14.25" customHeight="1">
      <c r="A7241" s="307"/>
    </row>
    <row r="7242" ht="14.25" customHeight="1">
      <c r="A7242" s="307"/>
    </row>
    <row r="7243" ht="14.25" customHeight="1">
      <c r="A7243" s="307"/>
    </row>
    <row r="7244" ht="14.25" customHeight="1">
      <c r="A7244" s="307"/>
    </row>
    <row r="7245" ht="14.25" customHeight="1">
      <c r="A7245" s="307"/>
    </row>
    <row r="7246" ht="14.25" customHeight="1">
      <c r="A7246" s="307"/>
    </row>
    <row r="7247" ht="14.25" customHeight="1">
      <c r="A7247" s="307"/>
    </row>
    <row r="7248" ht="14.25" customHeight="1">
      <c r="A7248" s="307"/>
    </row>
    <row r="7249" ht="14.25" customHeight="1">
      <c r="A7249" s="307"/>
    </row>
    <row r="7250" ht="14.25" customHeight="1">
      <c r="A7250" s="307"/>
    </row>
    <row r="7251" ht="14.25" customHeight="1">
      <c r="A7251" s="307"/>
    </row>
    <row r="7252" ht="14.25" customHeight="1">
      <c r="A7252" s="307"/>
    </row>
    <row r="7253" ht="14.25" customHeight="1">
      <c r="A7253" s="307"/>
    </row>
    <row r="7254" ht="14.25" customHeight="1">
      <c r="A7254" s="307"/>
    </row>
    <row r="7255" ht="14.25" customHeight="1">
      <c r="A7255" s="307"/>
    </row>
    <row r="7256" ht="14.25" customHeight="1">
      <c r="A7256" s="307"/>
    </row>
    <row r="7257" ht="14.25" customHeight="1">
      <c r="A7257" s="307"/>
    </row>
    <row r="7258" ht="14.25" customHeight="1">
      <c r="A7258" s="307"/>
    </row>
    <row r="7259" ht="14.25" customHeight="1">
      <c r="A7259" s="307"/>
    </row>
    <row r="7260" ht="14.25" customHeight="1">
      <c r="A7260" s="307"/>
    </row>
    <row r="7261" ht="14.25" customHeight="1">
      <c r="A7261" s="307"/>
    </row>
    <row r="7262" ht="14.25" customHeight="1">
      <c r="A7262" s="307"/>
    </row>
    <row r="7263" ht="14.25" customHeight="1">
      <c r="A7263" s="307"/>
    </row>
    <row r="7264" ht="14.25" customHeight="1">
      <c r="A7264" s="307"/>
    </row>
    <row r="7265" ht="14.25" customHeight="1">
      <c r="A7265" s="307"/>
    </row>
    <row r="7266" ht="14.25" customHeight="1">
      <c r="A7266" s="307"/>
    </row>
    <row r="7267" ht="14.25" customHeight="1">
      <c r="A7267" s="307"/>
    </row>
    <row r="7268" ht="14.25" customHeight="1">
      <c r="A7268" s="307"/>
    </row>
    <row r="7269" ht="14.25" customHeight="1">
      <c r="A7269" s="307"/>
    </row>
    <row r="7270" ht="14.25" customHeight="1">
      <c r="A7270" s="307"/>
    </row>
    <row r="7271" ht="14.25" customHeight="1">
      <c r="A7271" s="307"/>
    </row>
    <row r="7272" ht="14.25" customHeight="1">
      <c r="A7272" s="307"/>
    </row>
    <row r="7273" ht="14.25" customHeight="1">
      <c r="A7273" s="307"/>
    </row>
    <row r="7274" ht="14.25" customHeight="1">
      <c r="A7274" s="307"/>
    </row>
    <row r="7275" ht="14.25" customHeight="1">
      <c r="A7275" s="307"/>
    </row>
    <row r="7276" ht="14.25" customHeight="1">
      <c r="A7276" s="307"/>
    </row>
    <row r="7277" ht="14.25" customHeight="1">
      <c r="A7277" s="307"/>
    </row>
    <row r="7278" ht="14.25" customHeight="1">
      <c r="A7278" s="307"/>
    </row>
    <row r="7279" ht="14.25" customHeight="1">
      <c r="A7279" s="307"/>
    </row>
    <row r="7280" ht="14.25" customHeight="1">
      <c r="A7280" s="307"/>
    </row>
    <row r="7281" ht="14.25" customHeight="1">
      <c r="A7281" s="307"/>
    </row>
    <row r="7282" ht="14.25" customHeight="1">
      <c r="A7282" s="307"/>
    </row>
    <row r="7283" ht="14.25" customHeight="1">
      <c r="A7283" s="307"/>
    </row>
    <row r="7284" ht="14.25" customHeight="1">
      <c r="A7284" s="307"/>
    </row>
    <row r="7285" ht="14.25" customHeight="1">
      <c r="A7285" s="307"/>
    </row>
    <row r="7286" ht="14.25" customHeight="1">
      <c r="A7286" s="307"/>
    </row>
    <row r="7287" ht="14.25" customHeight="1">
      <c r="A7287" s="307"/>
    </row>
    <row r="7288" ht="14.25" customHeight="1">
      <c r="A7288" s="307"/>
    </row>
    <row r="7289" ht="14.25" customHeight="1">
      <c r="A7289" s="307"/>
    </row>
    <row r="7290" ht="14.25" customHeight="1">
      <c r="A7290" s="307"/>
    </row>
    <row r="7291" ht="14.25" customHeight="1">
      <c r="A7291" s="307"/>
    </row>
    <row r="7292" ht="14.25" customHeight="1">
      <c r="A7292" s="307"/>
    </row>
    <row r="7293" ht="14.25" customHeight="1">
      <c r="A7293" s="307"/>
    </row>
    <row r="7294" ht="14.25" customHeight="1">
      <c r="A7294" s="307"/>
    </row>
    <row r="7295" ht="14.25" customHeight="1">
      <c r="A7295" s="307"/>
    </row>
    <row r="7296" ht="14.25" customHeight="1">
      <c r="A7296" s="307"/>
    </row>
    <row r="7297" ht="14.25" customHeight="1">
      <c r="A7297" s="307"/>
    </row>
    <row r="7298" ht="14.25" customHeight="1">
      <c r="A7298" s="307"/>
    </row>
    <row r="7299" ht="14.25" customHeight="1">
      <c r="A7299" s="307"/>
    </row>
    <row r="7300" ht="14.25" customHeight="1">
      <c r="A7300" s="307"/>
    </row>
    <row r="7301" ht="14.25" customHeight="1">
      <c r="A7301" s="307"/>
    </row>
    <row r="7302" ht="14.25" customHeight="1">
      <c r="A7302" s="307"/>
    </row>
    <row r="7303" ht="14.25" customHeight="1">
      <c r="A7303" s="307"/>
    </row>
    <row r="7304" ht="14.25" customHeight="1">
      <c r="A7304" s="307"/>
    </row>
    <row r="7305" ht="14.25" customHeight="1">
      <c r="A7305" s="307"/>
    </row>
    <row r="7306" ht="14.25" customHeight="1">
      <c r="A7306" s="307"/>
    </row>
    <row r="7307" ht="14.25" customHeight="1">
      <c r="A7307" s="307"/>
    </row>
    <row r="7308" ht="14.25" customHeight="1">
      <c r="A7308" s="307"/>
    </row>
    <row r="7309" ht="14.25" customHeight="1">
      <c r="A7309" s="307"/>
    </row>
    <row r="7310" ht="14.25" customHeight="1">
      <c r="A7310" s="307"/>
    </row>
    <row r="7311" ht="14.25" customHeight="1">
      <c r="A7311" s="307"/>
    </row>
    <row r="7312" ht="14.25" customHeight="1">
      <c r="A7312" s="307"/>
    </row>
    <row r="7313" ht="14.25" customHeight="1">
      <c r="A7313" s="307"/>
    </row>
    <row r="7314" ht="14.25" customHeight="1">
      <c r="A7314" s="307"/>
    </row>
    <row r="7315" ht="14.25" customHeight="1">
      <c r="A7315" s="307"/>
    </row>
    <row r="7316" ht="14.25" customHeight="1">
      <c r="A7316" s="307"/>
    </row>
    <row r="7317" ht="14.25" customHeight="1">
      <c r="A7317" s="307"/>
    </row>
    <row r="7318" ht="14.25" customHeight="1">
      <c r="A7318" s="307"/>
    </row>
    <row r="7319" ht="14.25" customHeight="1">
      <c r="A7319" s="307"/>
    </row>
    <row r="7320" ht="14.25" customHeight="1">
      <c r="A7320" s="307"/>
    </row>
    <row r="7321" ht="14.25" customHeight="1">
      <c r="A7321" s="307"/>
    </row>
    <row r="7322" ht="14.25" customHeight="1">
      <c r="A7322" s="307"/>
    </row>
    <row r="7323" ht="14.25" customHeight="1">
      <c r="A7323" s="307"/>
    </row>
    <row r="7324" ht="14.25" customHeight="1">
      <c r="A7324" s="307"/>
    </row>
    <row r="7325" ht="14.25" customHeight="1">
      <c r="A7325" s="307"/>
    </row>
    <row r="7326" ht="14.25" customHeight="1">
      <c r="A7326" s="307"/>
    </row>
    <row r="7327" ht="14.25" customHeight="1">
      <c r="A7327" s="307"/>
    </row>
    <row r="7328" ht="14.25" customHeight="1">
      <c r="A7328" s="307"/>
    </row>
    <row r="7329" ht="14.25" customHeight="1">
      <c r="A7329" s="307"/>
    </row>
    <row r="7330" ht="14.25" customHeight="1">
      <c r="A7330" s="307"/>
    </row>
    <row r="7331" ht="14.25" customHeight="1">
      <c r="A7331" s="307"/>
    </row>
    <row r="7332" ht="14.25" customHeight="1">
      <c r="A7332" s="307"/>
    </row>
    <row r="7333" ht="14.25" customHeight="1">
      <c r="A7333" s="307"/>
    </row>
    <row r="7334" ht="14.25" customHeight="1">
      <c r="A7334" s="307"/>
    </row>
    <row r="7335" ht="14.25" customHeight="1">
      <c r="A7335" s="307"/>
    </row>
    <row r="7336" ht="14.25" customHeight="1">
      <c r="A7336" s="307"/>
    </row>
    <row r="7337" ht="14.25" customHeight="1">
      <c r="A7337" s="307"/>
    </row>
    <row r="7338" ht="14.25" customHeight="1">
      <c r="A7338" s="307"/>
    </row>
    <row r="7339" ht="14.25" customHeight="1">
      <c r="A7339" s="307"/>
    </row>
    <row r="7340" ht="14.25" customHeight="1">
      <c r="A7340" s="307"/>
    </row>
    <row r="7341" ht="14.25" customHeight="1">
      <c r="A7341" s="307"/>
    </row>
    <row r="7342" ht="14.25" customHeight="1">
      <c r="A7342" s="307"/>
    </row>
    <row r="7343" ht="14.25" customHeight="1">
      <c r="A7343" s="307"/>
    </row>
    <row r="7344" ht="14.25" customHeight="1">
      <c r="A7344" s="307"/>
    </row>
    <row r="7345" ht="14.25" customHeight="1">
      <c r="A7345" s="307"/>
    </row>
    <row r="7346" ht="14.25" customHeight="1">
      <c r="A7346" s="307"/>
    </row>
    <row r="7347" ht="14.25" customHeight="1">
      <c r="A7347" s="307"/>
    </row>
    <row r="7348" ht="14.25" customHeight="1">
      <c r="A7348" s="307"/>
    </row>
    <row r="7349" ht="14.25" customHeight="1">
      <c r="A7349" s="307"/>
    </row>
    <row r="7350" ht="14.25" customHeight="1">
      <c r="A7350" s="307"/>
    </row>
    <row r="7351" ht="14.25" customHeight="1">
      <c r="A7351" s="307"/>
    </row>
    <row r="7352" ht="14.25" customHeight="1">
      <c r="A7352" s="307"/>
    </row>
    <row r="7353" ht="14.25" customHeight="1">
      <c r="A7353" s="307"/>
    </row>
    <row r="7354" ht="14.25" customHeight="1">
      <c r="A7354" s="307"/>
    </row>
    <row r="7355" ht="14.25" customHeight="1">
      <c r="A7355" s="307"/>
    </row>
    <row r="7356" ht="14.25" customHeight="1">
      <c r="A7356" s="307"/>
    </row>
    <row r="7357" ht="14.25" customHeight="1">
      <c r="A7357" s="307"/>
    </row>
    <row r="7358" ht="14.25" customHeight="1">
      <c r="A7358" s="307"/>
    </row>
    <row r="7359" ht="14.25" customHeight="1">
      <c r="A7359" s="307"/>
    </row>
    <row r="7360" ht="14.25" customHeight="1">
      <c r="A7360" s="307"/>
    </row>
    <row r="7361" ht="14.25" customHeight="1">
      <c r="A7361" s="307"/>
    </row>
    <row r="7362" ht="14.25" customHeight="1">
      <c r="A7362" s="307"/>
    </row>
    <row r="7363" ht="14.25" customHeight="1">
      <c r="A7363" s="307"/>
    </row>
    <row r="7364" ht="14.25" customHeight="1">
      <c r="A7364" s="307"/>
    </row>
    <row r="7365" ht="14.25" customHeight="1">
      <c r="A7365" s="307"/>
    </row>
    <row r="7366" ht="14.25" customHeight="1">
      <c r="A7366" s="307"/>
    </row>
    <row r="7367" ht="14.25" customHeight="1">
      <c r="A7367" s="307"/>
    </row>
    <row r="7368" ht="14.25" customHeight="1">
      <c r="A7368" s="307"/>
    </row>
    <row r="7369" ht="14.25" customHeight="1">
      <c r="A7369" s="307"/>
    </row>
    <row r="7370" ht="14.25" customHeight="1">
      <c r="A7370" s="307"/>
    </row>
    <row r="7371" ht="14.25" customHeight="1">
      <c r="A7371" s="307"/>
    </row>
    <row r="7372" ht="14.25" customHeight="1">
      <c r="A7372" s="307"/>
    </row>
    <row r="7373" ht="14.25" customHeight="1">
      <c r="A7373" s="307"/>
    </row>
    <row r="7374" ht="14.25" customHeight="1">
      <c r="A7374" s="307"/>
    </row>
    <row r="7375" ht="14.25" customHeight="1">
      <c r="A7375" s="307"/>
    </row>
    <row r="7376" ht="14.25" customHeight="1">
      <c r="A7376" s="307"/>
    </row>
    <row r="7377" ht="14.25" customHeight="1">
      <c r="A7377" s="307"/>
    </row>
    <row r="7378" ht="14.25" customHeight="1">
      <c r="A7378" s="307"/>
    </row>
    <row r="7379" ht="14.25" customHeight="1">
      <c r="A7379" s="307"/>
    </row>
    <row r="7380" ht="14.25" customHeight="1">
      <c r="A7380" s="307"/>
    </row>
    <row r="7381" ht="14.25" customHeight="1">
      <c r="A7381" s="307"/>
    </row>
    <row r="7382" ht="14.25" customHeight="1">
      <c r="A7382" s="307"/>
    </row>
    <row r="7383" ht="14.25" customHeight="1">
      <c r="A7383" s="307"/>
    </row>
    <row r="7384" ht="14.25" customHeight="1">
      <c r="A7384" s="307"/>
    </row>
    <row r="7385" ht="14.25" customHeight="1">
      <c r="A7385" s="307"/>
    </row>
    <row r="7386" ht="14.25" customHeight="1">
      <c r="A7386" s="307"/>
    </row>
    <row r="7387" ht="14.25" customHeight="1">
      <c r="A7387" s="307"/>
    </row>
    <row r="7388" ht="14.25" customHeight="1">
      <c r="A7388" s="307"/>
    </row>
    <row r="7389" ht="14.25" customHeight="1">
      <c r="A7389" s="307"/>
    </row>
    <row r="7390" ht="14.25" customHeight="1">
      <c r="A7390" s="307"/>
    </row>
    <row r="7391" ht="14.25" customHeight="1">
      <c r="A7391" s="307"/>
    </row>
    <row r="7392" ht="14.25" customHeight="1">
      <c r="A7392" s="307"/>
    </row>
    <row r="7393" ht="14.25" customHeight="1">
      <c r="A7393" s="307"/>
    </row>
    <row r="7394" ht="14.25" customHeight="1">
      <c r="A7394" s="307"/>
    </row>
    <row r="7395" ht="14.25" customHeight="1">
      <c r="A7395" s="307"/>
    </row>
    <row r="7396" ht="14.25" customHeight="1">
      <c r="A7396" s="307"/>
    </row>
    <row r="7397" ht="14.25" customHeight="1">
      <c r="A7397" s="307"/>
    </row>
    <row r="7398" ht="14.25" customHeight="1">
      <c r="A7398" s="307"/>
    </row>
    <row r="7399" ht="14.25" customHeight="1">
      <c r="A7399" s="307"/>
    </row>
    <row r="7400" ht="14.25" customHeight="1">
      <c r="A7400" s="307"/>
    </row>
    <row r="7401" ht="14.25" customHeight="1">
      <c r="A7401" s="307"/>
    </row>
    <row r="7402" ht="14.25" customHeight="1">
      <c r="A7402" s="307"/>
    </row>
    <row r="7403" ht="14.25" customHeight="1">
      <c r="A7403" s="307"/>
    </row>
    <row r="7404" ht="14.25" customHeight="1">
      <c r="A7404" s="307"/>
    </row>
    <row r="7405" ht="14.25" customHeight="1">
      <c r="A7405" s="307"/>
    </row>
    <row r="7406" ht="14.25" customHeight="1">
      <c r="A7406" s="307"/>
    </row>
    <row r="7407" ht="14.25" customHeight="1">
      <c r="A7407" s="307"/>
    </row>
    <row r="7408" ht="14.25" customHeight="1">
      <c r="A7408" s="307"/>
    </row>
    <row r="7409" ht="14.25" customHeight="1">
      <c r="A7409" s="307"/>
    </row>
    <row r="7410" ht="14.25" customHeight="1">
      <c r="A7410" s="307"/>
    </row>
    <row r="7411" ht="14.25" customHeight="1">
      <c r="A7411" s="307"/>
    </row>
    <row r="7412" ht="14.25" customHeight="1">
      <c r="A7412" s="307"/>
    </row>
    <row r="7413" ht="14.25" customHeight="1">
      <c r="A7413" s="307"/>
    </row>
    <row r="7414" ht="14.25" customHeight="1">
      <c r="A7414" s="307"/>
    </row>
    <row r="7415" ht="14.25" customHeight="1">
      <c r="A7415" s="307"/>
    </row>
    <row r="7416" ht="14.25" customHeight="1">
      <c r="A7416" s="307"/>
    </row>
    <row r="7417" ht="14.25" customHeight="1">
      <c r="A7417" s="307"/>
    </row>
    <row r="7418" ht="14.25" customHeight="1">
      <c r="A7418" s="307"/>
    </row>
    <row r="7419" ht="14.25" customHeight="1">
      <c r="A7419" s="307"/>
    </row>
    <row r="7420" ht="14.25" customHeight="1">
      <c r="A7420" s="307"/>
    </row>
    <row r="7421" ht="14.25" customHeight="1">
      <c r="A7421" s="307"/>
    </row>
    <row r="7422" ht="14.25" customHeight="1">
      <c r="A7422" s="307"/>
    </row>
    <row r="7423" ht="14.25" customHeight="1">
      <c r="A7423" s="307"/>
    </row>
    <row r="7424" ht="14.25" customHeight="1">
      <c r="A7424" s="307"/>
    </row>
    <row r="7425" ht="14.25" customHeight="1">
      <c r="A7425" s="307"/>
    </row>
    <row r="7426" ht="14.25" customHeight="1">
      <c r="A7426" s="307"/>
    </row>
    <row r="7427" ht="14.25" customHeight="1">
      <c r="A7427" s="307"/>
    </row>
    <row r="7428" ht="14.25" customHeight="1">
      <c r="A7428" s="307"/>
    </row>
    <row r="7429" ht="14.25" customHeight="1">
      <c r="A7429" s="307"/>
    </row>
    <row r="7430" ht="14.25" customHeight="1">
      <c r="A7430" s="307"/>
    </row>
    <row r="7431" ht="14.25" customHeight="1">
      <c r="A7431" s="307"/>
    </row>
    <row r="7432" ht="14.25" customHeight="1">
      <c r="A7432" s="307"/>
    </row>
    <row r="7433" ht="14.25" customHeight="1">
      <c r="A7433" s="307"/>
    </row>
    <row r="7434" ht="14.25" customHeight="1">
      <c r="A7434" s="307"/>
    </row>
    <row r="7435" ht="14.25" customHeight="1">
      <c r="A7435" s="307"/>
    </row>
    <row r="7436" ht="14.25" customHeight="1">
      <c r="A7436" s="307"/>
    </row>
    <row r="7437" ht="14.25" customHeight="1">
      <c r="A7437" s="307"/>
    </row>
    <row r="7438" ht="14.25" customHeight="1">
      <c r="A7438" s="307"/>
    </row>
    <row r="7439" ht="14.25" customHeight="1">
      <c r="A7439" s="307"/>
    </row>
    <row r="7440" ht="14.25" customHeight="1">
      <c r="A7440" s="307"/>
    </row>
    <row r="7441" ht="14.25" customHeight="1">
      <c r="A7441" s="307"/>
    </row>
    <row r="7442" ht="14.25" customHeight="1">
      <c r="A7442" s="307"/>
    </row>
    <row r="7443" ht="14.25" customHeight="1">
      <c r="A7443" s="307"/>
    </row>
    <row r="7444" ht="14.25" customHeight="1">
      <c r="A7444" s="307"/>
    </row>
    <row r="7445" ht="14.25" customHeight="1">
      <c r="A7445" s="307"/>
    </row>
    <row r="7446" ht="14.25" customHeight="1">
      <c r="A7446" s="307"/>
    </row>
    <row r="7447" ht="14.25" customHeight="1">
      <c r="A7447" s="307"/>
    </row>
    <row r="7448" ht="14.25" customHeight="1">
      <c r="A7448" s="307"/>
    </row>
    <row r="7449" ht="14.25" customHeight="1">
      <c r="A7449" s="307"/>
    </row>
    <row r="7450" ht="14.25" customHeight="1">
      <c r="A7450" s="307"/>
    </row>
    <row r="7451" ht="14.25" customHeight="1">
      <c r="A7451" s="307"/>
    </row>
    <row r="7452" ht="14.25" customHeight="1">
      <c r="A7452" s="307"/>
    </row>
    <row r="7453" ht="14.25" customHeight="1">
      <c r="A7453" s="307"/>
    </row>
    <row r="7454" ht="14.25" customHeight="1">
      <c r="A7454" s="307"/>
    </row>
    <row r="7455" ht="14.25" customHeight="1">
      <c r="A7455" s="307"/>
    </row>
    <row r="7456" ht="14.25" customHeight="1">
      <c r="A7456" s="307"/>
    </row>
    <row r="7457" ht="14.25" customHeight="1">
      <c r="A7457" s="307"/>
    </row>
    <row r="7458" ht="14.25" customHeight="1">
      <c r="A7458" s="307"/>
    </row>
    <row r="7459" ht="14.25" customHeight="1">
      <c r="A7459" s="307"/>
    </row>
    <row r="7460" ht="14.25" customHeight="1">
      <c r="A7460" s="307"/>
    </row>
    <row r="7461" ht="14.25" customHeight="1">
      <c r="A7461" s="307"/>
    </row>
    <row r="7462" ht="14.25" customHeight="1">
      <c r="A7462" s="307"/>
    </row>
    <row r="7463" ht="14.25" customHeight="1">
      <c r="A7463" s="307"/>
    </row>
    <row r="7464" ht="14.25" customHeight="1">
      <c r="A7464" s="307"/>
    </row>
    <row r="7465" ht="14.25" customHeight="1">
      <c r="A7465" s="307"/>
    </row>
    <row r="7466" ht="14.25" customHeight="1">
      <c r="A7466" s="307"/>
    </row>
    <row r="7467" ht="14.25" customHeight="1">
      <c r="A7467" s="307"/>
    </row>
    <row r="7468" ht="14.25" customHeight="1">
      <c r="A7468" s="307"/>
    </row>
    <row r="7469" ht="14.25" customHeight="1">
      <c r="A7469" s="307"/>
    </row>
    <row r="7470" ht="14.25" customHeight="1">
      <c r="A7470" s="307"/>
    </row>
    <row r="7471" ht="14.25" customHeight="1">
      <c r="A7471" s="307"/>
    </row>
    <row r="7472" ht="14.25" customHeight="1">
      <c r="A7472" s="307"/>
    </row>
    <row r="7473" ht="14.25" customHeight="1">
      <c r="A7473" s="307"/>
    </row>
    <row r="7474" ht="14.25" customHeight="1">
      <c r="A7474" s="307"/>
    </row>
    <row r="7475" ht="14.25" customHeight="1">
      <c r="A7475" s="307"/>
    </row>
    <row r="7476" ht="14.25" customHeight="1">
      <c r="A7476" s="307"/>
    </row>
    <row r="7477" ht="14.25" customHeight="1">
      <c r="A7477" s="307"/>
    </row>
    <row r="7478" ht="14.25" customHeight="1">
      <c r="A7478" s="307"/>
    </row>
    <row r="7479" ht="14.25" customHeight="1">
      <c r="A7479" s="307"/>
    </row>
    <row r="7480" ht="14.25" customHeight="1">
      <c r="A7480" s="307"/>
    </row>
    <row r="7481" ht="14.25" customHeight="1">
      <c r="A7481" s="307"/>
    </row>
    <row r="7482" ht="14.25" customHeight="1">
      <c r="A7482" s="307"/>
    </row>
    <row r="7483" ht="14.25" customHeight="1">
      <c r="A7483" s="307"/>
    </row>
    <row r="7484" ht="14.25" customHeight="1">
      <c r="A7484" s="307"/>
    </row>
    <row r="7485" ht="14.25" customHeight="1">
      <c r="A7485" s="307"/>
    </row>
    <row r="7486" ht="14.25" customHeight="1">
      <c r="A7486" s="307"/>
    </row>
    <row r="7487" ht="14.25" customHeight="1">
      <c r="A7487" s="307"/>
    </row>
    <row r="7488" ht="14.25" customHeight="1">
      <c r="A7488" s="307"/>
    </row>
    <row r="7489" ht="14.25" customHeight="1">
      <c r="A7489" s="307"/>
    </row>
    <row r="7490" ht="14.25" customHeight="1">
      <c r="A7490" s="307"/>
    </row>
    <row r="7491" ht="14.25" customHeight="1">
      <c r="A7491" s="307"/>
    </row>
    <row r="7492" ht="14.25" customHeight="1">
      <c r="A7492" s="307"/>
    </row>
    <row r="7493" ht="14.25" customHeight="1">
      <c r="A7493" s="307"/>
    </row>
    <row r="7494" ht="14.25" customHeight="1">
      <c r="A7494" s="307"/>
    </row>
    <row r="7495" ht="14.25" customHeight="1">
      <c r="A7495" s="307"/>
    </row>
    <row r="7496" ht="14.25" customHeight="1">
      <c r="A7496" s="307"/>
    </row>
    <row r="7497" ht="14.25" customHeight="1">
      <c r="A7497" s="307"/>
    </row>
    <row r="7498" ht="14.25" customHeight="1">
      <c r="A7498" s="307"/>
    </row>
    <row r="7499" ht="14.25" customHeight="1">
      <c r="A7499" s="307"/>
    </row>
    <row r="7500" ht="14.25" customHeight="1">
      <c r="A7500" s="307"/>
    </row>
    <row r="7501" ht="14.25" customHeight="1">
      <c r="A7501" s="307"/>
    </row>
    <row r="7502" ht="14.25" customHeight="1">
      <c r="A7502" s="307"/>
    </row>
    <row r="7503" ht="14.25" customHeight="1">
      <c r="A7503" s="307"/>
    </row>
    <row r="7504" ht="14.25" customHeight="1">
      <c r="A7504" s="307"/>
    </row>
    <row r="7505" ht="14.25" customHeight="1">
      <c r="A7505" s="307"/>
    </row>
    <row r="7506" ht="14.25" customHeight="1">
      <c r="A7506" s="307"/>
    </row>
    <row r="7507" ht="14.25" customHeight="1">
      <c r="A7507" s="307"/>
    </row>
    <row r="7508" ht="14.25" customHeight="1">
      <c r="A7508" s="307"/>
    </row>
    <row r="7509" ht="14.25" customHeight="1">
      <c r="A7509" s="307"/>
    </row>
    <row r="7510" ht="14.25" customHeight="1">
      <c r="A7510" s="307"/>
    </row>
    <row r="7511" ht="14.25" customHeight="1">
      <c r="A7511" s="307"/>
    </row>
    <row r="7512" ht="14.25" customHeight="1">
      <c r="A7512" s="307"/>
    </row>
    <row r="7513" ht="14.25" customHeight="1">
      <c r="A7513" s="307"/>
    </row>
    <row r="7514" ht="14.25" customHeight="1">
      <c r="A7514" s="307"/>
    </row>
    <row r="7515" ht="14.25" customHeight="1">
      <c r="A7515" s="307"/>
    </row>
    <row r="7516" ht="14.25" customHeight="1">
      <c r="A7516" s="307"/>
    </row>
    <row r="7517" ht="14.25" customHeight="1">
      <c r="A7517" s="307"/>
    </row>
    <row r="7518" ht="14.25" customHeight="1">
      <c r="A7518" s="307"/>
    </row>
    <row r="7519" ht="14.25" customHeight="1">
      <c r="A7519" s="307"/>
    </row>
    <row r="7520" ht="14.25" customHeight="1">
      <c r="A7520" s="307"/>
    </row>
    <row r="7521" ht="14.25" customHeight="1">
      <c r="A7521" s="307"/>
    </row>
    <row r="7522" ht="14.25" customHeight="1">
      <c r="A7522" s="307"/>
    </row>
    <row r="7523" ht="14.25" customHeight="1">
      <c r="A7523" s="307"/>
    </row>
    <row r="7524" ht="14.25" customHeight="1">
      <c r="A7524" s="307"/>
    </row>
    <row r="7525" ht="14.25" customHeight="1">
      <c r="A7525" s="307"/>
    </row>
    <row r="7526" ht="14.25" customHeight="1">
      <c r="A7526" s="307"/>
    </row>
    <row r="7527" ht="14.25" customHeight="1">
      <c r="A7527" s="307"/>
    </row>
    <row r="7528" ht="14.25" customHeight="1">
      <c r="A7528" s="307"/>
    </row>
    <row r="7529" ht="14.25" customHeight="1">
      <c r="A7529" s="307"/>
    </row>
    <row r="7530" ht="14.25" customHeight="1">
      <c r="A7530" s="307"/>
    </row>
    <row r="7531" ht="14.25" customHeight="1">
      <c r="A7531" s="307"/>
    </row>
    <row r="7532" ht="14.25" customHeight="1">
      <c r="A7532" s="307"/>
    </row>
    <row r="7533" ht="14.25" customHeight="1">
      <c r="A7533" s="307"/>
    </row>
    <row r="7534" ht="14.25" customHeight="1">
      <c r="A7534" s="307"/>
    </row>
    <row r="7535" ht="14.25" customHeight="1">
      <c r="A7535" s="307"/>
    </row>
    <row r="7536" ht="14.25" customHeight="1">
      <c r="A7536" s="307"/>
    </row>
    <row r="7537" ht="14.25" customHeight="1">
      <c r="A7537" s="307"/>
    </row>
    <row r="7538" ht="14.25" customHeight="1">
      <c r="A7538" s="307"/>
    </row>
    <row r="7539" ht="14.25" customHeight="1">
      <c r="A7539" s="307"/>
    </row>
    <row r="7540" ht="14.25" customHeight="1">
      <c r="A7540" s="307"/>
    </row>
    <row r="7541" ht="14.25" customHeight="1">
      <c r="A7541" s="307"/>
    </row>
    <row r="7542" ht="14.25" customHeight="1">
      <c r="A7542" s="307"/>
    </row>
    <row r="7543" ht="14.25" customHeight="1">
      <c r="A7543" s="307"/>
    </row>
    <row r="7544" ht="14.25" customHeight="1">
      <c r="A7544" s="307"/>
    </row>
    <row r="7545" ht="14.25" customHeight="1">
      <c r="A7545" s="307"/>
    </row>
    <row r="7546" ht="14.25" customHeight="1">
      <c r="A7546" s="307"/>
    </row>
    <row r="7547" ht="14.25" customHeight="1">
      <c r="A7547" s="307"/>
    </row>
    <row r="7548" ht="14.25" customHeight="1">
      <c r="A7548" s="307"/>
    </row>
    <row r="7549" ht="14.25" customHeight="1">
      <c r="A7549" s="307"/>
    </row>
    <row r="7550" ht="14.25" customHeight="1">
      <c r="A7550" s="307"/>
    </row>
    <row r="7551" ht="14.25" customHeight="1">
      <c r="A7551" s="307"/>
    </row>
    <row r="7552" ht="14.25" customHeight="1">
      <c r="A7552" s="307"/>
    </row>
    <row r="7553" ht="14.25" customHeight="1">
      <c r="A7553" s="307"/>
    </row>
    <row r="7554" ht="14.25" customHeight="1">
      <c r="A7554" s="307"/>
    </row>
    <row r="7555" ht="14.25" customHeight="1">
      <c r="A7555" s="307"/>
    </row>
    <row r="7556" ht="14.25" customHeight="1">
      <c r="A7556" s="307"/>
    </row>
    <row r="7557" ht="14.25" customHeight="1">
      <c r="A7557" s="307"/>
    </row>
    <row r="7558" ht="14.25" customHeight="1">
      <c r="A7558" s="307"/>
    </row>
    <row r="7559" ht="14.25" customHeight="1">
      <c r="A7559" s="307"/>
    </row>
    <row r="7560" ht="14.25" customHeight="1">
      <c r="A7560" s="307"/>
    </row>
    <row r="7561" ht="14.25" customHeight="1">
      <c r="A7561" s="307"/>
    </row>
    <row r="7562" ht="14.25" customHeight="1">
      <c r="A7562" s="307"/>
    </row>
    <row r="7563" ht="14.25" customHeight="1">
      <c r="A7563" s="307"/>
    </row>
    <row r="7564" ht="14.25" customHeight="1">
      <c r="A7564" s="307"/>
    </row>
    <row r="7565" ht="14.25" customHeight="1">
      <c r="A7565" s="307"/>
    </row>
    <row r="7566" ht="14.25" customHeight="1">
      <c r="A7566" s="307"/>
    </row>
    <row r="7567" ht="14.25" customHeight="1">
      <c r="A7567" s="307"/>
    </row>
    <row r="7568" ht="14.25" customHeight="1">
      <c r="A7568" s="307"/>
    </row>
    <row r="7569" ht="14.25" customHeight="1">
      <c r="A7569" s="307"/>
    </row>
    <row r="7570" ht="14.25" customHeight="1">
      <c r="A7570" s="307"/>
    </row>
    <row r="7571" ht="14.25" customHeight="1">
      <c r="A7571" s="307"/>
    </row>
    <row r="7572" ht="14.25" customHeight="1">
      <c r="A7572" s="307"/>
    </row>
    <row r="7573" ht="14.25" customHeight="1">
      <c r="A7573" s="307"/>
    </row>
    <row r="7574" ht="14.25" customHeight="1">
      <c r="A7574" s="307"/>
    </row>
    <row r="7575" ht="14.25" customHeight="1">
      <c r="A7575" s="307"/>
    </row>
    <row r="7576" ht="14.25" customHeight="1">
      <c r="A7576" s="307"/>
    </row>
    <row r="7577" ht="14.25" customHeight="1">
      <c r="A7577" s="307"/>
    </row>
    <row r="7578" ht="14.25" customHeight="1">
      <c r="A7578" s="307"/>
    </row>
    <row r="7579" ht="14.25" customHeight="1">
      <c r="A7579" s="307"/>
    </row>
    <row r="7580" ht="14.25" customHeight="1">
      <c r="A7580" s="307"/>
    </row>
    <row r="7581" ht="14.25" customHeight="1">
      <c r="A7581" s="307"/>
    </row>
    <row r="7582" ht="14.25" customHeight="1">
      <c r="A7582" s="307"/>
    </row>
    <row r="7583" ht="14.25" customHeight="1">
      <c r="A7583" s="307"/>
    </row>
    <row r="7584" ht="14.25" customHeight="1">
      <c r="A7584" s="307"/>
    </row>
    <row r="7585" ht="14.25" customHeight="1">
      <c r="A7585" s="307"/>
    </row>
    <row r="7586" ht="14.25" customHeight="1">
      <c r="A7586" s="307"/>
    </row>
    <row r="7587" ht="14.25" customHeight="1">
      <c r="A7587" s="307"/>
    </row>
    <row r="7588" ht="14.25" customHeight="1">
      <c r="A7588" s="307"/>
    </row>
    <row r="7589" ht="14.25" customHeight="1">
      <c r="A7589" s="307"/>
    </row>
    <row r="7590" ht="14.25" customHeight="1">
      <c r="A7590" s="307"/>
    </row>
    <row r="7591" ht="14.25" customHeight="1">
      <c r="A7591" s="307"/>
    </row>
    <row r="7592" ht="14.25" customHeight="1">
      <c r="A7592" s="307"/>
    </row>
    <row r="7593" ht="14.25" customHeight="1">
      <c r="A7593" s="307"/>
    </row>
    <row r="7594" ht="14.25" customHeight="1">
      <c r="A7594" s="307"/>
    </row>
    <row r="7595" ht="14.25" customHeight="1">
      <c r="A7595" s="307"/>
    </row>
    <row r="7596" ht="14.25" customHeight="1">
      <c r="A7596" s="307"/>
    </row>
    <row r="7597" ht="14.25" customHeight="1">
      <c r="A7597" s="307"/>
    </row>
    <row r="7598" ht="14.25" customHeight="1">
      <c r="A7598" s="307"/>
    </row>
    <row r="7599" ht="14.25" customHeight="1">
      <c r="A7599" s="307"/>
    </row>
    <row r="7600" ht="14.25" customHeight="1">
      <c r="A7600" s="307"/>
    </row>
    <row r="7601" ht="14.25" customHeight="1">
      <c r="A7601" s="307"/>
    </row>
    <row r="7602" ht="14.25" customHeight="1">
      <c r="A7602" s="307"/>
    </row>
    <row r="7603" ht="14.25" customHeight="1">
      <c r="A7603" s="307"/>
    </row>
    <row r="7604" ht="14.25" customHeight="1">
      <c r="A7604" s="307"/>
    </row>
    <row r="7605" ht="14.25" customHeight="1">
      <c r="A7605" s="307"/>
    </row>
    <row r="7606" ht="14.25" customHeight="1">
      <c r="A7606" s="307"/>
    </row>
    <row r="7607" ht="14.25" customHeight="1">
      <c r="A7607" s="307"/>
    </row>
    <row r="7608" ht="14.25" customHeight="1">
      <c r="A7608" s="307"/>
    </row>
    <row r="7609" ht="14.25" customHeight="1">
      <c r="A7609" s="307"/>
    </row>
    <row r="7610" ht="14.25" customHeight="1">
      <c r="A7610" s="307"/>
    </row>
    <row r="7611" ht="14.25" customHeight="1">
      <c r="A7611" s="307"/>
    </row>
    <row r="7612" ht="14.25" customHeight="1">
      <c r="A7612" s="307"/>
    </row>
    <row r="7613" ht="14.25" customHeight="1">
      <c r="A7613" s="307"/>
    </row>
    <row r="7614" ht="14.25" customHeight="1">
      <c r="A7614" s="307"/>
    </row>
    <row r="7615" ht="14.25" customHeight="1">
      <c r="A7615" s="307"/>
    </row>
    <row r="7616" ht="14.25" customHeight="1">
      <c r="A7616" s="307"/>
    </row>
    <row r="7617" ht="14.25" customHeight="1">
      <c r="A7617" s="307"/>
    </row>
    <row r="7618" ht="14.25" customHeight="1">
      <c r="A7618" s="307"/>
    </row>
    <row r="7619" ht="14.25" customHeight="1">
      <c r="A7619" s="307"/>
    </row>
    <row r="7620" ht="14.25" customHeight="1">
      <c r="A7620" s="307"/>
    </row>
    <row r="7621" ht="14.25" customHeight="1">
      <c r="A7621" s="307"/>
    </row>
    <row r="7622" ht="14.25" customHeight="1">
      <c r="A7622" s="307"/>
    </row>
    <row r="7623" ht="14.25" customHeight="1">
      <c r="A7623" s="307"/>
    </row>
    <row r="7624" ht="14.25" customHeight="1">
      <c r="A7624" s="307"/>
    </row>
    <row r="7625" ht="14.25" customHeight="1">
      <c r="A7625" s="307"/>
    </row>
    <row r="7626" ht="14.25" customHeight="1">
      <c r="A7626" s="307"/>
    </row>
    <row r="7627" ht="14.25" customHeight="1">
      <c r="A7627" s="307"/>
    </row>
    <row r="7628" ht="14.25" customHeight="1">
      <c r="A7628" s="307"/>
    </row>
    <row r="7629" ht="14.25" customHeight="1">
      <c r="A7629" s="307"/>
    </row>
    <row r="7630" ht="14.25" customHeight="1">
      <c r="A7630" s="307"/>
    </row>
    <row r="7631" ht="14.25" customHeight="1">
      <c r="A7631" s="307"/>
    </row>
    <row r="7632" ht="14.25" customHeight="1">
      <c r="A7632" s="307"/>
    </row>
    <row r="7633" ht="14.25" customHeight="1">
      <c r="A7633" s="307"/>
    </row>
    <row r="7634" ht="14.25" customHeight="1">
      <c r="A7634" s="307"/>
    </row>
    <row r="7635" ht="14.25" customHeight="1">
      <c r="A7635" s="307"/>
    </row>
    <row r="7636" ht="14.25" customHeight="1">
      <c r="A7636" s="307"/>
    </row>
    <row r="7637" ht="14.25" customHeight="1">
      <c r="A7637" s="307"/>
    </row>
    <row r="7638" ht="14.25" customHeight="1">
      <c r="A7638" s="307"/>
    </row>
    <row r="7639" ht="14.25" customHeight="1">
      <c r="A7639" s="307"/>
    </row>
    <row r="7640" ht="14.25" customHeight="1">
      <c r="A7640" s="307"/>
    </row>
    <row r="7641" ht="14.25" customHeight="1">
      <c r="A7641" s="307"/>
    </row>
    <row r="7642" ht="14.25" customHeight="1">
      <c r="A7642" s="307"/>
    </row>
    <row r="7643" ht="14.25" customHeight="1">
      <c r="A7643" s="307"/>
    </row>
    <row r="7644" ht="14.25" customHeight="1">
      <c r="A7644" s="307"/>
    </row>
    <row r="7645" ht="14.25" customHeight="1">
      <c r="A7645" s="307"/>
    </row>
    <row r="7646" ht="14.25" customHeight="1">
      <c r="A7646" s="307"/>
    </row>
    <row r="7647" ht="14.25" customHeight="1">
      <c r="A7647" s="307"/>
    </row>
    <row r="7648" ht="14.25" customHeight="1">
      <c r="A7648" s="307"/>
    </row>
    <row r="7649" ht="14.25" customHeight="1">
      <c r="A7649" s="307"/>
    </row>
    <row r="7650" ht="14.25" customHeight="1">
      <c r="A7650" s="307"/>
    </row>
    <row r="7651" ht="14.25" customHeight="1">
      <c r="A7651" s="307"/>
    </row>
    <row r="7652" ht="14.25" customHeight="1">
      <c r="A7652" s="307"/>
    </row>
    <row r="7653" ht="14.25" customHeight="1">
      <c r="A7653" s="307"/>
    </row>
    <row r="7654" ht="14.25" customHeight="1">
      <c r="A7654" s="307"/>
    </row>
    <row r="7655" ht="14.25" customHeight="1">
      <c r="A7655" s="307"/>
    </row>
    <row r="7656" ht="14.25" customHeight="1">
      <c r="A7656" s="307"/>
    </row>
    <row r="7657" ht="14.25" customHeight="1">
      <c r="A7657" s="307"/>
    </row>
    <row r="7658" ht="14.25" customHeight="1">
      <c r="A7658" s="307"/>
    </row>
    <row r="7659" ht="14.25" customHeight="1">
      <c r="A7659" s="307"/>
    </row>
    <row r="7660" ht="14.25" customHeight="1">
      <c r="A7660" s="307"/>
    </row>
    <row r="7661" ht="14.25" customHeight="1">
      <c r="A7661" s="307"/>
    </row>
    <row r="7662" ht="14.25" customHeight="1">
      <c r="A7662" s="307"/>
    </row>
    <row r="7663" ht="14.25" customHeight="1">
      <c r="A7663" s="307"/>
    </row>
    <row r="7664" ht="14.25" customHeight="1">
      <c r="A7664" s="307"/>
    </row>
    <row r="7665" ht="14.25" customHeight="1">
      <c r="A7665" s="307"/>
    </row>
    <row r="7666" ht="14.25" customHeight="1">
      <c r="A7666" s="307"/>
    </row>
    <row r="7667" ht="14.25" customHeight="1">
      <c r="A7667" s="307"/>
    </row>
    <row r="7668" ht="14.25" customHeight="1">
      <c r="A7668" s="307"/>
    </row>
    <row r="7669" ht="14.25" customHeight="1">
      <c r="A7669" s="307"/>
    </row>
    <row r="7670" ht="14.25" customHeight="1">
      <c r="A7670" s="307"/>
    </row>
    <row r="7671" ht="14.25" customHeight="1">
      <c r="A7671" s="307"/>
    </row>
    <row r="7672" ht="14.25" customHeight="1">
      <c r="A7672" s="307"/>
    </row>
    <row r="7673" ht="14.25" customHeight="1">
      <c r="A7673" s="307"/>
    </row>
    <row r="7674" ht="14.25" customHeight="1">
      <c r="A7674" s="307"/>
    </row>
    <row r="7675" ht="14.25" customHeight="1">
      <c r="A7675" s="307"/>
    </row>
    <row r="7676" ht="14.25" customHeight="1">
      <c r="A7676" s="307"/>
    </row>
    <row r="7677" ht="14.25" customHeight="1">
      <c r="A7677" s="307"/>
    </row>
    <row r="7678" ht="14.25" customHeight="1">
      <c r="A7678" s="307"/>
    </row>
    <row r="7679" ht="14.25" customHeight="1">
      <c r="A7679" s="307"/>
    </row>
    <row r="7680" ht="14.25" customHeight="1">
      <c r="A7680" s="307"/>
    </row>
    <row r="7681" ht="14.25" customHeight="1">
      <c r="A7681" s="307"/>
    </row>
    <row r="7682" ht="14.25" customHeight="1">
      <c r="A7682" s="307"/>
    </row>
    <row r="7683" ht="14.25" customHeight="1">
      <c r="A7683" s="307"/>
    </row>
    <row r="7684" ht="14.25" customHeight="1">
      <c r="A7684" s="307"/>
    </row>
    <row r="7685" ht="14.25" customHeight="1">
      <c r="A7685" s="307"/>
    </row>
    <row r="7686" ht="14.25" customHeight="1">
      <c r="A7686" s="307"/>
    </row>
    <row r="7687" ht="14.25" customHeight="1">
      <c r="A7687" s="307"/>
    </row>
    <row r="7688" ht="14.25" customHeight="1">
      <c r="A7688" s="307"/>
    </row>
    <row r="7689" ht="14.25" customHeight="1">
      <c r="A7689" s="307"/>
    </row>
    <row r="7690" ht="14.25" customHeight="1">
      <c r="A7690" s="307"/>
    </row>
    <row r="7691" ht="14.25" customHeight="1">
      <c r="A7691" s="307"/>
    </row>
    <row r="7692" ht="14.25" customHeight="1">
      <c r="A7692" s="307"/>
    </row>
    <row r="7693" ht="14.25" customHeight="1">
      <c r="A7693" s="307"/>
    </row>
    <row r="7694" ht="14.25" customHeight="1">
      <c r="A7694" s="307"/>
    </row>
    <row r="7695" ht="14.25" customHeight="1">
      <c r="A7695" s="307"/>
    </row>
    <row r="7696" ht="14.25" customHeight="1">
      <c r="A7696" s="307"/>
    </row>
    <row r="7697" ht="14.25" customHeight="1">
      <c r="A7697" s="307"/>
    </row>
    <row r="7698" ht="14.25" customHeight="1">
      <c r="A7698" s="307"/>
    </row>
    <row r="7699" ht="14.25" customHeight="1">
      <c r="A7699" s="307"/>
    </row>
    <row r="7700" ht="14.25" customHeight="1">
      <c r="A7700" s="307"/>
    </row>
    <row r="7701" ht="14.25" customHeight="1">
      <c r="A7701" s="307"/>
    </row>
    <row r="7702" ht="14.25" customHeight="1">
      <c r="A7702" s="307"/>
    </row>
    <row r="7703" ht="14.25" customHeight="1">
      <c r="A7703" s="307"/>
    </row>
    <row r="7704" ht="14.25" customHeight="1">
      <c r="A7704" s="307"/>
    </row>
    <row r="7705" ht="14.25" customHeight="1">
      <c r="A7705" s="307"/>
    </row>
    <row r="7706" ht="14.25" customHeight="1">
      <c r="A7706" s="307"/>
    </row>
    <row r="7707" ht="14.25" customHeight="1">
      <c r="A7707" s="307"/>
    </row>
    <row r="7708" ht="14.25" customHeight="1">
      <c r="A7708" s="307"/>
    </row>
    <row r="7709" ht="14.25" customHeight="1">
      <c r="A7709" s="307"/>
    </row>
    <row r="7710" ht="14.25" customHeight="1">
      <c r="A7710" s="307"/>
    </row>
    <row r="7711" ht="14.25" customHeight="1">
      <c r="A7711" s="307"/>
    </row>
    <row r="7712" ht="14.25" customHeight="1">
      <c r="A7712" s="307"/>
    </row>
    <row r="7713" ht="14.25" customHeight="1">
      <c r="A7713" s="307"/>
    </row>
    <row r="7714" ht="14.25" customHeight="1">
      <c r="A7714" s="307"/>
    </row>
    <row r="7715" ht="14.25" customHeight="1">
      <c r="A7715" s="307"/>
    </row>
    <row r="7716" ht="14.25" customHeight="1">
      <c r="A7716" s="307"/>
    </row>
    <row r="7717" ht="14.25" customHeight="1">
      <c r="A7717" s="307"/>
    </row>
    <row r="7718" ht="14.25" customHeight="1">
      <c r="A7718" s="307"/>
    </row>
    <row r="7719" ht="14.25" customHeight="1">
      <c r="A7719" s="307"/>
    </row>
    <row r="7720" ht="14.25" customHeight="1">
      <c r="A7720" s="307"/>
    </row>
    <row r="7721" ht="14.25" customHeight="1">
      <c r="A7721" s="307"/>
    </row>
    <row r="7722" ht="14.25" customHeight="1">
      <c r="A7722" s="307"/>
    </row>
    <row r="7723" ht="14.25" customHeight="1">
      <c r="A7723" s="307"/>
    </row>
    <row r="7724" ht="14.25" customHeight="1">
      <c r="A7724" s="307"/>
    </row>
    <row r="7725" ht="14.25" customHeight="1">
      <c r="A7725" s="307"/>
    </row>
    <row r="7726" ht="14.25" customHeight="1">
      <c r="A7726" s="307"/>
    </row>
    <row r="7727" ht="14.25" customHeight="1">
      <c r="A7727" s="307"/>
    </row>
    <row r="7728" ht="14.25" customHeight="1">
      <c r="A7728" s="307"/>
    </row>
    <row r="7729" ht="14.25" customHeight="1">
      <c r="A7729" s="307"/>
    </row>
    <row r="7730" ht="14.25" customHeight="1">
      <c r="A7730" s="307"/>
    </row>
    <row r="7731" ht="14.25" customHeight="1">
      <c r="A7731" s="307"/>
    </row>
    <row r="7732" ht="14.25" customHeight="1">
      <c r="A7732" s="307"/>
    </row>
    <row r="7733" ht="14.25" customHeight="1">
      <c r="A7733" s="307"/>
    </row>
    <row r="7734" ht="14.25" customHeight="1">
      <c r="A7734" s="307"/>
    </row>
    <row r="7735" ht="14.25" customHeight="1">
      <c r="A7735" s="307"/>
    </row>
    <row r="7736" ht="14.25" customHeight="1">
      <c r="A7736" s="307"/>
    </row>
    <row r="7737" ht="14.25" customHeight="1">
      <c r="A7737" s="307"/>
    </row>
    <row r="7738" ht="14.25" customHeight="1">
      <c r="A7738" s="307"/>
    </row>
    <row r="7739" ht="14.25" customHeight="1">
      <c r="A7739" s="307"/>
    </row>
    <row r="7740" ht="14.25" customHeight="1">
      <c r="A7740" s="307"/>
    </row>
    <row r="7741" ht="14.25" customHeight="1">
      <c r="A7741" s="307"/>
    </row>
    <row r="7742" ht="14.25" customHeight="1">
      <c r="A7742" s="307"/>
    </row>
    <row r="7743" ht="14.25" customHeight="1">
      <c r="A7743" s="307"/>
    </row>
    <row r="7744" ht="14.25" customHeight="1">
      <c r="A7744" s="307"/>
    </row>
    <row r="7745" ht="14.25" customHeight="1">
      <c r="A7745" s="307"/>
    </row>
    <row r="7746" ht="14.25" customHeight="1">
      <c r="A7746" s="307"/>
    </row>
    <row r="7747" ht="14.25" customHeight="1">
      <c r="A7747" s="307"/>
    </row>
    <row r="7748" ht="14.25" customHeight="1">
      <c r="A7748" s="307"/>
    </row>
    <row r="7749" ht="14.25" customHeight="1">
      <c r="A7749" s="307"/>
    </row>
    <row r="7750" ht="14.25" customHeight="1">
      <c r="A7750" s="307"/>
    </row>
    <row r="7751" ht="14.25" customHeight="1">
      <c r="A7751" s="307"/>
    </row>
    <row r="7752" ht="14.25" customHeight="1">
      <c r="A7752" s="307"/>
    </row>
    <row r="7753" ht="14.25" customHeight="1">
      <c r="A7753" s="307"/>
    </row>
    <row r="7754" ht="14.25" customHeight="1">
      <c r="A7754" s="307"/>
    </row>
    <row r="7755" ht="14.25" customHeight="1">
      <c r="A7755" s="307"/>
    </row>
    <row r="7756" ht="14.25" customHeight="1">
      <c r="A7756" s="307"/>
    </row>
    <row r="7757" ht="14.25" customHeight="1">
      <c r="A7757" s="307"/>
    </row>
    <row r="7758" ht="14.25" customHeight="1">
      <c r="A7758" s="307"/>
    </row>
    <row r="7759" ht="14.25" customHeight="1">
      <c r="A7759" s="307"/>
    </row>
    <row r="7760" ht="14.25" customHeight="1">
      <c r="A7760" s="307"/>
    </row>
    <row r="7761" ht="14.25" customHeight="1">
      <c r="A7761" s="307"/>
    </row>
    <row r="7762" ht="14.25" customHeight="1">
      <c r="A7762" s="307"/>
    </row>
    <row r="7763" ht="14.25" customHeight="1">
      <c r="A7763" s="307"/>
    </row>
    <row r="7764" ht="14.25" customHeight="1">
      <c r="A7764" s="307"/>
    </row>
    <row r="7765" ht="14.25" customHeight="1">
      <c r="A7765" s="307"/>
    </row>
    <row r="7766" ht="14.25" customHeight="1">
      <c r="A7766" s="307"/>
    </row>
    <row r="7767" ht="14.25" customHeight="1">
      <c r="A7767" s="307"/>
    </row>
    <row r="7768" ht="14.25" customHeight="1">
      <c r="A7768" s="307"/>
    </row>
    <row r="7769" ht="14.25" customHeight="1">
      <c r="A7769" s="307"/>
    </row>
    <row r="7770" ht="14.25" customHeight="1">
      <c r="A7770" s="307"/>
    </row>
    <row r="7771" ht="14.25" customHeight="1">
      <c r="A7771" s="307"/>
    </row>
    <row r="7772" ht="14.25" customHeight="1">
      <c r="A7772" s="307"/>
    </row>
    <row r="7773" ht="14.25" customHeight="1">
      <c r="A7773" s="307"/>
    </row>
    <row r="7774" ht="14.25" customHeight="1">
      <c r="A7774" s="307"/>
    </row>
    <row r="7775" ht="14.25" customHeight="1">
      <c r="A7775" s="307"/>
    </row>
    <row r="7776" ht="14.25" customHeight="1">
      <c r="A7776" s="307"/>
    </row>
    <row r="7777" ht="14.25" customHeight="1">
      <c r="A7777" s="307"/>
    </row>
    <row r="7778" ht="14.25" customHeight="1">
      <c r="A7778" s="307"/>
    </row>
    <row r="7779" ht="14.25" customHeight="1">
      <c r="A7779" s="307"/>
    </row>
    <row r="7780" ht="14.25" customHeight="1">
      <c r="A7780" s="307"/>
    </row>
    <row r="7781" ht="14.25" customHeight="1">
      <c r="A7781" s="307"/>
    </row>
    <row r="7782" ht="14.25" customHeight="1">
      <c r="A7782" s="307"/>
    </row>
    <row r="7783" ht="14.25" customHeight="1">
      <c r="A7783" s="307"/>
    </row>
    <row r="7784" ht="14.25" customHeight="1">
      <c r="A7784" s="307"/>
    </row>
    <row r="7785" ht="14.25" customHeight="1">
      <c r="A7785" s="307"/>
    </row>
    <row r="7786" ht="14.25" customHeight="1">
      <c r="A7786" s="307"/>
    </row>
    <row r="7787" ht="14.25" customHeight="1">
      <c r="A7787" s="307"/>
    </row>
    <row r="7788" ht="14.25" customHeight="1">
      <c r="A7788" s="307"/>
    </row>
    <row r="7789" ht="14.25" customHeight="1">
      <c r="A7789" s="307"/>
    </row>
    <row r="7790" ht="14.25" customHeight="1">
      <c r="A7790" s="307"/>
    </row>
    <row r="7791" ht="14.25" customHeight="1">
      <c r="A7791" s="307"/>
    </row>
    <row r="7792" ht="14.25" customHeight="1">
      <c r="A7792" s="307"/>
    </row>
    <row r="7793" ht="14.25" customHeight="1">
      <c r="A7793" s="307"/>
    </row>
    <row r="7794" ht="14.25" customHeight="1">
      <c r="A7794" s="307"/>
    </row>
    <row r="7795" ht="14.25" customHeight="1">
      <c r="A7795" s="307"/>
    </row>
    <row r="7796" ht="14.25" customHeight="1">
      <c r="A7796" s="307"/>
    </row>
    <row r="7797" ht="14.25" customHeight="1">
      <c r="A7797" s="307"/>
    </row>
    <row r="7798" ht="14.25" customHeight="1">
      <c r="A7798" s="307"/>
    </row>
    <row r="7799" ht="14.25" customHeight="1">
      <c r="A7799" s="307"/>
    </row>
    <row r="7800" ht="14.25" customHeight="1">
      <c r="A7800" s="307"/>
    </row>
    <row r="7801" ht="14.25" customHeight="1">
      <c r="A7801" s="307"/>
    </row>
    <row r="7802" ht="14.25" customHeight="1">
      <c r="A7802" s="307"/>
    </row>
    <row r="7803" ht="14.25" customHeight="1">
      <c r="A7803" s="307"/>
    </row>
    <row r="7804" ht="14.25" customHeight="1">
      <c r="A7804" s="307"/>
    </row>
    <row r="7805" ht="14.25" customHeight="1">
      <c r="A7805" s="307"/>
    </row>
    <row r="7806" ht="14.25" customHeight="1">
      <c r="A7806" s="307"/>
    </row>
    <row r="7807" ht="14.25" customHeight="1">
      <c r="A7807" s="307"/>
    </row>
    <row r="7808" ht="14.25" customHeight="1">
      <c r="A7808" s="307"/>
    </row>
    <row r="7809" ht="14.25" customHeight="1">
      <c r="A7809" s="307"/>
    </row>
    <row r="7810" ht="14.25" customHeight="1">
      <c r="A7810" s="307"/>
    </row>
    <row r="7811" ht="14.25" customHeight="1">
      <c r="A7811" s="307"/>
    </row>
    <row r="7812" ht="14.25" customHeight="1">
      <c r="A7812" s="307"/>
    </row>
    <row r="7813" ht="14.25" customHeight="1">
      <c r="A7813" s="307"/>
    </row>
    <row r="7814" ht="14.25" customHeight="1">
      <c r="A7814" s="307"/>
    </row>
    <row r="7815" ht="14.25" customHeight="1">
      <c r="A7815" s="307"/>
    </row>
    <row r="7816" ht="14.25" customHeight="1">
      <c r="A7816" s="307"/>
    </row>
    <row r="7817" ht="14.25" customHeight="1">
      <c r="A7817" s="307"/>
    </row>
    <row r="7818" ht="14.25" customHeight="1">
      <c r="A7818" s="307"/>
    </row>
    <row r="7819" ht="14.25" customHeight="1">
      <c r="A7819" s="307"/>
    </row>
    <row r="7820" ht="14.25" customHeight="1">
      <c r="A7820" s="307"/>
    </row>
    <row r="7821" ht="14.25" customHeight="1">
      <c r="A7821" s="307"/>
    </row>
    <row r="7822" ht="14.25" customHeight="1">
      <c r="A7822" s="307"/>
    </row>
    <row r="7823" ht="14.25" customHeight="1">
      <c r="A7823" s="307"/>
    </row>
    <row r="7824" ht="14.25" customHeight="1">
      <c r="A7824" s="307"/>
    </row>
    <row r="7825" ht="14.25" customHeight="1">
      <c r="A7825" s="307"/>
    </row>
    <row r="7826" ht="14.25" customHeight="1">
      <c r="A7826" s="307"/>
    </row>
    <row r="7827" ht="14.25" customHeight="1">
      <c r="A7827" s="307"/>
    </row>
    <row r="7828" ht="14.25" customHeight="1">
      <c r="A7828" s="307"/>
    </row>
    <row r="7829" ht="14.25" customHeight="1">
      <c r="A7829" s="307"/>
    </row>
    <row r="7830" ht="14.25" customHeight="1">
      <c r="A7830" s="307"/>
    </row>
    <row r="7831" ht="14.25" customHeight="1">
      <c r="A7831" s="307"/>
    </row>
    <row r="7832" ht="14.25" customHeight="1">
      <c r="A7832" s="307"/>
    </row>
    <row r="7833" ht="14.25" customHeight="1">
      <c r="A7833" s="307"/>
    </row>
    <row r="7834" ht="14.25" customHeight="1">
      <c r="A7834" s="307"/>
    </row>
    <row r="7835" ht="14.25" customHeight="1">
      <c r="A7835" s="307"/>
    </row>
    <row r="7836" ht="14.25" customHeight="1">
      <c r="A7836" s="307"/>
    </row>
    <row r="7837" ht="14.25" customHeight="1">
      <c r="A7837" s="307"/>
    </row>
    <row r="7838" ht="14.25" customHeight="1">
      <c r="A7838" s="307"/>
    </row>
    <row r="7839" ht="14.25" customHeight="1">
      <c r="A7839" s="307"/>
    </row>
    <row r="7840" ht="14.25" customHeight="1">
      <c r="A7840" s="307"/>
    </row>
    <row r="7841" ht="14.25" customHeight="1">
      <c r="A7841" s="307"/>
    </row>
    <row r="7842" ht="14.25" customHeight="1">
      <c r="A7842" s="307"/>
    </row>
    <row r="7843" ht="14.25" customHeight="1">
      <c r="A7843" s="307"/>
    </row>
    <row r="7844" ht="14.25" customHeight="1">
      <c r="A7844" s="307"/>
    </row>
    <row r="7845" ht="14.25" customHeight="1">
      <c r="A7845" s="307"/>
    </row>
    <row r="7846" ht="14.25" customHeight="1">
      <c r="A7846" s="307"/>
    </row>
    <row r="7847" ht="14.25" customHeight="1">
      <c r="A7847" s="307"/>
    </row>
    <row r="7848" ht="14.25" customHeight="1">
      <c r="A7848" s="307"/>
    </row>
    <row r="7849" ht="14.25" customHeight="1">
      <c r="A7849" s="307"/>
    </row>
    <row r="7850" ht="14.25" customHeight="1">
      <c r="A7850" s="307"/>
    </row>
    <row r="7851" ht="14.25" customHeight="1">
      <c r="A7851" s="307"/>
    </row>
    <row r="7852" ht="14.25" customHeight="1">
      <c r="A7852" s="307"/>
    </row>
    <row r="7853" ht="14.25" customHeight="1">
      <c r="A7853" s="307"/>
    </row>
    <row r="7854" ht="14.25" customHeight="1">
      <c r="A7854" s="307"/>
    </row>
    <row r="7855" ht="14.25" customHeight="1">
      <c r="A7855" s="307"/>
    </row>
    <row r="7856" ht="14.25" customHeight="1">
      <c r="A7856" s="307"/>
    </row>
    <row r="7857" ht="14.25" customHeight="1">
      <c r="A7857" s="307"/>
    </row>
    <row r="7858" ht="14.25" customHeight="1">
      <c r="A7858" s="307"/>
    </row>
    <row r="7859" ht="14.25" customHeight="1">
      <c r="A7859" s="307"/>
    </row>
    <row r="7860" ht="14.25" customHeight="1">
      <c r="A7860" s="307"/>
    </row>
    <row r="7861" ht="14.25" customHeight="1">
      <c r="A7861" s="307"/>
    </row>
    <row r="7862" ht="14.25" customHeight="1">
      <c r="A7862" s="307"/>
    </row>
    <row r="7863" ht="14.25" customHeight="1">
      <c r="A7863" s="307"/>
    </row>
    <row r="7864" ht="14.25" customHeight="1">
      <c r="A7864" s="307"/>
    </row>
    <row r="7865" ht="14.25" customHeight="1">
      <c r="A7865" s="307"/>
    </row>
    <row r="7866" ht="14.25" customHeight="1">
      <c r="A7866" s="307"/>
    </row>
    <row r="7867" ht="14.25" customHeight="1">
      <c r="A7867" s="307"/>
    </row>
    <row r="7868" ht="14.25" customHeight="1">
      <c r="A7868" s="307"/>
    </row>
    <row r="7869" ht="14.25" customHeight="1">
      <c r="A7869" s="307"/>
    </row>
    <row r="7870" ht="14.25" customHeight="1">
      <c r="A7870" s="307"/>
    </row>
    <row r="7871" ht="14.25" customHeight="1">
      <c r="A7871" s="307"/>
    </row>
    <row r="7872" ht="14.25" customHeight="1">
      <c r="A7872" s="307"/>
    </row>
    <row r="7873" ht="14.25" customHeight="1">
      <c r="A7873" s="307"/>
    </row>
    <row r="7874" ht="14.25" customHeight="1">
      <c r="A7874" s="307"/>
    </row>
    <row r="7875" ht="14.25" customHeight="1">
      <c r="A7875" s="307"/>
    </row>
    <row r="7876" ht="14.25" customHeight="1">
      <c r="A7876" s="307"/>
    </row>
    <row r="7877" ht="14.25" customHeight="1">
      <c r="A7877" s="307"/>
    </row>
    <row r="7878" ht="14.25" customHeight="1">
      <c r="A7878" s="307"/>
    </row>
    <row r="7879" ht="14.25" customHeight="1">
      <c r="A7879" s="307"/>
    </row>
    <row r="7880" ht="14.25" customHeight="1">
      <c r="A7880" s="307"/>
    </row>
    <row r="7881" ht="14.25" customHeight="1">
      <c r="A7881" s="307"/>
    </row>
    <row r="7882" ht="14.25" customHeight="1">
      <c r="A7882" s="307"/>
    </row>
    <row r="7883" ht="14.25" customHeight="1">
      <c r="A7883" s="307"/>
    </row>
    <row r="7884" ht="14.25" customHeight="1">
      <c r="A7884" s="307"/>
    </row>
    <row r="7885" ht="14.25" customHeight="1">
      <c r="A7885" s="307"/>
    </row>
    <row r="7886" ht="14.25" customHeight="1">
      <c r="A7886" s="307"/>
    </row>
    <row r="7887" ht="14.25" customHeight="1">
      <c r="A7887" s="307"/>
    </row>
    <row r="7888" ht="14.25" customHeight="1">
      <c r="A7888" s="307"/>
    </row>
    <row r="7889" ht="14.25" customHeight="1">
      <c r="A7889" s="307"/>
    </row>
    <row r="7890" ht="14.25" customHeight="1">
      <c r="A7890" s="307"/>
    </row>
    <row r="7891" ht="14.25" customHeight="1">
      <c r="A7891" s="307"/>
    </row>
    <row r="7892" ht="14.25" customHeight="1">
      <c r="A7892" s="307"/>
    </row>
    <row r="7893" ht="14.25" customHeight="1">
      <c r="A7893" s="307"/>
    </row>
    <row r="7894" ht="14.25" customHeight="1">
      <c r="A7894" s="307"/>
    </row>
    <row r="7895" ht="14.25" customHeight="1">
      <c r="A7895" s="307"/>
    </row>
    <row r="7896" ht="14.25" customHeight="1">
      <c r="A7896" s="307"/>
    </row>
    <row r="7897" ht="14.25" customHeight="1">
      <c r="A7897" s="307"/>
    </row>
    <row r="7898" ht="14.25" customHeight="1">
      <c r="A7898" s="307"/>
    </row>
    <row r="7899" ht="14.25" customHeight="1">
      <c r="A7899" s="307"/>
    </row>
    <row r="7900" ht="14.25" customHeight="1">
      <c r="A7900" s="307"/>
    </row>
    <row r="7901" ht="14.25" customHeight="1">
      <c r="A7901" s="307"/>
    </row>
    <row r="7902" ht="14.25" customHeight="1">
      <c r="A7902" s="307"/>
    </row>
    <row r="7903" ht="14.25" customHeight="1">
      <c r="A7903" s="307"/>
    </row>
    <row r="7904" ht="14.25" customHeight="1">
      <c r="A7904" s="307"/>
    </row>
    <row r="7905" ht="14.25" customHeight="1">
      <c r="A7905" s="307"/>
    </row>
    <row r="7906" ht="14.25" customHeight="1">
      <c r="A7906" s="307"/>
    </row>
    <row r="7907" ht="14.25" customHeight="1">
      <c r="A7907" s="307"/>
    </row>
    <row r="7908" ht="14.25" customHeight="1">
      <c r="A7908" s="307"/>
    </row>
    <row r="7909" ht="14.25" customHeight="1">
      <c r="A7909" s="307"/>
    </row>
    <row r="7910" ht="14.25" customHeight="1">
      <c r="A7910" s="307"/>
    </row>
    <row r="7911" ht="14.25" customHeight="1">
      <c r="A7911" s="307"/>
    </row>
    <row r="7912" ht="14.25" customHeight="1">
      <c r="A7912" s="307"/>
    </row>
    <row r="7913" ht="14.25" customHeight="1">
      <c r="A7913" s="307"/>
    </row>
    <row r="7914" ht="14.25" customHeight="1">
      <c r="A7914" s="307"/>
    </row>
    <row r="7915" ht="14.25" customHeight="1">
      <c r="A7915" s="307"/>
    </row>
    <row r="7916" ht="14.25" customHeight="1">
      <c r="A7916" s="307"/>
    </row>
    <row r="7917" ht="14.25" customHeight="1">
      <c r="A7917" s="307"/>
    </row>
    <row r="7918" ht="14.25" customHeight="1">
      <c r="A7918" s="307"/>
    </row>
    <row r="7919" ht="14.25" customHeight="1">
      <c r="A7919" s="307"/>
    </row>
    <row r="7920" ht="14.25" customHeight="1">
      <c r="A7920" s="307"/>
    </row>
    <row r="7921" ht="14.25" customHeight="1">
      <c r="A7921" s="307"/>
    </row>
    <row r="7922" ht="14.25" customHeight="1">
      <c r="A7922" s="307"/>
    </row>
    <row r="7923" ht="14.25" customHeight="1">
      <c r="A7923" s="307"/>
    </row>
    <row r="7924" ht="14.25" customHeight="1">
      <c r="A7924" s="307"/>
    </row>
    <row r="7925" ht="14.25" customHeight="1">
      <c r="A7925" s="307"/>
    </row>
    <row r="7926" ht="14.25" customHeight="1">
      <c r="A7926" s="307"/>
    </row>
    <row r="7927" ht="14.25" customHeight="1">
      <c r="A7927" s="307"/>
    </row>
    <row r="7928" ht="14.25" customHeight="1">
      <c r="A7928" s="307"/>
    </row>
    <row r="7929" ht="14.25" customHeight="1">
      <c r="A7929" s="307"/>
    </row>
    <row r="7930" ht="14.25" customHeight="1">
      <c r="A7930" s="307"/>
    </row>
    <row r="7931" ht="14.25" customHeight="1">
      <c r="A7931" s="307"/>
    </row>
    <row r="7932" ht="14.25" customHeight="1">
      <c r="A7932" s="307"/>
    </row>
    <row r="7933" ht="14.25" customHeight="1">
      <c r="A7933" s="307"/>
    </row>
    <row r="7934" ht="14.25" customHeight="1">
      <c r="A7934" s="307"/>
    </row>
    <row r="7935" ht="14.25" customHeight="1">
      <c r="A7935" s="307"/>
    </row>
    <row r="7936" ht="14.25" customHeight="1">
      <c r="A7936" s="307"/>
    </row>
    <row r="7937" ht="14.25" customHeight="1">
      <c r="A7937" s="307"/>
    </row>
    <row r="7938" ht="14.25" customHeight="1">
      <c r="A7938" s="307"/>
    </row>
    <row r="7939" ht="14.25" customHeight="1">
      <c r="A7939" s="307"/>
    </row>
    <row r="7940" ht="14.25" customHeight="1">
      <c r="A7940" s="307"/>
    </row>
    <row r="7941" ht="14.25" customHeight="1">
      <c r="A7941" s="307"/>
    </row>
    <row r="7942" ht="14.25" customHeight="1">
      <c r="A7942" s="307"/>
    </row>
    <row r="7943" ht="14.25" customHeight="1">
      <c r="A7943" s="307"/>
    </row>
    <row r="7944" ht="14.25" customHeight="1">
      <c r="A7944" s="307"/>
    </row>
    <row r="7945" ht="14.25" customHeight="1">
      <c r="A7945" s="307"/>
    </row>
    <row r="7946" ht="14.25" customHeight="1">
      <c r="A7946" s="307"/>
    </row>
    <row r="7947" ht="14.25" customHeight="1">
      <c r="A7947" s="307"/>
    </row>
    <row r="7948" ht="14.25" customHeight="1">
      <c r="A7948" s="307"/>
    </row>
    <row r="7949" ht="14.25" customHeight="1">
      <c r="A7949" s="307"/>
    </row>
    <row r="7950" ht="14.25" customHeight="1">
      <c r="A7950" s="307"/>
    </row>
    <row r="7951" ht="14.25" customHeight="1">
      <c r="A7951" s="307"/>
    </row>
    <row r="7952" ht="14.25" customHeight="1">
      <c r="A7952" s="307"/>
    </row>
    <row r="7953" ht="14.25" customHeight="1">
      <c r="A7953" s="307"/>
    </row>
    <row r="7954" ht="14.25" customHeight="1">
      <c r="A7954" s="307"/>
    </row>
    <row r="7955" ht="14.25" customHeight="1">
      <c r="A7955" s="307"/>
    </row>
    <row r="7956" ht="14.25" customHeight="1">
      <c r="A7956" s="307"/>
    </row>
    <row r="7957" ht="14.25" customHeight="1">
      <c r="A7957" s="307"/>
    </row>
    <row r="7958" ht="14.25" customHeight="1">
      <c r="A7958" s="307"/>
    </row>
    <row r="7959" ht="14.25" customHeight="1">
      <c r="A7959" s="307"/>
    </row>
    <row r="7960" ht="14.25" customHeight="1">
      <c r="A7960" s="307"/>
    </row>
    <row r="7961" ht="14.25" customHeight="1">
      <c r="A7961" s="307"/>
    </row>
    <row r="7962" ht="14.25" customHeight="1">
      <c r="A7962" s="307"/>
    </row>
    <row r="7963" ht="14.25" customHeight="1">
      <c r="A7963" s="307"/>
    </row>
    <row r="7964" ht="14.25" customHeight="1">
      <c r="A7964" s="307"/>
    </row>
    <row r="7965" ht="14.25" customHeight="1">
      <c r="A7965" s="307"/>
    </row>
    <row r="7966" ht="14.25" customHeight="1">
      <c r="A7966" s="307"/>
    </row>
    <row r="7967" ht="14.25" customHeight="1">
      <c r="A7967" s="307"/>
    </row>
    <row r="7968" ht="14.25" customHeight="1">
      <c r="A7968" s="307"/>
    </row>
    <row r="7969" ht="14.25" customHeight="1">
      <c r="A7969" s="307"/>
    </row>
    <row r="7970" ht="14.25" customHeight="1">
      <c r="A7970" s="307"/>
    </row>
    <row r="7971" ht="14.25" customHeight="1">
      <c r="A7971" s="307"/>
    </row>
    <row r="7972" ht="14.25" customHeight="1">
      <c r="A7972" s="307"/>
    </row>
    <row r="7973" ht="14.25" customHeight="1">
      <c r="A7973" s="307"/>
    </row>
    <row r="7974" ht="14.25" customHeight="1">
      <c r="A7974" s="307"/>
    </row>
    <row r="7975" ht="14.25" customHeight="1">
      <c r="A7975" s="307"/>
    </row>
    <row r="7976" ht="14.25" customHeight="1">
      <c r="A7976" s="307"/>
    </row>
    <row r="7977" ht="14.25" customHeight="1">
      <c r="A7977" s="307"/>
    </row>
    <row r="7978" ht="14.25" customHeight="1">
      <c r="A7978" s="307"/>
    </row>
    <row r="7979" ht="14.25" customHeight="1">
      <c r="A7979" s="307"/>
    </row>
    <row r="7980" ht="14.25" customHeight="1">
      <c r="A7980" s="307"/>
    </row>
    <row r="7981" ht="14.25" customHeight="1">
      <c r="A7981" s="307"/>
    </row>
    <row r="7982" ht="14.25" customHeight="1">
      <c r="A7982" s="307"/>
    </row>
    <row r="7983" ht="14.25" customHeight="1">
      <c r="A7983" s="307"/>
    </row>
    <row r="7984" ht="14.25" customHeight="1">
      <c r="A7984" s="307"/>
    </row>
    <row r="7985" ht="14.25" customHeight="1">
      <c r="A7985" s="307"/>
    </row>
    <row r="7986" ht="14.25" customHeight="1">
      <c r="A7986" s="307"/>
    </row>
    <row r="7987" ht="14.25" customHeight="1">
      <c r="A7987" s="307"/>
    </row>
    <row r="7988" ht="14.25" customHeight="1">
      <c r="A7988" s="307"/>
    </row>
    <row r="7989" ht="14.25" customHeight="1">
      <c r="A7989" s="307"/>
    </row>
    <row r="7990" ht="14.25" customHeight="1">
      <c r="A7990" s="307"/>
    </row>
    <row r="7991" ht="14.25" customHeight="1">
      <c r="A7991" s="307"/>
    </row>
    <row r="7992" ht="14.25" customHeight="1">
      <c r="A7992" s="307"/>
    </row>
    <row r="7993" ht="14.25" customHeight="1">
      <c r="A7993" s="307"/>
    </row>
    <row r="7994" ht="14.25" customHeight="1">
      <c r="A7994" s="307"/>
    </row>
    <row r="7995" ht="14.25" customHeight="1">
      <c r="A7995" s="307"/>
    </row>
    <row r="7996" ht="14.25" customHeight="1">
      <c r="A7996" s="307"/>
    </row>
    <row r="7997" ht="14.25" customHeight="1">
      <c r="A7997" s="307"/>
    </row>
    <row r="7998" ht="14.25" customHeight="1">
      <c r="A7998" s="307"/>
    </row>
    <row r="7999" ht="14.25" customHeight="1">
      <c r="A7999" s="307"/>
    </row>
    <row r="8000" ht="14.25" customHeight="1">
      <c r="A8000" s="307"/>
    </row>
    <row r="8001" ht="14.25" customHeight="1">
      <c r="A8001" s="307"/>
    </row>
    <row r="8002" ht="14.25" customHeight="1">
      <c r="A8002" s="307"/>
    </row>
    <row r="8003" ht="14.25" customHeight="1">
      <c r="A8003" s="307"/>
    </row>
    <row r="8004" ht="14.25" customHeight="1">
      <c r="A8004" s="307"/>
    </row>
    <row r="8005" ht="14.25" customHeight="1">
      <c r="A8005" s="307"/>
    </row>
    <row r="8006" ht="14.25" customHeight="1">
      <c r="A8006" s="307"/>
    </row>
    <row r="8007" ht="14.25" customHeight="1">
      <c r="A8007" s="307"/>
    </row>
    <row r="8008" ht="14.25" customHeight="1">
      <c r="A8008" s="307"/>
    </row>
    <row r="8009" ht="14.25" customHeight="1">
      <c r="A8009" s="307"/>
    </row>
    <row r="8010" ht="14.25" customHeight="1">
      <c r="A8010" s="307"/>
    </row>
    <row r="8011" ht="14.25" customHeight="1">
      <c r="A8011" s="307"/>
    </row>
    <row r="8012" ht="14.25" customHeight="1">
      <c r="A8012" s="307"/>
    </row>
    <row r="8013" ht="14.25" customHeight="1">
      <c r="A8013" s="307"/>
    </row>
    <row r="8014" ht="14.25" customHeight="1">
      <c r="A8014" s="307"/>
    </row>
    <row r="8015" ht="14.25" customHeight="1">
      <c r="A8015" s="307"/>
    </row>
    <row r="8016" ht="14.25" customHeight="1">
      <c r="A8016" s="307"/>
    </row>
    <row r="8017" ht="14.25" customHeight="1">
      <c r="A8017" s="307"/>
    </row>
    <row r="8018" ht="14.25" customHeight="1">
      <c r="A8018" s="307"/>
    </row>
    <row r="8019" ht="14.25" customHeight="1">
      <c r="A8019" s="307"/>
    </row>
    <row r="8020" ht="14.25" customHeight="1">
      <c r="A8020" s="307"/>
    </row>
    <row r="8021" ht="14.25" customHeight="1">
      <c r="A8021" s="307"/>
    </row>
    <row r="8022" ht="14.25" customHeight="1">
      <c r="A8022" s="307"/>
    </row>
    <row r="8023" ht="14.25" customHeight="1">
      <c r="A8023" s="307"/>
    </row>
    <row r="8024" ht="14.25" customHeight="1">
      <c r="A8024" s="307"/>
    </row>
    <row r="8025" ht="14.25" customHeight="1">
      <c r="A8025" s="307"/>
    </row>
    <row r="8026" ht="14.25" customHeight="1">
      <c r="A8026" s="307"/>
    </row>
    <row r="8027" ht="14.25" customHeight="1">
      <c r="A8027" s="307"/>
    </row>
    <row r="8028" ht="14.25" customHeight="1">
      <c r="A8028" s="307"/>
    </row>
    <row r="8029" ht="14.25" customHeight="1">
      <c r="A8029" s="307"/>
    </row>
    <row r="8030" ht="14.25" customHeight="1">
      <c r="A8030" s="307"/>
    </row>
    <row r="8031" ht="14.25" customHeight="1">
      <c r="A8031" s="307"/>
    </row>
    <row r="8032" ht="14.25" customHeight="1">
      <c r="A8032" s="307"/>
    </row>
    <row r="8033" ht="14.25" customHeight="1">
      <c r="A8033" s="307"/>
    </row>
    <row r="8034" ht="14.25" customHeight="1">
      <c r="A8034" s="307"/>
    </row>
    <row r="8035" ht="14.25" customHeight="1">
      <c r="A8035" s="307"/>
    </row>
    <row r="8036" ht="14.25" customHeight="1">
      <c r="A8036" s="307"/>
    </row>
    <row r="8037" ht="14.25" customHeight="1">
      <c r="A8037" s="307"/>
    </row>
    <row r="8038" ht="14.25" customHeight="1">
      <c r="A8038" s="307"/>
    </row>
    <row r="8039" ht="14.25" customHeight="1">
      <c r="A8039" s="307"/>
    </row>
    <row r="8040" ht="14.25" customHeight="1">
      <c r="A8040" s="307"/>
    </row>
    <row r="8041" ht="14.25" customHeight="1">
      <c r="A8041" s="307"/>
    </row>
    <row r="8042" ht="14.25" customHeight="1">
      <c r="A8042" s="307"/>
    </row>
    <row r="8043" ht="14.25" customHeight="1">
      <c r="A8043" s="307"/>
    </row>
    <row r="8044" ht="14.25" customHeight="1">
      <c r="A8044" s="307"/>
    </row>
    <row r="8045" ht="14.25" customHeight="1">
      <c r="A8045" s="307"/>
    </row>
    <row r="8046" ht="14.25" customHeight="1">
      <c r="A8046" s="307"/>
    </row>
    <row r="8047" ht="14.25" customHeight="1">
      <c r="A8047" s="307"/>
    </row>
    <row r="8048" ht="14.25" customHeight="1">
      <c r="A8048" s="307"/>
    </row>
    <row r="8049" ht="14.25" customHeight="1">
      <c r="A8049" s="307"/>
    </row>
    <row r="8050" ht="14.25" customHeight="1">
      <c r="A8050" s="307"/>
    </row>
    <row r="8051" ht="14.25" customHeight="1">
      <c r="A8051" s="307"/>
    </row>
    <row r="8052" ht="14.25" customHeight="1">
      <c r="A8052" s="307"/>
    </row>
    <row r="8053" ht="14.25" customHeight="1">
      <c r="A8053" s="307"/>
    </row>
    <row r="8054" ht="14.25" customHeight="1">
      <c r="A8054" s="307"/>
    </row>
    <row r="8055" ht="14.25" customHeight="1">
      <c r="A8055" s="307"/>
    </row>
    <row r="8056" ht="14.25" customHeight="1">
      <c r="A8056" s="307"/>
    </row>
    <row r="8057" ht="14.25" customHeight="1">
      <c r="A8057" s="307"/>
    </row>
    <row r="8058" ht="14.25" customHeight="1">
      <c r="A8058" s="307"/>
    </row>
    <row r="8059" ht="14.25" customHeight="1">
      <c r="A8059" s="307"/>
    </row>
    <row r="8060" ht="14.25" customHeight="1">
      <c r="A8060" s="307"/>
    </row>
    <row r="8061" ht="14.25" customHeight="1">
      <c r="A8061" s="307"/>
    </row>
    <row r="8062" ht="14.25" customHeight="1">
      <c r="A8062" s="307"/>
    </row>
    <row r="8063" ht="14.25" customHeight="1">
      <c r="A8063" s="307"/>
    </row>
    <row r="8064" ht="14.25" customHeight="1">
      <c r="A8064" s="307"/>
    </row>
    <row r="8065" ht="14.25" customHeight="1">
      <c r="A8065" s="307"/>
    </row>
    <row r="8066" ht="14.25" customHeight="1">
      <c r="A8066" s="307"/>
    </row>
    <row r="8067" ht="14.25" customHeight="1">
      <c r="A8067" s="307"/>
    </row>
    <row r="8068" ht="14.25" customHeight="1">
      <c r="A8068" s="307"/>
    </row>
    <row r="8069" ht="14.25" customHeight="1">
      <c r="A8069" s="307"/>
    </row>
    <row r="8070" ht="14.25" customHeight="1">
      <c r="A8070" s="307"/>
    </row>
    <row r="8071" ht="14.25" customHeight="1">
      <c r="A8071" s="307"/>
    </row>
    <row r="8072" ht="14.25" customHeight="1">
      <c r="A8072" s="307"/>
    </row>
    <row r="8073" ht="14.25" customHeight="1">
      <c r="A8073" s="307"/>
    </row>
    <row r="8074" ht="14.25" customHeight="1">
      <c r="A8074" s="307"/>
    </row>
    <row r="8075" ht="14.25" customHeight="1">
      <c r="A8075" s="307"/>
    </row>
    <row r="8076" ht="14.25" customHeight="1">
      <c r="A8076" s="307"/>
    </row>
    <row r="8077" ht="14.25" customHeight="1">
      <c r="A8077" s="307"/>
    </row>
    <row r="8078" ht="14.25" customHeight="1">
      <c r="A8078" s="307"/>
    </row>
    <row r="8079" ht="14.25" customHeight="1">
      <c r="A8079" s="307"/>
    </row>
    <row r="8080" ht="14.25" customHeight="1">
      <c r="A8080" s="307"/>
    </row>
    <row r="8081" ht="14.25" customHeight="1">
      <c r="A8081" s="307"/>
    </row>
    <row r="8082" ht="14.25" customHeight="1">
      <c r="A8082" s="307"/>
    </row>
    <row r="8083" ht="14.25" customHeight="1">
      <c r="A8083" s="307"/>
    </row>
    <row r="8084" ht="14.25" customHeight="1">
      <c r="A8084" s="307"/>
    </row>
    <row r="8085" ht="14.25" customHeight="1">
      <c r="A8085" s="307"/>
    </row>
    <row r="8086" ht="14.25" customHeight="1">
      <c r="A8086" s="307"/>
    </row>
    <row r="8087" ht="14.25" customHeight="1">
      <c r="A8087" s="307"/>
    </row>
    <row r="8088" ht="14.25" customHeight="1">
      <c r="A8088" s="307"/>
    </row>
    <row r="8089" ht="14.25" customHeight="1">
      <c r="A8089" s="307"/>
    </row>
    <row r="8090" ht="14.25" customHeight="1">
      <c r="A8090" s="307"/>
    </row>
    <row r="8091" ht="14.25" customHeight="1">
      <c r="A8091" s="307"/>
    </row>
    <row r="8092" ht="14.25" customHeight="1">
      <c r="A8092" s="307"/>
    </row>
    <row r="8093" ht="14.25" customHeight="1">
      <c r="A8093" s="307"/>
    </row>
    <row r="8094" ht="14.25" customHeight="1">
      <c r="A8094" s="307"/>
    </row>
    <row r="8095" ht="14.25" customHeight="1">
      <c r="A8095" s="307"/>
    </row>
    <row r="8096" ht="14.25" customHeight="1">
      <c r="A8096" s="307"/>
    </row>
    <row r="8097" ht="14.25" customHeight="1">
      <c r="A8097" s="307"/>
    </row>
    <row r="8098" ht="14.25" customHeight="1">
      <c r="A8098" s="307"/>
    </row>
    <row r="8099" ht="14.25" customHeight="1">
      <c r="A8099" s="307"/>
    </row>
    <row r="8100" ht="14.25" customHeight="1">
      <c r="A8100" s="307"/>
    </row>
    <row r="8101" ht="14.25" customHeight="1">
      <c r="A8101" s="307"/>
    </row>
    <row r="8102" ht="14.25" customHeight="1">
      <c r="A8102" s="307"/>
    </row>
    <row r="8103" ht="14.25" customHeight="1">
      <c r="A8103" s="307"/>
    </row>
    <row r="8104" ht="14.25" customHeight="1">
      <c r="A8104" s="307"/>
    </row>
    <row r="8105" ht="14.25" customHeight="1">
      <c r="A8105" s="307"/>
    </row>
    <row r="8106" ht="14.25" customHeight="1">
      <c r="A8106" s="307"/>
    </row>
    <row r="8107" ht="14.25" customHeight="1">
      <c r="A8107" s="307"/>
    </row>
    <row r="8108" ht="14.25" customHeight="1">
      <c r="A8108" s="307"/>
    </row>
    <row r="8109" ht="14.25" customHeight="1">
      <c r="A8109" s="307"/>
    </row>
    <row r="8110" ht="14.25" customHeight="1">
      <c r="A8110" s="307"/>
    </row>
    <row r="8111" ht="14.25" customHeight="1">
      <c r="A8111" s="307"/>
    </row>
    <row r="8112" ht="14.25" customHeight="1">
      <c r="A8112" s="307"/>
    </row>
    <row r="8113" ht="14.25" customHeight="1">
      <c r="A8113" s="307"/>
    </row>
    <row r="8114" ht="14.25" customHeight="1">
      <c r="A8114" s="307"/>
    </row>
    <row r="8115" ht="14.25" customHeight="1">
      <c r="A8115" s="307"/>
    </row>
    <row r="8116" ht="14.25" customHeight="1">
      <c r="A8116" s="307"/>
    </row>
    <row r="8117" ht="14.25" customHeight="1">
      <c r="A8117" s="307"/>
    </row>
    <row r="8118" ht="14.25" customHeight="1">
      <c r="A8118" s="307"/>
    </row>
    <row r="8119" ht="14.25" customHeight="1">
      <c r="A8119" s="307"/>
    </row>
    <row r="8120" ht="14.25" customHeight="1">
      <c r="A8120" s="307"/>
    </row>
    <row r="8121" ht="14.25" customHeight="1">
      <c r="A8121" s="307"/>
    </row>
    <row r="8122" ht="14.25" customHeight="1">
      <c r="A8122" s="307"/>
    </row>
    <row r="8123" ht="14.25" customHeight="1">
      <c r="A8123" s="307"/>
    </row>
    <row r="8124" ht="14.25" customHeight="1">
      <c r="A8124" s="307"/>
    </row>
    <row r="8125" ht="14.25" customHeight="1">
      <c r="A8125" s="307"/>
    </row>
    <row r="8126" ht="14.25" customHeight="1">
      <c r="A8126" s="307"/>
    </row>
    <row r="8127" ht="14.25" customHeight="1">
      <c r="A8127" s="307"/>
    </row>
    <row r="8128" ht="14.25" customHeight="1">
      <c r="A8128" s="307"/>
    </row>
    <row r="8129" ht="14.25" customHeight="1">
      <c r="A8129" s="307"/>
    </row>
    <row r="8130" ht="14.25" customHeight="1">
      <c r="A8130" s="307"/>
    </row>
    <row r="8131" ht="14.25" customHeight="1">
      <c r="A8131" s="307"/>
    </row>
    <row r="8132" ht="14.25" customHeight="1">
      <c r="A8132" s="307"/>
    </row>
    <row r="8133" ht="14.25" customHeight="1">
      <c r="A8133" s="307"/>
    </row>
    <row r="8134" ht="14.25" customHeight="1">
      <c r="A8134" s="307"/>
    </row>
    <row r="8135" ht="14.25" customHeight="1">
      <c r="A8135" s="307"/>
    </row>
    <row r="8136" ht="14.25" customHeight="1">
      <c r="A8136" s="307"/>
    </row>
    <row r="8137" ht="14.25" customHeight="1">
      <c r="A8137" s="307"/>
    </row>
    <row r="8138" ht="14.25" customHeight="1">
      <c r="A8138" s="307"/>
    </row>
    <row r="8139" ht="14.25" customHeight="1">
      <c r="A8139" s="307"/>
    </row>
    <row r="8140" ht="14.25" customHeight="1">
      <c r="A8140" s="307"/>
    </row>
    <row r="8141" ht="14.25" customHeight="1">
      <c r="A8141" s="307"/>
    </row>
    <row r="8142" ht="14.25" customHeight="1">
      <c r="A8142" s="307"/>
    </row>
    <row r="8143" ht="14.25" customHeight="1">
      <c r="A8143" s="307"/>
    </row>
    <row r="8144" ht="14.25" customHeight="1">
      <c r="A8144" s="307"/>
    </row>
    <row r="8145" ht="14.25" customHeight="1">
      <c r="A8145" s="307"/>
    </row>
    <row r="8146" ht="14.25" customHeight="1">
      <c r="A8146" s="307"/>
    </row>
    <row r="8147" ht="14.25" customHeight="1">
      <c r="A8147" s="307"/>
    </row>
    <row r="8148" ht="14.25" customHeight="1">
      <c r="A8148" s="307"/>
    </row>
    <row r="8149" ht="14.25" customHeight="1">
      <c r="A8149" s="307"/>
    </row>
    <row r="8150" ht="14.25" customHeight="1">
      <c r="A8150" s="307"/>
    </row>
    <row r="8151" ht="14.25" customHeight="1">
      <c r="A8151" s="307"/>
    </row>
    <row r="8152" ht="14.25" customHeight="1">
      <c r="A8152" s="307"/>
    </row>
    <row r="8153" ht="14.25" customHeight="1">
      <c r="A8153" s="307"/>
    </row>
    <row r="8154" ht="14.25" customHeight="1">
      <c r="A8154" s="307"/>
    </row>
    <row r="8155" ht="14.25" customHeight="1">
      <c r="A8155" s="307"/>
    </row>
    <row r="8156" ht="14.25" customHeight="1">
      <c r="A8156" s="307"/>
    </row>
    <row r="8157" ht="14.25" customHeight="1">
      <c r="A8157" s="307"/>
    </row>
    <row r="8158" ht="14.25" customHeight="1">
      <c r="A8158" s="307"/>
    </row>
    <row r="8159" ht="14.25" customHeight="1">
      <c r="A8159" s="307"/>
    </row>
    <row r="8160" ht="14.25" customHeight="1">
      <c r="A8160" s="307"/>
    </row>
    <row r="8161" ht="14.25" customHeight="1">
      <c r="A8161" s="307"/>
    </row>
    <row r="8162" ht="14.25" customHeight="1">
      <c r="A8162" s="307"/>
    </row>
    <row r="8163" ht="14.25" customHeight="1">
      <c r="A8163" s="307"/>
    </row>
    <row r="8164" ht="14.25" customHeight="1">
      <c r="A8164" s="307"/>
    </row>
    <row r="8165" ht="14.25" customHeight="1">
      <c r="A8165" s="307"/>
    </row>
    <row r="8166" ht="14.25" customHeight="1">
      <c r="A8166" s="307"/>
    </row>
    <row r="8167" ht="14.25" customHeight="1">
      <c r="A8167" s="307"/>
    </row>
    <row r="8168" ht="14.25" customHeight="1">
      <c r="A8168" s="307"/>
    </row>
    <row r="8169" ht="14.25" customHeight="1">
      <c r="A8169" s="307"/>
    </row>
    <row r="8170" ht="14.25" customHeight="1">
      <c r="A8170" s="307"/>
    </row>
    <row r="8171" ht="14.25" customHeight="1">
      <c r="A8171" s="307"/>
    </row>
    <row r="8172" ht="14.25" customHeight="1">
      <c r="A8172" s="307"/>
    </row>
    <row r="8173" ht="14.25" customHeight="1">
      <c r="A8173" s="307"/>
    </row>
    <row r="8174" ht="14.25" customHeight="1">
      <c r="A8174" s="307"/>
    </row>
    <row r="8175" ht="14.25" customHeight="1">
      <c r="A8175" s="307"/>
    </row>
    <row r="8176" ht="14.25" customHeight="1">
      <c r="A8176" s="307"/>
    </row>
    <row r="8177" ht="14.25" customHeight="1">
      <c r="A8177" s="307"/>
    </row>
    <row r="8178" ht="14.25" customHeight="1">
      <c r="A8178" s="307"/>
    </row>
    <row r="8179" ht="14.25" customHeight="1">
      <c r="A8179" s="307"/>
    </row>
    <row r="8180" ht="14.25" customHeight="1">
      <c r="A8180" s="307"/>
    </row>
    <row r="8181" ht="14.25" customHeight="1">
      <c r="A8181" s="307"/>
    </row>
    <row r="8182" ht="14.25" customHeight="1">
      <c r="A8182" s="307"/>
    </row>
    <row r="8183" ht="14.25" customHeight="1">
      <c r="A8183" s="307"/>
    </row>
    <row r="8184" ht="14.25" customHeight="1">
      <c r="A8184" s="307"/>
    </row>
    <row r="8185" ht="14.25" customHeight="1">
      <c r="A8185" s="307"/>
    </row>
    <row r="8186" ht="14.25" customHeight="1">
      <c r="A8186" s="307"/>
    </row>
    <row r="8187" ht="14.25" customHeight="1">
      <c r="A8187" s="307"/>
    </row>
    <row r="8188" ht="14.25" customHeight="1">
      <c r="A8188" s="307"/>
    </row>
    <row r="8189" ht="14.25" customHeight="1">
      <c r="A8189" s="307"/>
    </row>
    <row r="8190" ht="14.25" customHeight="1">
      <c r="A8190" s="307"/>
    </row>
    <row r="8191" ht="14.25" customHeight="1">
      <c r="A8191" s="307"/>
    </row>
    <row r="8192" ht="14.25" customHeight="1">
      <c r="A8192" s="307"/>
    </row>
    <row r="8193" ht="14.25" customHeight="1">
      <c r="A8193" s="307"/>
    </row>
    <row r="8194" ht="14.25" customHeight="1">
      <c r="A8194" s="307"/>
    </row>
    <row r="8195" ht="14.25" customHeight="1">
      <c r="A8195" s="307"/>
    </row>
    <row r="8196" ht="14.25" customHeight="1">
      <c r="A8196" s="307"/>
    </row>
    <row r="8197" ht="14.25" customHeight="1">
      <c r="A8197" s="307"/>
    </row>
    <row r="8198" ht="14.25" customHeight="1">
      <c r="A8198" s="307"/>
    </row>
    <row r="8199" ht="14.25" customHeight="1">
      <c r="A8199" s="307"/>
    </row>
    <row r="8200" ht="14.25" customHeight="1">
      <c r="A8200" s="307"/>
    </row>
    <row r="8201" ht="14.25" customHeight="1">
      <c r="A8201" s="307"/>
    </row>
    <row r="8202" ht="14.25" customHeight="1">
      <c r="A8202" s="307"/>
    </row>
    <row r="8203" ht="14.25" customHeight="1">
      <c r="A8203" s="307"/>
    </row>
    <row r="8204" ht="14.25" customHeight="1">
      <c r="A8204" s="307"/>
    </row>
    <row r="8205" ht="14.25" customHeight="1">
      <c r="A8205" s="307"/>
    </row>
    <row r="8206" ht="14.25" customHeight="1">
      <c r="A8206" s="307"/>
    </row>
    <row r="8207" ht="14.25" customHeight="1">
      <c r="A8207" s="307"/>
    </row>
    <row r="8208" ht="14.25" customHeight="1">
      <c r="A8208" s="307"/>
    </row>
    <row r="8209" ht="14.25" customHeight="1">
      <c r="A8209" s="307"/>
    </row>
    <row r="8210" ht="14.25" customHeight="1">
      <c r="A8210" s="307"/>
    </row>
    <row r="8211" ht="14.25" customHeight="1">
      <c r="A8211" s="307"/>
    </row>
    <row r="8212" ht="14.25" customHeight="1">
      <c r="A8212" s="307"/>
    </row>
    <row r="8213" ht="14.25" customHeight="1">
      <c r="A8213" s="307"/>
    </row>
    <row r="8214" ht="14.25" customHeight="1">
      <c r="A8214" s="307"/>
    </row>
    <row r="8215" ht="14.25" customHeight="1">
      <c r="A8215" s="307"/>
    </row>
    <row r="8216" ht="14.25" customHeight="1">
      <c r="A8216" s="307"/>
    </row>
    <row r="8217" ht="14.25" customHeight="1">
      <c r="A8217" s="307"/>
    </row>
    <row r="8218" ht="14.25" customHeight="1">
      <c r="A8218" s="307"/>
    </row>
    <row r="8219" ht="14.25" customHeight="1">
      <c r="A8219" s="307"/>
    </row>
    <row r="8220" ht="14.25" customHeight="1">
      <c r="A8220" s="307"/>
    </row>
    <row r="8221" ht="14.25" customHeight="1">
      <c r="A8221" s="307"/>
    </row>
    <row r="8222" ht="14.25" customHeight="1">
      <c r="A8222" s="307"/>
    </row>
    <row r="8223" ht="14.25" customHeight="1">
      <c r="A8223" s="307"/>
    </row>
    <row r="8224" ht="14.25" customHeight="1">
      <c r="A8224" s="307"/>
    </row>
    <row r="8225" ht="14.25" customHeight="1">
      <c r="A8225" s="307"/>
    </row>
    <row r="8226" ht="14.25" customHeight="1">
      <c r="A8226" s="307"/>
    </row>
    <row r="8227" ht="14.25" customHeight="1">
      <c r="A8227" s="307"/>
    </row>
    <row r="8228" ht="14.25" customHeight="1">
      <c r="A8228" s="307"/>
    </row>
    <row r="8229" ht="14.25" customHeight="1">
      <c r="A8229" s="307"/>
    </row>
    <row r="8230" ht="14.25" customHeight="1">
      <c r="A8230" s="307"/>
    </row>
    <row r="8231" ht="14.25" customHeight="1">
      <c r="A8231" s="307"/>
    </row>
    <row r="8232" ht="14.25" customHeight="1">
      <c r="A8232" s="307"/>
    </row>
    <row r="8233" ht="14.25" customHeight="1">
      <c r="A8233" s="307"/>
    </row>
    <row r="8234" ht="14.25" customHeight="1">
      <c r="A8234" s="307"/>
    </row>
    <row r="8235" ht="14.25" customHeight="1">
      <c r="A8235" s="307"/>
    </row>
    <row r="8236" ht="14.25" customHeight="1">
      <c r="A8236" s="307"/>
    </row>
    <row r="8237" ht="14.25" customHeight="1">
      <c r="A8237" s="307"/>
    </row>
    <row r="8238" ht="14.25" customHeight="1">
      <c r="A8238" s="307"/>
    </row>
    <row r="8239" ht="14.25" customHeight="1">
      <c r="A8239" s="307"/>
    </row>
    <row r="8240" ht="14.25" customHeight="1">
      <c r="A8240" s="307"/>
    </row>
    <row r="8241" ht="14.25" customHeight="1">
      <c r="A8241" s="307"/>
    </row>
    <row r="8242" ht="14.25" customHeight="1">
      <c r="A8242" s="307"/>
    </row>
    <row r="8243" ht="14.25" customHeight="1">
      <c r="A8243" s="307"/>
    </row>
    <row r="8244" ht="14.25" customHeight="1">
      <c r="A8244" s="307"/>
    </row>
    <row r="8245" ht="14.25" customHeight="1">
      <c r="A8245" s="307"/>
    </row>
    <row r="8246" ht="14.25" customHeight="1">
      <c r="A8246" s="307"/>
    </row>
    <row r="8247" ht="14.25" customHeight="1">
      <c r="A8247" s="307"/>
    </row>
    <row r="8248" ht="14.25" customHeight="1">
      <c r="A8248" s="307"/>
    </row>
    <row r="8249" ht="14.25" customHeight="1">
      <c r="A8249" s="307"/>
    </row>
    <row r="8250" ht="14.25" customHeight="1">
      <c r="A8250" s="307"/>
    </row>
    <row r="8251" ht="14.25" customHeight="1">
      <c r="A8251" s="307"/>
    </row>
    <row r="8252" ht="14.25" customHeight="1">
      <c r="A8252" s="307"/>
    </row>
    <row r="8253" ht="14.25" customHeight="1">
      <c r="A8253" s="307"/>
    </row>
    <row r="8254" ht="14.25" customHeight="1">
      <c r="A8254" s="307"/>
    </row>
    <row r="8255" ht="14.25" customHeight="1">
      <c r="A8255" s="307"/>
    </row>
    <row r="8256" ht="14.25" customHeight="1">
      <c r="A8256" s="307"/>
    </row>
    <row r="8257" ht="14.25" customHeight="1">
      <c r="A8257" s="307"/>
    </row>
    <row r="8258" ht="14.25" customHeight="1">
      <c r="A8258" s="307"/>
    </row>
    <row r="8259" ht="14.25" customHeight="1">
      <c r="A8259" s="307"/>
    </row>
    <row r="8260" ht="14.25" customHeight="1">
      <c r="A8260" s="307"/>
    </row>
    <row r="8261" ht="14.25" customHeight="1">
      <c r="A8261" s="307"/>
    </row>
    <row r="8262" ht="14.25" customHeight="1">
      <c r="A8262" s="307"/>
    </row>
    <row r="8263" ht="14.25" customHeight="1">
      <c r="A8263" s="307"/>
    </row>
    <row r="8264" ht="14.25" customHeight="1">
      <c r="A8264" s="307"/>
    </row>
    <row r="8265" ht="14.25" customHeight="1">
      <c r="A8265" s="307"/>
    </row>
    <row r="8266" ht="14.25" customHeight="1">
      <c r="A8266" s="307"/>
    </row>
    <row r="8267" ht="14.25" customHeight="1">
      <c r="A8267" s="307"/>
    </row>
    <row r="8268" ht="14.25" customHeight="1">
      <c r="A8268" s="307"/>
    </row>
    <row r="8269" ht="14.25" customHeight="1">
      <c r="A8269" s="307"/>
    </row>
    <row r="8270" ht="14.25" customHeight="1">
      <c r="A8270" s="307"/>
    </row>
    <row r="8271" ht="14.25" customHeight="1">
      <c r="A8271" s="307"/>
    </row>
    <row r="8272" ht="14.25" customHeight="1">
      <c r="A8272" s="307"/>
    </row>
    <row r="8273" ht="14.25" customHeight="1">
      <c r="A8273" s="307"/>
    </row>
    <row r="8274" ht="14.25" customHeight="1">
      <c r="A8274" s="307"/>
    </row>
    <row r="8275" ht="14.25" customHeight="1">
      <c r="A8275" s="307"/>
    </row>
    <row r="8276" ht="14.25" customHeight="1">
      <c r="A8276" s="307"/>
    </row>
    <row r="8277" ht="14.25" customHeight="1">
      <c r="A8277" s="307"/>
    </row>
    <row r="8278" ht="14.25" customHeight="1">
      <c r="A8278" s="307"/>
    </row>
    <row r="8279" ht="14.25" customHeight="1">
      <c r="A8279" s="307"/>
    </row>
    <row r="8280" ht="14.25" customHeight="1">
      <c r="A8280" s="307"/>
    </row>
    <row r="8281" ht="14.25" customHeight="1">
      <c r="A8281" s="307"/>
    </row>
    <row r="8282" ht="14.25" customHeight="1">
      <c r="A8282" s="307"/>
    </row>
    <row r="8283" ht="14.25" customHeight="1">
      <c r="A8283" s="307"/>
    </row>
    <row r="8284" ht="14.25" customHeight="1">
      <c r="A8284" s="307"/>
    </row>
    <row r="8285" ht="14.25" customHeight="1">
      <c r="A8285" s="307"/>
    </row>
    <row r="8286" ht="14.25" customHeight="1">
      <c r="A8286" s="307"/>
    </row>
    <row r="8287" ht="14.25" customHeight="1">
      <c r="A8287" s="307"/>
    </row>
    <row r="8288" ht="14.25" customHeight="1">
      <c r="A8288" s="307"/>
    </row>
    <row r="8289" ht="14.25" customHeight="1">
      <c r="A8289" s="307"/>
    </row>
    <row r="8290" ht="14.25" customHeight="1">
      <c r="A8290" s="307"/>
    </row>
    <row r="8291" ht="14.25" customHeight="1">
      <c r="A8291" s="307"/>
    </row>
    <row r="8292" ht="14.25" customHeight="1">
      <c r="A8292" s="307"/>
    </row>
    <row r="8293" ht="14.25" customHeight="1">
      <c r="A8293" s="307"/>
    </row>
    <row r="8294" ht="14.25" customHeight="1">
      <c r="A8294" s="307"/>
    </row>
    <row r="8295" ht="14.25" customHeight="1">
      <c r="A8295" s="307"/>
    </row>
    <row r="8296" ht="14.25" customHeight="1">
      <c r="A8296" s="307"/>
    </row>
    <row r="8297" ht="14.25" customHeight="1">
      <c r="A8297" s="307"/>
    </row>
    <row r="8298" ht="14.25" customHeight="1">
      <c r="A8298" s="307"/>
    </row>
    <row r="8299" ht="14.25" customHeight="1">
      <c r="A8299" s="307"/>
    </row>
    <row r="8300" ht="14.25" customHeight="1">
      <c r="A8300" s="307"/>
    </row>
    <row r="8301" ht="14.25" customHeight="1">
      <c r="A8301" s="307"/>
    </row>
    <row r="8302" ht="14.25" customHeight="1">
      <c r="A8302" s="307"/>
    </row>
    <row r="8303" ht="14.25" customHeight="1">
      <c r="A8303" s="307"/>
    </row>
    <row r="8304" ht="14.25" customHeight="1">
      <c r="A8304" s="307"/>
    </row>
    <row r="8305" ht="14.25" customHeight="1">
      <c r="A8305" s="307"/>
    </row>
    <row r="8306" ht="14.25" customHeight="1">
      <c r="A8306" s="307"/>
    </row>
    <row r="8307" ht="14.25" customHeight="1">
      <c r="A8307" s="307"/>
    </row>
    <row r="8308" ht="14.25" customHeight="1">
      <c r="A8308" s="307"/>
    </row>
    <row r="8309" ht="14.25" customHeight="1">
      <c r="A8309" s="307"/>
    </row>
    <row r="8310" ht="14.25" customHeight="1">
      <c r="A8310" s="307"/>
    </row>
    <row r="8311" ht="14.25" customHeight="1">
      <c r="A8311" s="307"/>
    </row>
    <row r="8312" ht="14.25" customHeight="1">
      <c r="A8312" s="307"/>
    </row>
    <row r="8313" ht="14.25" customHeight="1">
      <c r="A8313" s="307"/>
    </row>
    <row r="8314" ht="14.25" customHeight="1">
      <c r="A8314" s="307"/>
    </row>
    <row r="8315" ht="14.25" customHeight="1">
      <c r="A8315" s="307"/>
    </row>
    <row r="8316" ht="14.25" customHeight="1">
      <c r="A8316" s="307"/>
    </row>
    <row r="8317" ht="14.25" customHeight="1">
      <c r="A8317" s="307"/>
    </row>
    <row r="8318" ht="14.25" customHeight="1">
      <c r="A8318" s="307"/>
    </row>
    <row r="8319" ht="14.25" customHeight="1">
      <c r="A8319" s="307"/>
    </row>
    <row r="8320" ht="14.25" customHeight="1">
      <c r="A8320" s="307"/>
    </row>
    <row r="8321" ht="14.25" customHeight="1">
      <c r="A8321" s="307"/>
    </row>
    <row r="8322" ht="14.25" customHeight="1">
      <c r="A8322" s="307"/>
    </row>
    <row r="8323" ht="14.25" customHeight="1">
      <c r="A8323" s="307"/>
    </row>
    <row r="8324" ht="14.25" customHeight="1">
      <c r="A8324" s="307"/>
    </row>
    <row r="8325" ht="14.25" customHeight="1">
      <c r="A8325" s="307"/>
    </row>
    <row r="8326" ht="14.25" customHeight="1">
      <c r="A8326" s="307"/>
    </row>
    <row r="8327" ht="14.25" customHeight="1">
      <c r="A8327" s="307"/>
    </row>
    <row r="8328" ht="14.25" customHeight="1">
      <c r="A8328" s="307"/>
    </row>
    <row r="8329" ht="14.25" customHeight="1">
      <c r="A8329" s="307"/>
    </row>
    <row r="8330" ht="14.25" customHeight="1">
      <c r="A8330" s="307"/>
    </row>
    <row r="8331" ht="14.25" customHeight="1">
      <c r="A8331" s="307"/>
    </row>
    <row r="8332" ht="14.25" customHeight="1">
      <c r="A8332" s="307"/>
    </row>
    <row r="8333" ht="14.25" customHeight="1">
      <c r="A8333" s="307"/>
    </row>
    <row r="8334" ht="14.25" customHeight="1">
      <c r="A8334" s="307"/>
    </row>
    <row r="8335" ht="14.25" customHeight="1">
      <c r="A8335" s="307"/>
    </row>
    <row r="8336" ht="14.25" customHeight="1">
      <c r="A8336" s="307"/>
    </row>
    <row r="8337" ht="14.25" customHeight="1">
      <c r="A8337" s="307"/>
    </row>
    <row r="8338" ht="14.25" customHeight="1">
      <c r="A8338" s="307"/>
    </row>
    <row r="8339" ht="14.25" customHeight="1">
      <c r="A8339" s="307"/>
    </row>
    <row r="8340" ht="14.25" customHeight="1">
      <c r="A8340" s="307"/>
    </row>
    <row r="8341" ht="14.25" customHeight="1">
      <c r="A8341" s="307"/>
    </row>
    <row r="8342" ht="14.25" customHeight="1">
      <c r="A8342" s="307"/>
    </row>
    <row r="8343" ht="14.25" customHeight="1">
      <c r="A8343" s="307"/>
    </row>
    <row r="8344" ht="14.25" customHeight="1">
      <c r="A8344" s="307"/>
    </row>
    <row r="8345" ht="14.25" customHeight="1">
      <c r="A8345" s="307"/>
    </row>
    <row r="8346" ht="14.25" customHeight="1">
      <c r="A8346" s="307"/>
    </row>
    <row r="8347" ht="14.25" customHeight="1">
      <c r="A8347" s="307"/>
    </row>
    <row r="8348" ht="14.25" customHeight="1">
      <c r="A8348" s="307"/>
    </row>
    <row r="8349" ht="14.25" customHeight="1">
      <c r="A8349" s="307"/>
    </row>
    <row r="8350" ht="14.25" customHeight="1">
      <c r="A8350" s="307"/>
    </row>
    <row r="8351" ht="14.25" customHeight="1">
      <c r="A8351" s="307"/>
    </row>
    <row r="8352" ht="14.25" customHeight="1">
      <c r="A8352" s="307"/>
    </row>
    <row r="8353" ht="14.25" customHeight="1">
      <c r="A8353" s="307"/>
    </row>
    <row r="8354" ht="14.25" customHeight="1">
      <c r="A8354" s="307"/>
    </row>
    <row r="8355" ht="14.25" customHeight="1">
      <c r="A8355" s="307"/>
    </row>
    <row r="8356" ht="14.25" customHeight="1">
      <c r="A8356" s="307"/>
    </row>
    <row r="8357" ht="14.25" customHeight="1">
      <c r="A8357" s="307"/>
    </row>
    <row r="8358" ht="14.25" customHeight="1">
      <c r="A8358" s="307"/>
    </row>
    <row r="8359" ht="14.25" customHeight="1">
      <c r="A8359" s="307"/>
    </row>
    <row r="8360" ht="14.25" customHeight="1">
      <c r="A8360" s="307"/>
    </row>
    <row r="8361" ht="14.25" customHeight="1">
      <c r="A8361" s="307"/>
    </row>
    <row r="8362" ht="14.25" customHeight="1">
      <c r="A8362" s="307"/>
    </row>
    <row r="8363" ht="14.25" customHeight="1">
      <c r="A8363" s="307"/>
    </row>
    <row r="8364" ht="14.25" customHeight="1">
      <c r="A8364" s="307"/>
    </row>
    <row r="8365" ht="14.25" customHeight="1">
      <c r="A8365" s="307"/>
    </row>
    <row r="8366" ht="14.25" customHeight="1">
      <c r="A8366" s="307"/>
    </row>
    <row r="8367" ht="14.25" customHeight="1">
      <c r="A8367" s="307"/>
    </row>
    <row r="8368" ht="14.25" customHeight="1">
      <c r="A8368" s="307"/>
    </row>
    <row r="8369" ht="14.25" customHeight="1">
      <c r="A8369" s="307"/>
    </row>
    <row r="8370" ht="14.25" customHeight="1">
      <c r="A8370" s="307"/>
    </row>
    <row r="8371" ht="14.25" customHeight="1">
      <c r="A8371" s="307"/>
    </row>
    <row r="8372" ht="14.25" customHeight="1">
      <c r="A8372" s="307"/>
    </row>
    <row r="8373" ht="14.25" customHeight="1">
      <c r="A8373" s="307"/>
    </row>
    <row r="8374" ht="14.25" customHeight="1">
      <c r="A8374" s="307"/>
    </row>
    <row r="8375" ht="14.25" customHeight="1">
      <c r="A8375" s="307"/>
    </row>
    <row r="8376" ht="14.25" customHeight="1">
      <c r="A8376" s="307"/>
    </row>
    <row r="8377" ht="14.25" customHeight="1">
      <c r="A8377" s="307"/>
    </row>
    <row r="8378" ht="14.25" customHeight="1">
      <c r="A8378" s="307"/>
    </row>
    <row r="8379" ht="14.25" customHeight="1">
      <c r="A8379" s="307"/>
    </row>
    <row r="8380" ht="14.25" customHeight="1">
      <c r="A8380" s="307"/>
    </row>
    <row r="8381" ht="14.25" customHeight="1">
      <c r="A8381" s="307"/>
    </row>
    <row r="8382" ht="14.25" customHeight="1">
      <c r="A8382" s="307"/>
    </row>
    <row r="8383" ht="14.25" customHeight="1">
      <c r="A8383" s="307"/>
    </row>
    <row r="8384" ht="14.25" customHeight="1">
      <c r="A8384" s="307"/>
    </row>
    <row r="8385" ht="14.25" customHeight="1">
      <c r="A8385" s="307"/>
    </row>
    <row r="8386" ht="14.25" customHeight="1">
      <c r="A8386" s="307"/>
    </row>
    <row r="8387" ht="14.25" customHeight="1">
      <c r="A8387" s="307"/>
    </row>
    <row r="8388" ht="14.25" customHeight="1">
      <c r="A8388" s="307"/>
    </row>
    <row r="8389" ht="14.25" customHeight="1">
      <c r="A8389" s="307"/>
    </row>
    <row r="8390" ht="14.25" customHeight="1">
      <c r="A8390" s="307"/>
    </row>
    <row r="8391" ht="14.25" customHeight="1">
      <c r="A8391" s="307"/>
    </row>
    <row r="8392" ht="14.25" customHeight="1">
      <c r="A8392" s="307"/>
    </row>
    <row r="8393" ht="14.25" customHeight="1">
      <c r="A8393" s="307"/>
    </row>
    <row r="8394" ht="14.25" customHeight="1">
      <c r="A8394" s="307"/>
    </row>
    <row r="8395" ht="14.25" customHeight="1">
      <c r="A8395" s="307"/>
    </row>
    <row r="8396" ht="14.25" customHeight="1">
      <c r="A8396" s="307"/>
    </row>
    <row r="8397" ht="14.25" customHeight="1">
      <c r="A8397" s="307"/>
    </row>
    <row r="8398" ht="14.25" customHeight="1">
      <c r="A8398" s="307"/>
    </row>
    <row r="8399" ht="14.25" customHeight="1">
      <c r="A8399" s="307"/>
    </row>
    <row r="8400" ht="14.25" customHeight="1">
      <c r="A8400" s="307"/>
    </row>
    <row r="8401" ht="14.25" customHeight="1">
      <c r="A8401" s="307"/>
    </row>
    <row r="8402" ht="14.25" customHeight="1">
      <c r="A8402" s="307"/>
    </row>
    <row r="8403" ht="14.25" customHeight="1">
      <c r="A8403" s="307"/>
    </row>
    <row r="8404" ht="14.25" customHeight="1">
      <c r="A8404" s="307"/>
    </row>
    <row r="8405" ht="14.25" customHeight="1">
      <c r="A8405" s="307"/>
    </row>
    <row r="8406" ht="14.25" customHeight="1">
      <c r="A8406" s="307"/>
    </row>
    <row r="8407" ht="14.25" customHeight="1">
      <c r="A8407" s="307"/>
    </row>
    <row r="8408" ht="14.25" customHeight="1">
      <c r="A8408" s="307"/>
    </row>
    <row r="8409" ht="14.25" customHeight="1">
      <c r="A8409" s="307"/>
    </row>
    <row r="8410" ht="14.25" customHeight="1">
      <c r="A8410" s="307"/>
    </row>
    <row r="8411" ht="14.25" customHeight="1">
      <c r="A8411" s="307"/>
    </row>
    <row r="8412" ht="14.25" customHeight="1">
      <c r="A8412" s="307"/>
    </row>
    <row r="8413" ht="14.25" customHeight="1">
      <c r="A8413" s="307"/>
    </row>
    <row r="8414" ht="14.25" customHeight="1">
      <c r="A8414" s="307"/>
    </row>
    <row r="8415" ht="14.25" customHeight="1">
      <c r="A8415" s="307"/>
    </row>
    <row r="8416" ht="14.25" customHeight="1">
      <c r="A8416" s="307"/>
    </row>
    <row r="8417" ht="14.25" customHeight="1">
      <c r="A8417" s="307"/>
    </row>
    <row r="8418" ht="14.25" customHeight="1">
      <c r="A8418" s="307"/>
    </row>
    <row r="8419" ht="14.25" customHeight="1">
      <c r="A8419" s="307"/>
    </row>
    <row r="8420" ht="14.25" customHeight="1">
      <c r="A8420" s="307"/>
    </row>
    <row r="8421" ht="14.25" customHeight="1">
      <c r="A8421" s="307"/>
    </row>
    <row r="8422" ht="14.25" customHeight="1">
      <c r="A8422" s="307"/>
    </row>
    <row r="8423" ht="14.25" customHeight="1">
      <c r="A8423" s="307"/>
    </row>
    <row r="8424" ht="14.25" customHeight="1">
      <c r="A8424" s="307"/>
    </row>
    <row r="8425" ht="14.25" customHeight="1">
      <c r="A8425" s="307"/>
    </row>
    <row r="8426" ht="14.25" customHeight="1">
      <c r="A8426" s="307"/>
    </row>
    <row r="8427" ht="14.25" customHeight="1">
      <c r="A8427" s="307"/>
    </row>
    <row r="8428" ht="14.25" customHeight="1">
      <c r="A8428" s="307"/>
    </row>
    <row r="8429" ht="14.25" customHeight="1">
      <c r="A8429" s="307"/>
    </row>
    <row r="8430" ht="14.25" customHeight="1">
      <c r="A8430" s="307"/>
    </row>
    <row r="8431" ht="14.25" customHeight="1">
      <c r="A8431" s="307"/>
    </row>
    <row r="8432" ht="14.25" customHeight="1">
      <c r="A8432" s="307"/>
    </row>
    <row r="8433" ht="14.25" customHeight="1">
      <c r="A8433" s="307"/>
    </row>
    <row r="8434" ht="14.25" customHeight="1">
      <c r="A8434" s="307"/>
    </row>
    <row r="8435" ht="14.25" customHeight="1">
      <c r="A8435" s="307"/>
    </row>
    <row r="8436" ht="14.25" customHeight="1">
      <c r="A8436" s="307"/>
    </row>
    <row r="8437" ht="14.25" customHeight="1">
      <c r="A8437" s="307"/>
    </row>
    <row r="8438" ht="14.25" customHeight="1">
      <c r="A8438" s="307"/>
    </row>
    <row r="8439" ht="14.25" customHeight="1">
      <c r="A8439" s="307"/>
    </row>
    <row r="8440" ht="14.25" customHeight="1">
      <c r="A8440" s="307"/>
    </row>
    <row r="8441" ht="14.25" customHeight="1">
      <c r="A8441" s="307"/>
    </row>
    <row r="8442" ht="14.25" customHeight="1">
      <c r="A8442" s="307"/>
    </row>
    <row r="8443" ht="14.25" customHeight="1">
      <c r="A8443" s="307"/>
    </row>
    <row r="8444" ht="14.25" customHeight="1">
      <c r="A8444" s="307"/>
    </row>
    <row r="8445" ht="14.25" customHeight="1">
      <c r="A8445" s="307"/>
    </row>
    <row r="8446" ht="14.25" customHeight="1">
      <c r="A8446" s="307"/>
    </row>
    <row r="8447" ht="14.25" customHeight="1">
      <c r="A8447" s="307"/>
    </row>
    <row r="8448" ht="14.25" customHeight="1">
      <c r="A8448" s="307"/>
    </row>
    <row r="8449" ht="14.25" customHeight="1">
      <c r="A8449" s="307"/>
    </row>
    <row r="8450" ht="14.25" customHeight="1">
      <c r="A8450" s="307"/>
    </row>
    <row r="8451" ht="14.25" customHeight="1">
      <c r="A8451" s="307"/>
    </row>
    <row r="8452" ht="14.25" customHeight="1">
      <c r="A8452" s="307"/>
    </row>
    <row r="8453" ht="14.25" customHeight="1">
      <c r="A8453" s="307"/>
    </row>
    <row r="8454" ht="14.25" customHeight="1">
      <c r="A8454" s="307"/>
    </row>
    <row r="8455" ht="14.25" customHeight="1">
      <c r="A8455" s="307"/>
    </row>
    <row r="8456" ht="14.25" customHeight="1">
      <c r="A8456" s="307"/>
    </row>
    <row r="8457" ht="14.25" customHeight="1">
      <c r="A8457" s="307"/>
    </row>
    <row r="8458" ht="14.25" customHeight="1">
      <c r="A8458" s="307"/>
    </row>
    <row r="8459" ht="14.25" customHeight="1">
      <c r="A8459" s="307"/>
    </row>
    <row r="8460" ht="14.25" customHeight="1">
      <c r="A8460" s="307"/>
    </row>
    <row r="8461" ht="14.25" customHeight="1">
      <c r="A8461" s="307"/>
    </row>
    <row r="8462" ht="14.25" customHeight="1">
      <c r="A8462" s="307"/>
    </row>
    <row r="8463" ht="14.25" customHeight="1">
      <c r="A8463" s="307"/>
    </row>
    <row r="8464" ht="14.25" customHeight="1">
      <c r="A8464" s="307"/>
    </row>
    <row r="8465" ht="14.25" customHeight="1">
      <c r="A8465" s="307"/>
    </row>
    <row r="8466" ht="14.25" customHeight="1">
      <c r="A8466" s="307"/>
    </row>
    <row r="8467" ht="14.25" customHeight="1">
      <c r="A8467" s="307"/>
    </row>
    <row r="8468" ht="14.25" customHeight="1">
      <c r="A8468" s="307"/>
    </row>
    <row r="8469" ht="14.25" customHeight="1">
      <c r="A8469" s="307"/>
    </row>
    <row r="8470" ht="14.25" customHeight="1">
      <c r="A8470" s="307"/>
    </row>
    <row r="8471" ht="14.25" customHeight="1">
      <c r="A8471" s="307"/>
    </row>
    <row r="8472" ht="14.25" customHeight="1">
      <c r="A8472" s="307"/>
    </row>
    <row r="8473" ht="14.25" customHeight="1">
      <c r="A8473" s="307"/>
    </row>
    <row r="8474" ht="14.25" customHeight="1">
      <c r="A8474" s="307"/>
    </row>
    <row r="8475" ht="14.25" customHeight="1">
      <c r="A8475" s="307"/>
    </row>
    <row r="8476" ht="14.25" customHeight="1">
      <c r="A8476" s="307"/>
    </row>
    <row r="8477" ht="14.25" customHeight="1">
      <c r="A8477" s="307"/>
    </row>
    <row r="8478" ht="14.25" customHeight="1">
      <c r="A8478" s="307"/>
    </row>
    <row r="8479" ht="14.25" customHeight="1">
      <c r="A8479" s="307"/>
    </row>
    <row r="8480" ht="14.25" customHeight="1">
      <c r="A8480" s="307"/>
    </row>
    <row r="8481" ht="14.25" customHeight="1">
      <c r="A8481" s="307"/>
    </row>
    <row r="8482" ht="14.25" customHeight="1">
      <c r="A8482" s="307"/>
    </row>
    <row r="8483" ht="14.25" customHeight="1">
      <c r="A8483" s="307"/>
    </row>
    <row r="8484" ht="14.25" customHeight="1">
      <c r="A8484" s="307"/>
    </row>
    <row r="8485" ht="14.25" customHeight="1">
      <c r="A8485" s="307"/>
    </row>
    <row r="8486" ht="14.25" customHeight="1">
      <c r="A8486" s="307"/>
    </row>
    <row r="8487" ht="14.25" customHeight="1">
      <c r="A8487" s="307"/>
    </row>
    <row r="8488" ht="14.25" customHeight="1">
      <c r="A8488" s="307"/>
    </row>
    <row r="8489" ht="14.25" customHeight="1">
      <c r="A8489" s="307"/>
    </row>
    <row r="8490" ht="14.25" customHeight="1">
      <c r="A8490" s="307"/>
    </row>
    <row r="8491" ht="14.25" customHeight="1">
      <c r="A8491" s="307"/>
    </row>
    <row r="8492" ht="14.25" customHeight="1">
      <c r="A8492" s="307"/>
    </row>
    <row r="8493" ht="14.25" customHeight="1">
      <c r="A8493" s="307"/>
    </row>
    <row r="8494" ht="14.25" customHeight="1">
      <c r="A8494" s="307"/>
    </row>
    <row r="8495" ht="14.25" customHeight="1">
      <c r="A8495" s="307"/>
    </row>
    <row r="8496" ht="14.25" customHeight="1">
      <c r="A8496" s="307"/>
    </row>
    <row r="8497" ht="14.25" customHeight="1">
      <c r="A8497" s="307"/>
    </row>
    <row r="8498" ht="14.25" customHeight="1">
      <c r="A8498" s="307"/>
    </row>
    <row r="8499" ht="14.25" customHeight="1">
      <c r="A8499" s="307"/>
    </row>
    <row r="8500" ht="14.25" customHeight="1">
      <c r="A8500" s="307"/>
    </row>
    <row r="8501" ht="14.25" customHeight="1">
      <c r="A8501" s="307"/>
    </row>
    <row r="8502" ht="14.25" customHeight="1">
      <c r="A8502" s="307"/>
    </row>
    <row r="8503" ht="14.25" customHeight="1">
      <c r="A8503" s="307"/>
    </row>
    <row r="8504" ht="14.25" customHeight="1">
      <c r="A8504" s="307"/>
    </row>
    <row r="8505" ht="14.25" customHeight="1">
      <c r="A8505" s="307"/>
    </row>
    <row r="8506" ht="14.25" customHeight="1">
      <c r="A8506" s="307"/>
    </row>
    <row r="8507" ht="14.25" customHeight="1">
      <c r="A8507" s="307"/>
    </row>
    <row r="8508" ht="14.25" customHeight="1">
      <c r="A8508" s="307"/>
    </row>
    <row r="8509" ht="14.25" customHeight="1">
      <c r="A8509" s="307"/>
    </row>
    <row r="8510" ht="14.25" customHeight="1">
      <c r="A8510" s="307"/>
    </row>
    <row r="8511" ht="14.25" customHeight="1">
      <c r="A8511" s="307"/>
    </row>
    <row r="8512" ht="14.25" customHeight="1">
      <c r="A8512" s="307"/>
    </row>
    <row r="8513" ht="14.25" customHeight="1">
      <c r="A8513" s="307"/>
    </row>
    <row r="8514" ht="14.25" customHeight="1">
      <c r="A8514" s="307"/>
    </row>
    <row r="8515" ht="14.25" customHeight="1">
      <c r="A8515" s="307"/>
    </row>
    <row r="8516" ht="14.25" customHeight="1">
      <c r="A8516" s="307"/>
    </row>
    <row r="8517" ht="14.25" customHeight="1">
      <c r="A8517" s="307"/>
    </row>
    <row r="8518" ht="14.25" customHeight="1">
      <c r="A8518" s="307"/>
    </row>
    <row r="8519" ht="14.25" customHeight="1">
      <c r="A8519" s="307"/>
    </row>
    <row r="8520" ht="14.25" customHeight="1">
      <c r="A8520" s="307"/>
    </row>
    <row r="8521" ht="14.25" customHeight="1">
      <c r="A8521" s="307"/>
    </row>
    <row r="8522" ht="14.25" customHeight="1">
      <c r="A8522" s="307"/>
    </row>
    <row r="8523" ht="14.25" customHeight="1">
      <c r="A8523" s="307"/>
    </row>
    <row r="8524" ht="14.25" customHeight="1">
      <c r="A8524" s="307"/>
    </row>
    <row r="8525" ht="14.25" customHeight="1">
      <c r="A8525" s="307"/>
    </row>
    <row r="8526" ht="14.25" customHeight="1">
      <c r="A8526" s="307"/>
    </row>
    <row r="8527" ht="14.25" customHeight="1">
      <c r="A8527" s="307"/>
    </row>
    <row r="8528" ht="14.25" customHeight="1">
      <c r="A8528" s="307"/>
    </row>
    <row r="8529" ht="14.25" customHeight="1">
      <c r="A8529" s="307"/>
    </row>
    <row r="8530" ht="14.25" customHeight="1">
      <c r="A8530" s="307"/>
    </row>
    <row r="8531" ht="14.25" customHeight="1">
      <c r="A8531" s="307"/>
    </row>
    <row r="8532" ht="14.25" customHeight="1">
      <c r="A8532" s="307"/>
    </row>
    <row r="8533" ht="14.25" customHeight="1">
      <c r="A8533" s="307"/>
    </row>
    <row r="8534" ht="14.25" customHeight="1">
      <c r="A8534" s="307"/>
    </row>
    <row r="8535" ht="14.25" customHeight="1">
      <c r="A8535" s="307"/>
    </row>
    <row r="8536" ht="14.25" customHeight="1">
      <c r="A8536" s="307"/>
    </row>
    <row r="8537" ht="14.25" customHeight="1">
      <c r="A8537" s="307"/>
    </row>
    <row r="8538" ht="14.25" customHeight="1">
      <c r="A8538" s="307"/>
    </row>
    <row r="8539" ht="14.25" customHeight="1">
      <c r="A8539" s="307"/>
    </row>
    <row r="8540" ht="14.25" customHeight="1">
      <c r="A8540" s="307"/>
    </row>
    <row r="8541" ht="14.25" customHeight="1">
      <c r="A8541" s="307"/>
    </row>
    <row r="8542" ht="14.25" customHeight="1">
      <c r="A8542" s="307"/>
    </row>
    <row r="8543" ht="14.25" customHeight="1">
      <c r="A8543" s="307"/>
    </row>
    <row r="8544" ht="14.25" customHeight="1">
      <c r="A8544" s="307"/>
    </row>
    <row r="8545" ht="14.25" customHeight="1">
      <c r="A8545" s="307"/>
    </row>
    <row r="8546" ht="14.25" customHeight="1">
      <c r="A8546" s="307"/>
    </row>
    <row r="8547" ht="14.25" customHeight="1">
      <c r="A8547" s="307"/>
    </row>
    <row r="8548" ht="14.25" customHeight="1">
      <c r="A8548" s="307"/>
    </row>
    <row r="8549" ht="14.25" customHeight="1">
      <c r="A8549" s="307"/>
    </row>
    <row r="8550" ht="14.25" customHeight="1">
      <c r="A8550" s="307"/>
    </row>
    <row r="8551" ht="14.25" customHeight="1">
      <c r="A8551" s="307"/>
    </row>
    <row r="8552" ht="14.25" customHeight="1">
      <c r="A8552" s="307"/>
    </row>
    <row r="8553" ht="14.25" customHeight="1">
      <c r="A8553" s="307"/>
    </row>
    <row r="8554" ht="14.25" customHeight="1">
      <c r="A8554" s="307"/>
    </row>
    <row r="8555" ht="14.25" customHeight="1">
      <c r="A8555" s="307"/>
    </row>
    <row r="8556" ht="14.25" customHeight="1">
      <c r="A8556" s="307"/>
    </row>
    <row r="8557" ht="14.25" customHeight="1">
      <c r="A8557" s="307"/>
    </row>
    <row r="8558" ht="14.25" customHeight="1">
      <c r="A8558" s="307"/>
    </row>
    <row r="8559" ht="14.25" customHeight="1">
      <c r="A8559" s="307"/>
    </row>
    <row r="8560" ht="14.25" customHeight="1">
      <c r="A8560" s="307"/>
    </row>
    <row r="8561" ht="14.25" customHeight="1">
      <c r="A8561" s="307"/>
    </row>
    <row r="8562" ht="14.25" customHeight="1">
      <c r="A8562" s="307"/>
    </row>
    <row r="8563" ht="14.25" customHeight="1">
      <c r="A8563" s="307"/>
    </row>
    <row r="8564" ht="14.25" customHeight="1">
      <c r="A8564" s="307"/>
    </row>
    <row r="8565" ht="14.25" customHeight="1">
      <c r="A8565" s="307"/>
    </row>
    <row r="8566" ht="14.25" customHeight="1">
      <c r="A8566" s="307"/>
    </row>
    <row r="8567" ht="14.25" customHeight="1">
      <c r="A8567" s="307"/>
    </row>
    <row r="8568" ht="14.25" customHeight="1">
      <c r="A8568" s="307"/>
    </row>
    <row r="8569" ht="14.25" customHeight="1">
      <c r="A8569" s="307"/>
    </row>
    <row r="8570" ht="14.25" customHeight="1">
      <c r="A8570" s="307"/>
    </row>
    <row r="8571" ht="14.25" customHeight="1">
      <c r="A8571" s="307"/>
    </row>
    <row r="8572" ht="14.25" customHeight="1">
      <c r="A8572" s="307"/>
    </row>
    <row r="8573" ht="14.25" customHeight="1">
      <c r="A8573" s="307"/>
    </row>
    <row r="8574" ht="14.25" customHeight="1">
      <c r="A8574" s="307"/>
    </row>
    <row r="8575" ht="14.25" customHeight="1">
      <c r="A8575" s="307"/>
    </row>
    <row r="8576" ht="14.25" customHeight="1">
      <c r="A8576" s="307"/>
    </row>
    <row r="8577" ht="14.25" customHeight="1">
      <c r="A8577" s="307"/>
    </row>
    <row r="8578" ht="14.25" customHeight="1">
      <c r="A8578" s="307"/>
    </row>
    <row r="8579" ht="14.25" customHeight="1">
      <c r="A8579" s="307"/>
    </row>
    <row r="8580" ht="14.25" customHeight="1">
      <c r="A8580" s="307"/>
    </row>
    <row r="8581" ht="14.25" customHeight="1">
      <c r="A8581" s="307"/>
    </row>
    <row r="8582" ht="14.25" customHeight="1">
      <c r="A8582" s="307"/>
    </row>
    <row r="8583" ht="14.25" customHeight="1">
      <c r="A8583" s="307"/>
    </row>
    <row r="8584" ht="14.25" customHeight="1">
      <c r="A8584" s="307"/>
    </row>
    <row r="8585" ht="14.25" customHeight="1">
      <c r="A8585" s="307"/>
    </row>
    <row r="8586" ht="14.25" customHeight="1">
      <c r="A8586" s="307"/>
    </row>
    <row r="8587" ht="14.25" customHeight="1">
      <c r="A8587" s="307"/>
    </row>
    <row r="8588" ht="14.25" customHeight="1">
      <c r="A8588" s="307"/>
    </row>
    <row r="8589" ht="14.25" customHeight="1">
      <c r="A8589" s="307"/>
    </row>
    <row r="8590" ht="14.25" customHeight="1">
      <c r="A8590" s="307"/>
    </row>
    <row r="8591" ht="14.25" customHeight="1">
      <c r="A8591" s="307"/>
    </row>
    <row r="8592" ht="14.25" customHeight="1">
      <c r="A8592" s="307"/>
    </row>
    <row r="8593" ht="14.25" customHeight="1">
      <c r="A8593" s="307"/>
    </row>
    <row r="8594" ht="14.25" customHeight="1">
      <c r="A8594" s="307"/>
    </row>
    <row r="8595" ht="14.25" customHeight="1">
      <c r="A8595" s="307"/>
    </row>
    <row r="8596" ht="14.25" customHeight="1">
      <c r="A8596" s="307"/>
    </row>
    <row r="8597" ht="14.25" customHeight="1">
      <c r="A8597" s="307"/>
    </row>
    <row r="8598" ht="14.25" customHeight="1">
      <c r="A8598" s="307"/>
    </row>
    <row r="8599" ht="14.25" customHeight="1">
      <c r="A8599" s="307"/>
    </row>
    <row r="8600" ht="14.25" customHeight="1">
      <c r="A8600" s="307"/>
    </row>
    <row r="8601" ht="14.25" customHeight="1">
      <c r="A8601" s="307"/>
    </row>
    <row r="8602" ht="14.25" customHeight="1">
      <c r="A8602" s="307"/>
    </row>
    <row r="8603" ht="14.25" customHeight="1">
      <c r="A8603" s="307"/>
    </row>
    <row r="8604" ht="14.25" customHeight="1">
      <c r="A8604" s="307"/>
    </row>
    <row r="8605" ht="14.25" customHeight="1">
      <c r="A8605" s="307"/>
    </row>
    <row r="8606" ht="14.25" customHeight="1">
      <c r="A8606" s="307"/>
    </row>
    <row r="8607" ht="14.25" customHeight="1">
      <c r="A8607" s="307"/>
    </row>
    <row r="8608" ht="14.25" customHeight="1">
      <c r="A8608" s="307"/>
    </row>
    <row r="8609" ht="14.25" customHeight="1">
      <c r="A8609" s="307"/>
    </row>
    <row r="8610" ht="14.25" customHeight="1">
      <c r="A8610" s="307"/>
    </row>
    <row r="8611" ht="14.25" customHeight="1">
      <c r="A8611" s="307"/>
    </row>
    <row r="8612" ht="14.25" customHeight="1">
      <c r="A8612" s="307"/>
    </row>
    <row r="8613" ht="14.25" customHeight="1">
      <c r="A8613" s="307"/>
    </row>
    <row r="8614" ht="14.25" customHeight="1">
      <c r="A8614" s="307"/>
    </row>
    <row r="8615" ht="14.25" customHeight="1">
      <c r="A8615" s="307"/>
    </row>
    <row r="8616" ht="14.25" customHeight="1">
      <c r="A8616" s="307"/>
    </row>
    <row r="8617" ht="14.25" customHeight="1">
      <c r="A8617" s="307"/>
    </row>
    <row r="8618" ht="14.25" customHeight="1">
      <c r="A8618" s="307"/>
    </row>
    <row r="8619" ht="14.25" customHeight="1">
      <c r="A8619" s="307"/>
    </row>
    <row r="8620" ht="14.25" customHeight="1">
      <c r="A8620" s="307"/>
    </row>
    <row r="8621" ht="14.25" customHeight="1">
      <c r="A8621" s="307"/>
    </row>
    <row r="8622" ht="14.25" customHeight="1">
      <c r="A8622" s="307"/>
    </row>
    <row r="8623" ht="14.25" customHeight="1">
      <c r="A8623" s="307"/>
    </row>
    <row r="8624" ht="14.25" customHeight="1">
      <c r="A8624" s="307"/>
    </row>
    <row r="8625" ht="14.25" customHeight="1">
      <c r="A8625" s="307"/>
    </row>
    <row r="8626" ht="14.25" customHeight="1">
      <c r="A8626" s="307"/>
    </row>
    <row r="8627" ht="14.25" customHeight="1">
      <c r="A8627" s="307"/>
    </row>
    <row r="8628" ht="14.25" customHeight="1">
      <c r="A8628" s="307"/>
    </row>
    <row r="8629" ht="14.25" customHeight="1">
      <c r="A8629" s="307"/>
    </row>
    <row r="8630" ht="14.25" customHeight="1">
      <c r="A8630" s="307"/>
    </row>
    <row r="8631" ht="14.25" customHeight="1">
      <c r="A8631" s="307"/>
    </row>
    <row r="8632" ht="14.25" customHeight="1">
      <c r="A8632" s="307"/>
    </row>
    <row r="8633" ht="14.25" customHeight="1">
      <c r="A8633" s="307"/>
    </row>
    <row r="8634" ht="14.25" customHeight="1">
      <c r="A8634" s="307"/>
    </row>
    <row r="8635" ht="14.25" customHeight="1">
      <c r="A8635" s="307"/>
    </row>
    <row r="8636" ht="14.25" customHeight="1">
      <c r="A8636" s="307"/>
    </row>
    <row r="8637" ht="14.25" customHeight="1">
      <c r="A8637" s="307"/>
    </row>
    <row r="8638" ht="14.25" customHeight="1">
      <c r="A8638" s="307"/>
    </row>
    <row r="8639" ht="14.25" customHeight="1">
      <c r="A8639" s="307"/>
    </row>
    <row r="8640" ht="14.25" customHeight="1">
      <c r="A8640" s="307"/>
    </row>
    <row r="8641" ht="14.25" customHeight="1">
      <c r="A8641" s="307"/>
    </row>
    <row r="8642" ht="14.25" customHeight="1">
      <c r="A8642" s="307"/>
    </row>
    <row r="8643" ht="14.25" customHeight="1">
      <c r="A8643" s="307"/>
    </row>
    <row r="8644" ht="14.25" customHeight="1">
      <c r="A8644" s="307"/>
    </row>
    <row r="8645" ht="14.25" customHeight="1">
      <c r="A8645" s="307"/>
    </row>
    <row r="8646" ht="14.25" customHeight="1">
      <c r="A8646" s="307"/>
    </row>
    <row r="8647" ht="14.25" customHeight="1">
      <c r="A8647" s="307"/>
    </row>
    <row r="8648" ht="14.25" customHeight="1">
      <c r="A8648" s="307"/>
    </row>
    <row r="8649" ht="14.25" customHeight="1">
      <c r="A8649" s="307"/>
    </row>
    <row r="8650" ht="14.25" customHeight="1">
      <c r="A8650" s="307"/>
    </row>
    <row r="8651" ht="14.25" customHeight="1">
      <c r="A8651" s="307"/>
    </row>
    <row r="8652" ht="14.25" customHeight="1">
      <c r="A8652" s="307"/>
    </row>
    <row r="8653" ht="14.25" customHeight="1">
      <c r="A8653" s="307"/>
    </row>
    <row r="8654" ht="14.25" customHeight="1">
      <c r="A8654" s="307"/>
    </row>
    <row r="8655" ht="14.25" customHeight="1">
      <c r="A8655" s="307"/>
    </row>
    <row r="8656" ht="14.25" customHeight="1">
      <c r="A8656" s="307"/>
    </row>
    <row r="8657" ht="14.25" customHeight="1">
      <c r="A8657" s="307"/>
    </row>
    <row r="8658" ht="14.25" customHeight="1">
      <c r="A8658" s="307"/>
    </row>
    <row r="8659" ht="14.25" customHeight="1">
      <c r="A8659" s="307"/>
    </row>
    <row r="8660" ht="14.25" customHeight="1">
      <c r="A8660" s="307"/>
    </row>
    <row r="8661" ht="14.25" customHeight="1">
      <c r="A8661" s="307"/>
    </row>
    <row r="8662" ht="14.25" customHeight="1">
      <c r="A8662" s="307"/>
    </row>
    <row r="8663" ht="14.25" customHeight="1">
      <c r="A8663" s="307"/>
    </row>
    <row r="8664" ht="14.25" customHeight="1">
      <c r="A8664" s="307"/>
    </row>
    <row r="8665" ht="14.25" customHeight="1">
      <c r="A8665" s="307"/>
    </row>
    <row r="8666" ht="14.25" customHeight="1">
      <c r="A8666" s="307"/>
    </row>
    <row r="8667" ht="14.25" customHeight="1">
      <c r="A8667" s="307"/>
    </row>
    <row r="8668" ht="14.25" customHeight="1">
      <c r="A8668" s="307"/>
    </row>
    <row r="8669" ht="14.25" customHeight="1">
      <c r="A8669" s="307"/>
    </row>
    <row r="8670" ht="14.25" customHeight="1">
      <c r="A8670" s="307"/>
    </row>
    <row r="8671" ht="14.25" customHeight="1">
      <c r="A8671" s="307"/>
    </row>
    <row r="8672" ht="14.25" customHeight="1">
      <c r="A8672" s="307"/>
    </row>
    <row r="8673" ht="14.25" customHeight="1">
      <c r="A8673" s="307"/>
    </row>
    <row r="8674" ht="14.25" customHeight="1">
      <c r="A8674" s="307"/>
    </row>
    <row r="8675" ht="14.25" customHeight="1">
      <c r="A8675" s="307"/>
    </row>
    <row r="8676" ht="14.25" customHeight="1">
      <c r="A8676" s="307"/>
    </row>
    <row r="8677" ht="14.25" customHeight="1">
      <c r="A8677" s="307"/>
    </row>
    <row r="8678" ht="14.25" customHeight="1">
      <c r="A8678" s="307"/>
    </row>
    <row r="8679" ht="14.25" customHeight="1">
      <c r="A8679" s="307"/>
    </row>
    <row r="8680" ht="14.25" customHeight="1">
      <c r="A8680" s="307"/>
    </row>
    <row r="8681" ht="14.25" customHeight="1">
      <c r="A8681" s="307"/>
    </row>
    <row r="8682" ht="14.25" customHeight="1">
      <c r="A8682" s="307"/>
    </row>
    <row r="8683" ht="14.25" customHeight="1">
      <c r="A8683" s="307"/>
    </row>
    <row r="8684" ht="14.25" customHeight="1">
      <c r="A8684" s="307"/>
    </row>
    <row r="8685" ht="14.25" customHeight="1">
      <c r="A8685" s="307"/>
    </row>
    <row r="8686" ht="14.25" customHeight="1">
      <c r="A8686" s="307"/>
    </row>
    <row r="8687" ht="14.25" customHeight="1">
      <c r="A8687" s="307"/>
    </row>
    <row r="8688" ht="14.25" customHeight="1">
      <c r="A8688" s="307"/>
    </row>
    <row r="8689" ht="14.25" customHeight="1">
      <c r="A8689" s="307"/>
    </row>
    <row r="8690" ht="14.25" customHeight="1">
      <c r="A8690" s="307"/>
    </row>
    <row r="8691" ht="14.25" customHeight="1">
      <c r="A8691" s="307"/>
    </row>
    <row r="8692" ht="14.25" customHeight="1">
      <c r="A8692" s="307"/>
    </row>
    <row r="8693" ht="14.25" customHeight="1">
      <c r="A8693" s="307"/>
    </row>
    <row r="8694" ht="14.25" customHeight="1">
      <c r="A8694" s="307"/>
    </row>
    <row r="8695" ht="14.25" customHeight="1">
      <c r="A8695" s="307"/>
    </row>
    <row r="8696" ht="14.25" customHeight="1">
      <c r="A8696" s="307"/>
    </row>
    <row r="8697" ht="14.25" customHeight="1">
      <c r="A8697" s="307"/>
    </row>
    <row r="8698" ht="14.25" customHeight="1">
      <c r="A8698" s="307"/>
    </row>
    <row r="8699" ht="14.25" customHeight="1">
      <c r="A8699" s="307"/>
    </row>
    <row r="8700" ht="14.25" customHeight="1">
      <c r="A8700" s="307"/>
    </row>
    <row r="8701" ht="14.25" customHeight="1">
      <c r="A8701" s="307"/>
    </row>
    <row r="8702" ht="14.25" customHeight="1">
      <c r="A8702" s="307"/>
    </row>
    <row r="8703" ht="14.25" customHeight="1">
      <c r="A8703" s="307"/>
    </row>
    <row r="8704" ht="14.25" customHeight="1">
      <c r="A8704" s="307"/>
    </row>
    <row r="8705" ht="14.25" customHeight="1">
      <c r="A8705" s="307"/>
    </row>
    <row r="8706" ht="14.25" customHeight="1">
      <c r="A8706" s="307"/>
    </row>
    <row r="8707" ht="14.25" customHeight="1">
      <c r="A8707" s="307"/>
    </row>
    <row r="8708" ht="14.25" customHeight="1">
      <c r="A8708" s="307"/>
    </row>
    <row r="8709" ht="14.25" customHeight="1">
      <c r="A8709" s="307"/>
    </row>
    <row r="8710" ht="14.25" customHeight="1">
      <c r="A8710" s="307"/>
    </row>
    <row r="8711" ht="14.25" customHeight="1">
      <c r="A8711" s="307"/>
    </row>
    <row r="8712" ht="14.25" customHeight="1">
      <c r="A8712" s="307"/>
    </row>
    <row r="8713" ht="14.25" customHeight="1">
      <c r="A8713" s="307"/>
    </row>
    <row r="8714" ht="14.25" customHeight="1">
      <c r="A8714" s="307"/>
    </row>
    <row r="8715" ht="14.25" customHeight="1">
      <c r="A8715" s="307"/>
    </row>
    <row r="8716" ht="14.25" customHeight="1">
      <c r="A8716" s="307"/>
    </row>
    <row r="8717" ht="14.25" customHeight="1">
      <c r="A8717" s="307"/>
    </row>
    <row r="8718" ht="14.25" customHeight="1">
      <c r="A8718" s="307"/>
    </row>
    <row r="8719" ht="14.25" customHeight="1">
      <c r="A8719" s="307"/>
    </row>
    <row r="8720" ht="14.25" customHeight="1">
      <c r="A8720" s="307"/>
    </row>
    <row r="8721" ht="14.25" customHeight="1">
      <c r="A8721" s="307"/>
    </row>
    <row r="8722" ht="14.25" customHeight="1">
      <c r="A8722" s="307"/>
    </row>
    <row r="8723" ht="14.25" customHeight="1">
      <c r="A8723" s="307"/>
    </row>
    <row r="8724" ht="14.25" customHeight="1">
      <c r="A8724" s="307"/>
    </row>
    <row r="8725" ht="14.25" customHeight="1">
      <c r="A8725" s="307"/>
    </row>
    <row r="8726" ht="14.25" customHeight="1">
      <c r="A8726" s="307"/>
    </row>
    <row r="8727" ht="14.25" customHeight="1">
      <c r="A8727" s="307"/>
    </row>
    <row r="8728" ht="14.25" customHeight="1">
      <c r="A8728" s="307"/>
    </row>
    <row r="8729" ht="14.25" customHeight="1">
      <c r="A8729" s="307"/>
    </row>
    <row r="8730" ht="14.25" customHeight="1">
      <c r="A8730" s="307"/>
    </row>
    <row r="8731" ht="14.25" customHeight="1">
      <c r="A8731" s="307"/>
    </row>
    <row r="8732" ht="14.25" customHeight="1">
      <c r="A8732" s="307"/>
    </row>
    <row r="8733" ht="14.25" customHeight="1">
      <c r="A8733" s="307"/>
    </row>
    <row r="8734" ht="14.25" customHeight="1">
      <c r="A8734" s="307"/>
    </row>
    <row r="8735" ht="14.25" customHeight="1">
      <c r="A8735" s="307"/>
    </row>
    <row r="8736" ht="14.25" customHeight="1">
      <c r="A8736" s="307"/>
    </row>
    <row r="8737" ht="14.25" customHeight="1">
      <c r="A8737" s="307"/>
    </row>
    <row r="8738" ht="14.25" customHeight="1">
      <c r="A8738" s="307"/>
    </row>
    <row r="8739" ht="14.25" customHeight="1">
      <c r="A8739" s="307"/>
    </row>
    <row r="8740" ht="14.25" customHeight="1">
      <c r="A8740" s="307"/>
    </row>
    <row r="8741" ht="14.25" customHeight="1">
      <c r="A8741" s="307"/>
    </row>
    <row r="8742" ht="14.25" customHeight="1">
      <c r="A8742" s="307"/>
    </row>
    <row r="8743" ht="14.25" customHeight="1">
      <c r="A8743" s="307"/>
    </row>
    <row r="8744" ht="14.25" customHeight="1">
      <c r="A8744" s="307"/>
    </row>
    <row r="8745" ht="14.25" customHeight="1">
      <c r="A8745" s="307"/>
    </row>
    <row r="8746" ht="14.25" customHeight="1">
      <c r="A8746" s="307"/>
    </row>
    <row r="8747" ht="14.25" customHeight="1">
      <c r="A8747" s="307"/>
    </row>
    <row r="8748" ht="14.25" customHeight="1">
      <c r="A8748" s="307"/>
    </row>
    <row r="8749" ht="14.25" customHeight="1">
      <c r="A8749" s="307"/>
    </row>
    <row r="8750" ht="14.25" customHeight="1">
      <c r="A8750" s="307"/>
    </row>
    <row r="8751" ht="14.25" customHeight="1">
      <c r="A8751" s="307"/>
    </row>
    <row r="8752" ht="14.25" customHeight="1">
      <c r="A8752" s="307"/>
    </row>
    <row r="8753" ht="14.25" customHeight="1">
      <c r="A8753" s="307"/>
    </row>
    <row r="8754" ht="14.25" customHeight="1">
      <c r="A8754" s="307"/>
    </row>
    <row r="8755" ht="14.25" customHeight="1">
      <c r="A8755" s="307"/>
    </row>
    <row r="8756" ht="14.25" customHeight="1">
      <c r="A8756" s="307"/>
    </row>
    <row r="8757" ht="14.25" customHeight="1">
      <c r="A8757" s="307"/>
    </row>
    <row r="8758" ht="14.25" customHeight="1">
      <c r="A8758" s="307"/>
    </row>
    <row r="8759" ht="14.25" customHeight="1">
      <c r="A8759" s="307"/>
    </row>
    <row r="8760" ht="14.25" customHeight="1">
      <c r="A8760" s="307"/>
    </row>
    <row r="8761" ht="14.25" customHeight="1">
      <c r="A8761" s="307"/>
    </row>
    <row r="8762" ht="14.25" customHeight="1">
      <c r="A8762" s="307"/>
    </row>
    <row r="8763" ht="14.25" customHeight="1">
      <c r="A8763" s="307"/>
    </row>
    <row r="8764" ht="14.25" customHeight="1">
      <c r="A8764" s="307"/>
    </row>
    <row r="8765" ht="14.25" customHeight="1">
      <c r="A8765" s="307"/>
    </row>
    <row r="8766" ht="14.25" customHeight="1">
      <c r="A8766" s="307"/>
    </row>
    <row r="8767" ht="14.25" customHeight="1">
      <c r="A8767" s="307"/>
    </row>
    <row r="8768" ht="14.25" customHeight="1">
      <c r="A8768" s="307"/>
    </row>
    <row r="8769" ht="14.25" customHeight="1">
      <c r="A8769" s="307"/>
    </row>
    <row r="8770" ht="14.25" customHeight="1">
      <c r="A8770" s="307"/>
    </row>
    <row r="8771" ht="14.25" customHeight="1">
      <c r="A8771" s="307"/>
    </row>
    <row r="8772" ht="14.25" customHeight="1">
      <c r="A8772" s="307"/>
    </row>
    <row r="8773" ht="14.25" customHeight="1">
      <c r="A8773" s="307"/>
    </row>
    <row r="8774" ht="14.25" customHeight="1">
      <c r="A8774" s="307"/>
    </row>
    <row r="8775" ht="14.25" customHeight="1">
      <c r="A8775" s="307"/>
    </row>
    <row r="8776" ht="14.25" customHeight="1">
      <c r="A8776" s="307"/>
    </row>
    <row r="8777" ht="14.25" customHeight="1">
      <c r="A8777" s="307"/>
    </row>
    <row r="8778" ht="14.25" customHeight="1">
      <c r="A8778" s="307"/>
    </row>
    <row r="8779" ht="14.25" customHeight="1">
      <c r="A8779" s="307"/>
    </row>
    <row r="8780" ht="14.25" customHeight="1">
      <c r="A8780" s="307"/>
    </row>
    <row r="8781" ht="14.25" customHeight="1">
      <c r="A8781" s="307"/>
    </row>
    <row r="8782" ht="14.25" customHeight="1">
      <c r="A8782" s="307"/>
    </row>
    <row r="8783" ht="14.25" customHeight="1">
      <c r="A8783" s="307"/>
    </row>
    <row r="8784" ht="14.25" customHeight="1">
      <c r="A8784" s="307"/>
    </row>
    <row r="8785" ht="14.25" customHeight="1">
      <c r="A8785" s="307"/>
    </row>
    <row r="8786" ht="14.25" customHeight="1">
      <c r="A8786" s="307"/>
    </row>
    <row r="8787" ht="14.25" customHeight="1">
      <c r="A8787" s="307"/>
    </row>
    <row r="8788" ht="14.25" customHeight="1">
      <c r="A8788" s="307"/>
    </row>
    <row r="8789" ht="14.25" customHeight="1">
      <c r="A8789" s="307"/>
    </row>
    <row r="8790" ht="14.25" customHeight="1">
      <c r="A8790" s="307"/>
    </row>
    <row r="8791" ht="14.25" customHeight="1">
      <c r="A8791" s="307"/>
    </row>
    <row r="8792" ht="14.25" customHeight="1">
      <c r="A8792" s="307"/>
    </row>
    <row r="8793" ht="14.25" customHeight="1">
      <c r="A8793" s="307"/>
    </row>
    <row r="8794" ht="14.25" customHeight="1">
      <c r="A8794" s="307"/>
    </row>
    <row r="8795" ht="14.25" customHeight="1">
      <c r="A8795" s="307"/>
    </row>
    <row r="8796" ht="14.25" customHeight="1">
      <c r="A8796" s="307"/>
    </row>
    <row r="8797" ht="14.25" customHeight="1">
      <c r="A8797" s="307"/>
    </row>
    <row r="8798" ht="14.25" customHeight="1">
      <c r="A8798" s="307"/>
    </row>
    <row r="8799" ht="14.25" customHeight="1">
      <c r="A8799" s="307"/>
    </row>
    <row r="8800" ht="14.25" customHeight="1">
      <c r="A8800" s="307"/>
    </row>
    <row r="8801" ht="14.25" customHeight="1">
      <c r="A8801" s="307"/>
    </row>
    <row r="8802" ht="14.25" customHeight="1">
      <c r="A8802" s="307"/>
    </row>
    <row r="8803" ht="14.25" customHeight="1">
      <c r="A8803" s="307"/>
    </row>
    <row r="8804" ht="14.25" customHeight="1">
      <c r="A8804" s="307"/>
    </row>
    <row r="8805" ht="14.25" customHeight="1">
      <c r="A8805" s="307"/>
    </row>
    <row r="8806" ht="14.25" customHeight="1">
      <c r="A8806" s="307"/>
    </row>
    <row r="8807" ht="14.25" customHeight="1">
      <c r="A8807" s="307"/>
    </row>
    <row r="8808" ht="14.25" customHeight="1">
      <c r="A8808" s="307"/>
    </row>
    <row r="8809" ht="14.25" customHeight="1">
      <c r="A8809" s="307"/>
    </row>
    <row r="8810" ht="14.25" customHeight="1">
      <c r="A8810" s="307"/>
    </row>
    <row r="8811" ht="14.25" customHeight="1">
      <c r="A8811" s="307"/>
    </row>
    <row r="8812" ht="14.25" customHeight="1">
      <c r="A8812" s="307"/>
    </row>
    <row r="8813" ht="14.25" customHeight="1">
      <c r="A8813" s="307"/>
    </row>
    <row r="8814" ht="14.25" customHeight="1">
      <c r="A8814" s="307"/>
    </row>
    <row r="8815" ht="14.25" customHeight="1">
      <c r="A8815" s="307"/>
    </row>
    <row r="8816" ht="14.25" customHeight="1">
      <c r="A8816" s="307"/>
    </row>
    <row r="8817" ht="14.25" customHeight="1">
      <c r="A8817" s="307"/>
    </row>
    <row r="8818" ht="14.25" customHeight="1">
      <c r="A8818" s="307"/>
    </row>
    <row r="8819" ht="14.25" customHeight="1">
      <c r="A8819" s="307"/>
    </row>
    <row r="8820" ht="14.25" customHeight="1">
      <c r="A8820" s="307"/>
    </row>
    <row r="8821" ht="14.25" customHeight="1">
      <c r="A8821" s="307"/>
    </row>
    <row r="8822" ht="14.25" customHeight="1">
      <c r="A8822" s="307"/>
    </row>
    <row r="8823" ht="14.25" customHeight="1">
      <c r="A8823" s="307"/>
    </row>
    <row r="8824" ht="14.25" customHeight="1">
      <c r="A8824" s="307"/>
    </row>
    <row r="8825" ht="14.25" customHeight="1">
      <c r="A8825" s="307"/>
    </row>
    <row r="8826" ht="14.25" customHeight="1">
      <c r="A8826" s="307"/>
    </row>
    <row r="8827" ht="14.25" customHeight="1">
      <c r="A8827" s="307"/>
    </row>
    <row r="8828" ht="14.25" customHeight="1">
      <c r="A8828" s="307"/>
    </row>
    <row r="8829" ht="14.25" customHeight="1">
      <c r="A8829" s="307"/>
    </row>
    <row r="8830" ht="14.25" customHeight="1">
      <c r="A8830" s="307"/>
    </row>
    <row r="8831" ht="14.25" customHeight="1">
      <c r="A8831" s="307"/>
    </row>
    <row r="8832" ht="14.25" customHeight="1">
      <c r="A8832" s="307"/>
    </row>
    <row r="8833" ht="14.25" customHeight="1">
      <c r="A8833" s="307"/>
    </row>
    <row r="8834" ht="14.25" customHeight="1">
      <c r="A8834" s="307"/>
    </row>
    <row r="8835" ht="14.25" customHeight="1">
      <c r="A8835" s="307"/>
    </row>
    <row r="8836" ht="14.25" customHeight="1">
      <c r="A8836" s="307"/>
    </row>
    <row r="8837" ht="14.25" customHeight="1">
      <c r="A8837" s="307"/>
    </row>
    <row r="8838" ht="14.25" customHeight="1">
      <c r="A8838" s="307"/>
    </row>
    <row r="8839" ht="14.25" customHeight="1">
      <c r="A8839" s="307"/>
    </row>
    <row r="8840" ht="14.25" customHeight="1">
      <c r="A8840" s="307"/>
    </row>
    <row r="8841" ht="14.25" customHeight="1">
      <c r="A8841" s="307"/>
    </row>
    <row r="8842" ht="14.25" customHeight="1">
      <c r="A8842" s="307"/>
    </row>
    <row r="8843" ht="14.25" customHeight="1">
      <c r="A8843" s="307"/>
    </row>
    <row r="8844" ht="14.25" customHeight="1">
      <c r="A8844" s="307"/>
    </row>
    <row r="8845" ht="14.25" customHeight="1">
      <c r="A8845" s="307"/>
    </row>
    <row r="8846" ht="14.25" customHeight="1">
      <c r="A8846" s="307"/>
    </row>
    <row r="8847" ht="14.25" customHeight="1">
      <c r="A8847" s="307"/>
    </row>
    <row r="8848" ht="14.25" customHeight="1">
      <c r="A8848" s="307"/>
    </row>
    <row r="8849" ht="14.25" customHeight="1">
      <c r="A8849" s="307"/>
    </row>
    <row r="8850" ht="14.25" customHeight="1">
      <c r="A8850" s="307"/>
    </row>
    <row r="8851" ht="14.25" customHeight="1">
      <c r="A8851" s="307"/>
    </row>
    <row r="8852" ht="14.25" customHeight="1">
      <c r="A8852" s="307"/>
    </row>
    <row r="8853" ht="14.25" customHeight="1">
      <c r="A8853" s="307"/>
    </row>
    <row r="8854" ht="14.25" customHeight="1">
      <c r="A8854" s="307"/>
    </row>
    <row r="8855" ht="14.25" customHeight="1">
      <c r="A8855" s="307"/>
    </row>
    <row r="8856" ht="14.25" customHeight="1">
      <c r="A8856" s="307"/>
    </row>
    <row r="8857" ht="14.25" customHeight="1">
      <c r="A8857" s="307"/>
    </row>
    <row r="8858" ht="14.25" customHeight="1">
      <c r="A8858" s="307"/>
    </row>
    <row r="8859" ht="14.25" customHeight="1">
      <c r="A8859" s="307"/>
    </row>
    <row r="8860" ht="14.25" customHeight="1">
      <c r="A8860" s="307"/>
    </row>
    <row r="8861" ht="14.25" customHeight="1">
      <c r="A8861" s="307"/>
    </row>
    <row r="8862" ht="14.25" customHeight="1">
      <c r="A8862" s="307"/>
    </row>
    <row r="8863" ht="14.25" customHeight="1">
      <c r="A8863" s="307"/>
    </row>
    <row r="8864" ht="14.25" customHeight="1">
      <c r="A8864" s="307"/>
    </row>
    <row r="8865" ht="14.25" customHeight="1">
      <c r="A8865" s="307"/>
    </row>
    <row r="8866" ht="14.25" customHeight="1">
      <c r="A8866" s="307"/>
    </row>
    <row r="8867" ht="14.25" customHeight="1">
      <c r="A8867" s="307"/>
    </row>
    <row r="8868" ht="14.25" customHeight="1">
      <c r="A8868" s="307"/>
    </row>
    <row r="8869" ht="14.25" customHeight="1">
      <c r="A8869" s="307"/>
    </row>
    <row r="8870" ht="14.25" customHeight="1">
      <c r="A8870" s="307"/>
    </row>
    <row r="8871" ht="14.25" customHeight="1">
      <c r="A8871" s="307"/>
    </row>
    <row r="8872" ht="14.25" customHeight="1">
      <c r="A8872" s="307"/>
    </row>
    <row r="8873" ht="14.25" customHeight="1">
      <c r="A8873" s="307"/>
    </row>
    <row r="8874" ht="14.25" customHeight="1">
      <c r="A8874" s="307"/>
    </row>
    <row r="8875" ht="14.25" customHeight="1">
      <c r="A8875" s="307"/>
    </row>
    <row r="8876" ht="14.25" customHeight="1">
      <c r="A8876" s="307"/>
    </row>
    <row r="8877" ht="14.25" customHeight="1">
      <c r="A8877" s="307"/>
    </row>
    <row r="8878" ht="14.25" customHeight="1">
      <c r="A8878" s="307"/>
    </row>
    <row r="8879" ht="14.25" customHeight="1">
      <c r="A8879" s="307"/>
    </row>
    <row r="8880" ht="14.25" customHeight="1">
      <c r="A8880" s="307"/>
    </row>
    <row r="8881" ht="14.25" customHeight="1">
      <c r="A8881" s="307"/>
    </row>
    <row r="8882" ht="14.25" customHeight="1">
      <c r="A8882" s="307"/>
    </row>
    <row r="8883" ht="14.25" customHeight="1">
      <c r="A8883" s="307"/>
    </row>
    <row r="8884" ht="14.25" customHeight="1">
      <c r="A8884" s="307"/>
    </row>
    <row r="8885" ht="14.25" customHeight="1">
      <c r="A8885" s="307"/>
    </row>
    <row r="8886" ht="14.25" customHeight="1">
      <c r="A8886" s="307"/>
    </row>
    <row r="8887" ht="14.25" customHeight="1">
      <c r="A8887" s="307"/>
    </row>
    <row r="8888" ht="14.25" customHeight="1">
      <c r="A8888" s="307"/>
    </row>
    <row r="8889" ht="14.25" customHeight="1">
      <c r="A8889" s="307"/>
    </row>
    <row r="8890" ht="14.25" customHeight="1">
      <c r="A8890" s="307"/>
    </row>
    <row r="8891" ht="14.25" customHeight="1">
      <c r="A8891" s="307"/>
    </row>
    <row r="8892" ht="14.25" customHeight="1">
      <c r="A8892" s="307"/>
    </row>
    <row r="8893" ht="14.25" customHeight="1">
      <c r="A8893" s="307"/>
    </row>
    <row r="8894" ht="14.25" customHeight="1">
      <c r="A8894" s="307"/>
    </row>
    <row r="8895" ht="14.25" customHeight="1">
      <c r="A8895" s="307"/>
    </row>
    <row r="8896" ht="14.25" customHeight="1">
      <c r="A8896" s="307"/>
    </row>
    <row r="8897" ht="14.25" customHeight="1">
      <c r="A8897" s="307"/>
    </row>
    <row r="8898" ht="14.25" customHeight="1">
      <c r="A8898" s="307"/>
    </row>
    <row r="8899" ht="14.25" customHeight="1">
      <c r="A8899" s="307"/>
    </row>
    <row r="8900" ht="14.25" customHeight="1">
      <c r="A8900" s="307"/>
    </row>
    <row r="8901" ht="14.25" customHeight="1">
      <c r="A8901" s="307"/>
    </row>
    <row r="8902" ht="14.25" customHeight="1">
      <c r="A8902" s="307"/>
    </row>
    <row r="8903" ht="14.25" customHeight="1">
      <c r="A8903" s="307"/>
    </row>
    <row r="8904" ht="14.25" customHeight="1">
      <c r="A8904" s="307"/>
    </row>
    <row r="8905" ht="14.25" customHeight="1">
      <c r="A8905" s="307"/>
    </row>
    <row r="8906" ht="14.25" customHeight="1">
      <c r="A8906" s="307"/>
    </row>
    <row r="8907" ht="14.25" customHeight="1">
      <c r="A8907" s="307"/>
    </row>
    <row r="8908" ht="14.25" customHeight="1">
      <c r="A8908" s="307"/>
    </row>
    <row r="8909" ht="14.25" customHeight="1">
      <c r="A8909" s="307"/>
    </row>
    <row r="8910" ht="14.25" customHeight="1">
      <c r="A8910" s="307"/>
    </row>
    <row r="8911" ht="14.25" customHeight="1">
      <c r="A8911" s="307"/>
    </row>
    <row r="8912" ht="14.25" customHeight="1">
      <c r="A8912" s="307"/>
    </row>
    <row r="8913" ht="14.25" customHeight="1">
      <c r="A8913" s="307"/>
    </row>
    <row r="8914" ht="14.25" customHeight="1">
      <c r="A8914" s="307"/>
    </row>
    <row r="8915" ht="14.25" customHeight="1">
      <c r="A8915" s="307"/>
    </row>
    <row r="8916" ht="14.25" customHeight="1">
      <c r="A8916" s="307"/>
    </row>
    <row r="8917" ht="14.25" customHeight="1">
      <c r="A8917" s="307"/>
    </row>
    <row r="8918" ht="14.25" customHeight="1">
      <c r="A8918" s="307"/>
    </row>
    <row r="8919" ht="14.25" customHeight="1">
      <c r="A8919" s="307"/>
    </row>
    <row r="8920" ht="14.25" customHeight="1">
      <c r="A8920" s="307"/>
    </row>
    <row r="8921" ht="14.25" customHeight="1">
      <c r="A8921" s="307"/>
    </row>
    <row r="8922" ht="14.25" customHeight="1">
      <c r="A8922" s="307"/>
    </row>
    <row r="8923" ht="14.25" customHeight="1">
      <c r="A8923" s="307"/>
    </row>
    <row r="8924" ht="14.25" customHeight="1">
      <c r="A8924" s="307"/>
    </row>
    <row r="8925" ht="14.25" customHeight="1">
      <c r="A8925" s="307"/>
    </row>
    <row r="8926" ht="14.25" customHeight="1">
      <c r="A8926" s="307"/>
    </row>
    <row r="8927" ht="14.25" customHeight="1">
      <c r="A8927" s="307"/>
    </row>
    <row r="8928" ht="14.25" customHeight="1">
      <c r="A8928" s="307"/>
    </row>
    <row r="8929" ht="14.25" customHeight="1">
      <c r="A8929" s="307"/>
    </row>
    <row r="8930" ht="14.25" customHeight="1">
      <c r="A8930" s="307"/>
    </row>
    <row r="8931" ht="14.25" customHeight="1">
      <c r="A8931" s="307"/>
    </row>
    <row r="8932" ht="14.25" customHeight="1">
      <c r="A8932" s="307"/>
    </row>
    <row r="8933" ht="14.25" customHeight="1">
      <c r="A8933" s="307"/>
    </row>
    <row r="8934" ht="14.25" customHeight="1">
      <c r="A8934" s="307"/>
    </row>
    <row r="8935" ht="14.25" customHeight="1">
      <c r="A8935" s="307"/>
    </row>
    <row r="8936" ht="14.25" customHeight="1">
      <c r="A8936" s="307"/>
    </row>
    <row r="8937" ht="14.25" customHeight="1">
      <c r="A8937" s="307"/>
    </row>
    <row r="8938" ht="14.25" customHeight="1">
      <c r="A8938" s="307"/>
    </row>
    <row r="8939" ht="14.25" customHeight="1">
      <c r="A8939" s="307"/>
    </row>
    <row r="8940" ht="14.25" customHeight="1">
      <c r="A8940" s="307"/>
    </row>
    <row r="8941" ht="14.25" customHeight="1">
      <c r="A8941" s="307"/>
    </row>
    <row r="8942" ht="14.25" customHeight="1">
      <c r="A8942" s="307"/>
    </row>
    <row r="8943" ht="14.25" customHeight="1">
      <c r="A8943" s="307"/>
    </row>
    <row r="8944" ht="14.25" customHeight="1">
      <c r="A8944" s="307"/>
    </row>
    <row r="8945" ht="14.25" customHeight="1">
      <c r="A8945" s="307"/>
    </row>
    <row r="8946" ht="14.25" customHeight="1">
      <c r="A8946" s="307"/>
    </row>
    <row r="8947" ht="14.25" customHeight="1">
      <c r="A8947" s="307"/>
    </row>
    <row r="8948" ht="14.25" customHeight="1">
      <c r="A8948" s="307"/>
    </row>
    <row r="8949" ht="14.25" customHeight="1">
      <c r="A8949" s="307"/>
    </row>
    <row r="8950" ht="14.25" customHeight="1">
      <c r="A8950" s="307"/>
    </row>
    <row r="8951" ht="14.25" customHeight="1">
      <c r="A8951" s="307"/>
    </row>
    <row r="8952" ht="14.25" customHeight="1">
      <c r="A8952" s="307"/>
    </row>
    <row r="8953" ht="14.25" customHeight="1">
      <c r="A8953" s="307"/>
    </row>
    <row r="8954" ht="14.25" customHeight="1">
      <c r="A8954" s="307"/>
    </row>
    <row r="8955" ht="14.25" customHeight="1">
      <c r="A8955" s="307"/>
    </row>
    <row r="8956" ht="14.25" customHeight="1">
      <c r="A8956" s="307"/>
    </row>
    <row r="8957" ht="14.25" customHeight="1">
      <c r="A8957" s="307"/>
    </row>
    <row r="8958" ht="14.25" customHeight="1">
      <c r="A8958" s="307"/>
    </row>
    <row r="8959" ht="14.25" customHeight="1">
      <c r="A8959" s="307"/>
    </row>
    <row r="8960" ht="14.25" customHeight="1">
      <c r="A8960" s="307"/>
    </row>
    <row r="8961" ht="14.25" customHeight="1">
      <c r="A8961" s="307"/>
    </row>
    <row r="8962" ht="14.25" customHeight="1">
      <c r="A8962" s="307"/>
    </row>
    <row r="8963" ht="14.25" customHeight="1">
      <c r="A8963" s="307"/>
    </row>
    <row r="8964" ht="14.25" customHeight="1">
      <c r="A8964" s="307"/>
    </row>
    <row r="8965" ht="14.25" customHeight="1">
      <c r="A8965" s="307"/>
    </row>
    <row r="8966" ht="14.25" customHeight="1">
      <c r="A8966" s="307"/>
    </row>
    <row r="8967" ht="14.25" customHeight="1">
      <c r="A8967" s="307"/>
    </row>
    <row r="8968" ht="14.25" customHeight="1">
      <c r="A8968" s="307"/>
    </row>
    <row r="8969" ht="14.25" customHeight="1">
      <c r="A8969" s="307"/>
    </row>
    <row r="8970" ht="14.25" customHeight="1">
      <c r="A8970" s="307"/>
    </row>
    <row r="8971" ht="14.25" customHeight="1">
      <c r="A8971" s="307"/>
    </row>
    <row r="8972" ht="14.25" customHeight="1">
      <c r="A8972" s="307"/>
    </row>
    <row r="8973" ht="14.25" customHeight="1">
      <c r="A8973" s="307"/>
    </row>
    <row r="8974" ht="14.25" customHeight="1">
      <c r="A8974" s="307"/>
    </row>
    <row r="8975" ht="14.25" customHeight="1">
      <c r="A8975" s="307"/>
    </row>
    <row r="8976" ht="14.25" customHeight="1">
      <c r="A8976" s="307"/>
    </row>
    <row r="8977" ht="14.25" customHeight="1">
      <c r="A8977" s="307"/>
    </row>
    <row r="8978" ht="14.25" customHeight="1">
      <c r="A8978" s="307"/>
    </row>
    <row r="8979" ht="14.25" customHeight="1">
      <c r="A8979" s="307"/>
    </row>
    <row r="8980" ht="14.25" customHeight="1">
      <c r="A8980" s="307"/>
    </row>
    <row r="8981" ht="14.25" customHeight="1">
      <c r="A8981" s="307"/>
    </row>
    <row r="8982" ht="14.25" customHeight="1">
      <c r="A8982" s="307"/>
    </row>
    <row r="8983" ht="14.25" customHeight="1">
      <c r="A8983" s="307"/>
    </row>
    <row r="8984" ht="14.25" customHeight="1">
      <c r="A8984" s="307"/>
    </row>
    <row r="8985" ht="14.25" customHeight="1">
      <c r="A8985" s="307"/>
    </row>
    <row r="8986" ht="14.25" customHeight="1">
      <c r="A8986" s="307"/>
    </row>
    <row r="8987" ht="14.25" customHeight="1">
      <c r="A8987" s="307"/>
    </row>
    <row r="8988" ht="14.25" customHeight="1">
      <c r="A8988" s="307"/>
    </row>
    <row r="8989" ht="14.25" customHeight="1">
      <c r="A8989" s="307"/>
    </row>
    <row r="8990" ht="14.25" customHeight="1">
      <c r="A8990" s="307"/>
    </row>
    <row r="8991" ht="14.25" customHeight="1">
      <c r="A8991" s="307"/>
    </row>
    <row r="8992" ht="14.25" customHeight="1">
      <c r="A8992" s="307"/>
    </row>
    <row r="8993" ht="14.25" customHeight="1">
      <c r="A8993" s="307"/>
    </row>
    <row r="8994" ht="14.25" customHeight="1">
      <c r="A8994" s="307"/>
    </row>
    <row r="8995" ht="14.25" customHeight="1">
      <c r="A8995" s="307"/>
    </row>
    <row r="8996" ht="14.25" customHeight="1">
      <c r="A8996" s="307"/>
    </row>
    <row r="8997" ht="14.25" customHeight="1">
      <c r="A8997" s="307"/>
    </row>
    <row r="8998" ht="14.25" customHeight="1">
      <c r="A8998" s="307"/>
    </row>
    <row r="8999" ht="14.25" customHeight="1">
      <c r="A8999" s="307"/>
    </row>
    <row r="9000" ht="14.25" customHeight="1">
      <c r="A9000" s="307"/>
    </row>
    <row r="9001" ht="14.25" customHeight="1">
      <c r="A9001" s="307"/>
    </row>
    <row r="9002" ht="14.25" customHeight="1">
      <c r="A9002" s="307"/>
    </row>
    <row r="9003" ht="14.25" customHeight="1">
      <c r="A9003" s="307"/>
    </row>
    <row r="9004" ht="14.25" customHeight="1">
      <c r="A9004" s="307"/>
    </row>
    <row r="9005" ht="14.25" customHeight="1">
      <c r="A9005" s="307"/>
    </row>
    <row r="9006" ht="14.25" customHeight="1">
      <c r="A9006" s="307"/>
    </row>
    <row r="9007" ht="14.25" customHeight="1">
      <c r="A9007" s="307"/>
    </row>
    <row r="9008" ht="14.25" customHeight="1">
      <c r="A9008" s="307"/>
    </row>
    <row r="9009" ht="14.25" customHeight="1">
      <c r="A9009" s="307"/>
    </row>
    <row r="9010" ht="14.25" customHeight="1">
      <c r="A9010" s="307"/>
    </row>
    <row r="9011" ht="14.25" customHeight="1">
      <c r="A9011" s="307"/>
    </row>
    <row r="9012" ht="14.25" customHeight="1">
      <c r="A9012" s="307"/>
    </row>
    <row r="9013" ht="14.25" customHeight="1">
      <c r="A9013" s="307"/>
    </row>
    <row r="9014" ht="14.25" customHeight="1">
      <c r="A9014" s="307"/>
    </row>
    <row r="9015" ht="14.25" customHeight="1">
      <c r="A9015" s="307"/>
    </row>
    <row r="9016" ht="14.25" customHeight="1">
      <c r="A9016" s="307"/>
    </row>
    <row r="9017" ht="14.25" customHeight="1">
      <c r="A9017" s="307"/>
    </row>
    <row r="9018" ht="14.25" customHeight="1">
      <c r="A9018" s="307"/>
    </row>
    <row r="9019" ht="14.25" customHeight="1">
      <c r="A9019" s="307"/>
    </row>
    <row r="9020" ht="14.25" customHeight="1">
      <c r="A9020" s="307"/>
    </row>
    <row r="9021" ht="14.25" customHeight="1">
      <c r="A9021" s="307"/>
    </row>
    <row r="9022" ht="14.25" customHeight="1">
      <c r="A9022" s="307"/>
    </row>
    <row r="9023" ht="14.25" customHeight="1">
      <c r="A9023" s="307"/>
    </row>
    <row r="9024" ht="14.25" customHeight="1">
      <c r="A9024" s="307"/>
    </row>
    <row r="9025" ht="14.25" customHeight="1">
      <c r="A9025" s="307"/>
    </row>
    <row r="9026" ht="14.25" customHeight="1">
      <c r="A9026" s="307"/>
    </row>
    <row r="9027" ht="14.25" customHeight="1">
      <c r="A9027" s="307"/>
    </row>
    <row r="9028" ht="14.25" customHeight="1">
      <c r="A9028" s="307"/>
    </row>
    <row r="9029" ht="14.25" customHeight="1">
      <c r="A9029" s="307"/>
    </row>
    <row r="9030" ht="14.25" customHeight="1">
      <c r="A9030" s="307"/>
    </row>
    <row r="9031" ht="14.25" customHeight="1">
      <c r="A9031" s="307"/>
    </row>
    <row r="9032" ht="14.25" customHeight="1">
      <c r="A9032" s="307"/>
    </row>
    <row r="9033" ht="14.25" customHeight="1">
      <c r="A9033" s="307"/>
    </row>
    <row r="9034" ht="14.25" customHeight="1">
      <c r="A9034" s="307"/>
    </row>
    <row r="9035" ht="14.25" customHeight="1">
      <c r="A9035" s="307"/>
    </row>
    <row r="9036" ht="14.25" customHeight="1">
      <c r="A9036" s="307"/>
    </row>
    <row r="9037" ht="14.25" customHeight="1">
      <c r="A9037" s="307"/>
    </row>
    <row r="9038" ht="14.25" customHeight="1">
      <c r="A9038" s="307"/>
    </row>
    <row r="9039" ht="14.25" customHeight="1">
      <c r="A9039" s="307"/>
    </row>
    <row r="9040" ht="14.25" customHeight="1">
      <c r="A9040" s="307"/>
    </row>
    <row r="9041" ht="14.25" customHeight="1">
      <c r="A9041" s="307"/>
    </row>
    <row r="9042" ht="14.25" customHeight="1">
      <c r="A9042" s="307"/>
    </row>
    <row r="9043" ht="14.25" customHeight="1">
      <c r="A9043" s="307"/>
    </row>
    <row r="9044" ht="14.25" customHeight="1">
      <c r="A9044" s="307"/>
    </row>
    <row r="9045" ht="14.25" customHeight="1">
      <c r="A9045" s="307"/>
    </row>
    <row r="9046" ht="14.25" customHeight="1">
      <c r="A9046" s="307"/>
    </row>
    <row r="9047" ht="14.25" customHeight="1">
      <c r="A9047" s="307"/>
    </row>
    <row r="9048" ht="14.25" customHeight="1">
      <c r="A9048" s="307"/>
    </row>
    <row r="9049" ht="14.25" customHeight="1">
      <c r="A9049" s="307"/>
    </row>
    <row r="9050" ht="14.25" customHeight="1">
      <c r="A9050" s="307"/>
    </row>
    <row r="9051" ht="14.25" customHeight="1">
      <c r="A9051" s="307"/>
    </row>
    <row r="9052" ht="14.25" customHeight="1">
      <c r="A9052" s="307"/>
    </row>
    <row r="9053" ht="14.25" customHeight="1">
      <c r="A9053" s="307"/>
    </row>
    <row r="9054" ht="14.25" customHeight="1">
      <c r="A9054" s="307"/>
    </row>
    <row r="9055" ht="14.25" customHeight="1">
      <c r="A9055" s="307"/>
    </row>
    <row r="9056" ht="14.25" customHeight="1">
      <c r="A9056" s="307"/>
    </row>
    <row r="9057" ht="14.25" customHeight="1">
      <c r="A9057" s="307"/>
    </row>
    <row r="9058" ht="14.25" customHeight="1">
      <c r="A9058" s="307"/>
    </row>
    <row r="9059" ht="14.25" customHeight="1">
      <c r="A9059" s="307"/>
    </row>
    <row r="9060" ht="14.25" customHeight="1">
      <c r="A9060" s="307"/>
    </row>
    <row r="9061" ht="14.25" customHeight="1">
      <c r="A9061" s="307"/>
    </row>
    <row r="9062" ht="14.25" customHeight="1">
      <c r="A9062" s="307"/>
    </row>
    <row r="9063" ht="14.25" customHeight="1">
      <c r="A9063" s="307"/>
    </row>
    <row r="9064" ht="14.25" customHeight="1">
      <c r="A9064" s="307"/>
    </row>
    <row r="9065" ht="14.25" customHeight="1">
      <c r="A9065" s="307"/>
    </row>
    <row r="9066" ht="14.25" customHeight="1">
      <c r="A9066" s="307"/>
    </row>
    <row r="9067" ht="14.25" customHeight="1">
      <c r="A9067" s="307"/>
    </row>
    <row r="9068" ht="14.25" customHeight="1">
      <c r="A9068" s="307"/>
    </row>
    <row r="9069" ht="14.25" customHeight="1">
      <c r="A9069" s="307"/>
    </row>
    <row r="9070" ht="14.25" customHeight="1">
      <c r="A9070" s="307"/>
    </row>
    <row r="9071" ht="14.25" customHeight="1">
      <c r="A9071" s="307"/>
    </row>
    <row r="9072" ht="14.25" customHeight="1">
      <c r="A9072" s="307"/>
    </row>
    <row r="9073" ht="14.25" customHeight="1">
      <c r="A9073" s="307"/>
    </row>
    <row r="9074" ht="14.25" customHeight="1">
      <c r="A9074" s="307"/>
    </row>
    <row r="9075" ht="14.25" customHeight="1">
      <c r="A9075" s="307"/>
    </row>
    <row r="9076" ht="14.25" customHeight="1">
      <c r="A9076" s="307"/>
    </row>
    <row r="9077" ht="14.25" customHeight="1">
      <c r="A9077" s="307"/>
    </row>
    <row r="9078" ht="14.25" customHeight="1">
      <c r="A9078" s="307"/>
    </row>
    <row r="9079" ht="14.25" customHeight="1">
      <c r="A9079" s="307"/>
    </row>
    <row r="9080" ht="14.25" customHeight="1">
      <c r="A9080" s="307"/>
    </row>
    <row r="9081" ht="14.25" customHeight="1">
      <c r="A9081" s="307"/>
    </row>
    <row r="9082" ht="14.25" customHeight="1">
      <c r="A9082" s="307"/>
    </row>
    <row r="9083" ht="14.25" customHeight="1">
      <c r="A9083" s="307"/>
    </row>
    <row r="9084" ht="14.25" customHeight="1">
      <c r="A9084" s="307"/>
    </row>
    <row r="9085" ht="14.25" customHeight="1">
      <c r="A9085" s="307"/>
    </row>
    <row r="9086" ht="14.25" customHeight="1">
      <c r="A9086" s="307"/>
    </row>
    <row r="9087" ht="14.25" customHeight="1">
      <c r="A9087" s="307"/>
    </row>
    <row r="9088" ht="14.25" customHeight="1">
      <c r="A9088" s="307"/>
    </row>
    <row r="9089" ht="14.25" customHeight="1">
      <c r="A9089" s="307"/>
    </row>
    <row r="9090" ht="14.25" customHeight="1">
      <c r="A9090" s="307"/>
    </row>
    <row r="9091" ht="14.25" customHeight="1">
      <c r="A9091" s="307"/>
    </row>
    <row r="9092" ht="14.25" customHeight="1">
      <c r="A9092" s="307"/>
    </row>
    <row r="9093" ht="14.25" customHeight="1">
      <c r="A9093" s="307"/>
    </row>
    <row r="9094" ht="14.25" customHeight="1">
      <c r="A9094" s="307"/>
    </row>
    <row r="9095" ht="14.25" customHeight="1">
      <c r="A9095" s="307"/>
    </row>
    <row r="9096" ht="14.25" customHeight="1">
      <c r="A9096" s="307"/>
    </row>
    <row r="9097" ht="14.25" customHeight="1">
      <c r="A9097" s="307"/>
    </row>
    <row r="9098" ht="14.25" customHeight="1">
      <c r="A9098" s="307"/>
    </row>
    <row r="9099" ht="14.25" customHeight="1">
      <c r="A9099" s="307"/>
    </row>
    <row r="9100" ht="14.25" customHeight="1">
      <c r="A9100" s="307"/>
    </row>
    <row r="9101" ht="14.25" customHeight="1">
      <c r="A9101" s="307"/>
    </row>
    <row r="9102" ht="14.25" customHeight="1">
      <c r="A9102" s="307"/>
    </row>
    <row r="9103" ht="14.25" customHeight="1">
      <c r="A9103" s="307"/>
    </row>
    <row r="9104" ht="14.25" customHeight="1">
      <c r="A9104" s="307"/>
    </row>
    <row r="9105" ht="14.25" customHeight="1">
      <c r="A9105" s="307"/>
    </row>
    <row r="9106" ht="14.25" customHeight="1">
      <c r="A9106" s="307"/>
    </row>
    <row r="9107" ht="14.25" customHeight="1">
      <c r="A9107" s="307"/>
    </row>
    <row r="9108" ht="14.25" customHeight="1">
      <c r="A9108" s="307"/>
    </row>
    <row r="9109" ht="14.25" customHeight="1">
      <c r="A9109" s="307"/>
    </row>
    <row r="9110" ht="14.25" customHeight="1">
      <c r="A9110" s="307"/>
    </row>
    <row r="9111" ht="14.25" customHeight="1">
      <c r="A9111" s="307"/>
    </row>
    <row r="9112" ht="14.25" customHeight="1">
      <c r="A9112" s="307"/>
    </row>
    <row r="9113" ht="14.25" customHeight="1">
      <c r="A9113" s="307"/>
    </row>
    <row r="9114" ht="14.25" customHeight="1">
      <c r="A9114" s="307"/>
    </row>
    <row r="9115" ht="14.25" customHeight="1">
      <c r="A9115" s="307"/>
    </row>
    <row r="9116" ht="14.25" customHeight="1">
      <c r="A9116" s="307"/>
    </row>
    <row r="9117" ht="14.25" customHeight="1">
      <c r="A9117" s="307"/>
    </row>
    <row r="9118" ht="14.25" customHeight="1">
      <c r="A9118" s="307"/>
    </row>
    <row r="9119" ht="14.25" customHeight="1">
      <c r="A9119" s="307"/>
    </row>
    <row r="9120" ht="14.25" customHeight="1">
      <c r="A9120" s="307"/>
    </row>
    <row r="9121" ht="14.25" customHeight="1">
      <c r="A9121" s="307"/>
    </row>
    <row r="9122" ht="14.25" customHeight="1">
      <c r="A9122" s="307"/>
    </row>
    <row r="9123" ht="14.25" customHeight="1">
      <c r="A9123" s="307"/>
    </row>
    <row r="9124" ht="14.25" customHeight="1">
      <c r="A9124" s="307"/>
    </row>
    <row r="9125" ht="14.25" customHeight="1">
      <c r="A9125" s="307"/>
    </row>
    <row r="9126" ht="14.25" customHeight="1">
      <c r="A9126" s="307"/>
    </row>
    <row r="9127" ht="14.25" customHeight="1">
      <c r="A9127" s="307"/>
    </row>
    <row r="9128" ht="14.25" customHeight="1">
      <c r="A9128" s="307"/>
    </row>
    <row r="9129" ht="14.25" customHeight="1">
      <c r="A9129" s="307"/>
    </row>
    <row r="9130" ht="14.25" customHeight="1">
      <c r="A9130" s="307"/>
    </row>
    <row r="9131" ht="14.25" customHeight="1">
      <c r="A9131" s="307"/>
    </row>
    <row r="9132" ht="14.25" customHeight="1">
      <c r="A9132" s="307"/>
    </row>
    <row r="9133" ht="14.25" customHeight="1">
      <c r="A9133" s="307"/>
    </row>
    <row r="9134" ht="14.25" customHeight="1">
      <c r="A9134" s="307"/>
    </row>
    <row r="9135" ht="14.25" customHeight="1">
      <c r="A9135" s="307"/>
    </row>
    <row r="9136" ht="14.25" customHeight="1">
      <c r="A9136" s="307"/>
    </row>
    <row r="9137" ht="14.25" customHeight="1">
      <c r="A9137" s="307"/>
    </row>
    <row r="9138" ht="14.25" customHeight="1">
      <c r="A9138" s="307"/>
    </row>
    <row r="9139" ht="14.25" customHeight="1">
      <c r="A9139" s="307"/>
    </row>
    <row r="9140" ht="14.25" customHeight="1">
      <c r="A9140" s="307"/>
    </row>
    <row r="9141" ht="14.25" customHeight="1">
      <c r="A9141" s="307"/>
    </row>
    <row r="9142" ht="14.25" customHeight="1">
      <c r="A9142" s="307"/>
    </row>
    <row r="9143" ht="14.25" customHeight="1">
      <c r="A9143" s="307"/>
    </row>
    <row r="9144" ht="14.25" customHeight="1">
      <c r="A9144" s="307"/>
    </row>
    <row r="9145" ht="14.25" customHeight="1">
      <c r="A9145" s="307"/>
    </row>
    <row r="9146" ht="14.25" customHeight="1">
      <c r="A9146" s="307"/>
    </row>
    <row r="9147" ht="14.25" customHeight="1">
      <c r="A9147" s="307"/>
    </row>
    <row r="9148" ht="14.25" customHeight="1">
      <c r="A9148" s="307"/>
    </row>
    <row r="9149" ht="14.25" customHeight="1">
      <c r="A9149" s="307"/>
    </row>
    <row r="9150" ht="14.25" customHeight="1">
      <c r="A9150" s="307"/>
    </row>
    <row r="9151" ht="14.25" customHeight="1">
      <c r="A9151" s="307"/>
    </row>
    <row r="9152" ht="14.25" customHeight="1">
      <c r="A9152" s="307"/>
    </row>
    <row r="9153" ht="14.25" customHeight="1">
      <c r="A9153" s="307"/>
    </row>
    <row r="9154" ht="14.25" customHeight="1">
      <c r="A9154" s="307"/>
    </row>
    <row r="9155" ht="14.25" customHeight="1">
      <c r="A9155" s="307"/>
    </row>
    <row r="9156" ht="14.25" customHeight="1">
      <c r="A9156" s="307"/>
    </row>
    <row r="9157" ht="14.25" customHeight="1">
      <c r="A9157" s="307"/>
    </row>
    <row r="9158" ht="14.25" customHeight="1">
      <c r="A9158" s="307"/>
    </row>
    <row r="9159" ht="14.25" customHeight="1">
      <c r="A9159" s="307"/>
    </row>
    <row r="9160" ht="14.25" customHeight="1">
      <c r="A9160" s="307"/>
    </row>
    <row r="9161" ht="14.25" customHeight="1">
      <c r="A9161" s="307"/>
    </row>
    <row r="9162" ht="14.25" customHeight="1">
      <c r="A9162" s="307"/>
    </row>
    <row r="9163" ht="14.25" customHeight="1">
      <c r="A9163" s="307"/>
    </row>
    <row r="9164" ht="14.25" customHeight="1">
      <c r="A9164" s="307"/>
    </row>
    <row r="9165" ht="14.25" customHeight="1">
      <c r="A9165" s="307"/>
    </row>
    <row r="9166" ht="14.25" customHeight="1">
      <c r="A9166" s="307"/>
    </row>
    <row r="9167" ht="14.25" customHeight="1">
      <c r="A9167" s="307"/>
    </row>
    <row r="9168" ht="14.25" customHeight="1">
      <c r="A9168" s="307"/>
    </row>
    <row r="9169" ht="14.25" customHeight="1">
      <c r="A9169" s="307"/>
    </row>
    <row r="9170" ht="14.25" customHeight="1">
      <c r="A9170" s="307"/>
    </row>
    <row r="9171" ht="14.25" customHeight="1">
      <c r="A9171" s="307"/>
    </row>
    <row r="9172" ht="14.25" customHeight="1">
      <c r="A9172" s="307"/>
    </row>
    <row r="9173" ht="14.25" customHeight="1">
      <c r="A9173" s="307"/>
    </row>
    <row r="9174" ht="14.25" customHeight="1">
      <c r="A9174" s="307"/>
    </row>
    <row r="9175" ht="14.25" customHeight="1">
      <c r="A9175" s="307"/>
    </row>
    <row r="9176" ht="14.25" customHeight="1">
      <c r="A9176" s="307"/>
    </row>
    <row r="9177" ht="14.25" customHeight="1">
      <c r="A9177" s="307"/>
    </row>
    <row r="9178" ht="14.25" customHeight="1">
      <c r="A9178" s="307"/>
    </row>
    <row r="9179" ht="14.25" customHeight="1">
      <c r="A9179" s="307"/>
    </row>
    <row r="9180" ht="14.25" customHeight="1">
      <c r="A9180" s="307"/>
    </row>
    <row r="9181" ht="14.25" customHeight="1">
      <c r="A9181" s="307"/>
    </row>
    <row r="9182" ht="14.25" customHeight="1">
      <c r="A9182" s="307"/>
    </row>
    <row r="9183" ht="14.25" customHeight="1">
      <c r="A9183" s="307"/>
    </row>
    <row r="9184" ht="14.25" customHeight="1">
      <c r="A9184" s="307"/>
    </row>
    <row r="9185" ht="14.25" customHeight="1">
      <c r="A9185" s="307"/>
    </row>
    <row r="9186" ht="14.25" customHeight="1">
      <c r="A9186" s="307"/>
    </row>
    <row r="9187" ht="14.25" customHeight="1">
      <c r="A9187" s="307"/>
    </row>
    <row r="9188" ht="14.25" customHeight="1">
      <c r="A9188" s="307"/>
    </row>
    <row r="9189" ht="14.25" customHeight="1">
      <c r="A9189" s="307"/>
    </row>
    <row r="9190" ht="14.25" customHeight="1">
      <c r="A9190" s="307"/>
    </row>
    <row r="9191" ht="14.25" customHeight="1">
      <c r="A9191" s="307"/>
    </row>
    <row r="9192" ht="14.25" customHeight="1">
      <c r="A9192" s="307"/>
    </row>
    <row r="9193" ht="14.25" customHeight="1">
      <c r="A9193" s="307"/>
    </row>
    <row r="9194" ht="14.25" customHeight="1">
      <c r="A9194" s="307"/>
    </row>
    <row r="9195" ht="14.25" customHeight="1">
      <c r="A9195" s="307"/>
    </row>
    <row r="9196" ht="14.25" customHeight="1">
      <c r="A9196" s="307"/>
    </row>
    <row r="9197" ht="14.25" customHeight="1">
      <c r="A9197" s="307"/>
    </row>
    <row r="9198" ht="14.25" customHeight="1">
      <c r="A9198" s="307"/>
    </row>
    <row r="9199" ht="14.25" customHeight="1">
      <c r="A9199" s="307"/>
    </row>
    <row r="9200" ht="14.25" customHeight="1">
      <c r="A9200" s="307"/>
    </row>
    <row r="9201" ht="14.25" customHeight="1">
      <c r="A9201" s="307"/>
    </row>
    <row r="9202" ht="14.25" customHeight="1">
      <c r="A9202" s="307"/>
    </row>
    <row r="9203" ht="14.25" customHeight="1">
      <c r="A9203" s="307"/>
    </row>
    <row r="9204" ht="14.25" customHeight="1">
      <c r="A9204" s="307"/>
    </row>
    <row r="9205" ht="14.25" customHeight="1">
      <c r="A9205" s="307"/>
    </row>
    <row r="9206" ht="14.25" customHeight="1">
      <c r="A9206" s="307"/>
    </row>
    <row r="9207" ht="14.25" customHeight="1">
      <c r="A9207" s="307"/>
    </row>
    <row r="9208" ht="14.25" customHeight="1">
      <c r="A9208" s="307"/>
    </row>
    <row r="9209" ht="14.25" customHeight="1">
      <c r="A9209" s="307"/>
    </row>
    <row r="9210" ht="14.25" customHeight="1">
      <c r="A9210" s="307"/>
    </row>
    <row r="9211" ht="14.25" customHeight="1">
      <c r="A9211" s="307"/>
    </row>
    <row r="9212" ht="14.25" customHeight="1">
      <c r="A9212" s="307"/>
    </row>
    <row r="9213" ht="14.25" customHeight="1">
      <c r="A9213" s="307"/>
    </row>
    <row r="9214" ht="14.25" customHeight="1">
      <c r="A9214" s="307"/>
    </row>
    <row r="9215" ht="14.25" customHeight="1">
      <c r="A9215" s="307"/>
    </row>
    <row r="9216" ht="14.25" customHeight="1">
      <c r="A9216" s="307"/>
    </row>
    <row r="9217" ht="14.25" customHeight="1">
      <c r="A9217" s="307"/>
    </row>
    <row r="9218" ht="14.25" customHeight="1">
      <c r="A9218" s="307"/>
    </row>
    <row r="9219" ht="14.25" customHeight="1">
      <c r="A9219" s="307"/>
    </row>
    <row r="9220" ht="14.25" customHeight="1">
      <c r="A9220" s="307"/>
    </row>
    <row r="9221" ht="14.25" customHeight="1">
      <c r="A9221" s="307"/>
    </row>
    <row r="9222" ht="14.25" customHeight="1">
      <c r="A9222" s="307"/>
    </row>
    <row r="9223" ht="14.25" customHeight="1">
      <c r="A9223" s="307"/>
    </row>
    <row r="9224" ht="14.25" customHeight="1">
      <c r="A9224" s="307"/>
    </row>
    <row r="9225" ht="14.25" customHeight="1">
      <c r="A9225" s="307"/>
    </row>
    <row r="9226" ht="14.25" customHeight="1">
      <c r="A9226" s="307"/>
    </row>
    <row r="9227" ht="14.25" customHeight="1">
      <c r="A9227" s="307"/>
    </row>
    <row r="9228" ht="14.25" customHeight="1">
      <c r="A9228" s="307"/>
    </row>
    <row r="9229" ht="14.25" customHeight="1">
      <c r="A9229" s="307"/>
    </row>
    <row r="9230" ht="14.25" customHeight="1">
      <c r="A9230" s="307"/>
    </row>
    <row r="9231" ht="14.25" customHeight="1">
      <c r="A9231" s="307"/>
    </row>
    <row r="9232" ht="14.25" customHeight="1">
      <c r="A9232" s="307"/>
    </row>
    <row r="9233" ht="14.25" customHeight="1">
      <c r="A9233" s="307"/>
    </row>
    <row r="9234" ht="14.25" customHeight="1">
      <c r="A9234" s="307"/>
    </row>
    <row r="9235" ht="14.25" customHeight="1">
      <c r="A9235" s="307"/>
    </row>
    <row r="9236" ht="14.25" customHeight="1">
      <c r="A9236" s="307"/>
    </row>
    <row r="9237" ht="14.25" customHeight="1">
      <c r="A9237" s="307"/>
    </row>
    <row r="9238" ht="14.25" customHeight="1">
      <c r="A9238" s="307"/>
    </row>
    <row r="9239" ht="14.25" customHeight="1">
      <c r="A9239" s="307"/>
    </row>
    <row r="9240" ht="14.25" customHeight="1">
      <c r="A9240" s="307"/>
    </row>
    <row r="9241" ht="14.25" customHeight="1">
      <c r="A9241" s="307"/>
    </row>
    <row r="9242" ht="14.25" customHeight="1">
      <c r="A9242" s="307"/>
    </row>
    <row r="9243" ht="14.25" customHeight="1">
      <c r="A9243" s="307"/>
    </row>
    <row r="9244" ht="14.25" customHeight="1">
      <c r="A9244" s="307"/>
    </row>
    <row r="9245" ht="14.25" customHeight="1">
      <c r="A9245" s="307"/>
    </row>
    <row r="9246" ht="14.25" customHeight="1">
      <c r="A9246" s="307"/>
    </row>
    <row r="9247" ht="14.25" customHeight="1">
      <c r="A9247" s="307"/>
    </row>
    <row r="9248" ht="14.25" customHeight="1">
      <c r="A9248" s="307"/>
    </row>
    <row r="9249" ht="14.25" customHeight="1">
      <c r="A9249" s="307"/>
    </row>
    <row r="9250" ht="14.25" customHeight="1">
      <c r="A9250" s="307"/>
    </row>
    <row r="9251" ht="14.25" customHeight="1">
      <c r="A9251" s="307"/>
    </row>
    <row r="9252" ht="14.25" customHeight="1">
      <c r="A9252" s="307"/>
    </row>
    <row r="9253" ht="14.25" customHeight="1">
      <c r="A9253" s="307"/>
    </row>
    <row r="9254" ht="14.25" customHeight="1">
      <c r="A9254" s="307"/>
    </row>
    <row r="9255" ht="14.25" customHeight="1">
      <c r="A9255" s="307"/>
    </row>
    <row r="9256" ht="14.25" customHeight="1">
      <c r="A9256" s="307"/>
    </row>
    <row r="9257" ht="14.25" customHeight="1">
      <c r="A9257" s="307"/>
    </row>
    <row r="9258" ht="14.25" customHeight="1">
      <c r="A9258" s="307"/>
    </row>
    <row r="9259" ht="14.25" customHeight="1">
      <c r="A9259" s="307"/>
    </row>
    <row r="9260" ht="14.25" customHeight="1">
      <c r="A9260" s="307"/>
    </row>
    <row r="9261" ht="14.25" customHeight="1">
      <c r="A9261" s="307"/>
    </row>
    <row r="9262" ht="14.25" customHeight="1">
      <c r="A9262" s="307"/>
    </row>
    <row r="9263" ht="14.25" customHeight="1">
      <c r="A9263" s="307"/>
    </row>
    <row r="9264" ht="14.25" customHeight="1">
      <c r="A9264" s="307"/>
    </row>
    <row r="9265" ht="14.25" customHeight="1">
      <c r="A9265" s="307"/>
    </row>
    <row r="9266" ht="14.25" customHeight="1">
      <c r="A9266" s="307"/>
    </row>
    <row r="9267" ht="14.25" customHeight="1">
      <c r="A9267" s="307"/>
    </row>
    <row r="9268" ht="14.25" customHeight="1">
      <c r="A9268" s="307"/>
    </row>
    <row r="9269" ht="14.25" customHeight="1">
      <c r="A9269" s="307"/>
    </row>
    <row r="9270" ht="14.25" customHeight="1">
      <c r="A9270" s="307"/>
    </row>
    <row r="9271" ht="14.25" customHeight="1">
      <c r="A9271" s="307"/>
    </row>
    <row r="9272" ht="14.25" customHeight="1">
      <c r="A9272" s="307"/>
    </row>
    <row r="9273" ht="14.25" customHeight="1">
      <c r="A9273" s="307"/>
    </row>
    <row r="9274" ht="14.25" customHeight="1">
      <c r="A9274" s="307"/>
    </row>
    <row r="9275" ht="14.25" customHeight="1">
      <c r="A9275" s="307"/>
    </row>
    <row r="9276" ht="14.25" customHeight="1">
      <c r="A9276" s="307"/>
    </row>
    <row r="9277" ht="14.25" customHeight="1">
      <c r="A9277" s="307"/>
    </row>
    <row r="9278" ht="14.25" customHeight="1">
      <c r="A9278" s="307"/>
    </row>
    <row r="9279" ht="14.25" customHeight="1">
      <c r="A9279" s="307"/>
    </row>
    <row r="9280" ht="14.25" customHeight="1">
      <c r="A9280" s="307"/>
    </row>
    <row r="9281" ht="14.25" customHeight="1">
      <c r="A9281" s="307"/>
    </row>
    <row r="9282" ht="14.25" customHeight="1">
      <c r="A9282" s="307"/>
    </row>
    <row r="9283" ht="14.25" customHeight="1">
      <c r="A9283" s="307"/>
    </row>
    <row r="9284" ht="14.25" customHeight="1">
      <c r="A9284" s="307"/>
    </row>
    <row r="9285" ht="14.25" customHeight="1">
      <c r="A9285" s="307"/>
    </row>
    <row r="9286" ht="14.25" customHeight="1">
      <c r="A9286" s="307"/>
    </row>
    <row r="9287" ht="14.25" customHeight="1">
      <c r="A9287" s="307"/>
    </row>
    <row r="9288" ht="14.25" customHeight="1">
      <c r="A9288" s="307"/>
    </row>
    <row r="9289" ht="14.25" customHeight="1">
      <c r="A9289" s="307"/>
    </row>
    <row r="9290" ht="14.25" customHeight="1">
      <c r="A9290" s="307"/>
    </row>
    <row r="9291" ht="14.25" customHeight="1">
      <c r="A9291" s="307"/>
    </row>
    <row r="9292" ht="14.25" customHeight="1">
      <c r="A9292" s="307"/>
    </row>
    <row r="9293" ht="14.25" customHeight="1">
      <c r="A9293" s="307"/>
    </row>
    <row r="9294" ht="14.25" customHeight="1">
      <c r="A9294" s="307"/>
    </row>
    <row r="9295" ht="14.25" customHeight="1">
      <c r="A9295" s="307"/>
    </row>
    <row r="9296" ht="14.25" customHeight="1">
      <c r="A9296" s="307"/>
    </row>
    <row r="9297" ht="14.25" customHeight="1">
      <c r="A9297" s="307"/>
    </row>
    <row r="9298" ht="14.25" customHeight="1">
      <c r="A9298" s="307"/>
    </row>
    <row r="9299" ht="14.25" customHeight="1">
      <c r="A9299" s="307"/>
    </row>
    <row r="9300" ht="14.25" customHeight="1">
      <c r="A9300" s="307"/>
    </row>
    <row r="9301" ht="14.25" customHeight="1">
      <c r="A9301" s="307"/>
    </row>
    <row r="9302" ht="14.25" customHeight="1">
      <c r="A9302" s="307"/>
    </row>
    <row r="9303" ht="14.25" customHeight="1">
      <c r="A9303" s="307"/>
    </row>
    <row r="9304" ht="14.25" customHeight="1">
      <c r="A9304" s="307"/>
    </row>
    <row r="9305" ht="14.25" customHeight="1">
      <c r="A9305" s="307"/>
    </row>
    <row r="9306" ht="14.25" customHeight="1">
      <c r="A9306" s="307"/>
    </row>
    <row r="9307" ht="14.25" customHeight="1">
      <c r="A9307" s="307"/>
    </row>
    <row r="9308" ht="14.25" customHeight="1">
      <c r="A9308" s="307"/>
    </row>
    <row r="9309" ht="14.25" customHeight="1">
      <c r="A9309" s="307"/>
    </row>
    <row r="9310" ht="14.25" customHeight="1">
      <c r="A9310" s="307"/>
    </row>
    <row r="9311" ht="14.25" customHeight="1">
      <c r="A9311" s="307"/>
    </row>
    <row r="9312" ht="14.25" customHeight="1">
      <c r="A9312" s="307"/>
    </row>
    <row r="9313" ht="14.25" customHeight="1">
      <c r="A9313" s="307"/>
    </row>
    <row r="9314" ht="14.25" customHeight="1">
      <c r="A9314" s="307"/>
    </row>
    <row r="9315" ht="14.25" customHeight="1">
      <c r="A9315" s="307"/>
    </row>
    <row r="9316" ht="14.25" customHeight="1">
      <c r="A9316" s="307"/>
    </row>
    <row r="9317" ht="14.25" customHeight="1">
      <c r="A9317" s="307"/>
    </row>
    <row r="9318" ht="14.25" customHeight="1">
      <c r="A9318" s="307"/>
    </row>
    <row r="9319" ht="14.25" customHeight="1">
      <c r="A9319" s="307"/>
    </row>
    <row r="9320" ht="14.25" customHeight="1">
      <c r="A9320" s="307"/>
    </row>
    <row r="9321" ht="14.25" customHeight="1">
      <c r="A9321" s="307"/>
    </row>
    <row r="9322" ht="14.25" customHeight="1">
      <c r="A9322" s="307"/>
    </row>
    <row r="9323" ht="14.25" customHeight="1">
      <c r="A9323" s="307"/>
    </row>
    <row r="9324" ht="14.25" customHeight="1">
      <c r="A9324" s="307"/>
    </row>
    <row r="9325" ht="14.25" customHeight="1">
      <c r="A9325" s="307"/>
    </row>
    <row r="9326" ht="14.25" customHeight="1">
      <c r="A9326" s="307"/>
    </row>
    <row r="9327" ht="14.25" customHeight="1">
      <c r="A9327" s="307"/>
    </row>
    <row r="9328" ht="14.25" customHeight="1">
      <c r="A9328" s="307"/>
    </row>
    <row r="9329" ht="14.25" customHeight="1">
      <c r="A9329" s="307"/>
    </row>
    <row r="9330" ht="14.25" customHeight="1">
      <c r="A9330" s="307"/>
    </row>
    <row r="9331" ht="14.25" customHeight="1">
      <c r="A9331" s="307"/>
    </row>
    <row r="9332" ht="14.25" customHeight="1">
      <c r="A9332" s="307"/>
    </row>
    <row r="9333" ht="14.25" customHeight="1">
      <c r="A9333" s="307"/>
    </row>
    <row r="9334" ht="14.25" customHeight="1">
      <c r="A9334" s="307"/>
    </row>
    <row r="9335" ht="14.25" customHeight="1">
      <c r="A9335" s="307"/>
    </row>
    <row r="9336" ht="14.25" customHeight="1">
      <c r="A9336" s="307"/>
    </row>
    <row r="9337" ht="14.25" customHeight="1">
      <c r="A9337" s="307"/>
    </row>
    <row r="9338" ht="14.25" customHeight="1">
      <c r="A9338" s="307"/>
    </row>
    <row r="9339" ht="14.25" customHeight="1">
      <c r="A9339" s="307"/>
    </row>
    <row r="9340" ht="14.25" customHeight="1">
      <c r="A9340" s="307"/>
    </row>
    <row r="9341" ht="14.25" customHeight="1">
      <c r="A9341" s="307"/>
    </row>
    <row r="9342" ht="14.25" customHeight="1">
      <c r="A9342" s="307"/>
    </row>
    <row r="9343" ht="14.25" customHeight="1">
      <c r="A9343" s="307"/>
    </row>
    <row r="9344" ht="14.25" customHeight="1">
      <c r="A9344" s="307"/>
    </row>
    <row r="9345" ht="14.25" customHeight="1">
      <c r="A9345" s="307"/>
    </row>
    <row r="9346" ht="14.25" customHeight="1">
      <c r="A9346" s="307"/>
    </row>
    <row r="9347" ht="14.25" customHeight="1">
      <c r="A9347" s="307"/>
    </row>
    <row r="9348" ht="14.25" customHeight="1">
      <c r="A9348" s="307"/>
    </row>
    <row r="9349" ht="14.25" customHeight="1">
      <c r="A9349" s="307"/>
    </row>
    <row r="9350" ht="14.25" customHeight="1">
      <c r="A9350" s="307"/>
    </row>
    <row r="9351" ht="14.25" customHeight="1">
      <c r="A9351" s="307"/>
    </row>
    <row r="9352" ht="14.25" customHeight="1">
      <c r="A9352" s="307"/>
    </row>
    <row r="9353" ht="14.25" customHeight="1">
      <c r="A9353" s="307"/>
    </row>
    <row r="9354" ht="14.25" customHeight="1">
      <c r="A9354" s="307"/>
    </row>
    <row r="9355" ht="14.25" customHeight="1">
      <c r="A9355" s="307"/>
    </row>
    <row r="9356" ht="14.25" customHeight="1">
      <c r="A9356" s="307"/>
    </row>
    <row r="9357" ht="14.25" customHeight="1">
      <c r="A9357" s="307"/>
    </row>
    <row r="9358" ht="14.25" customHeight="1">
      <c r="A9358" s="307"/>
    </row>
    <row r="9359" ht="14.25" customHeight="1">
      <c r="A9359" s="307"/>
    </row>
    <row r="9360" ht="14.25" customHeight="1">
      <c r="A9360" s="307"/>
    </row>
    <row r="9361" ht="14.25" customHeight="1">
      <c r="A9361" s="307"/>
    </row>
    <row r="9362" ht="14.25" customHeight="1">
      <c r="A9362" s="307"/>
    </row>
    <row r="9363" ht="14.25" customHeight="1">
      <c r="A9363" s="307"/>
    </row>
    <row r="9364" ht="14.25" customHeight="1">
      <c r="A9364" s="307"/>
    </row>
    <row r="9365" ht="14.25" customHeight="1">
      <c r="A9365" s="307"/>
    </row>
    <row r="9366" ht="14.25" customHeight="1">
      <c r="A9366" s="307"/>
    </row>
    <row r="9367" ht="14.25" customHeight="1">
      <c r="A9367" s="307"/>
    </row>
    <row r="9368" ht="14.25" customHeight="1">
      <c r="A9368" s="307"/>
    </row>
    <row r="9369" ht="14.25" customHeight="1">
      <c r="A9369" s="307"/>
    </row>
    <row r="9370" ht="14.25" customHeight="1">
      <c r="A9370" s="307"/>
    </row>
    <row r="9371" ht="14.25" customHeight="1">
      <c r="A9371" s="307"/>
    </row>
    <row r="9372" ht="14.25" customHeight="1">
      <c r="A9372" s="307"/>
    </row>
    <row r="9373" ht="14.25" customHeight="1">
      <c r="A9373" s="307"/>
    </row>
    <row r="9374" ht="14.25" customHeight="1">
      <c r="A9374" s="307"/>
    </row>
    <row r="9375" ht="14.25" customHeight="1">
      <c r="A9375" s="307"/>
    </row>
    <row r="9376" ht="14.25" customHeight="1">
      <c r="A9376" s="307"/>
    </row>
    <row r="9377" ht="14.25" customHeight="1">
      <c r="A9377" s="307"/>
    </row>
    <row r="9378" ht="14.25" customHeight="1">
      <c r="A9378" s="307"/>
    </row>
    <row r="9379" ht="14.25" customHeight="1">
      <c r="A9379" s="307"/>
    </row>
    <row r="9380" ht="14.25" customHeight="1">
      <c r="A9380" s="307"/>
    </row>
    <row r="9381" ht="14.25" customHeight="1">
      <c r="A9381" s="307"/>
    </row>
    <row r="9382" ht="14.25" customHeight="1">
      <c r="A9382" s="307"/>
    </row>
    <row r="9383" ht="14.25" customHeight="1">
      <c r="A9383" s="307"/>
    </row>
    <row r="9384" ht="14.25" customHeight="1">
      <c r="A9384" s="307"/>
    </row>
    <row r="9385" ht="14.25" customHeight="1">
      <c r="A9385" s="307"/>
    </row>
    <row r="9386" ht="14.25" customHeight="1">
      <c r="A9386" s="307"/>
    </row>
    <row r="9387" ht="14.25" customHeight="1">
      <c r="A9387" s="307"/>
    </row>
    <row r="9388" ht="14.25" customHeight="1">
      <c r="A9388" s="307"/>
    </row>
    <row r="9389" ht="14.25" customHeight="1">
      <c r="A9389" s="307"/>
    </row>
    <row r="9390" ht="14.25" customHeight="1">
      <c r="A9390" s="307"/>
    </row>
    <row r="9391" ht="14.25" customHeight="1">
      <c r="A9391" s="307"/>
    </row>
    <row r="9392" ht="14.25" customHeight="1">
      <c r="A9392" s="307"/>
    </row>
    <row r="9393" ht="14.25" customHeight="1">
      <c r="A9393" s="307"/>
    </row>
    <row r="9394" ht="14.25" customHeight="1">
      <c r="A9394" s="307"/>
    </row>
    <row r="9395" ht="14.25" customHeight="1">
      <c r="A9395" s="307"/>
    </row>
    <row r="9396" ht="14.25" customHeight="1">
      <c r="A9396" s="307"/>
    </row>
    <row r="9397" ht="14.25" customHeight="1">
      <c r="A9397" s="307"/>
    </row>
    <row r="9398" ht="14.25" customHeight="1">
      <c r="A9398" s="307"/>
    </row>
    <row r="9399" ht="14.25" customHeight="1">
      <c r="A9399" s="307"/>
    </row>
    <row r="9400" ht="14.25" customHeight="1">
      <c r="A9400" s="307"/>
    </row>
    <row r="9401" ht="14.25" customHeight="1">
      <c r="A9401" s="307"/>
    </row>
    <row r="9402" ht="14.25" customHeight="1">
      <c r="A9402" s="307"/>
    </row>
    <row r="9403" ht="14.25" customHeight="1">
      <c r="A9403" s="307"/>
    </row>
    <row r="9404" ht="14.25" customHeight="1">
      <c r="A9404" s="307"/>
    </row>
    <row r="9405" ht="14.25" customHeight="1">
      <c r="A9405" s="307"/>
    </row>
    <row r="9406" ht="14.25" customHeight="1">
      <c r="A9406" s="307"/>
    </row>
    <row r="9407" ht="14.25" customHeight="1">
      <c r="A9407" s="307"/>
    </row>
    <row r="9408" ht="14.25" customHeight="1">
      <c r="A9408" s="307"/>
    </row>
    <row r="9409" ht="14.25" customHeight="1">
      <c r="A9409" s="307"/>
    </row>
    <row r="9410" ht="14.25" customHeight="1">
      <c r="A9410" s="307"/>
    </row>
    <row r="9411" ht="14.25" customHeight="1">
      <c r="A9411" s="307"/>
    </row>
    <row r="9412" ht="14.25" customHeight="1">
      <c r="A9412" s="307"/>
    </row>
    <row r="9413" ht="14.25" customHeight="1">
      <c r="A9413" s="307"/>
    </row>
    <row r="9414" ht="14.25" customHeight="1">
      <c r="A9414" s="307"/>
    </row>
    <row r="9415" ht="14.25" customHeight="1">
      <c r="A9415" s="307"/>
    </row>
    <row r="9416" ht="14.25" customHeight="1">
      <c r="A9416" s="307"/>
    </row>
    <row r="9417" ht="14.25" customHeight="1">
      <c r="A9417" s="307"/>
    </row>
    <row r="9418" ht="14.25" customHeight="1">
      <c r="A9418" s="307"/>
    </row>
    <row r="9419" ht="14.25" customHeight="1">
      <c r="A9419" s="307"/>
    </row>
    <row r="9420" ht="14.25" customHeight="1">
      <c r="A9420" s="307"/>
    </row>
    <row r="9421" ht="14.25" customHeight="1">
      <c r="A9421" s="307"/>
    </row>
    <row r="9422" ht="14.25" customHeight="1">
      <c r="A9422" s="307"/>
    </row>
    <row r="9423" ht="14.25" customHeight="1">
      <c r="A9423" s="307"/>
    </row>
    <row r="9424" ht="14.25" customHeight="1">
      <c r="A9424" s="307"/>
    </row>
    <row r="9425" ht="14.25" customHeight="1">
      <c r="A9425" s="307"/>
    </row>
    <row r="9426" ht="14.25" customHeight="1">
      <c r="A9426" s="307"/>
    </row>
    <row r="9427" ht="14.25" customHeight="1">
      <c r="A9427" s="307"/>
    </row>
    <row r="9428" ht="14.25" customHeight="1">
      <c r="A9428" s="307"/>
    </row>
    <row r="9429" ht="14.25" customHeight="1">
      <c r="A9429" s="307"/>
    </row>
    <row r="9430" ht="14.25" customHeight="1">
      <c r="A9430" s="307"/>
    </row>
    <row r="9431" ht="14.25" customHeight="1">
      <c r="A9431" s="307"/>
    </row>
    <row r="9432" ht="14.25" customHeight="1">
      <c r="A9432" s="307"/>
    </row>
    <row r="9433" ht="14.25" customHeight="1">
      <c r="A9433" s="307"/>
    </row>
    <row r="9434" ht="14.25" customHeight="1">
      <c r="A9434" s="307"/>
    </row>
    <row r="9435" ht="14.25" customHeight="1">
      <c r="A9435" s="307"/>
    </row>
    <row r="9436" ht="14.25" customHeight="1">
      <c r="A9436" s="307"/>
    </row>
    <row r="9437" ht="14.25" customHeight="1">
      <c r="A9437" s="307"/>
    </row>
    <row r="9438" ht="14.25" customHeight="1">
      <c r="A9438" s="307"/>
    </row>
    <row r="9439" ht="14.25" customHeight="1">
      <c r="A9439" s="307"/>
    </row>
    <row r="9440" ht="14.25" customHeight="1">
      <c r="A9440" s="307"/>
    </row>
    <row r="9441" ht="14.25" customHeight="1">
      <c r="A9441" s="307"/>
    </row>
    <row r="9442" ht="14.25" customHeight="1">
      <c r="A9442" s="307"/>
    </row>
    <row r="9443" ht="14.25" customHeight="1">
      <c r="A9443" s="307"/>
    </row>
    <row r="9444" ht="14.25" customHeight="1">
      <c r="A9444" s="307"/>
    </row>
    <row r="9445" ht="14.25" customHeight="1">
      <c r="A9445" s="307"/>
    </row>
    <row r="9446" ht="14.25" customHeight="1">
      <c r="A9446" s="307"/>
    </row>
    <row r="9447" ht="14.25" customHeight="1">
      <c r="A9447" s="307"/>
    </row>
    <row r="9448" ht="14.25" customHeight="1">
      <c r="A9448" s="307"/>
    </row>
    <row r="9449" ht="14.25" customHeight="1">
      <c r="A9449" s="307"/>
    </row>
    <row r="9450" ht="14.25" customHeight="1">
      <c r="A9450" s="307"/>
    </row>
    <row r="9451" ht="14.25" customHeight="1">
      <c r="A9451" s="307"/>
    </row>
    <row r="9452" ht="14.25" customHeight="1">
      <c r="A9452" s="307"/>
    </row>
    <row r="9453" ht="14.25" customHeight="1">
      <c r="A9453" s="307"/>
    </row>
    <row r="9454" ht="14.25" customHeight="1">
      <c r="A9454" s="307"/>
    </row>
    <row r="9455" ht="14.25" customHeight="1">
      <c r="A9455" s="307"/>
    </row>
    <row r="9456" ht="14.25" customHeight="1">
      <c r="A9456" s="307"/>
    </row>
    <row r="9457" ht="14.25" customHeight="1">
      <c r="A9457" s="307"/>
    </row>
    <row r="9458" ht="14.25" customHeight="1">
      <c r="A9458" s="307"/>
    </row>
    <row r="9459" ht="14.25" customHeight="1">
      <c r="A9459" s="307"/>
    </row>
    <row r="9460" ht="14.25" customHeight="1">
      <c r="A9460" s="307"/>
    </row>
    <row r="9461" ht="14.25" customHeight="1">
      <c r="A9461" s="307"/>
    </row>
    <row r="9462" ht="14.25" customHeight="1">
      <c r="A9462" s="307"/>
    </row>
    <row r="9463" ht="14.25" customHeight="1">
      <c r="A9463" s="307"/>
    </row>
    <row r="9464" ht="14.25" customHeight="1">
      <c r="A9464" s="307"/>
    </row>
    <row r="9465" ht="14.25" customHeight="1">
      <c r="A9465" s="307"/>
    </row>
    <row r="9466" ht="14.25" customHeight="1">
      <c r="A9466" s="307"/>
    </row>
    <row r="9467" ht="14.25" customHeight="1">
      <c r="A9467" s="307"/>
    </row>
    <row r="9468" ht="14.25" customHeight="1">
      <c r="A9468" s="307"/>
    </row>
    <row r="9469" ht="14.25" customHeight="1">
      <c r="A9469" s="307"/>
    </row>
    <row r="9470" ht="14.25" customHeight="1">
      <c r="A9470" s="307"/>
    </row>
    <row r="9471" ht="14.25" customHeight="1">
      <c r="A9471" s="307"/>
    </row>
    <row r="9472" ht="14.25" customHeight="1">
      <c r="A9472" s="307"/>
    </row>
    <row r="9473" ht="14.25" customHeight="1">
      <c r="A9473" s="307"/>
    </row>
    <row r="9474" ht="14.25" customHeight="1">
      <c r="A9474" s="307"/>
    </row>
    <row r="9475" ht="14.25" customHeight="1">
      <c r="A9475" s="307"/>
    </row>
    <row r="9476" ht="14.25" customHeight="1">
      <c r="A9476" s="307"/>
    </row>
    <row r="9477" ht="14.25" customHeight="1">
      <c r="A9477" s="307"/>
    </row>
    <row r="9478" ht="14.25" customHeight="1">
      <c r="A9478" s="307"/>
    </row>
    <row r="9479" ht="14.25" customHeight="1">
      <c r="A9479" s="307"/>
    </row>
    <row r="9480" ht="14.25" customHeight="1">
      <c r="A9480" s="307"/>
    </row>
    <row r="9481" ht="14.25" customHeight="1">
      <c r="A9481" s="307"/>
    </row>
    <row r="9482" ht="14.25" customHeight="1">
      <c r="A9482" s="307"/>
    </row>
    <row r="9483" ht="14.25" customHeight="1">
      <c r="A9483" s="307"/>
    </row>
    <row r="9484" ht="14.25" customHeight="1">
      <c r="A9484" s="307"/>
    </row>
    <row r="9485" ht="14.25" customHeight="1">
      <c r="A9485" s="307"/>
    </row>
    <row r="9486" ht="14.25" customHeight="1">
      <c r="A9486" s="307"/>
    </row>
    <row r="9487" ht="14.25" customHeight="1">
      <c r="A9487" s="307"/>
    </row>
    <row r="9488" ht="14.25" customHeight="1">
      <c r="A9488" s="307"/>
    </row>
    <row r="9489" ht="14.25" customHeight="1">
      <c r="A9489" s="307"/>
    </row>
    <row r="9490" ht="14.25" customHeight="1">
      <c r="A9490" s="307"/>
    </row>
    <row r="9491" ht="14.25" customHeight="1">
      <c r="A9491" s="307"/>
    </row>
    <row r="9492" ht="14.25" customHeight="1">
      <c r="A9492" s="307"/>
    </row>
    <row r="9493" ht="14.25" customHeight="1">
      <c r="A9493" s="307"/>
    </row>
    <row r="9494" ht="14.25" customHeight="1">
      <c r="A9494" s="307"/>
    </row>
    <row r="9495" ht="14.25" customHeight="1">
      <c r="A9495" s="307"/>
    </row>
    <row r="9496" ht="14.25" customHeight="1">
      <c r="A9496" s="307"/>
    </row>
    <row r="9497" ht="14.25" customHeight="1">
      <c r="A9497" s="307"/>
    </row>
    <row r="9498" ht="14.25" customHeight="1">
      <c r="A9498" s="307"/>
    </row>
    <row r="9499" ht="14.25" customHeight="1">
      <c r="A9499" s="307"/>
    </row>
    <row r="9500" ht="14.25" customHeight="1">
      <c r="A9500" s="307"/>
    </row>
    <row r="9501" ht="14.25" customHeight="1">
      <c r="A9501" s="307"/>
    </row>
    <row r="9502" ht="14.25" customHeight="1">
      <c r="A9502" s="307"/>
    </row>
    <row r="9503" ht="14.25" customHeight="1">
      <c r="A9503" s="307"/>
    </row>
    <row r="9504" ht="14.25" customHeight="1">
      <c r="A9504" s="307"/>
    </row>
    <row r="9505" ht="14.25" customHeight="1">
      <c r="A9505" s="307"/>
    </row>
    <row r="9506" ht="14.25" customHeight="1">
      <c r="A9506" s="307"/>
    </row>
    <row r="9507" ht="14.25" customHeight="1">
      <c r="A9507" s="307"/>
    </row>
    <row r="9508" ht="14.25" customHeight="1">
      <c r="A9508" s="307"/>
    </row>
    <row r="9509" ht="14.25" customHeight="1">
      <c r="A9509" s="307"/>
    </row>
    <row r="9510" ht="14.25" customHeight="1">
      <c r="A9510" s="307"/>
    </row>
    <row r="9511" ht="14.25" customHeight="1">
      <c r="A9511" s="307"/>
    </row>
    <row r="9512" ht="14.25" customHeight="1">
      <c r="A9512" s="307"/>
    </row>
    <row r="9513" ht="14.25" customHeight="1">
      <c r="A9513" s="307"/>
    </row>
    <row r="9514" ht="14.25" customHeight="1">
      <c r="A9514" s="307"/>
    </row>
    <row r="9515" ht="14.25" customHeight="1">
      <c r="A9515" s="307"/>
    </row>
    <row r="9516" ht="14.25" customHeight="1">
      <c r="A9516" s="307"/>
    </row>
    <row r="9517" ht="14.25" customHeight="1">
      <c r="A9517" s="307"/>
    </row>
    <row r="9518" ht="14.25" customHeight="1">
      <c r="A9518" s="307"/>
    </row>
    <row r="9519" ht="14.25" customHeight="1">
      <c r="A9519" s="307"/>
    </row>
    <row r="9520" ht="14.25" customHeight="1">
      <c r="A9520" s="307"/>
    </row>
    <row r="9521" ht="14.25" customHeight="1">
      <c r="A9521" s="307"/>
    </row>
    <row r="9522" ht="14.25" customHeight="1">
      <c r="A9522" s="307"/>
    </row>
    <row r="9523" ht="14.25" customHeight="1">
      <c r="A9523" s="307"/>
    </row>
    <row r="9524" ht="14.25" customHeight="1">
      <c r="A9524" s="307"/>
    </row>
    <row r="9525" ht="14.25" customHeight="1">
      <c r="A9525" s="307"/>
    </row>
    <row r="9526" ht="14.25" customHeight="1">
      <c r="A9526" s="307"/>
    </row>
    <row r="9527" ht="14.25" customHeight="1">
      <c r="A9527" s="307"/>
    </row>
    <row r="9528" ht="14.25" customHeight="1">
      <c r="A9528" s="307"/>
    </row>
    <row r="9529" ht="14.25" customHeight="1">
      <c r="A9529" s="307"/>
    </row>
    <row r="9530" ht="14.25" customHeight="1">
      <c r="A9530" s="307"/>
    </row>
    <row r="9531" ht="14.25" customHeight="1">
      <c r="A9531" s="307"/>
    </row>
    <row r="9532" ht="14.25" customHeight="1">
      <c r="A9532" s="307"/>
    </row>
    <row r="9533" ht="14.25" customHeight="1">
      <c r="A9533" s="307"/>
    </row>
    <row r="9534" ht="14.25" customHeight="1">
      <c r="A9534" s="307"/>
    </row>
    <row r="9535" ht="14.25" customHeight="1">
      <c r="A9535" s="307"/>
    </row>
    <row r="9536" ht="14.25" customHeight="1">
      <c r="A9536" s="307"/>
    </row>
    <row r="9537" ht="14.25" customHeight="1">
      <c r="A9537" s="307"/>
    </row>
    <row r="9538" ht="14.25" customHeight="1">
      <c r="A9538" s="307"/>
    </row>
    <row r="9539" ht="14.25" customHeight="1">
      <c r="A9539" s="307"/>
    </row>
    <row r="9540" ht="14.25" customHeight="1">
      <c r="A9540" s="307"/>
    </row>
    <row r="9541" ht="14.25" customHeight="1">
      <c r="A9541" s="307"/>
    </row>
    <row r="9542" ht="14.25" customHeight="1">
      <c r="A9542" s="307"/>
    </row>
    <row r="9543" ht="14.25" customHeight="1">
      <c r="A9543" s="307"/>
    </row>
    <row r="9544" ht="14.25" customHeight="1">
      <c r="A9544" s="307"/>
    </row>
    <row r="9545" ht="14.25" customHeight="1">
      <c r="A9545" s="307"/>
    </row>
    <row r="9546" ht="14.25" customHeight="1">
      <c r="A9546" s="307"/>
    </row>
    <row r="9547" ht="14.25" customHeight="1">
      <c r="A9547" s="307"/>
    </row>
    <row r="9548" ht="14.25" customHeight="1">
      <c r="A9548" s="307"/>
    </row>
    <row r="9549" ht="14.25" customHeight="1">
      <c r="A9549" s="307"/>
    </row>
    <row r="9550" ht="14.25" customHeight="1">
      <c r="A9550" s="307"/>
    </row>
    <row r="9551" ht="14.25" customHeight="1">
      <c r="A9551" s="307"/>
    </row>
    <row r="9552" ht="14.25" customHeight="1">
      <c r="A9552" s="307"/>
    </row>
    <row r="9553" ht="14.25" customHeight="1">
      <c r="A9553" s="307"/>
    </row>
    <row r="9554" ht="14.25" customHeight="1">
      <c r="A9554" s="307"/>
    </row>
    <row r="9555" ht="14.25" customHeight="1">
      <c r="A9555" s="307"/>
    </row>
    <row r="9556" ht="14.25" customHeight="1">
      <c r="A9556" s="307"/>
    </row>
    <row r="9557" ht="14.25" customHeight="1">
      <c r="A9557" s="307"/>
    </row>
    <row r="9558" ht="14.25" customHeight="1">
      <c r="A9558" s="307"/>
    </row>
    <row r="9559" ht="14.25" customHeight="1">
      <c r="A9559" s="307"/>
    </row>
    <row r="9560" ht="14.25" customHeight="1">
      <c r="A9560" s="307"/>
    </row>
    <row r="9561" ht="14.25" customHeight="1">
      <c r="A9561" s="307"/>
    </row>
    <row r="9562" ht="14.25" customHeight="1">
      <c r="A9562" s="307"/>
    </row>
    <row r="9563" ht="14.25" customHeight="1">
      <c r="A9563" s="307"/>
    </row>
    <row r="9564" ht="14.25" customHeight="1">
      <c r="A9564" s="307"/>
    </row>
    <row r="9565" ht="14.25" customHeight="1">
      <c r="A9565" s="307"/>
    </row>
    <row r="9566" ht="14.25" customHeight="1">
      <c r="A9566" s="307"/>
    </row>
    <row r="9567" ht="14.25" customHeight="1">
      <c r="A9567" s="307"/>
    </row>
    <row r="9568" ht="14.25" customHeight="1">
      <c r="A9568" s="307"/>
    </row>
    <row r="9569" ht="14.25" customHeight="1">
      <c r="A9569" s="307"/>
    </row>
    <row r="9570" ht="14.25" customHeight="1">
      <c r="A9570" s="307"/>
    </row>
    <row r="9571" ht="14.25" customHeight="1">
      <c r="A9571" s="307"/>
    </row>
    <row r="9572" ht="14.25" customHeight="1">
      <c r="A9572" s="307"/>
    </row>
    <row r="9573" ht="14.25" customHeight="1">
      <c r="A9573" s="307"/>
    </row>
    <row r="9574" ht="14.25" customHeight="1">
      <c r="A9574" s="307"/>
    </row>
    <row r="9575" ht="14.25" customHeight="1">
      <c r="A9575" s="307"/>
    </row>
    <row r="9576" ht="14.25" customHeight="1">
      <c r="A9576" s="307"/>
    </row>
    <row r="9577" ht="14.25" customHeight="1">
      <c r="A9577" s="307"/>
    </row>
    <row r="9578" ht="14.25" customHeight="1">
      <c r="A9578" s="307"/>
    </row>
    <row r="9579" ht="14.25" customHeight="1">
      <c r="A9579" s="307"/>
    </row>
    <row r="9580" ht="14.25" customHeight="1">
      <c r="A9580" s="307"/>
    </row>
    <row r="9581" ht="14.25" customHeight="1">
      <c r="A9581" s="307"/>
    </row>
    <row r="9582" ht="14.25" customHeight="1">
      <c r="A9582" s="307"/>
    </row>
    <row r="9583" ht="14.25" customHeight="1">
      <c r="A9583" s="307"/>
    </row>
    <row r="9584" ht="14.25" customHeight="1">
      <c r="A9584" s="307"/>
    </row>
    <row r="9585" ht="14.25" customHeight="1">
      <c r="A9585" s="307"/>
    </row>
    <row r="9586" ht="14.25" customHeight="1">
      <c r="A9586" s="307"/>
    </row>
    <row r="9587" ht="14.25" customHeight="1">
      <c r="A9587" s="307"/>
    </row>
    <row r="9588" ht="14.25" customHeight="1">
      <c r="A9588" s="307"/>
    </row>
    <row r="9589" ht="14.25" customHeight="1">
      <c r="A9589" s="307"/>
    </row>
    <row r="9590" ht="14.25" customHeight="1">
      <c r="A9590" s="307"/>
    </row>
    <row r="9591" ht="14.25" customHeight="1">
      <c r="A9591" s="307"/>
    </row>
    <row r="9592" ht="14.25" customHeight="1">
      <c r="A9592" s="307"/>
    </row>
    <row r="9593" ht="14.25" customHeight="1">
      <c r="A9593" s="307"/>
    </row>
    <row r="9594" ht="14.25" customHeight="1">
      <c r="A9594" s="307"/>
    </row>
    <row r="9595" ht="14.25" customHeight="1">
      <c r="A9595" s="307"/>
    </row>
    <row r="9596" ht="14.25" customHeight="1">
      <c r="A9596" s="307"/>
    </row>
    <row r="9597" ht="14.25" customHeight="1">
      <c r="A9597" s="307"/>
    </row>
    <row r="9598" ht="14.25" customHeight="1">
      <c r="A9598" s="307"/>
    </row>
    <row r="9599" ht="14.25" customHeight="1">
      <c r="A9599" s="307"/>
    </row>
    <row r="9600" ht="14.25" customHeight="1">
      <c r="A9600" s="307"/>
    </row>
    <row r="9601" ht="14.25" customHeight="1">
      <c r="A9601" s="307"/>
    </row>
    <row r="9602" ht="14.25" customHeight="1">
      <c r="A9602" s="307"/>
    </row>
    <row r="9603" ht="14.25" customHeight="1">
      <c r="A9603" s="307"/>
    </row>
    <row r="9604" ht="14.25" customHeight="1">
      <c r="A9604" s="307"/>
    </row>
    <row r="9605" ht="14.25" customHeight="1">
      <c r="A9605" s="307"/>
    </row>
    <row r="9606" ht="14.25" customHeight="1">
      <c r="A9606" s="307"/>
    </row>
    <row r="9607" ht="14.25" customHeight="1">
      <c r="A9607" s="307"/>
    </row>
    <row r="9608" ht="14.25" customHeight="1">
      <c r="A9608" s="307"/>
    </row>
    <row r="9609" ht="14.25" customHeight="1">
      <c r="A9609" s="307"/>
    </row>
    <row r="9610" ht="14.25" customHeight="1">
      <c r="A9610" s="307"/>
    </row>
    <row r="9611" ht="14.25" customHeight="1">
      <c r="A9611" s="307"/>
    </row>
    <row r="9612" ht="14.25" customHeight="1">
      <c r="A9612" s="307"/>
    </row>
    <row r="9613" ht="14.25" customHeight="1">
      <c r="A9613" s="307"/>
    </row>
    <row r="9614" ht="14.25" customHeight="1">
      <c r="A9614" s="307"/>
    </row>
    <row r="9615" ht="14.25" customHeight="1">
      <c r="A9615" s="307"/>
    </row>
    <row r="9616" ht="14.25" customHeight="1">
      <c r="A9616" s="307"/>
    </row>
    <row r="9617" ht="14.25" customHeight="1">
      <c r="A9617" s="307"/>
    </row>
    <row r="9618" ht="14.25" customHeight="1">
      <c r="A9618" s="307"/>
    </row>
    <row r="9619" ht="14.25" customHeight="1">
      <c r="A9619" s="307"/>
    </row>
    <row r="9620" ht="14.25" customHeight="1">
      <c r="A9620" s="307"/>
    </row>
    <row r="9621" ht="14.25" customHeight="1">
      <c r="A9621" s="307"/>
    </row>
    <row r="9622" ht="14.25" customHeight="1">
      <c r="A9622" s="307"/>
    </row>
    <row r="9623" ht="14.25" customHeight="1">
      <c r="A9623" s="307"/>
    </row>
    <row r="9624" ht="14.25" customHeight="1">
      <c r="A9624" s="307"/>
    </row>
    <row r="9625" ht="14.25" customHeight="1">
      <c r="A9625" s="307"/>
    </row>
    <row r="9626" ht="14.25" customHeight="1">
      <c r="A9626" s="307"/>
    </row>
    <row r="9627" ht="14.25" customHeight="1">
      <c r="A9627" s="307"/>
    </row>
    <row r="9628" ht="14.25" customHeight="1">
      <c r="A9628" s="307"/>
    </row>
    <row r="9629" ht="14.25" customHeight="1">
      <c r="A9629" s="307"/>
    </row>
    <row r="9630" ht="14.25" customHeight="1">
      <c r="A9630" s="307"/>
    </row>
    <row r="9631" ht="14.25" customHeight="1">
      <c r="A9631" s="307"/>
    </row>
    <row r="9632" ht="14.25" customHeight="1">
      <c r="A9632" s="307"/>
    </row>
    <row r="9633" ht="14.25" customHeight="1">
      <c r="A9633" s="307"/>
    </row>
    <row r="9634" ht="14.25" customHeight="1">
      <c r="A9634" s="307"/>
    </row>
    <row r="9635" ht="14.25" customHeight="1">
      <c r="A9635" s="307"/>
    </row>
    <row r="9636" ht="14.25" customHeight="1">
      <c r="A9636" s="307"/>
    </row>
    <row r="9637" ht="14.25" customHeight="1">
      <c r="A9637" s="307"/>
    </row>
    <row r="9638" ht="14.25" customHeight="1">
      <c r="A9638" s="307"/>
    </row>
    <row r="9639" ht="14.25" customHeight="1">
      <c r="A9639" s="307"/>
    </row>
    <row r="9640" ht="14.25" customHeight="1">
      <c r="A9640" s="307"/>
    </row>
    <row r="9641" ht="14.25" customHeight="1">
      <c r="A9641" s="307"/>
    </row>
    <row r="9642" ht="14.25" customHeight="1">
      <c r="A9642" s="307"/>
    </row>
    <row r="9643" ht="14.25" customHeight="1">
      <c r="A9643" s="307"/>
    </row>
    <row r="9644" ht="14.25" customHeight="1">
      <c r="A9644" s="307"/>
    </row>
    <row r="9645" ht="14.25" customHeight="1">
      <c r="A9645" s="307"/>
    </row>
    <row r="9646" ht="14.25" customHeight="1">
      <c r="A9646" s="307"/>
    </row>
    <row r="9647" ht="14.25" customHeight="1">
      <c r="A9647" s="307"/>
    </row>
    <row r="9648" ht="14.25" customHeight="1">
      <c r="A9648" s="307"/>
    </row>
    <row r="9649" ht="14.25" customHeight="1">
      <c r="A9649" s="307"/>
    </row>
    <row r="9650" ht="14.25" customHeight="1">
      <c r="A9650" s="307"/>
    </row>
    <row r="9651" ht="14.25" customHeight="1">
      <c r="A9651" s="307"/>
    </row>
    <row r="9652" ht="14.25" customHeight="1">
      <c r="A9652" s="307"/>
    </row>
    <row r="9653" ht="14.25" customHeight="1">
      <c r="A9653" s="307"/>
    </row>
    <row r="9654" ht="14.25" customHeight="1">
      <c r="A9654" s="307"/>
    </row>
    <row r="9655" ht="14.25" customHeight="1">
      <c r="A9655" s="307"/>
    </row>
    <row r="9656" ht="14.25" customHeight="1">
      <c r="A9656" s="307"/>
    </row>
    <row r="9657" ht="14.25" customHeight="1">
      <c r="A9657" s="307"/>
    </row>
    <row r="9658" ht="14.25" customHeight="1">
      <c r="A9658" s="307"/>
    </row>
    <row r="9659" ht="14.25" customHeight="1">
      <c r="A9659" s="307"/>
    </row>
    <row r="9660" ht="14.25" customHeight="1">
      <c r="A9660" s="307"/>
    </row>
    <row r="9661" ht="14.25" customHeight="1">
      <c r="A9661" s="307"/>
    </row>
    <row r="9662" ht="14.25" customHeight="1">
      <c r="A9662" s="307"/>
    </row>
    <row r="9663" ht="14.25" customHeight="1">
      <c r="A9663" s="307"/>
    </row>
    <row r="9664" ht="14.25" customHeight="1">
      <c r="A9664" s="307"/>
    </row>
    <row r="9665" ht="14.25" customHeight="1">
      <c r="A9665" s="307"/>
    </row>
    <row r="9666" ht="14.25" customHeight="1">
      <c r="A9666" s="307"/>
    </row>
    <row r="9667" ht="14.25" customHeight="1">
      <c r="A9667" s="307"/>
    </row>
    <row r="9668" ht="14.25" customHeight="1">
      <c r="A9668" s="307"/>
    </row>
    <row r="9669" ht="14.25" customHeight="1">
      <c r="A9669" s="307"/>
    </row>
    <row r="9670" ht="14.25" customHeight="1">
      <c r="A9670" s="307"/>
    </row>
    <row r="9671" ht="14.25" customHeight="1">
      <c r="A9671" s="307"/>
    </row>
    <row r="9672" ht="14.25" customHeight="1">
      <c r="A9672" s="307"/>
    </row>
    <row r="9673" ht="14.25" customHeight="1">
      <c r="A9673" s="307"/>
    </row>
    <row r="9674" ht="14.25" customHeight="1">
      <c r="A9674" s="307"/>
    </row>
    <row r="9675" ht="14.25" customHeight="1">
      <c r="A9675" s="307"/>
    </row>
    <row r="9676" ht="14.25" customHeight="1">
      <c r="A9676" s="307"/>
    </row>
    <row r="9677" ht="14.25" customHeight="1">
      <c r="A9677" s="307"/>
    </row>
    <row r="9678" ht="14.25" customHeight="1">
      <c r="A9678" s="307"/>
    </row>
    <row r="9679" ht="14.25" customHeight="1">
      <c r="A9679" s="307"/>
    </row>
    <row r="9680" ht="14.25" customHeight="1">
      <c r="A9680" s="307"/>
    </row>
    <row r="9681" ht="14.25" customHeight="1">
      <c r="A9681" s="307"/>
    </row>
    <row r="9682" ht="14.25" customHeight="1">
      <c r="A9682" s="307"/>
    </row>
    <row r="9683" ht="14.25" customHeight="1">
      <c r="A9683" s="307"/>
    </row>
    <row r="9684" ht="14.25" customHeight="1">
      <c r="A9684" s="307"/>
    </row>
    <row r="9685" ht="14.25" customHeight="1">
      <c r="A9685" s="307"/>
    </row>
    <row r="9686" ht="14.25" customHeight="1">
      <c r="A9686" s="307"/>
    </row>
    <row r="9687" ht="14.25" customHeight="1">
      <c r="A9687" s="307"/>
    </row>
    <row r="9688" ht="14.25" customHeight="1">
      <c r="A9688" s="307"/>
    </row>
    <row r="9689" ht="14.25" customHeight="1">
      <c r="A9689" s="307"/>
    </row>
    <row r="9690" ht="14.25" customHeight="1">
      <c r="A9690" s="307"/>
    </row>
    <row r="9691" ht="14.25" customHeight="1">
      <c r="A9691" s="307"/>
    </row>
    <row r="9692" ht="14.25" customHeight="1">
      <c r="A9692" s="307"/>
    </row>
    <row r="9693" ht="14.25" customHeight="1">
      <c r="A9693" s="307"/>
    </row>
    <row r="9694" ht="14.25" customHeight="1">
      <c r="A9694" s="307"/>
    </row>
    <row r="9695" ht="14.25" customHeight="1">
      <c r="A9695" s="307"/>
    </row>
    <row r="9696" ht="14.25" customHeight="1">
      <c r="A9696" s="307"/>
    </row>
    <row r="9697" ht="14.25" customHeight="1">
      <c r="A9697" s="307"/>
    </row>
    <row r="9698" ht="14.25" customHeight="1">
      <c r="A9698" s="307"/>
    </row>
    <row r="9699" ht="14.25" customHeight="1">
      <c r="A9699" s="307"/>
    </row>
    <row r="9700" ht="14.25" customHeight="1">
      <c r="A9700" s="307"/>
    </row>
    <row r="9701" ht="14.25" customHeight="1">
      <c r="A9701" s="307"/>
    </row>
    <row r="9702" ht="14.25" customHeight="1">
      <c r="A9702" s="307"/>
    </row>
    <row r="9703" ht="14.25" customHeight="1">
      <c r="A9703" s="307"/>
    </row>
    <row r="9704" ht="14.25" customHeight="1">
      <c r="A9704" s="307"/>
    </row>
    <row r="9705" ht="14.25" customHeight="1">
      <c r="A9705" s="307"/>
    </row>
    <row r="9706" ht="14.25" customHeight="1">
      <c r="A9706" s="307"/>
    </row>
    <row r="9707" ht="14.25" customHeight="1">
      <c r="A9707" s="307"/>
    </row>
    <row r="9708" ht="14.25" customHeight="1">
      <c r="A9708" s="307"/>
    </row>
    <row r="9709" ht="14.25" customHeight="1">
      <c r="A9709" s="307"/>
    </row>
    <row r="9710" ht="14.25" customHeight="1">
      <c r="A9710" s="307"/>
    </row>
    <row r="9711" ht="14.25" customHeight="1">
      <c r="A9711" s="307"/>
    </row>
    <row r="9712" ht="14.25" customHeight="1">
      <c r="A9712" s="307"/>
    </row>
    <row r="9713" ht="14.25" customHeight="1">
      <c r="A9713" s="307"/>
    </row>
    <row r="9714" ht="14.25" customHeight="1">
      <c r="A9714" s="307"/>
    </row>
    <row r="9715" ht="14.25" customHeight="1">
      <c r="A9715" s="307"/>
    </row>
    <row r="9716" ht="14.25" customHeight="1">
      <c r="A9716" s="307"/>
    </row>
    <row r="9717" ht="14.25" customHeight="1">
      <c r="A9717" s="307"/>
    </row>
    <row r="9718" ht="14.25" customHeight="1">
      <c r="A9718" s="307"/>
    </row>
    <row r="9719" ht="14.25" customHeight="1">
      <c r="A9719" s="307"/>
    </row>
    <row r="9720" ht="14.25" customHeight="1">
      <c r="A9720" s="307"/>
    </row>
    <row r="9721" ht="14.25" customHeight="1">
      <c r="A9721" s="307"/>
    </row>
    <row r="9722" ht="14.25" customHeight="1">
      <c r="A9722" s="307"/>
    </row>
    <row r="9723" ht="14.25" customHeight="1">
      <c r="A9723" s="307"/>
    </row>
    <row r="9724" ht="14.25" customHeight="1">
      <c r="A9724" s="307"/>
    </row>
    <row r="9725" ht="14.25" customHeight="1">
      <c r="A9725" s="307"/>
    </row>
    <row r="9726" ht="14.25" customHeight="1">
      <c r="A9726" s="307"/>
    </row>
    <row r="9727" ht="14.25" customHeight="1">
      <c r="A9727" s="307"/>
    </row>
    <row r="9728" ht="14.25" customHeight="1">
      <c r="A9728" s="307"/>
    </row>
    <row r="9729" ht="14.25" customHeight="1">
      <c r="A9729" s="307"/>
    </row>
    <row r="9730" ht="14.25" customHeight="1">
      <c r="A9730" s="307"/>
    </row>
    <row r="9731" ht="14.25" customHeight="1">
      <c r="A9731" s="307"/>
    </row>
    <row r="9732" ht="14.25" customHeight="1">
      <c r="A9732" s="307"/>
    </row>
    <row r="9733" ht="14.25" customHeight="1">
      <c r="A9733" s="307"/>
    </row>
    <row r="9734" ht="14.25" customHeight="1">
      <c r="A9734" s="307"/>
    </row>
    <row r="9735" ht="14.25" customHeight="1">
      <c r="A9735" s="307"/>
    </row>
    <row r="9736" ht="14.25" customHeight="1">
      <c r="A9736" s="307"/>
    </row>
    <row r="9737" ht="14.25" customHeight="1">
      <c r="A9737" s="307"/>
    </row>
    <row r="9738" ht="14.25" customHeight="1">
      <c r="A9738" s="307"/>
    </row>
    <row r="9739" ht="14.25" customHeight="1">
      <c r="A9739" s="307"/>
    </row>
    <row r="9740" ht="14.25" customHeight="1">
      <c r="A9740" s="307"/>
    </row>
    <row r="9741" ht="14.25" customHeight="1">
      <c r="A9741" s="307"/>
    </row>
    <row r="9742" ht="14.25" customHeight="1">
      <c r="A9742" s="307"/>
    </row>
    <row r="9743" ht="14.25" customHeight="1">
      <c r="A9743" s="307"/>
    </row>
    <row r="9744" ht="14.25" customHeight="1">
      <c r="A9744" s="307"/>
    </row>
    <row r="9745" ht="14.25" customHeight="1">
      <c r="A9745" s="307"/>
    </row>
    <row r="9746" ht="14.25" customHeight="1">
      <c r="A9746" s="307"/>
    </row>
    <row r="9747" ht="14.25" customHeight="1">
      <c r="A9747" s="307"/>
    </row>
    <row r="9748" ht="14.25" customHeight="1">
      <c r="A9748" s="307"/>
    </row>
    <row r="9749" ht="14.25" customHeight="1">
      <c r="A9749" s="307"/>
    </row>
    <row r="9750" ht="14.25" customHeight="1">
      <c r="A9750" s="307"/>
    </row>
    <row r="9751" ht="14.25" customHeight="1">
      <c r="A9751" s="307"/>
    </row>
    <row r="9752" ht="14.25" customHeight="1">
      <c r="A9752" s="307"/>
    </row>
    <row r="9753" ht="14.25" customHeight="1">
      <c r="A9753" s="307"/>
    </row>
    <row r="9754" ht="14.25" customHeight="1">
      <c r="A9754" s="307"/>
    </row>
    <row r="9755" ht="14.25" customHeight="1">
      <c r="A9755" s="307"/>
    </row>
    <row r="9756" ht="14.25" customHeight="1">
      <c r="A9756" s="307"/>
    </row>
    <row r="9757" ht="14.25" customHeight="1">
      <c r="A9757" s="307"/>
    </row>
    <row r="9758" ht="14.25" customHeight="1">
      <c r="A9758" s="307"/>
    </row>
    <row r="9759" ht="14.25" customHeight="1">
      <c r="A9759" s="307"/>
    </row>
    <row r="9760" ht="14.25" customHeight="1">
      <c r="A9760" s="307"/>
    </row>
    <row r="9761" ht="14.25" customHeight="1">
      <c r="A9761" s="307"/>
    </row>
    <row r="9762" ht="14.25" customHeight="1">
      <c r="A9762" s="307"/>
    </row>
    <row r="9763" ht="14.25" customHeight="1">
      <c r="A9763" s="307"/>
    </row>
    <row r="9764" ht="14.25" customHeight="1">
      <c r="A9764" s="307"/>
    </row>
    <row r="9765" ht="14.25" customHeight="1">
      <c r="A9765" s="307"/>
    </row>
    <row r="9766" ht="14.25" customHeight="1">
      <c r="A9766" s="307"/>
    </row>
    <row r="9767" ht="14.25" customHeight="1">
      <c r="A9767" s="307"/>
    </row>
    <row r="9768" ht="14.25" customHeight="1">
      <c r="A9768" s="307"/>
    </row>
    <row r="9769" ht="14.25" customHeight="1">
      <c r="A9769" s="307"/>
    </row>
    <row r="9770" ht="14.25" customHeight="1">
      <c r="A9770" s="307"/>
    </row>
    <row r="9771" ht="14.25" customHeight="1">
      <c r="A9771" s="307"/>
    </row>
    <row r="9772" ht="14.25" customHeight="1">
      <c r="A9772" s="307"/>
    </row>
    <row r="9773" ht="14.25" customHeight="1">
      <c r="A9773" s="307"/>
    </row>
    <row r="9774" ht="14.25" customHeight="1">
      <c r="A9774" s="307"/>
    </row>
    <row r="9775" ht="14.25" customHeight="1">
      <c r="A9775" s="307"/>
    </row>
    <row r="9776" ht="14.25" customHeight="1">
      <c r="A9776" s="307"/>
    </row>
    <row r="9777" ht="14.25" customHeight="1">
      <c r="A9777" s="307"/>
    </row>
    <row r="9778" ht="14.25" customHeight="1">
      <c r="A9778" s="307"/>
    </row>
    <row r="9779" ht="14.25" customHeight="1">
      <c r="A9779" s="307"/>
    </row>
    <row r="9780" ht="14.25" customHeight="1">
      <c r="A9780" s="307"/>
    </row>
    <row r="9781" ht="14.25" customHeight="1">
      <c r="A9781" s="307"/>
    </row>
    <row r="9782" ht="14.25" customHeight="1">
      <c r="A9782" s="307"/>
    </row>
    <row r="9783" ht="14.25" customHeight="1">
      <c r="A9783" s="307"/>
    </row>
    <row r="9784" ht="14.25" customHeight="1">
      <c r="A9784" s="307"/>
    </row>
    <row r="9785" ht="14.25" customHeight="1">
      <c r="A9785" s="307"/>
    </row>
    <row r="9786" ht="14.25" customHeight="1">
      <c r="A9786" s="307"/>
    </row>
    <row r="9787" ht="14.25" customHeight="1">
      <c r="A9787" s="307"/>
    </row>
    <row r="9788" ht="14.25" customHeight="1">
      <c r="A9788" s="307"/>
    </row>
    <row r="9789" ht="14.25" customHeight="1">
      <c r="A9789" s="307"/>
    </row>
    <row r="9790" ht="14.25" customHeight="1">
      <c r="A9790" s="307"/>
    </row>
    <row r="9791" ht="14.25" customHeight="1">
      <c r="A9791" s="307"/>
    </row>
    <row r="9792" ht="14.25" customHeight="1">
      <c r="A9792" s="307"/>
    </row>
    <row r="9793" ht="14.25" customHeight="1">
      <c r="A9793" s="307"/>
    </row>
    <row r="9794" ht="14.25" customHeight="1">
      <c r="A9794" s="307"/>
    </row>
    <row r="9795" ht="14.25" customHeight="1">
      <c r="A9795" s="307"/>
    </row>
    <row r="9796" ht="14.25" customHeight="1">
      <c r="A9796" s="307"/>
    </row>
    <row r="9797" ht="14.25" customHeight="1">
      <c r="A9797" s="307"/>
    </row>
    <row r="9798" ht="14.25" customHeight="1">
      <c r="A9798" s="307"/>
    </row>
    <row r="9799" ht="14.25" customHeight="1">
      <c r="A9799" s="307"/>
    </row>
    <row r="9800" ht="14.25" customHeight="1">
      <c r="A9800" s="307"/>
    </row>
    <row r="9801" ht="14.25" customHeight="1">
      <c r="A9801" s="307"/>
    </row>
    <row r="9802" ht="14.25" customHeight="1">
      <c r="A9802" s="307"/>
    </row>
    <row r="9803" ht="14.25" customHeight="1">
      <c r="A9803" s="307"/>
    </row>
    <row r="9804" ht="14.25" customHeight="1">
      <c r="A9804" s="307"/>
    </row>
    <row r="9805" ht="14.25" customHeight="1">
      <c r="A9805" s="307"/>
    </row>
    <row r="9806" ht="14.25" customHeight="1">
      <c r="A9806" s="307"/>
    </row>
    <row r="9807" ht="14.25" customHeight="1">
      <c r="A9807" s="307"/>
    </row>
    <row r="9808" ht="14.25" customHeight="1">
      <c r="A9808" s="307"/>
    </row>
    <row r="9809" ht="14.25" customHeight="1">
      <c r="A9809" s="307"/>
    </row>
    <row r="9810" ht="14.25" customHeight="1">
      <c r="A9810" s="307"/>
    </row>
    <row r="9811" ht="14.25" customHeight="1">
      <c r="A9811" s="307"/>
    </row>
    <row r="9812" ht="14.25" customHeight="1">
      <c r="A9812" s="307"/>
    </row>
    <row r="9813" ht="14.25" customHeight="1">
      <c r="A9813" s="307"/>
    </row>
    <row r="9814" ht="14.25" customHeight="1">
      <c r="A9814" s="307"/>
    </row>
    <row r="9815" ht="14.25" customHeight="1">
      <c r="A9815" s="307"/>
    </row>
    <row r="9816" ht="14.25" customHeight="1">
      <c r="A9816" s="307"/>
    </row>
    <row r="9817" ht="14.25" customHeight="1">
      <c r="A9817" s="307"/>
    </row>
    <row r="9818" ht="14.25" customHeight="1">
      <c r="A9818" s="307"/>
    </row>
    <row r="9819" ht="14.25" customHeight="1">
      <c r="A9819" s="307"/>
    </row>
    <row r="9820" ht="14.25" customHeight="1">
      <c r="A9820" s="307"/>
    </row>
    <row r="9821" ht="14.25" customHeight="1">
      <c r="A9821" s="307"/>
    </row>
    <row r="9822" ht="14.25" customHeight="1">
      <c r="A9822" s="307"/>
    </row>
    <row r="9823" ht="14.25" customHeight="1">
      <c r="A9823" s="307"/>
    </row>
    <row r="9824" ht="14.25" customHeight="1">
      <c r="A9824" s="307"/>
    </row>
    <row r="9825" ht="14.25" customHeight="1">
      <c r="A9825" s="307"/>
    </row>
    <row r="9826" ht="14.25" customHeight="1">
      <c r="A9826" s="307"/>
    </row>
    <row r="9827" ht="14.25" customHeight="1">
      <c r="A9827" s="307"/>
    </row>
    <row r="9828" ht="14.25" customHeight="1">
      <c r="A9828" s="307"/>
    </row>
    <row r="9829" ht="14.25" customHeight="1">
      <c r="A9829" s="307"/>
    </row>
    <row r="9830" ht="14.25" customHeight="1">
      <c r="A9830" s="307"/>
    </row>
    <row r="9831" ht="14.25" customHeight="1">
      <c r="A9831" s="307"/>
    </row>
    <row r="9832" ht="14.25" customHeight="1">
      <c r="A9832" s="307"/>
    </row>
    <row r="9833" ht="14.25" customHeight="1">
      <c r="A9833" s="307"/>
    </row>
    <row r="9834" ht="14.25" customHeight="1">
      <c r="A9834" s="307"/>
    </row>
    <row r="9835" ht="14.25" customHeight="1">
      <c r="A9835" s="307"/>
    </row>
    <row r="9836" ht="14.25" customHeight="1">
      <c r="A9836" s="307"/>
    </row>
    <row r="9837" ht="14.25" customHeight="1">
      <c r="A9837" s="307"/>
    </row>
    <row r="9838" ht="14.25" customHeight="1">
      <c r="A9838" s="307"/>
    </row>
    <row r="9839" ht="14.25" customHeight="1">
      <c r="A9839" s="307"/>
    </row>
    <row r="9840" ht="14.25" customHeight="1">
      <c r="A9840" s="307"/>
    </row>
    <row r="9841" ht="14.25" customHeight="1">
      <c r="A9841" s="307"/>
    </row>
    <row r="9842" ht="14.25" customHeight="1">
      <c r="A9842" s="307"/>
    </row>
    <row r="9843" ht="14.25" customHeight="1">
      <c r="A9843" s="307"/>
    </row>
    <row r="9844" ht="14.25" customHeight="1">
      <c r="A9844" s="307"/>
    </row>
    <row r="9845" ht="14.25" customHeight="1">
      <c r="A9845" s="307"/>
    </row>
    <row r="9846" ht="14.25" customHeight="1">
      <c r="A9846" s="307"/>
    </row>
    <row r="9847" ht="14.25" customHeight="1">
      <c r="A9847" s="307"/>
    </row>
    <row r="9848" ht="14.25" customHeight="1">
      <c r="A9848" s="307"/>
    </row>
    <row r="9849" ht="14.25" customHeight="1">
      <c r="A9849" s="307"/>
    </row>
    <row r="9850" ht="14.25" customHeight="1">
      <c r="A9850" s="307"/>
    </row>
    <row r="9851" ht="14.25" customHeight="1">
      <c r="A9851" s="307"/>
    </row>
    <row r="9852" ht="14.25" customHeight="1">
      <c r="A9852" s="307"/>
    </row>
    <row r="9853" ht="14.25" customHeight="1">
      <c r="A9853" s="307"/>
    </row>
    <row r="9854" ht="14.25" customHeight="1">
      <c r="A9854" s="307"/>
    </row>
    <row r="9855" ht="14.25" customHeight="1">
      <c r="A9855" s="307"/>
    </row>
    <row r="9856" ht="14.25" customHeight="1">
      <c r="A9856" s="307"/>
    </row>
    <row r="9857" ht="14.25" customHeight="1">
      <c r="A9857" s="307"/>
    </row>
    <row r="9858" ht="14.25" customHeight="1">
      <c r="A9858" s="307"/>
    </row>
    <row r="9859" ht="14.25" customHeight="1">
      <c r="A9859" s="307"/>
    </row>
    <row r="9860" ht="14.25" customHeight="1">
      <c r="A9860" s="307"/>
    </row>
    <row r="9861" ht="14.25" customHeight="1">
      <c r="A9861" s="307"/>
    </row>
    <row r="9862" ht="14.25" customHeight="1">
      <c r="A9862" s="307"/>
    </row>
    <row r="9863" ht="14.25" customHeight="1">
      <c r="A9863" s="307"/>
    </row>
    <row r="9864" ht="14.25" customHeight="1">
      <c r="A9864" s="307"/>
    </row>
    <row r="9865" ht="14.25" customHeight="1">
      <c r="A9865" s="307"/>
    </row>
    <row r="9866" ht="14.25" customHeight="1">
      <c r="A9866" s="307"/>
    </row>
    <row r="9867" ht="14.25" customHeight="1">
      <c r="A9867" s="307"/>
    </row>
    <row r="9868" ht="14.25" customHeight="1">
      <c r="A9868" s="307"/>
    </row>
    <row r="9869" ht="14.25" customHeight="1">
      <c r="A9869" s="307"/>
    </row>
    <row r="9870" ht="14.25" customHeight="1">
      <c r="A9870" s="307"/>
    </row>
    <row r="9871" ht="14.25" customHeight="1">
      <c r="A9871" s="307"/>
    </row>
    <row r="9872" ht="14.25" customHeight="1">
      <c r="A9872" s="307"/>
    </row>
    <row r="9873" ht="14.25" customHeight="1">
      <c r="A9873" s="307"/>
    </row>
    <row r="9874" ht="14.25" customHeight="1">
      <c r="A9874" s="307"/>
    </row>
    <row r="9875" ht="14.25" customHeight="1">
      <c r="A9875" s="307"/>
    </row>
    <row r="9876" ht="14.25" customHeight="1">
      <c r="A9876" s="307"/>
    </row>
    <row r="9877" ht="14.25" customHeight="1">
      <c r="A9877" s="307"/>
    </row>
    <row r="9878" ht="14.25" customHeight="1">
      <c r="A9878" s="307"/>
    </row>
    <row r="9879" ht="14.25" customHeight="1">
      <c r="A9879" s="307"/>
    </row>
    <row r="9880" ht="14.25" customHeight="1">
      <c r="A9880" s="307"/>
    </row>
    <row r="9881" ht="14.25" customHeight="1">
      <c r="A9881" s="307"/>
    </row>
    <row r="9882" ht="14.25" customHeight="1">
      <c r="A9882" s="307"/>
    </row>
    <row r="9883" ht="14.25" customHeight="1">
      <c r="A9883" s="307"/>
    </row>
    <row r="9884" ht="14.25" customHeight="1">
      <c r="A9884" s="307"/>
    </row>
    <row r="9885" ht="14.25" customHeight="1">
      <c r="A9885" s="307"/>
    </row>
    <row r="9886" ht="14.25" customHeight="1">
      <c r="A9886" s="307"/>
    </row>
    <row r="9887" ht="14.25" customHeight="1">
      <c r="A9887" s="307"/>
    </row>
    <row r="9888" ht="14.25" customHeight="1">
      <c r="A9888" s="307"/>
    </row>
    <row r="9889" ht="14.25" customHeight="1">
      <c r="A9889" s="307"/>
    </row>
    <row r="9890" ht="14.25" customHeight="1">
      <c r="A9890" s="307"/>
    </row>
    <row r="9891" ht="14.25" customHeight="1">
      <c r="A9891" s="307"/>
    </row>
    <row r="9892" ht="14.25" customHeight="1">
      <c r="A9892" s="307"/>
    </row>
    <row r="9893" ht="14.25" customHeight="1">
      <c r="A9893" s="307"/>
    </row>
    <row r="9894" ht="14.25" customHeight="1">
      <c r="A9894" s="307"/>
    </row>
    <row r="9895" ht="14.25" customHeight="1">
      <c r="A9895" s="307"/>
    </row>
    <row r="9896" ht="14.25" customHeight="1">
      <c r="A9896" s="307"/>
    </row>
    <row r="9897" ht="14.25" customHeight="1">
      <c r="A9897" s="307"/>
    </row>
    <row r="9898" ht="14.25" customHeight="1">
      <c r="A9898" s="307"/>
    </row>
    <row r="9899" ht="14.25" customHeight="1">
      <c r="A9899" s="307"/>
    </row>
    <row r="9900" ht="14.25" customHeight="1">
      <c r="A9900" s="307"/>
    </row>
    <row r="9901" ht="14.25" customHeight="1">
      <c r="A9901" s="307"/>
    </row>
    <row r="9902" ht="14.25" customHeight="1">
      <c r="A9902" s="307"/>
    </row>
    <row r="9903" ht="14.25" customHeight="1">
      <c r="A9903" s="307"/>
    </row>
    <row r="9904" ht="14.25" customHeight="1">
      <c r="A9904" s="307"/>
    </row>
    <row r="9905" ht="14.25" customHeight="1">
      <c r="A9905" s="307"/>
    </row>
    <row r="9906" ht="14.25" customHeight="1">
      <c r="A9906" s="307"/>
    </row>
    <row r="9907" ht="14.25" customHeight="1">
      <c r="A9907" s="307"/>
    </row>
    <row r="9908" ht="14.25" customHeight="1">
      <c r="A9908" s="307"/>
    </row>
    <row r="9909" ht="14.25" customHeight="1">
      <c r="A9909" s="307"/>
    </row>
    <row r="9910" ht="14.25" customHeight="1">
      <c r="A9910" s="307"/>
    </row>
    <row r="9911" ht="14.25" customHeight="1">
      <c r="A9911" s="307"/>
    </row>
    <row r="9912" ht="14.25" customHeight="1">
      <c r="A9912" s="307"/>
    </row>
    <row r="9913" ht="14.25" customHeight="1">
      <c r="A9913" s="307"/>
    </row>
    <row r="9914" ht="14.25" customHeight="1">
      <c r="A9914" s="307"/>
    </row>
    <row r="9915" ht="14.25" customHeight="1">
      <c r="A9915" s="307"/>
    </row>
    <row r="9916" ht="14.25" customHeight="1">
      <c r="A9916" s="307"/>
    </row>
    <row r="9917" ht="14.25" customHeight="1">
      <c r="A9917" s="307"/>
    </row>
    <row r="9918" ht="14.25" customHeight="1">
      <c r="A9918" s="307"/>
    </row>
    <row r="9919" ht="14.25" customHeight="1">
      <c r="A9919" s="307"/>
    </row>
    <row r="9920" ht="14.25" customHeight="1">
      <c r="A9920" s="307"/>
    </row>
    <row r="9921" ht="14.25" customHeight="1">
      <c r="A9921" s="307"/>
    </row>
    <row r="9922" ht="14.25" customHeight="1">
      <c r="A9922" s="307"/>
    </row>
    <row r="9923" ht="14.25" customHeight="1">
      <c r="A9923" s="307"/>
    </row>
    <row r="9924" ht="14.25" customHeight="1">
      <c r="A9924" s="307"/>
    </row>
    <row r="9925" ht="14.25" customHeight="1">
      <c r="A9925" s="307"/>
    </row>
    <row r="9926" ht="14.25" customHeight="1">
      <c r="A9926" s="307"/>
    </row>
    <row r="9927" ht="14.25" customHeight="1">
      <c r="A9927" s="307"/>
    </row>
    <row r="9928" ht="14.25" customHeight="1">
      <c r="A9928" s="307"/>
    </row>
    <row r="9929" ht="14.25" customHeight="1">
      <c r="A9929" s="307"/>
    </row>
    <row r="9930" ht="14.25" customHeight="1">
      <c r="A9930" s="307"/>
    </row>
    <row r="9931" ht="14.25" customHeight="1">
      <c r="A9931" s="307"/>
    </row>
    <row r="9932" ht="14.25" customHeight="1">
      <c r="A9932" s="307"/>
    </row>
    <row r="9933" ht="14.25" customHeight="1">
      <c r="A9933" s="307"/>
    </row>
    <row r="9934" ht="14.25" customHeight="1">
      <c r="A9934" s="307"/>
    </row>
    <row r="9935" ht="14.25" customHeight="1">
      <c r="A9935" s="307"/>
    </row>
    <row r="9936" ht="14.25" customHeight="1">
      <c r="A9936" s="307"/>
    </row>
    <row r="9937" ht="14.25" customHeight="1">
      <c r="A9937" s="307"/>
    </row>
    <row r="9938" ht="14.25" customHeight="1">
      <c r="A9938" s="307"/>
    </row>
    <row r="9939" ht="14.25" customHeight="1">
      <c r="A9939" s="307"/>
    </row>
    <row r="9940" ht="14.25" customHeight="1">
      <c r="A9940" s="307"/>
    </row>
    <row r="9941" ht="14.25" customHeight="1">
      <c r="A9941" s="307"/>
    </row>
    <row r="9942" ht="14.25" customHeight="1">
      <c r="A9942" s="307"/>
    </row>
    <row r="9943" ht="14.25" customHeight="1">
      <c r="A9943" s="307"/>
    </row>
    <row r="9944" ht="14.25" customHeight="1">
      <c r="A9944" s="307"/>
    </row>
    <row r="9945" ht="14.25" customHeight="1">
      <c r="A9945" s="307"/>
    </row>
    <row r="9946" ht="14.25" customHeight="1">
      <c r="A9946" s="307"/>
    </row>
    <row r="9947" ht="14.25" customHeight="1">
      <c r="A9947" s="307"/>
    </row>
    <row r="9948" ht="14.25" customHeight="1">
      <c r="A9948" s="307"/>
    </row>
    <row r="9949" ht="14.25" customHeight="1">
      <c r="A9949" s="307"/>
    </row>
    <row r="9950" ht="14.25" customHeight="1">
      <c r="A9950" s="307"/>
    </row>
    <row r="9951" ht="14.25" customHeight="1">
      <c r="A9951" s="307"/>
    </row>
    <row r="9952" ht="14.25" customHeight="1">
      <c r="A9952" s="307"/>
    </row>
    <row r="9953" ht="14.25" customHeight="1">
      <c r="A9953" s="307"/>
    </row>
    <row r="9954" ht="14.25" customHeight="1">
      <c r="A9954" s="307"/>
    </row>
    <row r="9955" ht="14.25" customHeight="1">
      <c r="A9955" s="307"/>
    </row>
    <row r="9956" ht="14.25" customHeight="1">
      <c r="A9956" s="307"/>
    </row>
    <row r="9957" ht="14.25" customHeight="1">
      <c r="A9957" s="307"/>
    </row>
    <row r="9958" ht="14.25" customHeight="1">
      <c r="A9958" s="307"/>
    </row>
    <row r="9959" ht="14.25" customHeight="1">
      <c r="A9959" s="307"/>
    </row>
    <row r="9960" ht="14.25" customHeight="1">
      <c r="A9960" s="307"/>
    </row>
    <row r="9961" ht="14.25" customHeight="1">
      <c r="A9961" s="307"/>
    </row>
    <row r="9962" ht="14.25" customHeight="1">
      <c r="A9962" s="307"/>
    </row>
    <row r="9963" ht="14.25" customHeight="1">
      <c r="A9963" s="307"/>
    </row>
    <row r="9964" ht="14.25" customHeight="1">
      <c r="A9964" s="307"/>
    </row>
    <row r="9965" ht="14.25" customHeight="1">
      <c r="A9965" s="307"/>
    </row>
    <row r="9966" ht="14.25" customHeight="1">
      <c r="A9966" s="307"/>
    </row>
    <row r="9967" ht="14.25" customHeight="1">
      <c r="A9967" s="307"/>
    </row>
    <row r="9968" ht="14.25" customHeight="1">
      <c r="A9968" s="307"/>
    </row>
    <row r="9969" ht="14.25" customHeight="1">
      <c r="A9969" s="307"/>
    </row>
    <row r="9970" ht="14.25" customHeight="1">
      <c r="A9970" s="307"/>
    </row>
    <row r="9971" ht="14.25" customHeight="1">
      <c r="A9971" s="307"/>
    </row>
    <row r="9972" ht="14.25" customHeight="1">
      <c r="A9972" s="307"/>
    </row>
    <row r="9973" ht="14.25" customHeight="1">
      <c r="A9973" s="307"/>
    </row>
    <row r="9974" ht="14.25" customHeight="1">
      <c r="A9974" s="307"/>
    </row>
    <row r="9975" ht="14.25" customHeight="1">
      <c r="A9975" s="307"/>
    </row>
    <row r="9976" ht="14.25" customHeight="1">
      <c r="A9976" s="307"/>
    </row>
    <row r="9977" ht="14.25" customHeight="1">
      <c r="A9977" s="307"/>
    </row>
    <row r="9978" ht="14.25" customHeight="1">
      <c r="A9978" s="307"/>
    </row>
    <row r="9979" ht="14.25" customHeight="1">
      <c r="A9979" s="307"/>
    </row>
    <row r="9980" ht="14.25" customHeight="1">
      <c r="A9980" s="307"/>
    </row>
    <row r="9981" ht="14.25" customHeight="1">
      <c r="A9981" s="307"/>
    </row>
    <row r="9982" ht="14.25" customHeight="1">
      <c r="A9982" s="307"/>
    </row>
    <row r="9983" ht="14.25" customHeight="1">
      <c r="A9983" s="307"/>
    </row>
    <row r="9984" ht="14.25" customHeight="1">
      <c r="A9984" s="307"/>
    </row>
    <row r="9985" ht="14.25" customHeight="1">
      <c r="A9985" s="307"/>
    </row>
    <row r="9986" ht="14.25" customHeight="1">
      <c r="A9986" s="307"/>
    </row>
    <row r="9987" ht="14.25" customHeight="1">
      <c r="A9987" s="307"/>
    </row>
    <row r="9988" ht="14.25" customHeight="1">
      <c r="A9988" s="307"/>
    </row>
    <row r="9989" ht="14.25" customHeight="1">
      <c r="A9989" s="307"/>
    </row>
    <row r="9990" ht="14.25" customHeight="1">
      <c r="A9990" s="307"/>
    </row>
    <row r="9991" ht="14.25" customHeight="1">
      <c r="A9991" s="307"/>
    </row>
    <row r="9992" ht="14.25" customHeight="1">
      <c r="A9992" s="307"/>
    </row>
    <row r="9993" ht="14.25" customHeight="1">
      <c r="A9993" s="307"/>
    </row>
    <row r="9994" ht="14.25" customHeight="1">
      <c r="A9994" s="307"/>
    </row>
    <row r="9995" ht="14.25" customHeight="1">
      <c r="A9995" s="307"/>
    </row>
    <row r="9996" ht="14.25" customHeight="1">
      <c r="A9996" s="307"/>
    </row>
    <row r="9997" ht="14.25" customHeight="1">
      <c r="A9997" s="307"/>
    </row>
    <row r="9998" ht="14.25" customHeight="1">
      <c r="A9998" s="307"/>
    </row>
    <row r="9999" ht="14.25" customHeight="1">
      <c r="A9999" s="307"/>
    </row>
    <row r="10000" ht="14.25" customHeight="1">
      <c r="A10000" s="307"/>
    </row>
    <row r="10001" ht="14.25" customHeight="1">
      <c r="A10001" s="307"/>
    </row>
    <row r="10002" ht="14.25" customHeight="1">
      <c r="A10002" s="307"/>
    </row>
    <row r="10003" ht="14.25" customHeight="1">
      <c r="A10003" s="307"/>
    </row>
    <row r="10004" ht="14.25" customHeight="1">
      <c r="A10004" s="307"/>
    </row>
    <row r="10005" ht="14.25" customHeight="1">
      <c r="A10005" s="307"/>
    </row>
    <row r="10006" ht="14.25" customHeight="1">
      <c r="A10006" s="307"/>
    </row>
    <row r="10007" ht="14.25" customHeight="1">
      <c r="A10007" s="307"/>
    </row>
    <row r="10008" ht="14.25" customHeight="1">
      <c r="A10008" s="307"/>
    </row>
    <row r="10009" ht="14.25" customHeight="1">
      <c r="A10009" s="307"/>
    </row>
    <row r="10010" ht="14.25" customHeight="1">
      <c r="A10010" s="307"/>
    </row>
    <row r="10011" ht="14.25" customHeight="1">
      <c r="A10011" s="307"/>
    </row>
    <row r="10012" ht="14.25" customHeight="1">
      <c r="A10012" s="307"/>
    </row>
    <row r="10013" ht="14.25" customHeight="1">
      <c r="A10013" s="307"/>
    </row>
    <row r="10014" ht="14.25" customHeight="1">
      <c r="A10014" s="307"/>
    </row>
    <row r="10015" ht="14.25" customHeight="1">
      <c r="A10015" s="307"/>
    </row>
    <row r="10016" ht="14.25" customHeight="1">
      <c r="A10016" s="307"/>
    </row>
    <row r="10017" ht="14.25" customHeight="1">
      <c r="A10017" s="307"/>
    </row>
    <row r="10018" ht="14.25" customHeight="1">
      <c r="A10018" s="307"/>
    </row>
    <row r="10019" ht="14.25" customHeight="1">
      <c r="A10019" s="307"/>
    </row>
    <row r="10020" ht="14.25" customHeight="1">
      <c r="A10020" s="307"/>
    </row>
    <row r="10021" ht="14.25" customHeight="1">
      <c r="A10021" s="307"/>
    </row>
    <row r="10022" ht="14.25" customHeight="1">
      <c r="A10022" s="307"/>
    </row>
    <row r="10023" ht="14.25" customHeight="1">
      <c r="A10023" s="307"/>
    </row>
    <row r="10024" ht="14.25" customHeight="1">
      <c r="A10024" s="307"/>
    </row>
    <row r="10025" ht="14.25" customHeight="1">
      <c r="A10025" s="307"/>
    </row>
    <row r="10026" ht="14.25" customHeight="1">
      <c r="A10026" s="307"/>
    </row>
    <row r="10027" ht="14.25" customHeight="1">
      <c r="A10027" s="307"/>
    </row>
    <row r="10028" ht="14.25" customHeight="1">
      <c r="A10028" s="307"/>
    </row>
    <row r="10029" ht="14.25" customHeight="1">
      <c r="A10029" s="307"/>
    </row>
    <row r="10030" ht="14.25" customHeight="1">
      <c r="A10030" s="307"/>
    </row>
    <row r="10031" ht="14.25" customHeight="1">
      <c r="A10031" s="307"/>
    </row>
    <row r="10032" ht="14.25" customHeight="1">
      <c r="A10032" s="307"/>
    </row>
    <row r="10033" ht="14.25" customHeight="1">
      <c r="A10033" s="307"/>
    </row>
    <row r="10034" ht="14.25" customHeight="1">
      <c r="A10034" s="307"/>
    </row>
    <row r="10035" ht="14.25" customHeight="1">
      <c r="A10035" s="307"/>
    </row>
    <row r="10036" ht="14.25" customHeight="1">
      <c r="A10036" s="307"/>
    </row>
    <row r="10037" ht="14.25" customHeight="1">
      <c r="A10037" s="307"/>
    </row>
    <row r="10038" ht="14.25" customHeight="1">
      <c r="A10038" s="307"/>
    </row>
    <row r="10039" ht="14.25" customHeight="1">
      <c r="A10039" s="307"/>
    </row>
    <row r="10040" ht="14.25" customHeight="1">
      <c r="A10040" s="307"/>
    </row>
    <row r="10041" ht="14.25" customHeight="1">
      <c r="A10041" s="307"/>
    </row>
    <row r="10042" ht="14.25" customHeight="1">
      <c r="A10042" s="307"/>
    </row>
    <row r="10043" ht="14.25" customHeight="1">
      <c r="A10043" s="307"/>
    </row>
    <row r="10044" ht="14.25" customHeight="1">
      <c r="A10044" s="307"/>
    </row>
    <row r="10045" ht="14.25" customHeight="1">
      <c r="A10045" s="307"/>
    </row>
    <row r="10046" ht="14.25" customHeight="1">
      <c r="A10046" s="307"/>
    </row>
    <row r="10047" ht="14.25" customHeight="1">
      <c r="A10047" s="307"/>
    </row>
    <row r="10048" ht="14.25" customHeight="1">
      <c r="A10048" s="307"/>
    </row>
    <row r="10049" ht="14.25" customHeight="1">
      <c r="A10049" s="307"/>
    </row>
    <row r="10050" ht="14.25" customHeight="1">
      <c r="A10050" s="307"/>
    </row>
    <row r="10051" ht="14.25" customHeight="1">
      <c r="A10051" s="307"/>
    </row>
    <row r="10052" ht="14.25" customHeight="1">
      <c r="A10052" s="307"/>
    </row>
    <row r="10053" ht="14.25" customHeight="1">
      <c r="A10053" s="307"/>
    </row>
    <row r="10054" ht="14.25" customHeight="1">
      <c r="A10054" s="307"/>
    </row>
    <row r="10055" ht="14.25" customHeight="1">
      <c r="A10055" s="307"/>
    </row>
    <row r="10056" ht="14.25" customHeight="1">
      <c r="A10056" s="307"/>
    </row>
    <row r="10057" ht="14.25" customHeight="1">
      <c r="A10057" s="307"/>
    </row>
    <row r="10058" ht="14.25" customHeight="1">
      <c r="A10058" s="307"/>
    </row>
    <row r="10059" ht="14.25" customHeight="1">
      <c r="A10059" s="307"/>
    </row>
    <row r="10060" ht="14.25" customHeight="1">
      <c r="A10060" s="307"/>
    </row>
    <row r="10061" ht="14.25" customHeight="1">
      <c r="A10061" s="307"/>
    </row>
    <row r="10062" ht="14.25" customHeight="1">
      <c r="A10062" s="307"/>
    </row>
    <row r="10063" ht="14.25" customHeight="1">
      <c r="A10063" s="307"/>
    </row>
    <row r="10064" ht="14.25" customHeight="1">
      <c r="A10064" s="307"/>
    </row>
    <row r="10065" ht="14.25" customHeight="1">
      <c r="A10065" s="307"/>
    </row>
    <row r="10066" ht="14.25" customHeight="1">
      <c r="A10066" s="307"/>
    </row>
    <row r="10067" ht="14.25" customHeight="1">
      <c r="A10067" s="307"/>
    </row>
    <row r="10068" ht="14.25" customHeight="1">
      <c r="A10068" s="307"/>
    </row>
    <row r="10069" ht="14.25" customHeight="1">
      <c r="A10069" s="307"/>
    </row>
    <row r="10070" ht="14.25" customHeight="1">
      <c r="A10070" s="307"/>
    </row>
    <row r="10071" ht="14.25" customHeight="1">
      <c r="A10071" s="307"/>
    </row>
    <row r="10072" ht="14.25" customHeight="1">
      <c r="A10072" s="307"/>
    </row>
    <row r="10073" ht="14.25" customHeight="1">
      <c r="A10073" s="307"/>
    </row>
    <row r="10074" ht="14.25" customHeight="1">
      <c r="A10074" s="307"/>
    </row>
    <row r="10075" ht="14.25" customHeight="1">
      <c r="A10075" s="307"/>
    </row>
    <row r="10076" ht="14.25" customHeight="1">
      <c r="A10076" s="307"/>
    </row>
    <row r="10077" ht="14.25" customHeight="1">
      <c r="A10077" s="307"/>
    </row>
    <row r="10078" ht="14.25" customHeight="1">
      <c r="A10078" s="307"/>
    </row>
    <row r="10079" ht="14.25" customHeight="1">
      <c r="A10079" s="307"/>
    </row>
    <row r="10080" ht="14.25" customHeight="1">
      <c r="A10080" s="307"/>
    </row>
    <row r="10081" ht="14.25" customHeight="1">
      <c r="A10081" s="307"/>
    </row>
    <row r="10082" ht="14.25" customHeight="1">
      <c r="A10082" s="307"/>
    </row>
    <row r="10083" ht="14.25" customHeight="1">
      <c r="A10083" s="307"/>
    </row>
    <row r="10084" ht="14.25" customHeight="1">
      <c r="A10084" s="307"/>
    </row>
    <row r="10085" ht="14.25" customHeight="1">
      <c r="A10085" s="307"/>
    </row>
    <row r="10086" ht="14.25" customHeight="1">
      <c r="A10086" s="307"/>
    </row>
    <row r="10087" ht="14.25" customHeight="1">
      <c r="A10087" s="307"/>
    </row>
    <row r="10088" ht="14.25" customHeight="1">
      <c r="A10088" s="307"/>
    </row>
    <row r="10089" ht="14.25" customHeight="1">
      <c r="A10089" s="307"/>
    </row>
    <row r="10090" ht="14.25" customHeight="1">
      <c r="A10090" s="307"/>
    </row>
    <row r="10091" ht="14.25" customHeight="1">
      <c r="A10091" s="307"/>
    </row>
    <row r="10092" ht="14.25" customHeight="1">
      <c r="A10092" s="307"/>
    </row>
    <row r="10093" ht="14.25" customHeight="1">
      <c r="A10093" s="307"/>
    </row>
    <row r="10094" ht="14.25" customHeight="1">
      <c r="A10094" s="307"/>
    </row>
    <row r="10095" ht="14.25" customHeight="1">
      <c r="A10095" s="307"/>
    </row>
    <row r="10096" ht="14.25" customHeight="1">
      <c r="A10096" s="307"/>
    </row>
    <row r="10097" ht="14.25" customHeight="1">
      <c r="A10097" s="307"/>
    </row>
    <row r="10098" ht="14.25" customHeight="1">
      <c r="A10098" s="307"/>
    </row>
    <row r="10099" ht="14.25" customHeight="1">
      <c r="A10099" s="307"/>
    </row>
    <row r="10100" ht="14.25" customHeight="1">
      <c r="A10100" s="307"/>
    </row>
    <row r="10101" ht="14.25" customHeight="1">
      <c r="A10101" s="307"/>
    </row>
    <row r="10102" ht="14.25" customHeight="1">
      <c r="A10102" s="307"/>
    </row>
    <row r="10103" ht="14.25" customHeight="1">
      <c r="A10103" s="307"/>
    </row>
    <row r="10104" ht="14.25" customHeight="1">
      <c r="A10104" s="307"/>
    </row>
    <row r="10105" ht="14.25" customHeight="1">
      <c r="A10105" s="307"/>
    </row>
    <row r="10106" ht="14.25" customHeight="1">
      <c r="A10106" s="307"/>
    </row>
    <row r="10107" ht="14.25" customHeight="1">
      <c r="A10107" s="307"/>
    </row>
    <row r="10108" ht="14.25" customHeight="1">
      <c r="A10108" s="307"/>
    </row>
    <row r="10109" ht="14.25" customHeight="1">
      <c r="A10109" s="307"/>
    </row>
    <row r="10110" ht="14.25" customHeight="1">
      <c r="A10110" s="307"/>
    </row>
    <row r="10111" ht="14.25" customHeight="1">
      <c r="A10111" s="307"/>
    </row>
    <row r="10112" ht="14.25" customHeight="1">
      <c r="A10112" s="307"/>
    </row>
    <row r="10113" ht="14.25" customHeight="1">
      <c r="A10113" s="307"/>
    </row>
    <row r="10114" ht="14.25" customHeight="1">
      <c r="A10114" s="307"/>
    </row>
    <row r="10115" ht="14.25" customHeight="1">
      <c r="A10115" s="307"/>
    </row>
    <row r="10116" ht="14.25" customHeight="1">
      <c r="A10116" s="307"/>
    </row>
    <row r="10117" ht="14.25" customHeight="1">
      <c r="A10117" s="307"/>
    </row>
    <row r="10118" ht="14.25" customHeight="1">
      <c r="A10118" s="307"/>
    </row>
    <row r="10119" ht="14.25" customHeight="1">
      <c r="A10119" s="307"/>
    </row>
    <row r="10120" ht="14.25" customHeight="1">
      <c r="A10120" s="307"/>
    </row>
    <row r="10121" ht="14.25" customHeight="1">
      <c r="A10121" s="307"/>
    </row>
    <row r="10122" ht="14.25" customHeight="1">
      <c r="A10122" s="307"/>
    </row>
    <row r="10123" ht="14.25" customHeight="1">
      <c r="A10123" s="307"/>
    </row>
    <row r="10124" ht="14.25" customHeight="1">
      <c r="A10124" s="307"/>
    </row>
    <row r="10125" ht="14.25" customHeight="1">
      <c r="A10125" s="307"/>
    </row>
    <row r="10126" ht="14.25" customHeight="1">
      <c r="A10126" s="307"/>
    </row>
    <row r="10127" ht="14.25" customHeight="1">
      <c r="A10127" s="307"/>
    </row>
    <row r="10128" ht="14.25" customHeight="1">
      <c r="A10128" s="307"/>
    </row>
    <row r="10129" ht="14.25" customHeight="1">
      <c r="A10129" s="307"/>
    </row>
    <row r="10130" ht="14.25" customHeight="1">
      <c r="A10130" s="307"/>
    </row>
    <row r="10131" ht="14.25" customHeight="1">
      <c r="A10131" s="307"/>
    </row>
    <row r="10132" ht="14.25" customHeight="1">
      <c r="A10132" s="307"/>
    </row>
    <row r="10133" ht="14.25" customHeight="1">
      <c r="A10133" s="307"/>
    </row>
    <row r="10134" ht="14.25" customHeight="1">
      <c r="A10134" s="307"/>
    </row>
    <row r="10135" ht="14.25" customHeight="1">
      <c r="A10135" s="307"/>
    </row>
    <row r="10136" ht="14.25" customHeight="1">
      <c r="A10136" s="307"/>
    </row>
    <row r="10137" ht="14.25" customHeight="1">
      <c r="A10137" s="307"/>
    </row>
    <row r="10138" ht="14.25" customHeight="1">
      <c r="A10138" s="307"/>
    </row>
    <row r="10139" ht="14.25" customHeight="1">
      <c r="A10139" s="307"/>
    </row>
    <row r="10140" ht="14.25" customHeight="1">
      <c r="A10140" s="307"/>
    </row>
    <row r="10141" ht="14.25" customHeight="1">
      <c r="A10141" s="307"/>
    </row>
    <row r="10142" ht="14.25" customHeight="1">
      <c r="A10142" s="307"/>
    </row>
    <row r="10143" ht="14.25" customHeight="1">
      <c r="A10143" s="307"/>
    </row>
    <row r="10144" ht="14.25" customHeight="1">
      <c r="A10144" s="307"/>
    </row>
    <row r="10145" ht="14.25" customHeight="1">
      <c r="A10145" s="307"/>
    </row>
    <row r="10146" ht="14.25" customHeight="1">
      <c r="A10146" s="307"/>
    </row>
    <row r="10147" ht="14.25" customHeight="1">
      <c r="A10147" s="307"/>
    </row>
    <row r="10148" ht="14.25" customHeight="1">
      <c r="A10148" s="307"/>
    </row>
    <row r="10149" ht="14.25" customHeight="1">
      <c r="A10149" s="307"/>
    </row>
    <row r="10150" ht="14.25" customHeight="1">
      <c r="A10150" s="307"/>
    </row>
    <row r="10151" ht="14.25" customHeight="1">
      <c r="A10151" s="307"/>
    </row>
    <row r="10152" ht="14.25" customHeight="1">
      <c r="A10152" s="307"/>
    </row>
    <row r="10153" ht="14.25" customHeight="1">
      <c r="A10153" s="307"/>
    </row>
    <row r="10154" ht="14.25" customHeight="1">
      <c r="A10154" s="307"/>
    </row>
    <row r="10155" ht="14.25" customHeight="1">
      <c r="A10155" s="307"/>
    </row>
    <row r="10156" ht="14.25" customHeight="1">
      <c r="A10156" s="307"/>
    </row>
    <row r="10157" ht="14.25" customHeight="1">
      <c r="A10157" s="307"/>
    </row>
    <row r="10158" ht="14.25" customHeight="1">
      <c r="A10158" s="307"/>
    </row>
    <row r="10159" ht="14.25" customHeight="1">
      <c r="A10159" s="307"/>
    </row>
    <row r="10160" ht="14.25" customHeight="1">
      <c r="A10160" s="307"/>
    </row>
    <row r="10161" ht="14.25" customHeight="1">
      <c r="A10161" s="307"/>
    </row>
    <row r="10162" ht="14.25" customHeight="1">
      <c r="A10162" s="307"/>
    </row>
    <row r="10163" ht="14.25" customHeight="1">
      <c r="A10163" s="307"/>
    </row>
    <row r="10164" ht="14.25" customHeight="1">
      <c r="A10164" s="307"/>
    </row>
    <row r="10165" ht="14.25" customHeight="1">
      <c r="A10165" s="307"/>
    </row>
    <row r="10166" ht="14.25" customHeight="1">
      <c r="A10166" s="307"/>
    </row>
    <row r="10167" ht="14.25" customHeight="1">
      <c r="A10167" s="307"/>
    </row>
    <row r="10168" ht="14.25" customHeight="1">
      <c r="A10168" s="307"/>
    </row>
    <row r="10169" ht="14.25" customHeight="1">
      <c r="A10169" s="307"/>
    </row>
    <row r="10170" ht="14.25" customHeight="1">
      <c r="A10170" s="307"/>
    </row>
    <row r="10171" ht="14.25" customHeight="1">
      <c r="A10171" s="307"/>
    </row>
    <row r="10172" ht="14.25" customHeight="1">
      <c r="A10172" s="307"/>
    </row>
    <row r="10173" ht="14.25" customHeight="1">
      <c r="A10173" s="307"/>
    </row>
    <row r="10174" ht="14.25" customHeight="1">
      <c r="A10174" s="307"/>
    </row>
    <row r="10175" ht="14.25" customHeight="1">
      <c r="A10175" s="307"/>
    </row>
    <row r="10176" ht="14.25" customHeight="1">
      <c r="A10176" s="307"/>
    </row>
    <row r="10177" ht="14.25" customHeight="1">
      <c r="A10177" s="307"/>
    </row>
    <row r="10178" ht="14.25" customHeight="1">
      <c r="A10178" s="307"/>
    </row>
    <row r="10179" ht="14.25" customHeight="1">
      <c r="A10179" s="307"/>
    </row>
    <row r="10180" ht="14.25" customHeight="1">
      <c r="A10180" s="307"/>
    </row>
    <row r="10181" ht="14.25" customHeight="1">
      <c r="A10181" s="307"/>
    </row>
    <row r="10182" ht="14.25" customHeight="1">
      <c r="A10182" s="307"/>
    </row>
    <row r="10183" ht="14.25" customHeight="1">
      <c r="A10183" s="307"/>
    </row>
    <row r="10184" ht="14.25" customHeight="1">
      <c r="A10184" s="307"/>
    </row>
    <row r="10185" ht="14.25" customHeight="1">
      <c r="A10185" s="307"/>
    </row>
    <row r="10186" ht="14.25" customHeight="1">
      <c r="A10186" s="307"/>
    </row>
    <row r="10187" ht="14.25" customHeight="1">
      <c r="A10187" s="307"/>
    </row>
    <row r="10188" ht="14.25" customHeight="1">
      <c r="A10188" s="307"/>
    </row>
    <row r="10189" ht="14.25" customHeight="1">
      <c r="A10189" s="307"/>
    </row>
    <row r="10190" ht="14.25" customHeight="1">
      <c r="A10190" s="307"/>
    </row>
    <row r="10191" ht="14.25" customHeight="1">
      <c r="A10191" s="307"/>
    </row>
    <row r="10192" ht="14.25" customHeight="1">
      <c r="A10192" s="307"/>
    </row>
    <row r="10193" ht="14.25" customHeight="1">
      <c r="A10193" s="307"/>
    </row>
    <row r="10194" ht="14.25" customHeight="1">
      <c r="A10194" s="307"/>
    </row>
    <row r="10195" ht="14.25" customHeight="1">
      <c r="A10195" s="307"/>
    </row>
    <row r="10196" ht="14.25" customHeight="1">
      <c r="A10196" s="307"/>
    </row>
    <row r="10197" ht="14.25" customHeight="1">
      <c r="A10197" s="307"/>
    </row>
    <row r="10198" ht="14.25" customHeight="1">
      <c r="A10198" s="307"/>
    </row>
    <row r="10199" ht="14.25" customHeight="1">
      <c r="A10199" s="307"/>
    </row>
    <row r="10200" ht="14.25" customHeight="1">
      <c r="A10200" s="307"/>
    </row>
    <row r="10201" ht="14.25" customHeight="1">
      <c r="A10201" s="307"/>
    </row>
    <row r="10202" ht="14.25" customHeight="1">
      <c r="A10202" s="307"/>
    </row>
    <row r="10203" ht="14.25" customHeight="1">
      <c r="A10203" s="307"/>
    </row>
    <row r="10204" ht="14.25" customHeight="1">
      <c r="A10204" s="307"/>
    </row>
    <row r="10205" ht="14.25" customHeight="1">
      <c r="A10205" s="307"/>
    </row>
    <row r="10206" ht="14.25" customHeight="1">
      <c r="A10206" s="307"/>
    </row>
    <row r="10207" ht="14.25" customHeight="1">
      <c r="A10207" s="307"/>
    </row>
    <row r="10208" ht="14.25" customHeight="1">
      <c r="A10208" s="307"/>
    </row>
    <row r="10209" ht="14.25" customHeight="1">
      <c r="A10209" s="307"/>
    </row>
    <row r="10210" ht="14.25" customHeight="1">
      <c r="A10210" s="307"/>
    </row>
    <row r="10211" ht="14.25" customHeight="1">
      <c r="A10211" s="307"/>
    </row>
    <row r="10212" ht="14.25" customHeight="1">
      <c r="A10212" s="307"/>
    </row>
    <row r="10213" ht="14.25" customHeight="1">
      <c r="A10213" s="307"/>
    </row>
    <row r="10214" ht="14.25" customHeight="1">
      <c r="A10214" s="307"/>
    </row>
    <row r="10215" ht="14.25" customHeight="1">
      <c r="A10215" s="307"/>
    </row>
    <row r="10216" ht="14.25" customHeight="1">
      <c r="A10216" s="307"/>
    </row>
    <row r="10217" ht="14.25" customHeight="1">
      <c r="A10217" s="307"/>
    </row>
    <row r="10218" ht="14.25" customHeight="1">
      <c r="A10218" s="307"/>
    </row>
    <row r="10219" ht="14.25" customHeight="1">
      <c r="A10219" s="307"/>
    </row>
    <row r="10220" ht="14.25" customHeight="1">
      <c r="A10220" s="307"/>
    </row>
    <row r="10221" ht="14.25" customHeight="1">
      <c r="A10221" s="307"/>
    </row>
    <row r="10222" ht="14.25" customHeight="1">
      <c r="A10222" s="307"/>
    </row>
    <row r="10223" ht="14.25" customHeight="1">
      <c r="A10223" s="307"/>
    </row>
    <row r="10224" ht="14.25" customHeight="1">
      <c r="A10224" s="307"/>
    </row>
    <row r="10225" ht="14.25" customHeight="1">
      <c r="A10225" s="307"/>
    </row>
    <row r="10226" ht="14.25" customHeight="1">
      <c r="A10226" s="307"/>
    </row>
    <row r="10227" ht="14.25" customHeight="1">
      <c r="A10227" s="307"/>
    </row>
    <row r="10228" ht="14.25" customHeight="1">
      <c r="A10228" s="307"/>
    </row>
    <row r="10229" ht="14.25" customHeight="1">
      <c r="A10229" s="307"/>
    </row>
    <row r="10230" ht="14.25" customHeight="1">
      <c r="A10230" s="307"/>
    </row>
    <row r="10231" ht="14.25" customHeight="1">
      <c r="A10231" s="307"/>
    </row>
    <row r="10232" ht="14.25" customHeight="1">
      <c r="A10232" s="307"/>
    </row>
    <row r="10233" ht="14.25" customHeight="1">
      <c r="A10233" s="307"/>
    </row>
    <row r="10234" ht="14.25" customHeight="1">
      <c r="A10234" s="307"/>
    </row>
    <row r="10235" ht="14.25" customHeight="1">
      <c r="A10235" s="307"/>
    </row>
    <row r="10236" ht="14.25" customHeight="1">
      <c r="A10236" s="307"/>
    </row>
    <row r="10237" ht="14.25" customHeight="1">
      <c r="A10237" s="307"/>
    </row>
    <row r="10238" ht="14.25" customHeight="1">
      <c r="A10238" s="307"/>
    </row>
    <row r="10239" ht="14.25" customHeight="1">
      <c r="A10239" s="307"/>
    </row>
    <row r="10240" ht="14.25" customHeight="1">
      <c r="A10240" s="307"/>
    </row>
    <row r="10241" ht="14.25" customHeight="1">
      <c r="A10241" s="307"/>
    </row>
    <row r="10242" ht="14.25" customHeight="1">
      <c r="A10242" s="307"/>
    </row>
    <row r="10243" ht="14.25" customHeight="1">
      <c r="A10243" s="307"/>
    </row>
    <row r="10244" ht="14.25" customHeight="1">
      <c r="A10244" s="307"/>
    </row>
    <row r="10245" ht="14.25" customHeight="1">
      <c r="A10245" s="307"/>
    </row>
    <row r="10246" ht="14.25" customHeight="1">
      <c r="A10246" s="307"/>
    </row>
    <row r="10247" ht="14.25" customHeight="1">
      <c r="A10247" s="307"/>
    </row>
    <row r="10248" ht="14.25" customHeight="1">
      <c r="A10248" s="307"/>
    </row>
    <row r="10249" ht="14.25" customHeight="1">
      <c r="A10249" s="307"/>
    </row>
    <row r="10250" ht="14.25" customHeight="1">
      <c r="A10250" s="307"/>
    </row>
    <row r="10251" ht="14.25" customHeight="1">
      <c r="A10251" s="307"/>
    </row>
    <row r="10252" ht="14.25" customHeight="1">
      <c r="A10252" s="307"/>
    </row>
    <row r="10253" ht="14.25" customHeight="1">
      <c r="A10253" s="307"/>
    </row>
    <row r="10254" ht="14.25" customHeight="1">
      <c r="A10254" s="307"/>
    </row>
    <row r="10255" ht="14.25" customHeight="1">
      <c r="A10255" s="307"/>
    </row>
    <row r="10256" ht="14.25" customHeight="1">
      <c r="A10256" s="307"/>
    </row>
    <row r="10257" ht="14.25" customHeight="1">
      <c r="A10257" s="307"/>
    </row>
    <row r="10258" ht="14.25" customHeight="1">
      <c r="A10258" s="307"/>
    </row>
    <row r="10259" ht="14.25" customHeight="1">
      <c r="A10259" s="307"/>
    </row>
    <row r="10260" ht="14.25" customHeight="1">
      <c r="A10260" s="307"/>
    </row>
    <row r="10261" ht="14.25" customHeight="1">
      <c r="A10261" s="307"/>
    </row>
    <row r="10262" ht="14.25" customHeight="1">
      <c r="A10262" s="307"/>
    </row>
    <row r="10263" ht="14.25" customHeight="1">
      <c r="A10263" s="307"/>
    </row>
    <row r="10264" ht="14.25" customHeight="1">
      <c r="A10264" s="307"/>
    </row>
    <row r="10265" ht="14.25" customHeight="1">
      <c r="A10265" s="307"/>
    </row>
    <row r="10266" ht="14.25" customHeight="1">
      <c r="A10266" s="307"/>
    </row>
    <row r="10267" ht="14.25" customHeight="1">
      <c r="A10267" s="307"/>
    </row>
    <row r="10268" ht="14.25" customHeight="1">
      <c r="A10268" s="307"/>
    </row>
    <row r="10269" ht="14.25" customHeight="1">
      <c r="A10269" s="307"/>
    </row>
    <row r="10270" ht="14.25" customHeight="1">
      <c r="A10270" s="307"/>
    </row>
    <row r="10271" ht="14.25" customHeight="1">
      <c r="A10271" s="307"/>
    </row>
    <row r="10272" ht="14.25" customHeight="1">
      <c r="A10272" s="307"/>
    </row>
    <row r="10273" ht="14.25" customHeight="1">
      <c r="A10273" s="307"/>
    </row>
    <row r="10274" ht="14.25" customHeight="1">
      <c r="A10274" s="307"/>
    </row>
    <row r="10275" ht="14.25" customHeight="1">
      <c r="A10275" s="307"/>
    </row>
    <row r="10276" ht="14.25" customHeight="1">
      <c r="A10276" s="307"/>
    </row>
    <row r="10277" ht="14.25" customHeight="1">
      <c r="A10277" s="307"/>
    </row>
    <row r="10278" ht="14.25" customHeight="1">
      <c r="A10278" s="307"/>
    </row>
    <row r="10279" ht="14.25" customHeight="1">
      <c r="A10279" s="307"/>
    </row>
    <row r="10280" ht="14.25" customHeight="1">
      <c r="A10280" s="307"/>
    </row>
    <row r="10281" ht="14.25" customHeight="1">
      <c r="A10281" s="307"/>
    </row>
    <row r="10282" ht="14.25" customHeight="1">
      <c r="A10282" s="307"/>
    </row>
    <row r="10283" ht="14.25" customHeight="1">
      <c r="A10283" s="307"/>
    </row>
    <row r="10284" ht="14.25" customHeight="1">
      <c r="A10284" s="307"/>
    </row>
    <row r="10285" ht="14.25" customHeight="1">
      <c r="A10285" s="307"/>
    </row>
    <row r="10286" ht="14.25" customHeight="1">
      <c r="A10286" s="307"/>
    </row>
    <row r="10287" ht="14.25" customHeight="1">
      <c r="A10287" s="307"/>
    </row>
    <row r="10288" ht="14.25" customHeight="1">
      <c r="A10288" s="307"/>
    </row>
    <row r="10289" ht="14.25" customHeight="1">
      <c r="A10289" s="307"/>
    </row>
    <row r="10290" ht="14.25" customHeight="1">
      <c r="A10290" s="307"/>
    </row>
    <row r="10291" ht="14.25" customHeight="1">
      <c r="A10291" s="307"/>
    </row>
    <row r="10292" ht="14.25" customHeight="1">
      <c r="A10292" s="307"/>
    </row>
    <row r="10293" ht="14.25" customHeight="1">
      <c r="A10293" s="307"/>
    </row>
    <row r="10294" ht="14.25" customHeight="1">
      <c r="A10294" s="307"/>
    </row>
    <row r="10295" ht="14.25" customHeight="1">
      <c r="A10295" s="307"/>
    </row>
    <row r="10296" ht="14.25" customHeight="1">
      <c r="A10296" s="307"/>
    </row>
    <row r="10297" ht="14.25" customHeight="1">
      <c r="A10297" s="307"/>
    </row>
    <row r="10298" ht="14.25" customHeight="1">
      <c r="A10298" s="307"/>
    </row>
    <row r="10299" ht="14.25" customHeight="1">
      <c r="A10299" s="307"/>
    </row>
    <row r="10300" ht="14.25" customHeight="1">
      <c r="A10300" s="307"/>
    </row>
    <row r="10301" ht="14.25" customHeight="1">
      <c r="A10301" s="307"/>
    </row>
    <row r="10302" ht="14.25" customHeight="1">
      <c r="A10302" s="307"/>
    </row>
    <row r="10303" ht="14.25" customHeight="1">
      <c r="A10303" s="307"/>
    </row>
    <row r="10304" ht="14.25" customHeight="1">
      <c r="A10304" s="307"/>
    </row>
    <row r="10305" ht="14.25" customHeight="1">
      <c r="A10305" s="307"/>
    </row>
    <row r="10306" ht="14.25" customHeight="1">
      <c r="A10306" s="307"/>
    </row>
    <row r="10307" ht="14.25" customHeight="1">
      <c r="A10307" s="307"/>
    </row>
    <row r="10308" ht="14.25" customHeight="1">
      <c r="A10308" s="307"/>
    </row>
    <row r="10309" ht="14.25" customHeight="1">
      <c r="A10309" s="307"/>
    </row>
    <row r="10310" ht="14.25" customHeight="1">
      <c r="A10310" s="307"/>
    </row>
    <row r="10311" ht="14.25" customHeight="1">
      <c r="A10311" s="307"/>
    </row>
    <row r="10312" ht="14.25" customHeight="1">
      <c r="A10312" s="307"/>
    </row>
    <row r="10313" ht="14.25" customHeight="1">
      <c r="A10313" s="307"/>
    </row>
    <row r="10314" ht="14.25" customHeight="1">
      <c r="A10314" s="307"/>
    </row>
    <row r="10315" ht="14.25" customHeight="1">
      <c r="A10315" s="307"/>
    </row>
    <row r="10316" ht="14.25" customHeight="1">
      <c r="A10316" s="307"/>
    </row>
    <row r="10317" ht="14.25" customHeight="1">
      <c r="A10317" s="307"/>
    </row>
    <row r="10318" ht="14.25" customHeight="1">
      <c r="A10318" s="307"/>
    </row>
    <row r="10319" ht="14.25" customHeight="1">
      <c r="A10319" s="307"/>
    </row>
    <row r="10320" ht="14.25" customHeight="1">
      <c r="A10320" s="307"/>
    </row>
    <row r="10321" ht="14.25" customHeight="1">
      <c r="A10321" s="307"/>
    </row>
    <row r="10322" ht="14.25" customHeight="1">
      <c r="A10322" s="307"/>
    </row>
    <row r="10323" ht="14.25" customHeight="1">
      <c r="A10323" s="307"/>
    </row>
    <row r="10324" ht="14.25" customHeight="1">
      <c r="A10324" s="307"/>
    </row>
    <row r="10325" ht="14.25" customHeight="1">
      <c r="A10325" s="307"/>
    </row>
    <row r="10326" ht="14.25" customHeight="1">
      <c r="A10326" s="307"/>
    </row>
    <row r="10327" ht="14.25" customHeight="1">
      <c r="A10327" s="307"/>
    </row>
    <row r="10328" ht="14.25" customHeight="1">
      <c r="A10328" s="307"/>
    </row>
    <row r="10329" ht="14.25" customHeight="1">
      <c r="A10329" s="307"/>
    </row>
    <row r="10330" ht="14.25" customHeight="1">
      <c r="A10330" s="307"/>
    </row>
    <row r="10331" ht="14.25" customHeight="1">
      <c r="A10331" s="307"/>
    </row>
    <row r="10332" ht="14.25" customHeight="1">
      <c r="A10332" s="307"/>
    </row>
    <row r="10333" ht="14.25" customHeight="1">
      <c r="A10333" s="307"/>
    </row>
    <row r="10334" ht="14.25" customHeight="1">
      <c r="A10334" s="307"/>
    </row>
    <row r="10335" ht="14.25" customHeight="1">
      <c r="A10335" s="307"/>
    </row>
    <row r="10336" ht="14.25" customHeight="1">
      <c r="A10336" s="307"/>
    </row>
    <row r="10337" ht="14.25" customHeight="1">
      <c r="A10337" s="307"/>
    </row>
    <row r="10338" ht="14.25" customHeight="1">
      <c r="A10338" s="307"/>
    </row>
    <row r="10339" ht="14.25" customHeight="1">
      <c r="A10339" s="307"/>
    </row>
    <row r="10340" ht="14.25" customHeight="1">
      <c r="A10340" s="307"/>
    </row>
    <row r="10341" ht="14.25" customHeight="1">
      <c r="A10341" s="307"/>
    </row>
    <row r="10342" ht="14.25" customHeight="1">
      <c r="A10342" s="307"/>
    </row>
    <row r="10343" ht="14.25" customHeight="1">
      <c r="A10343" s="307"/>
    </row>
    <row r="10344" ht="14.25" customHeight="1">
      <c r="A10344" s="307"/>
    </row>
    <row r="10345" ht="14.25" customHeight="1">
      <c r="A10345" s="307"/>
    </row>
    <row r="10346" ht="14.25" customHeight="1">
      <c r="A10346" s="307"/>
    </row>
    <row r="10347" ht="14.25" customHeight="1">
      <c r="A10347" s="307"/>
    </row>
    <row r="10348" ht="14.25" customHeight="1">
      <c r="A10348" s="307"/>
    </row>
    <row r="10349" ht="14.25" customHeight="1">
      <c r="A10349" s="307"/>
    </row>
    <row r="10350" ht="14.25" customHeight="1">
      <c r="A10350" s="307"/>
    </row>
    <row r="10351" ht="14.25" customHeight="1">
      <c r="A10351" s="307"/>
    </row>
    <row r="10352" ht="14.25" customHeight="1">
      <c r="A10352" s="307"/>
    </row>
    <row r="10353" ht="14.25" customHeight="1">
      <c r="A10353" s="307"/>
    </row>
    <row r="10354" ht="14.25" customHeight="1">
      <c r="A10354" s="307"/>
    </row>
    <row r="10355" ht="14.25" customHeight="1">
      <c r="A10355" s="307"/>
    </row>
    <row r="10356" ht="14.25" customHeight="1">
      <c r="A10356" s="307"/>
    </row>
    <row r="10357" ht="14.25" customHeight="1">
      <c r="A10357" s="307"/>
    </row>
    <row r="10358" ht="14.25" customHeight="1">
      <c r="A10358" s="307"/>
    </row>
    <row r="10359" ht="14.25" customHeight="1">
      <c r="A10359" s="307"/>
    </row>
    <row r="10360" ht="14.25" customHeight="1">
      <c r="A10360" s="307"/>
    </row>
    <row r="10361" ht="14.25" customHeight="1">
      <c r="A10361" s="307"/>
    </row>
    <row r="10362" ht="14.25" customHeight="1">
      <c r="A10362" s="307"/>
    </row>
    <row r="10363" ht="14.25" customHeight="1">
      <c r="A10363" s="307"/>
    </row>
    <row r="10364" ht="14.25" customHeight="1">
      <c r="A10364" s="307"/>
    </row>
    <row r="10365" ht="14.25" customHeight="1">
      <c r="A10365" s="307"/>
    </row>
    <row r="10366" ht="14.25" customHeight="1">
      <c r="A10366" s="307"/>
    </row>
    <row r="10367" ht="14.25" customHeight="1">
      <c r="A10367" s="307"/>
    </row>
    <row r="10368" ht="14.25" customHeight="1">
      <c r="A10368" s="307"/>
    </row>
    <row r="10369" ht="14.25" customHeight="1">
      <c r="A10369" s="307"/>
    </row>
    <row r="10370" ht="14.25" customHeight="1">
      <c r="A10370" s="307"/>
    </row>
    <row r="10371" ht="14.25" customHeight="1">
      <c r="A10371" s="307"/>
    </row>
    <row r="10372" ht="14.25" customHeight="1">
      <c r="A10372" s="307"/>
    </row>
    <row r="10373" ht="14.25" customHeight="1">
      <c r="A10373" s="307"/>
    </row>
    <row r="10374" ht="14.25" customHeight="1">
      <c r="A10374" s="307"/>
    </row>
    <row r="10375" ht="14.25" customHeight="1">
      <c r="A10375" s="307"/>
    </row>
    <row r="10376" ht="14.25" customHeight="1">
      <c r="A10376" s="307"/>
    </row>
    <row r="10377" ht="14.25" customHeight="1">
      <c r="A10377" s="307"/>
    </row>
    <row r="10378" ht="14.25" customHeight="1">
      <c r="A10378" s="307"/>
    </row>
    <row r="10379" ht="14.25" customHeight="1">
      <c r="A10379" s="307"/>
    </row>
    <row r="10380" ht="14.25" customHeight="1">
      <c r="A10380" s="307"/>
    </row>
    <row r="10381" ht="14.25" customHeight="1">
      <c r="A10381" s="307"/>
    </row>
    <row r="10382" ht="14.25" customHeight="1">
      <c r="A10382" s="307"/>
    </row>
    <row r="10383" ht="14.25" customHeight="1">
      <c r="A10383" s="307"/>
    </row>
    <row r="10384" ht="14.25" customHeight="1">
      <c r="A10384" s="307"/>
    </row>
    <row r="10385" ht="14.25" customHeight="1">
      <c r="A10385" s="307"/>
    </row>
    <row r="10386" ht="14.25" customHeight="1">
      <c r="A10386" s="307"/>
    </row>
    <row r="10387" ht="14.25" customHeight="1">
      <c r="A10387" s="307"/>
    </row>
    <row r="10388" ht="14.25" customHeight="1">
      <c r="A10388" s="307"/>
    </row>
    <row r="10389" ht="14.25" customHeight="1">
      <c r="A10389" s="307"/>
    </row>
    <row r="10390" ht="14.25" customHeight="1">
      <c r="A10390" s="307"/>
    </row>
    <row r="10391" ht="14.25" customHeight="1">
      <c r="A10391" s="307"/>
    </row>
    <row r="10392" ht="14.25" customHeight="1">
      <c r="A10392" s="307"/>
    </row>
    <row r="10393" ht="14.25" customHeight="1">
      <c r="A10393" s="307"/>
    </row>
    <row r="10394" ht="14.25" customHeight="1">
      <c r="A10394" s="307"/>
    </row>
    <row r="10395" ht="14.25" customHeight="1">
      <c r="A10395" s="307"/>
    </row>
    <row r="10396" ht="14.25" customHeight="1">
      <c r="A10396" s="307"/>
    </row>
    <row r="10397" ht="14.25" customHeight="1">
      <c r="A10397" s="307"/>
    </row>
    <row r="10398" ht="14.25" customHeight="1">
      <c r="A10398" s="307"/>
    </row>
    <row r="10399" ht="14.25" customHeight="1">
      <c r="A10399" s="307"/>
    </row>
    <row r="10400" ht="14.25" customHeight="1">
      <c r="A10400" s="307"/>
    </row>
    <row r="10401" ht="14.25" customHeight="1">
      <c r="A10401" s="307"/>
    </row>
    <row r="10402" ht="14.25" customHeight="1">
      <c r="A10402" s="307"/>
    </row>
    <row r="10403" ht="14.25" customHeight="1">
      <c r="A10403" s="307"/>
    </row>
    <row r="10404" ht="14.25" customHeight="1">
      <c r="A10404" s="307"/>
    </row>
    <row r="10405" ht="14.25" customHeight="1">
      <c r="A10405" s="307"/>
    </row>
    <row r="10406" ht="14.25" customHeight="1">
      <c r="A10406" s="307"/>
    </row>
    <row r="10407" ht="14.25" customHeight="1">
      <c r="A10407" s="307"/>
    </row>
    <row r="10408" ht="14.25" customHeight="1">
      <c r="A10408" s="307"/>
    </row>
    <row r="10409" ht="14.25" customHeight="1">
      <c r="A10409" s="307"/>
    </row>
    <row r="10410" ht="14.25" customHeight="1">
      <c r="A10410" s="307"/>
    </row>
    <row r="10411" ht="14.25" customHeight="1">
      <c r="A10411" s="307"/>
    </row>
    <row r="10412" ht="14.25" customHeight="1">
      <c r="A10412" s="307"/>
    </row>
    <row r="10413" ht="14.25" customHeight="1">
      <c r="A10413" s="307"/>
    </row>
    <row r="10414" ht="14.25" customHeight="1">
      <c r="A10414" s="307"/>
    </row>
    <row r="10415" ht="14.25" customHeight="1">
      <c r="A10415" s="307"/>
    </row>
    <row r="10416" ht="14.25" customHeight="1">
      <c r="A10416" s="307"/>
    </row>
    <row r="10417" ht="14.25" customHeight="1">
      <c r="A10417" s="307"/>
    </row>
    <row r="10418" ht="14.25" customHeight="1">
      <c r="A10418" s="307"/>
    </row>
    <row r="10419" ht="14.25" customHeight="1">
      <c r="A10419" s="307"/>
    </row>
    <row r="10420" ht="14.25" customHeight="1">
      <c r="A10420" s="307"/>
    </row>
    <row r="10421" ht="14.25" customHeight="1">
      <c r="A10421" s="307"/>
    </row>
    <row r="10422" ht="14.25" customHeight="1">
      <c r="A10422" s="307"/>
    </row>
    <row r="10423" ht="14.25" customHeight="1">
      <c r="A10423" s="307"/>
    </row>
    <row r="10424" ht="14.25" customHeight="1">
      <c r="A10424" s="307"/>
    </row>
    <row r="10425" ht="14.25" customHeight="1">
      <c r="A10425" s="307"/>
    </row>
    <row r="10426" ht="14.25" customHeight="1">
      <c r="A10426" s="307"/>
    </row>
    <row r="10427" ht="14.25" customHeight="1">
      <c r="A10427" s="307"/>
    </row>
    <row r="10428" ht="14.25" customHeight="1">
      <c r="A10428" s="307"/>
    </row>
    <row r="10429" ht="14.25" customHeight="1">
      <c r="A10429" s="307"/>
    </row>
    <row r="10430" ht="14.25" customHeight="1">
      <c r="A10430" s="307"/>
    </row>
    <row r="10431" ht="14.25" customHeight="1">
      <c r="A10431" s="307"/>
    </row>
    <row r="10432" ht="14.25" customHeight="1">
      <c r="A10432" s="307"/>
    </row>
    <row r="10433" ht="14.25" customHeight="1">
      <c r="A10433" s="307"/>
    </row>
    <row r="10434" ht="14.25" customHeight="1">
      <c r="A10434" s="307"/>
    </row>
    <row r="10435" ht="14.25" customHeight="1">
      <c r="A10435" s="307"/>
    </row>
    <row r="10436" ht="14.25" customHeight="1">
      <c r="A10436" s="307"/>
    </row>
    <row r="10437" ht="14.25" customHeight="1">
      <c r="A10437" s="307"/>
    </row>
    <row r="10438" ht="14.25" customHeight="1">
      <c r="A10438" s="307"/>
    </row>
    <row r="10439" ht="14.25" customHeight="1">
      <c r="A10439" s="307"/>
    </row>
    <row r="10440" ht="14.25" customHeight="1">
      <c r="A10440" s="307"/>
    </row>
    <row r="10441" ht="14.25" customHeight="1">
      <c r="A10441" s="307"/>
    </row>
    <row r="10442" ht="14.25" customHeight="1">
      <c r="A10442" s="307"/>
    </row>
    <row r="10443" ht="14.25" customHeight="1">
      <c r="A10443" s="307"/>
    </row>
    <row r="10444" ht="14.25" customHeight="1">
      <c r="A10444" s="307"/>
    </row>
    <row r="10445" ht="14.25" customHeight="1">
      <c r="A10445" s="307"/>
    </row>
    <row r="10446" ht="14.25" customHeight="1">
      <c r="A10446" s="307"/>
    </row>
    <row r="10447" ht="14.25" customHeight="1">
      <c r="A10447" s="307"/>
    </row>
    <row r="10448" ht="14.25" customHeight="1">
      <c r="A10448" s="307"/>
    </row>
    <row r="10449" ht="14.25" customHeight="1">
      <c r="A10449" s="307"/>
    </row>
    <row r="10450" ht="14.25" customHeight="1">
      <c r="A10450" s="307"/>
    </row>
    <row r="10451" ht="14.25" customHeight="1">
      <c r="A10451" s="307"/>
    </row>
    <row r="10452" ht="14.25" customHeight="1">
      <c r="A10452" s="307"/>
    </row>
    <row r="10453" ht="14.25" customHeight="1">
      <c r="A10453" s="307"/>
    </row>
    <row r="10454" ht="14.25" customHeight="1">
      <c r="A10454" s="307"/>
    </row>
    <row r="10455" ht="14.25" customHeight="1">
      <c r="A10455" s="307"/>
    </row>
    <row r="10456" ht="14.25" customHeight="1">
      <c r="A10456" s="307"/>
    </row>
    <row r="10457" ht="14.25" customHeight="1">
      <c r="A10457" s="307"/>
    </row>
    <row r="10458" ht="14.25" customHeight="1">
      <c r="A10458" s="307"/>
    </row>
    <row r="10459" ht="14.25" customHeight="1">
      <c r="A10459" s="307"/>
    </row>
    <row r="10460" ht="14.25" customHeight="1">
      <c r="A10460" s="307"/>
    </row>
    <row r="10461" ht="14.25" customHeight="1">
      <c r="A10461" s="307"/>
    </row>
    <row r="10462" ht="14.25" customHeight="1">
      <c r="A10462" s="307"/>
    </row>
    <row r="10463" ht="14.25" customHeight="1">
      <c r="A10463" s="307"/>
    </row>
    <row r="10464" ht="14.25" customHeight="1">
      <c r="A10464" s="307"/>
    </row>
    <row r="10465" ht="14.25" customHeight="1">
      <c r="A10465" s="307"/>
    </row>
    <row r="10466" ht="14.25" customHeight="1">
      <c r="A10466" s="307"/>
    </row>
    <row r="10467" ht="14.25" customHeight="1">
      <c r="A10467" s="307"/>
    </row>
    <row r="10468" ht="14.25" customHeight="1">
      <c r="A10468" s="307"/>
    </row>
    <row r="10469" ht="14.25" customHeight="1">
      <c r="A10469" s="307"/>
    </row>
    <row r="10470" ht="14.25" customHeight="1">
      <c r="A10470" s="307"/>
    </row>
    <row r="10471" ht="14.25" customHeight="1">
      <c r="A10471" s="307"/>
    </row>
    <row r="10472" ht="14.25" customHeight="1">
      <c r="A10472" s="307"/>
    </row>
    <row r="10473" ht="14.25" customHeight="1">
      <c r="A10473" s="307"/>
    </row>
    <row r="10474" ht="14.25" customHeight="1">
      <c r="A10474" s="307"/>
    </row>
    <row r="10475" ht="14.25" customHeight="1">
      <c r="A10475" s="307"/>
    </row>
    <row r="10476" ht="14.25" customHeight="1">
      <c r="A10476" s="307"/>
    </row>
    <row r="10477" ht="14.25" customHeight="1">
      <c r="A10477" s="307"/>
    </row>
    <row r="10478" ht="14.25" customHeight="1">
      <c r="A10478" s="307"/>
    </row>
    <row r="10479" ht="14.25" customHeight="1">
      <c r="A10479" s="307"/>
    </row>
    <row r="10480" ht="14.25" customHeight="1">
      <c r="A10480" s="307"/>
    </row>
    <row r="10481" ht="14.25" customHeight="1">
      <c r="A10481" s="307"/>
    </row>
    <row r="10482" ht="14.25" customHeight="1">
      <c r="A10482" s="307"/>
    </row>
    <row r="10483" ht="14.25" customHeight="1">
      <c r="A10483" s="307"/>
    </row>
    <row r="10484" ht="14.25" customHeight="1">
      <c r="A10484" s="307"/>
    </row>
    <row r="10485" ht="14.25" customHeight="1">
      <c r="A10485" s="307"/>
    </row>
    <row r="10486" ht="14.25" customHeight="1">
      <c r="A10486" s="307"/>
    </row>
    <row r="10487" ht="14.25" customHeight="1">
      <c r="A10487" s="307"/>
    </row>
    <row r="10488" ht="14.25" customHeight="1">
      <c r="A10488" s="307"/>
    </row>
    <row r="10489" ht="14.25" customHeight="1">
      <c r="A10489" s="307"/>
    </row>
    <row r="10490" ht="14.25" customHeight="1">
      <c r="A10490" s="307"/>
    </row>
    <row r="10491" ht="14.25" customHeight="1">
      <c r="A10491" s="307"/>
    </row>
    <row r="10492" ht="14.25" customHeight="1">
      <c r="A10492" s="307"/>
    </row>
    <row r="10493" ht="14.25" customHeight="1">
      <c r="A10493" s="307"/>
    </row>
    <row r="10494" ht="14.25" customHeight="1">
      <c r="A10494" s="307"/>
    </row>
    <row r="10495" ht="14.25" customHeight="1">
      <c r="A10495" s="307"/>
    </row>
    <row r="10496" ht="14.25" customHeight="1">
      <c r="A10496" s="307"/>
    </row>
    <row r="10497" ht="14.25" customHeight="1">
      <c r="A10497" s="307"/>
    </row>
    <row r="10498" ht="14.25" customHeight="1">
      <c r="A10498" s="307"/>
    </row>
    <row r="10499" ht="14.25" customHeight="1">
      <c r="A10499" s="307"/>
    </row>
    <row r="10500" ht="14.25" customHeight="1">
      <c r="A10500" s="307"/>
    </row>
    <row r="10501" ht="14.25" customHeight="1">
      <c r="A10501" s="307"/>
    </row>
    <row r="10502" ht="14.25" customHeight="1">
      <c r="A10502" s="307"/>
    </row>
    <row r="10503" ht="14.25" customHeight="1">
      <c r="A10503" s="307"/>
    </row>
    <row r="10504" ht="14.25" customHeight="1">
      <c r="A10504" s="307"/>
    </row>
    <row r="10505" ht="14.25" customHeight="1">
      <c r="A10505" s="307"/>
    </row>
    <row r="10506" ht="14.25" customHeight="1">
      <c r="A10506" s="307"/>
    </row>
    <row r="10507" ht="14.25" customHeight="1">
      <c r="A10507" s="307"/>
    </row>
    <row r="10508" ht="14.25" customHeight="1">
      <c r="A10508" s="307"/>
    </row>
    <row r="10509" ht="14.25" customHeight="1">
      <c r="A10509" s="307"/>
    </row>
    <row r="10510" ht="14.25" customHeight="1">
      <c r="A10510" s="307"/>
    </row>
    <row r="10511" ht="14.25" customHeight="1">
      <c r="A10511" s="307"/>
    </row>
    <row r="10512" ht="14.25" customHeight="1">
      <c r="A10512" s="307"/>
    </row>
    <row r="10513" ht="14.25" customHeight="1">
      <c r="A10513" s="307"/>
    </row>
    <row r="10514" ht="14.25" customHeight="1">
      <c r="A10514" s="307"/>
    </row>
    <row r="10515" ht="14.25" customHeight="1">
      <c r="A10515" s="307"/>
    </row>
    <row r="10516" ht="14.25" customHeight="1">
      <c r="A10516" s="307"/>
    </row>
    <row r="10517" ht="14.25" customHeight="1">
      <c r="A10517" s="307"/>
    </row>
    <row r="10518" ht="14.25" customHeight="1">
      <c r="A10518" s="307"/>
    </row>
    <row r="10519" ht="14.25" customHeight="1">
      <c r="A10519" s="307"/>
    </row>
    <row r="10520" ht="14.25" customHeight="1">
      <c r="A10520" s="307"/>
    </row>
    <row r="10521" ht="14.25" customHeight="1">
      <c r="A10521" s="307"/>
    </row>
    <row r="10522" ht="14.25" customHeight="1">
      <c r="A10522" s="307"/>
    </row>
    <row r="10523" ht="14.25" customHeight="1">
      <c r="A10523" s="307"/>
    </row>
    <row r="10524" ht="14.25" customHeight="1">
      <c r="A10524" s="307"/>
    </row>
    <row r="10525" ht="14.25" customHeight="1">
      <c r="A10525" s="307"/>
    </row>
    <row r="10526" ht="14.25" customHeight="1">
      <c r="A10526" s="307"/>
    </row>
    <row r="10527" ht="14.25" customHeight="1">
      <c r="A10527" s="307"/>
    </row>
    <row r="10528" ht="14.25" customHeight="1">
      <c r="A10528" s="307"/>
    </row>
    <row r="10529" ht="14.25" customHeight="1">
      <c r="A10529" s="307"/>
    </row>
    <row r="10530" ht="14.25" customHeight="1">
      <c r="A10530" s="307"/>
    </row>
    <row r="10531" ht="14.25" customHeight="1">
      <c r="A10531" s="307"/>
    </row>
    <row r="10532" ht="14.25" customHeight="1">
      <c r="A10532" s="307"/>
    </row>
    <row r="10533" ht="14.25" customHeight="1">
      <c r="A10533" s="307"/>
    </row>
    <row r="10534" ht="14.25" customHeight="1">
      <c r="A10534" s="307"/>
    </row>
    <row r="10535" ht="14.25" customHeight="1">
      <c r="A10535" s="307"/>
    </row>
    <row r="10536" ht="14.25" customHeight="1">
      <c r="A10536" s="307"/>
    </row>
    <row r="10537" ht="14.25" customHeight="1">
      <c r="A10537" s="307"/>
    </row>
    <row r="10538" ht="14.25" customHeight="1">
      <c r="A10538" s="307"/>
    </row>
    <row r="10539" ht="14.25" customHeight="1">
      <c r="A10539" s="307"/>
    </row>
    <row r="10540" ht="14.25" customHeight="1">
      <c r="A10540" s="307"/>
    </row>
    <row r="10541" ht="14.25" customHeight="1">
      <c r="A10541" s="307"/>
    </row>
    <row r="10542" ht="14.25" customHeight="1">
      <c r="A10542" s="307"/>
    </row>
    <row r="10543" ht="14.25" customHeight="1">
      <c r="A10543" s="307"/>
    </row>
    <row r="10544" ht="14.25" customHeight="1">
      <c r="A10544" s="307"/>
    </row>
    <row r="10545" ht="14.25" customHeight="1">
      <c r="A10545" s="307"/>
    </row>
    <row r="10546" ht="14.25" customHeight="1">
      <c r="A10546" s="307"/>
    </row>
    <row r="10547" ht="14.25" customHeight="1">
      <c r="A10547" s="307"/>
    </row>
    <row r="10548" ht="14.25" customHeight="1">
      <c r="A10548" s="307"/>
    </row>
    <row r="10549" ht="14.25" customHeight="1">
      <c r="A10549" s="307"/>
    </row>
    <row r="10550" ht="14.25" customHeight="1">
      <c r="A10550" s="307"/>
    </row>
    <row r="10551" ht="14.25" customHeight="1">
      <c r="A10551" s="307"/>
    </row>
    <row r="10552" ht="14.25" customHeight="1">
      <c r="A10552" s="307"/>
    </row>
    <row r="10553" ht="14.25" customHeight="1">
      <c r="A10553" s="307"/>
    </row>
    <row r="10554" ht="14.25" customHeight="1">
      <c r="A10554" s="307"/>
    </row>
    <row r="10555" ht="14.25" customHeight="1">
      <c r="A10555" s="307"/>
    </row>
    <row r="10556" ht="14.25" customHeight="1">
      <c r="A10556" s="307"/>
    </row>
    <row r="10557" ht="14.25" customHeight="1">
      <c r="A10557" s="307"/>
    </row>
    <row r="10558" ht="14.25" customHeight="1">
      <c r="A10558" s="307"/>
    </row>
    <row r="10559" ht="14.25" customHeight="1">
      <c r="A10559" s="307"/>
    </row>
    <row r="10560" ht="14.25" customHeight="1">
      <c r="A10560" s="307"/>
    </row>
    <row r="10561" ht="14.25" customHeight="1">
      <c r="A10561" s="307"/>
    </row>
    <row r="10562" ht="14.25" customHeight="1">
      <c r="A10562" s="307"/>
    </row>
    <row r="10563" ht="14.25" customHeight="1">
      <c r="A10563" s="307"/>
    </row>
    <row r="10564" ht="14.25" customHeight="1">
      <c r="A10564" s="307"/>
    </row>
    <row r="10565" ht="14.25" customHeight="1">
      <c r="A10565" s="307"/>
    </row>
    <row r="10566" ht="14.25" customHeight="1">
      <c r="A10566" s="307"/>
    </row>
    <row r="10567" ht="14.25" customHeight="1">
      <c r="A10567" s="307"/>
    </row>
    <row r="10568" ht="14.25" customHeight="1">
      <c r="A10568" s="307"/>
    </row>
    <row r="10569" ht="14.25" customHeight="1">
      <c r="A10569" s="307"/>
    </row>
    <row r="10570" ht="14.25" customHeight="1">
      <c r="A10570" s="307"/>
    </row>
    <row r="10571" ht="14.25" customHeight="1">
      <c r="A10571" s="307"/>
    </row>
    <row r="10572" ht="14.25" customHeight="1">
      <c r="A10572" s="307"/>
    </row>
    <row r="10573" ht="14.25" customHeight="1">
      <c r="A10573" s="307"/>
    </row>
    <row r="10574" ht="14.25" customHeight="1">
      <c r="A10574" s="307"/>
    </row>
    <row r="10575" ht="14.25" customHeight="1">
      <c r="A10575" s="307"/>
    </row>
    <row r="10576" ht="14.25" customHeight="1">
      <c r="A10576" s="307"/>
    </row>
    <row r="10577" ht="14.25" customHeight="1">
      <c r="A10577" s="307"/>
    </row>
    <row r="10578" ht="14.25" customHeight="1">
      <c r="A10578" s="307"/>
    </row>
    <row r="10579" ht="14.25" customHeight="1">
      <c r="A10579" s="307"/>
    </row>
    <row r="10580" ht="14.25" customHeight="1">
      <c r="A10580" s="307"/>
    </row>
    <row r="10581" ht="14.25" customHeight="1">
      <c r="A10581" s="307"/>
    </row>
    <row r="10582" ht="14.25" customHeight="1">
      <c r="A10582" s="307"/>
    </row>
    <row r="10583" ht="14.25" customHeight="1">
      <c r="A10583" s="307"/>
    </row>
    <row r="10584" ht="14.25" customHeight="1">
      <c r="A10584" s="307"/>
    </row>
    <row r="10585" ht="14.25" customHeight="1">
      <c r="A10585" s="307"/>
    </row>
    <row r="10586" ht="14.25" customHeight="1">
      <c r="A10586" s="307"/>
    </row>
    <row r="10587" ht="14.25" customHeight="1">
      <c r="A10587" s="307"/>
    </row>
    <row r="10588" ht="14.25" customHeight="1">
      <c r="A10588" s="307"/>
    </row>
    <row r="10589" ht="14.25" customHeight="1">
      <c r="A10589" s="307"/>
    </row>
    <row r="10590" ht="14.25" customHeight="1">
      <c r="A10590" s="307"/>
    </row>
    <row r="10591" ht="14.25" customHeight="1">
      <c r="A10591" s="307"/>
    </row>
    <row r="10592" ht="14.25" customHeight="1">
      <c r="A10592" s="307"/>
    </row>
    <row r="10593" ht="14.25" customHeight="1">
      <c r="A10593" s="307"/>
    </row>
    <row r="10594" ht="14.25" customHeight="1">
      <c r="A10594" s="307"/>
    </row>
    <row r="10595" ht="14.25" customHeight="1">
      <c r="A10595" s="307"/>
    </row>
    <row r="10596" ht="14.25" customHeight="1">
      <c r="A10596" s="307"/>
    </row>
    <row r="10597" ht="14.25" customHeight="1">
      <c r="A10597" s="307"/>
    </row>
    <row r="10598" ht="14.25" customHeight="1">
      <c r="A10598" s="307"/>
    </row>
    <row r="10599" ht="14.25" customHeight="1">
      <c r="A10599" s="307"/>
    </row>
    <row r="10600" ht="14.25" customHeight="1">
      <c r="A10600" s="307"/>
    </row>
    <row r="10601" ht="14.25" customHeight="1">
      <c r="A10601" s="307"/>
    </row>
    <row r="10602" ht="14.25" customHeight="1">
      <c r="A10602" s="307"/>
    </row>
    <row r="10603" ht="14.25" customHeight="1">
      <c r="A10603" s="307"/>
    </row>
    <row r="10604" ht="14.25" customHeight="1">
      <c r="A10604" s="307"/>
    </row>
    <row r="10605" ht="14.25" customHeight="1">
      <c r="A10605" s="307"/>
    </row>
    <row r="10606" ht="14.25" customHeight="1">
      <c r="A10606" s="307"/>
    </row>
    <row r="10607" ht="14.25" customHeight="1">
      <c r="A10607" s="307"/>
    </row>
    <row r="10608" ht="14.25" customHeight="1">
      <c r="A10608" s="307"/>
    </row>
    <row r="10609" ht="14.25" customHeight="1">
      <c r="A10609" s="307"/>
    </row>
    <row r="10610" ht="14.25" customHeight="1">
      <c r="A10610" s="307"/>
    </row>
    <row r="10611" ht="14.25" customHeight="1">
      <c r="A10611" s="307"/>
    </row>
    <row r="10612" ht="14.25" customHeight="1">
      <c r="A10612" s="307"/>
    </row>
    <row r="10613" ht="14.25" customHeight="1">
      <c r="A10613" s="307"/>
    </row>
    <row r="10614" ht="14.25" customHeight="1">
      <c r="A10614" s="307"/>
    </row>
    <row r="10615" ht="14.25" customHeight="1">
      <c r="A10615" s="307"/>
    </row>
    <row r="10616" ht="14.25" customHeight="1">
      <c r="A10616" s="307"/>
    </row>
    <row r="10617" ht="14.25" customHeight="1">
      <c r="A10617" s="307"/>
    </row>
    <row r="10618" ht="14.25" customHeight="1">
      <c r="A10618" s="307"/>
    </row>
    <row r="10619" ht="14.25" customHeight="1">
      <c r="A10619" s="307"/>
    </row>
    <row r="10620" ht="14.25" customHeight="1">
      <c r="A10620" s="307"/>
    </row>
    <row r="10621" ht="14.25" customHeight="1">
      <c r="A10621" s="307"/>
    </row>
    <row r="10622" ht="14.25" customHeight="1">
      <c r="A10622" s="307"/>
    </row>
    <row r="10623" ht="14.25" customHeight="1">
      <c r="A10623" s="307"/>
    </row>
    <row r="10624" ht="14.25" customHeight="1">
      <c r="A10624" s="307"/>
    </row>
    <row r="10625" ht="14.25" customHeight="1">
      <c r="A10625" s="307"/>
    </row>
    <row r="10626" ht="14.25" customHeight="1">
      <c r="A10626" s="307"/>
    </row>
    <row r="10627" ht="14.25" customHeight="1">
      <c r="A10627" s="307"/>
    </row>
    <row r="10628" ht="14.25" customHeight="1">
      <c r="A10628" s="307"/>
    </row>
    <row r="10629" ht="14.25" customHeight="1">
      <c r="A10629" s="307"/>
    </row>
    <row r="10630" ht="14.25" customHeight="1">
      <c r="A10630" s="307"/>
    </row>
    <row r="10631" ht="14.25" customHeight="1">
      <c r="A10631" s="307"/>
    </row>
    <row r="10632" ht="14.25" customHeight="1">
      <c r="A10632" s="307"/>
    </row>
    <row r="10633" ht="14.25" customHeight="1">
      <c r="A10633" s="307"/>
    </row>
    <row r="10634" ht="14.25" customHeight="1">
      <c r="A10634" s="307"/>
    </row>
    <row r="10635" ht="14.25" customHeight="1">
      <c r="A10635" s="307"/>
    </row>
    <row r="10636" ht="14.25" customHeight="1">
      <c r="A10636" s="307"/>
    </row>
    <row r="10637" ht="14.25" customHeight="1">
      <c r="A10637" s="307"/>
    </row>
    <row r="10638" ht="14.25" customHeight="1">
      <c r="A10638" s="307"/>
    </row>
    <row r="10639" ht="14.25" customHeight="1">
      <c r="A10639" s="307"/>
    </row>
    <row r="10640" ht="14.25" customHeight="1">
      <c r="A10640" s="307"/>
    </row>
    <row r="10641" ht="14.25" customHeight="1">
      <c r="A10641" s="307"/>
    </row>
    <row r="10642" ht="14.25" customHeight="1">
      <c r="A10642" s="307"/>
    </row>
    <row r="10643" ht="14.25" customHeight="1">
      <c r="A10643" s="307"/>
    </row>
    <row r="10644" ht="14.25" customHeight="1">
      <c r="A10644" s="307"/>
    </row>
    <row r="10645" ht="14.25" customHeight="1">
      <c r="A10645" s="307"/>
    </row>
    <row r="10646" ht="14.25" customHeight="1">
      <c r="A10646" s="307"/>
    </row>
    <row r="10647" ht="14.25" customHeight="1">
      <c r="A10647" s="307"/>
    </row>
    <row r="10648" ht="14.25" customHeight="1">
      <c r="A10648" s="307"/>
    </row>
    <row r="10649" ht="14.25" customHeight="1">
      <c r="A10649" s="307"/>
    </row>
    <row r="10650" ht="14.25" customHeight="1">
      <c r="A10650" s="307"/>
    </row>
    <row r="10651" ht="14.25" customHeight="1">
      <c r="A10651" s="307"/>
    </row>
    <row r="10652" ht="14.25" customHeight="1">
      <c r="A10652" s="307"/>
    </row>
    <row r="10653" ht="14.25" customHeight="1">
      <c r="A10653" s="307"/>
    </row>
    <row r="10654" ht="14.25" customHeight="1">
      <c r="A10654" s="307"/>
    </row>
    <row r="10655" ht="14.25" customHeight="1">
      <c r="A10655" s="307"/>
    </row>
    <row r="10656" ht="14.25" customHeight="1">
      <c r="A10656" s="307"/>
    </row>
    <row r="10657" ht="14.25" customHeight="1">
      <c r="A10657" s="307"/>
    </row>
    <row r="10658" ht="14.25" customHeight="1">
      <c r="A10658" s="307"/>
    </row>
    <row r="10659" ht="14.25" customHeight="1">
      <c r="A10659" s="307"/>
    </row>
    <row r="10660" ht="14.25" customHeight="1">
      <c r="A10660" s="307"/>
    </row>
    <row r="10661" ht="14.25" customHeight="1">
      <c r="A10661" s="307"/>
    </row>
    <row r="10662" ht="14.25" customHeight="1">
      <c r="A10662" s="307"/>
    </row>
    <row r="10663" ht="14.25" customHeight="1">
      <c r="A10663" s="307"/>
    </row>
    <row r="10664" ht="14.25" customHeight="1">
      <c r="A10664" s="307"/>
    </row>
    <row r="10665" ht="14.25" customHeight="1">
      <c r="A10665" s="307"/>
    </row>
    <row r="10666" ht="14.25" customHeight="1">
      <c r="A10666" s="307"/>
    </row>
    <row r="10667" ht="14.25" customHeight="1">
      <c r="A10667" s="307"/>
    </row>
    <row r="10668" ht="14.25" customHeight="1">
      <c r="A10668" s="307"/>
    </row>
    <row r="10669" ht="14.25" customHeight="1">
      <c r="A10669" s="307"/>
    </row>
    <row r="10670" ht="14.25" customHeight="1">
      <c r="A10670" s="307"/>
    </row>
    <row r="10671" ht="14.25" customHeight="1">
      <c r="A10671" s="307"/>
    </row>
    <row r="10672" ht="14.25" customHeight="1">
      <c r="A10672" s="307"/>
    </row>
    <row r="10673" ht="14.25" customHeight="1">
      <c r="A10673" s="307"/>
    </row>
    <row r="10674" ht="14.25" customHeight="1">
      <c r="A10674" s="307"/>
    </row>
    <row r="10675" ht="14.25" customHeight="1">
      <c r="A10675" s="307"/>
    </row>
    <row r="10676" ht="14.25" customHeight="1">
      <c r="A10676" s="307"/>
    </row>
    <row r="10677" ht="14.25" customHeight="1">
      <c r="A10677" s="307"/>
    </row>
    <row r="10678" ht="14.25" customHeight="1">
      <c r="A10678" s="307"/>
    </row>
    <row r="10679" ht="14.25" customHeight="1">
      <c r="A10679" s="307"/>
    </row>
    <row r="10680" ht="14.25" customHeight="1">
      <c r="A10680" s="307"/>
    </row>
    <row r="10681" ht="14.25" customHeight="1">
      <c r="A10681" s="307"/>
    </row>
    <row r="10682" ht="14.25" customHeight="1">
      <c r="A10682" s="307"/>
    </row>
    <row r="10683" ht="14.25" customHeight="1">
      <c r="A10683" s="307"/>
    </row>
    <row r="10684" ht="14.25" customHeight="1">
      <c r="A10684" s="307"/>
    </row>
    <row r="10685" ht="14.25" customHeight="1">
      <c r="A10685" s="307"/>
    </row>
    <row r="10686" ht="14.25" customHeight="1">
      <c r="A10686" s="307"/>
    </row>
    <row r="10687" ht="14.25" customHeight="1">
      <c r="A10687" s="307"/>
    </row>
    <row r="10688" ht="14.25" customHeight="1">
      <c r="A10688" s="307"/>
    </row>
    <row r="10689" ht="14.25" customHeight="1">
      <c r="A10689" s="307"/>
    </row>
    <row r="10690" ht="14.25" customHeight="1">
      <c r="A10690" s="307"/>
    </row>
    <row r="10691" ht="14.25" customHeight="1">
      <c r="A10691" s="307"/>
    </row>
    <row r="10692" ht="14.25" customHeight="1">
      <c r="A10692" s="307"/>
    </row>
    <row r="10693" ht="14.25" customHeight="1">
      <c r="A10693" s="307"/>
    </row>
    <row r="10694" ht="14.25" customHeight="1">
      <c r="A10694" s="307"/>
    </row>
    <row r="10695" ht="14.25" customHeight="1">
      <c r="A10695" s="307"/>
    </row>
    <row r="10696" ht="14.25" customHeight="1">
      <c r="A10696" s="307"/>
    </row>
    <row r="10697" ht="14.25" customHeight="1">
      <c r="A10697" s="307"/>
    </row>
    <row r="10698" ht="14.25" customHeight="1">
      <c r="A10698" s="307"/>
    </row>
    <row r="10699" ht="14.25" customHeight="1">
      <c r="A10699" s="307"/>
    </row>
    <row r="10700" ht="14.25" customHeight="1">
      <c r="A10700" s="307"/>
    </row>
    <row r="10701" ht="14.25" customHeight="1">
      <c r="A10701" s="307"/>
    </row>
    <row r="10702" ht="14.25" customHeight="1">
      <c r="A10702" s="307"/>
    </row>
    <row r="10703" ht="14.25" customHeight="1">
      <c r="A10703" s="307"/>
    </row>
    <row r="10704" ht="14.25" customHeight="1">
      <c r="A10704" s="307"/>
    </row>
    <row r="10705" ht="14.25" customHeight="1">
      <c r="A10705" s="307"/>
    </row>
    <row r="10706" ht="14.25" customHeight="1">
      <c r="A10706" s="307"/>
    </row>
    <row r="10707" ht="14.25" customHeight="1">
      <c r="A10707" s="307"/>
    </row>
    <row r="10708" ht="14.25" customHeight="1">
      <c r="A10708" s="307"/>
    </row>
    <row r="10709" ht="14.25" customHeight="1">
      <c r="A10709" s="307"/>
    </row>
    <row r="10710" ht="14.25" customHeight="1">
      <c r="A10710" s="307"/>
    </row>
    <row r="10711" ht="14.25" customHeight="1">
      <c r="A10711" s="307"/>
    </row>
    <row r="10712" ht="14.25" customHeight="1">
      <c r="A10712" s="307"/>
    </row>
    <row r="10713" ht="14.25" customHeight="1">
      <c r="A10713" s="307"/>
    </row>
    <row r="10714" ht="14.25" customHeight="1">
      <c r="A10714" s="307"/>
    </row>
    <row r="10715" ht="14.25" customHeight="1">
      <c r="A10715" s="307"/>
    </row>
    <row r="10716" ht="14.25" customHeight="1">
      <c r="A10716" s="307"/>
    </row>
    <row r="10717" ht="14.25" customHeight="1">
      <c r="A10717" s="307"/>
    </row>
    <row r="10718" ht="14.25" customHeight="1">
      <c r="A10718" s="307"/>
    </row>
    <row r="10719" ht="14.25" customHeight="1">
      <c r="A10719" s="307"/>
    </row>
    <row r="10720" ht="14.25" customHeight="1">
      <c r="A10720" s="307"/>
    </row>
    <row r="10721" ht="14.25" customHeight="1">
      <c r="A10721" s="307"/>
    </row>
    <row r="10722" ht="14.25" customHeight="1">
      <c r="A10722" s="307"/>
    </row>
    <row r="10723" ht="14.25" customHeight="1">
      <c r="A10723" s="307"/>
    </row>
    <row r="10724" ht="14.25" customHeight="1">
      <c r="A10724" s="307"/>
    </row>
    <row r="10725" ht="14.25" customHeight="1">
      <c r="A10725" s="307"/>
    </row>
    <row r="10726" ht="14.25" customHeight="1">
      <c r="A10726" s="307"/>
    </row>
    <row r="10727" ht="14.25" customHeight="1">
      <c r="A10727" s="307"/>
    </row>
    <row r="10728" ht="14.25" customHeight="1">
      <c r="A10728" s="307"/>
    </row>
    <row r="10729" ht="14.25" customHeight="1">
      <c r="A10729" s="307"/>
    </row>
    <row r="10730" ht="14.25" customHeight="1">
      <c r="A10730" s="307"/>
    </row>
    <row r="10731" ht="14.25" customHeight="1">
      <c r="A10731" s="307"/>
    </row>
    <row r="10732" ht="14.25" customHeight="1">
      <c r="A10732" s="307"/>
    </row>
    <row r="10733" ht="14.25" customHeight="1">
      <c r="A10733" s="307"/>
    </row>
    <row r="10734" ht="14.25" customHeight="1">
      <c r="A10734" s="307"/>
    </row>
    <row r="10735" ht="14.25" customHeight="1">
      <c r="A10735" s="307"/>
    </row>
    <row r="10736" ht="14.25" customHeight="1">
      <c r="A10736" s="307"/>
    </row>
    <row r="10737" ht="14.25" customHeight="1">
      <c r="A10737" s="307"/>
    </row>
    <row r="10738" ht="14.25" customHeight="1">
      <c r="A10738" s="307"/>
    </row>
    <row r="10739" ht="14.25" customHeight="1">
      <c r="A10739" s="307"/>
    </row>
    <row r="10740" ht="14.25" customHeight="1">
      <c r="A10740" s="307"/>
    </row>
    <row r="10741" ht="14.25" customHeight="1">
      <c r="A10741" s="307"/>
    </row>
    <row r="10742" ht="14.25" customHeight="1">
      <c r="A10742" s="307"/>
    </row>
    <row r="10743" ht="14.25" customHeight="1">
      <c r="A10743" s="307"/>
    </row>
    <row r="10744" ht="14.25" customHeight="1">
      <c r="A10744" s="307"/>
    </row>
    <row r="10745" ht="14.25" customHeight="1">
      <c r="A10745" s="307"/>
    </row>
    <row r="10746" ht="14.25" customHeight="1">
      <c r="A10746" s="307"/>
    </row>
    <row r="10747" ht="14.25" customHeight="1">
      <c r="A10747" s="307"/>
    </row>
    <row r="10748" ht="14.25" customHeight="1">
      <c r="A10748" s="307"/>
    </row>
    <row r="10749" ht="14.25" customHeight="1">
      <c r="A10749" s="307"/>
    </row>
    <row r="10750" ht="14.25" customHeight="1">
      <c r="A10750" s="307"/>
    </row>
    <row r="10751" ht="14.25" customHeight="1">
      <c r="A10751" s="307"/>
    </row>
    <row r="10752" ht="14.25" customHeight="1">
      <c r="A10752" s="307"/>
    </row>
    <row r="10753" ht="14.25" customHeight="1">
      <c r="A10753" s="307"/>
    </row>
    <row r="10754" ht="14.25" customHeight="1">
      <c r="A10754" s="307"/>
    </row>
    <row r="10755" ht="14.25" customHeight="1">
      <c r="A10755" s="307"/>
    </row>
    <row r="10756" ht="14.25" customHeight="1">
      <c r="A10756" s="307"/>
    </row>
    <row r="10757" ht="14.25" customHeight="1">
      <c r="A10757" s="307"/>
    </row>
    <row r="10758" ht="14.25" customHeight="1">
      <c r="A10758" s="307"/>
    </row>
    <row r="10759" ht="14.25" customHeight="1">
      <c r="A10759" s="307"/>
    </row>
    <row r="10760" ht="14.25" customHeight="1">
      <c r="A10760" s="307"/>
    </row>
    <row r="10761" ht="14.25" customHeight="1">
      <c r="A10761" s="307"/>
    </row>
    <row r="10762" ht="14.25" customHeight="1">
      <c r="A10762" s="307"/>
    </row>
    <row r="10763" ht="14.25" customHeight="1">
      <c r="A10763" s="307"/>
    </row>
    <row r="10764" ht="14.25" customHeight="1">
      <c r="A10764" s="307"/>
    </row>
    <row r="10765" ht="14.25" customHeight="1">
      <c r="A10765" s="307"/>
    </row>
    <row r="10766" ht="14.25" customHeight="1">
      <c r="A10766" s="307"/>
    </row>
    <row r="10767" ht="14.25" customHeight="1">
      <c r="A10767" s="307"/>
    </row>
    <row r="10768" ht="14.25" customHeight="1">
      <c r="A10768" s="307"/>
    </row>
    <row r="10769" ht="14.25" customHeight="1">
      <c r="A10769" s="307"/>
    </row>
    <row r="10770" ht="14.25" customHeight="1">
      <c r="A10770" s="307"/>
    </row>
    <row r="10771" ht="14.25" customHeight="1">
      <c r="A10771" s="307"/>
    </row>
    <row r="10772" ht="14.25" customHeight="1">
      <c r="A10772" s="307"/>
    </row>
    <row r="10773" ht="14.25" customHeight="1">
      <c r="A10773" s="307"/>
    </row>
    <row r="10774" ht="14.25" customHeight="1">
      <c r="A10774" s="307"/>
    </row>
    <row r="10775" ht="14.25" customHeight="1">
      <c r="A10775" s="307"/>
    </row>
    <row r="10776" ht="14.25" customHeight="1">
      <c r="A10776" s="307"/>
    </row>
    <row r="10777" ht="14.25" customHeight="1">
      <c r="A10777" s="307"/>
    </row>
    <row r="10778" ht="14.25" customHeight="1">
      <c r="A10778" s="307"/>
    </row>
    <row r="10779" ht="14.25" customHeight="1">
      <c r="A10779" s="307"/>
    </row>
    <row r="10780" ht="14.25" customHeight="1">
      <c r="A10780" s="307"/>
    </row>
    <row r="10781" ht="14.25" customHeight="1">
      <c r="A10781" s="307"/>
    </row>
    <row r="10782" ht="14.25" customHeight="1">
      <c r="A10782" s="307"/>
    </row>
    <row r="10783" ht="14.25" customHeight="1">
      <c r="A10783" s="307"/>
    </row>
    <row r="10784" ht="14.25" customHeight="1">
      <c r="A10784" s="307"/>
    </row>
    <row r="10785" ht="14.25" customHeight="1">
      <c r="A10785" s="307"/>
    </row>
    <row r="10786" ht="14.25" customHeight="1">
      <c r="A10786" s="307"/>
    </row>
    <row r="10787" ht="14.25" customHeight="1">
      <c r="A10787" s="307"/>
    </row>
    <row r="10788" ht="14.25" customHeight="1">
      <c r="A10788" s="307"/>
    </row>
    <row r="10789" ht="14.25" customHeight="1">
      <c r="A10789" s="307"/>
    </row>
    <row r="10790" ht="14.25" customHeight="1">
      <c r="A10790" s="307"/>
    </row>
    <row r="10791" ht="14.25" customHeight="1">
      <c r="A10791" s="307"/>
    </row>
    <row r="10792" ht="14.25" customHeight="1">
      <c r="A10792" s="307"/>
    </row>
    <row r="10793" ht="14.25" customHeight="1">
      <c r="A10793" s="307"/>
    </row>
    <row r="10794" ht="14.25" customHeight="1">
      <c r="A10794" s="307"/>
    </row>
    <row r="10795" ht="14.25" customHeight="1">
      <c r="A10795" s="307"/>
    </row>
    <row r="10796" ht="14.25" customHeight="1">
      <c r="A10796" s="307"/>
    </row>
    <row r="10797" ht="14.25" customHeight="1">
      <c r="A10797" s="307"/>
    </row>
    <row r="10798" ht="14.25" customHeight="1">
      <c r="A10798" s="307"/>
    </row>
    <row r="10799" ht="14.25" customHeight="1">
      <c r="A10799" s="307"/>
    </row>
    <row r="10800" ht="14.25" customHeight="1">
      <c r="A10800" s="307"/>
    </row>
    <row r="10801" ht="14.25" customHeight="1">
      <c r="A10801" s="307"/>
    </row>
    <row r="10802" ht="14.25" customHeight="1">
      <c r="A10802" s="307"/>
    </row>
    <row r="10803" ht="14.25" customHeight="1">
      <c r="A10803" s="307"/>
    </row>
    <row r="10804" ht="14.25" customHeight="1">
      <c r="A10804" s="307"/>
    </row>
    <row r="10805" ht="14.25" customHeight="1">
      <c r="A10805" s="307"/>
    </row>
    <row r="10806" ht="14.25" customHeight="1">
      <c r="A10806" s="307"/>
    </row>
    <row r="10807" ht="14.25" customHeight="1">
      <c r="A10807" s="307"/>
    </row>
    <row r="10808" ht="14.25" customHeight="1">
      <c r="A10808" s="307"/>
    </row>
    <row r="10809" ht="14.25" customHeight="1">
      <c r="A10809" s="307"/>
    </row>
    <row r="10810" ht="14.25" customHeight="1">
      <c r="A10810" s="307"/>
    </row>
    <row r="10811" ht="14.25" customHeight="1">
      <c r="A10811" s="307"/>
    </row>
    <row r="10812" ht="14.25" customHeight="1">
      <c r="A10812" s="307"/>
    </row>
    <row r="10813" ht="14.25" customHeight="1">
      <c r="A10813" s="307"/>
    </row>
    <row r="10814" ht="14.25" customHeight="1">
      <c r="A10814" s="307"/>
    </row>
    <row r="10815" ht="14.25" customHeight="1">
      <c r="A10815" s="307"/>
    </row>
    <row r="10816" ht="14.25" customHeight="1">
      <c r="A10816" s="307"/>
    </row>
    <row r="10817" ht="14.25" customHeight="1">
      <c r="A10817" s="307"/>
    </row>
    <row r="10818" ht="14.25" customHeight="1">
      <c r="A10818" s="307"/>
    </row>
    <row r="10819" ht="14.25" customHeight="1">
      <c r="A10819" s="307"/>
    </row>
    <row r="10820" ht="14.25" customHeight="1">
      <c r="A10820" s="307"/>
    </row>
    <row r="10821" ht="14.25" customHeight="1">
      <c r="A10821" s="307"/>
    </row>
    <row r="10822" ht="14.25" customHeight="1">
      <c r="A10822" s="307"/>
    </row>
    <row r="10823" ht="14.25" customHeight="1">
      <c r="A10823" s="307"/>
    </row>
    <row r="10824" ht="14.25" customHeight="1">
      <c r="A10824" s="307"/>
    </row>
    <row r="10825" ht="14.25" customHeight="1">
      <c r="A10825" s="307"/>
    </row>
    <row r="10826" ht="14.25" customHeight="1">
      <c r="A10826" s="307"/>
    </row>
    <row r="10827" ht="14.25" customHeight="1">
      <c r="A10827" s="307"/>
    </row>
    <row r="10828" ht="14.25" customHeight="1">
      <c r="A10828" s="307"/>
    </row>
    <row r="10829" ht="14.25" customHeight="1">
      <c r="A10829" s="307"/>
    </row>
    <row r="10830" ht="14.25" customHeight="1">
      <c r="A10830" s="307"/>
    </row>
    <row r="10831" ht="14.25" customHeight="1">
      <c r="A10831" s="307"/>
    </row>
    <row r="10832" ht="14.25" customHeight="1">
      <c r="A10832" s="307"/>
    </row>
    <row r="10833" ht="14.25" customHeight="1">
      <c r="A10833" s="307"/>
    </row>
    <row r="10834" ht="14.25" customHeight="1">
      <c r="A10834" s="307"/>
    </row>
    <row r="10835" ht="14.25" customHeight="1">
      <c r="A10835" s="307"/>
    </row>
    <row r="10836" ht="14.25" customHeight="1">
      <c r="A10836" s="307"/>
    </row>
    <row r="10837" ht="14.25" customHeight="1">
      <c r="A10837" s="307"/>
    </row>
    <row r="10838" ht="14.25" customHeight="1">
      <c r="A10838" s="307"/>
    </row>
    <row r="10839" ht="14.25" customHeight="1">
      <c r="A10839" s="307"/>
    </row>
    <row r="10840" ht="14.25" customHeight="1">
      <c r="A10840" s="307"/>
    </row>
    <row r="10841" ht="14.25" customHeight="1">
      <c r="A10841" s="307"/>
    </row>
    <row r="10842" ht="14.25" customHeight="1">
      <c r="A10842" s="307"/>
    </row>
    <row r="10843" ht="14.25" customHeight="1">
      <c r="A10843" s="307"/>
    </row>
    <row r="10844" ht="14.25" customHeight="1">
      <c r="A10844" s="307"/>
    </row>
    <row r="10845" ht="14.25" customHeight="1">
      <c r="A10845" s="307"/>
    </row>
    <row r="10846" ht="14.25" customHeight="1">
      <c r="A10846" s="307"/>
    </row>
    <row r="10847" ht="14.25" customHeight="1">
      <c r="A10847" s="307"/>
    </row>
    <row r="10848" ht="14.25" customHeight="1">
      <c r="A10848" s="307"/>
    </row>
    <row r="10849" ht="14.25" customHeight="1">
      <c r="A10849" s="307"/>
    </row>
    <row r="10850" ht="14.25" customHeight="1">
      <c r="A10850" s="307"/>
    </row>
    <row r="10851" ht="14.25" customHeight="1">
      <c r="A10851" s="307"/>
    </row>
    <row r="10852" ht="14.25" customHeight="1">
      <c r="A10852" s="307"/>
    </row>
    <row r="10853" ht="14.25" customHeight="1">
      <c r="A10853" s="307"/>
    </row>
    <row r="10854" ht="14.25" customHeight="1">
      <c r="A10854" s="307"/>
    </row>
    <row r="10855" ht="14.25" customHeight="1">
      <c r="A10855" s="307"/>
    </row>
    <row r="10856" ht="14.25" customHeight="1">
      <c r="A10856" s="307"/>
    </row>
    <row r="10857" ht="14.25" customHeight="1">
      <c r="A10857" s="307"/>
    </row>
    <row r="10858" ht="14.25" customHeight="1">
      <c r="A10858" s="307"/>
    </row>
    <row r="10859" ht="14.25" customHeight="1">
      <c r="A10859" s="307"/>
    </row>
    <row r="10860" ht="14.25" customHeight="1">
      <c r="A10860" s="307"/>
    </row>
    <row r="10861" ht="14.25" customHeight="1">
      <c r="A10861" s="307"/>
    </row>
    <row r="10862" ht="14.25" customHeight="1">
      <c r="A10862" s="307"/>
    </row>
    <row r="10863" ht="14.25" customHeight="1">
      <c r="A10863" s="307"/>
    </row>
    <row r="10864" ht="14.25" customHeight="1">
      <c r="A10864" s="307"/>
    </row>
    <row r="10865" ht="14.25" customHeight="1">
      <c r="A10865" s="307"/>
    </row>
    <row r="10866" ht="14.25" customHeight="1">
      <c r="A10866" s="307"/>
    </row>
    <row r="10867" ht="14.25" customHeight="1">
      <c r="A10867" s="307"/>
    </row>
    <row r="10868" ht="14.25" customHeight="1">
      <c r="A10868" s="307"/>
    </row>
    <row r="10869" ht="14.25" customHeight="1">
      <c r="A10869" s="307"/>
    </row>
    <row r="10870" ht="14.25" customHeight="1">
      <c r="A10870" s="307"/>
    </row>
    <row r="10871" ht="14.25" customHeight="1">
      <c r="A10871" s="307"/>
    </row>
    <row r="10872" ht="14.25" customHeight="1">
      <c r="A10872" s="307"/>
    </row>
    <row r="10873" ht="14.25" customHeight="1">
      <c r="A10873" s="307"/>
    </row>
    <row r="10874" ht="14.25" customHeight="1">
      <c r="A10874" s="307"/>
    </row>
    <row r="10875" ht="14.25" customHeight="1">
      <c r="A10875" s="307"/>
    </row>
    <row r="10876" ht="14.25" customHeight="1">
      <c r="A10876" s="307"/>
    </row>
    <row r="10877" ht="14.25" customHeight="1">
      <c r="A10877" s="307"/>
    </row>
    <row r="10878" ht="14.25" customHeight="1">
      <c r="A10878" s="307"/>
    </row>
    <row r="10879" ht="14.25" customHeight="1">
      <c r="A10879" s="307"/>
    </row>
    <row r="10880" ht="14.25" customHeight="1">
      <c r="A10880" s="307"/>
    </row>
    <row r="10881" ht="14.25" customHeight="1">
      <c r="A10881" s="307"/>
    </row>
    <row r="10882" ht="14.25" customHeight="1">
      <c r="A10882" s="307"/>
    </row>
    <row r="10883" ht="14.25" customHeight="1">
      <c r="A10883" s="307"/>
    </row>
    <row r="10884" ht="14.25" customHeight="1">
      <c r="A10884" s="307"/>
    </row>
    <row r="10885" ht="14.25" customHeight="1">
      <c r="A10885" s="307"/>
    </row>
    <row r="10886" ht="14.25" customHeight="1">
      <c r="A10886" s="307"/>
    </row>
    <row r="10887" ht="14.25" customHeight="1">
      <c r="A10887" s="307"/>
    </row>
    <row r="10888" ht="14.25" customHeight="1">
      <c r="A10888" s="307"/>
    </row>
    <row r="10889" ht="14.25" customHeight="1">
      <c r="A10889" s="307"/>
    </row>
    <row r="10890" ht="14.25" customHeight="1">
      <c r="A10890" s="307"/>
    </row>
    <row r="10891" ht="14.25" customHeight="1">
      <c r="A10891" s="307"/>
    </row>
    <row r="10892" ht="14.25" customHeight="1">
      <c r="A10892" s="307"/>
    </row>
    <row r="10893" ht="14.25" customHeight="1">
      <c r="A10893" s="307"/>
    </row>
    <row r="10894" ht="14.25" customHeight="1">
      <c r="A10894" s="307"/>
    </row>
    <row r="10895" ht="14.25" customHeight="1">
      <c r="A10895" s="307"/>
    </row>
    <row r="10896" ht="14.25" customHeight="1">
      <c r="A10896" s="307"/>
    </row>
    <row r="10897" ht="14.25" customHeight="1">
      <c r="A10897" s="307"/>
    </row>
    <row r="10898" ht="14.25" customHeight="1">
      <c r="A10898" s="307"/>
    </row>
    <row r="10899" ht="14.25" customHeight="1">
      <c r="A10899" s="307"/>
    </row>
    <row r="10900" ht="14.25" customHeight="1">
      <c r="A10900" s="307"/>
    </row>
    <row r="10901" ht="14.25" customHeight="1">
      <c r="A10901" s="307"/>
    </row>
    <row r="10902" ht="14.25" customHeight="1">
      <c r="A10902" s="307"/>
    </row>
    <row r="10903" ht="14.25" customHeight="1">
      <c r="A10903" s="307"/>
    </row>
    <row r="10904" ht="14.25" customHeight="1">
      <c r="A10904" s="307"/>
    </row>
    <row r="10905" ht="14.25" customHeight="1">
      <c r="A10905" s="307"/>
    </row>
    <row r="10906" ht="14.25" customHeight="1">
      <c r="A10906" s="307"/>
    </row>
    <row r="10907" ht="14.25" customHeight="1">
      <c r="A10907" s="307"/>
    </row>
    <row r="10908" ht="14.25" customHeight="1">
      <c r="A10908" s="307"/>
    </row>
    <row r="10909" ht="14.25" customHeight="1">
      <c r="A10909" s="307"/>
    </row>
    <row r="10910" ht="14.25" customHeight="1">
      <c r="A10910" s="307"/>
    </row>
    <row r="10911" ht="14.25" customHeight="1">
      <c r="A10911" s="307"/>
    </row>
    <row r="10912" ht="14.25" customHeight="1">
      <c r="A10912" s="307"/>
    </row>
    <row r="10913" ht="14.25" customHeight="1">
      <c r="A10913" s="307"/>
    </row>
    <row r="10914" ht="14.25" customHeight="1">
      <c r="A10914" s="307"/>
    </row>
    <row r="10915" ht="14.25" customHeight="1">
      <c r="A10915" s="307"/>
    </row>
    <row r="10916" ht="14.25" customHeight="1">
      <c r="A10916" s="307"/>
    </row>
    <row r="10917" ht="14.25" customHeight="1">
      <c r="A10917" s="307"/>
    </row>
    <row r="10918" ht="14.25" customHeight="1">
      <c r="A10918" s="307"/>
    </row>
    <row r="10919" ht="14.25" customHeight="1">
      <c r="A10919" s="307"/>
    </row>
    <row r="10920" ht="14.25" customHeight="1">
      <c r="A10920" s="307"/>
    </row>
    <row r="10921" ht="14.25" customHeight="1">
      <c r="A10921" s="307"/>
    </row>
    <row r="10922" ht="14.25" customHeight="1">
      <c r="A10922" s="307"/>
    </row>
    <row r="10923" ht="14.25" customHeight="1">
      <c r="A10923" s="307"/>
    </row>
    <row r="10924" ht="14.25" customHeight="1">
      <c r="A10924" s="307"/>
    </row>
    <row r="10925" ht="14.25" customHeight="1">
      <c r="A10925" s="307"/>
    </row>
    <row r="10926" ht="14.25" customHeight="1">
      <c r="A10926" s="307"/>
    </row>
    <row r="10927" ht="14.25" customHeight="1">
      <c r="A10927" s="307"/>
    </row>
    <row r="10928" ht="14.25" customHeight="1">
      <c r="A10928" s="307"/>
    </row>
    <row r="10929" ht="14.25" customHeight="1">
      <c r="A10929" s="307"/>
    </row>
    <row r="10930" ht="14.25" customHeight="1">
      <c r="A10930" s="307"/>
    </row>
    <row r="10931" ht="14.25" customHeight="1">
      <c r="A10931" s="307"/>
    </row>
    <row r="10932" ht="14.25" customHeight="1">
      <c r="A10932" s="307"/>
    </row>
    <row r="10933" ht="14.25" customHeight="1">
      <c r="A10933" s="307"/>
    </row>
    <row r="10934" ht="14.25" customHeight="1">
      <c r="A10934" s="307"/>
    </row>
    <row r="10935" ht="14.25" customHeight="1">
      <c r="A10935" s="307"/>
    </row>
    <row r="10936" ht="14.25" customHeight="1">
      <c r="A10936" s="307"/>
    </row>
    <row r="10937" ht="14.25" customHeight="1">
      <c r="A10937" s="307"/>
    </row>
    <row r="10938" ht="14.25" customHeight="1">
      <c r="A10938" s="307"/>
    </row>
    <row r="10939" ht="14.25" customHeight="1">
      <c r="A10939" s="307"/>
    </row>
    <row r="10940" ht="14.25" customHeight="1">
      <c r="A10940" s="307"/>
    </row>
    <row r="10941" ht="14.25" customHeight="1">
      <c r="A10941" s="307"/>
    </row>
    <row r="10942" ht="14.25" customHeight="1">
      <c r="A10942" s="307"/>
    </row>
    <row r="10943" ht="14.25" customHeight="1">
      <c r="A10943" s="307"/>
    </row>
    <row r="10944" ht="14.25" customHeight="1">
      <c r="A10944" s="307"/>
    </row>
    <row r="10945" ht="14.25" customHeight="1">
      <c r="A10945" s="307"/>
    </row>
    <row r="10946" ht="14.25" customHeight="1">
      <c r="A10946" s="307"/>
    </row>
    <row r="10947" ht="14.25" customHeight="1">
      <c r="A10947" s="307"/>
    </row>
    <row r="10948" ht="14.25" customHeight="1">
      <c r="A10948" s="307"/>
    </row>
    <row r="10949" ht="14.25" customHeight="1">
      <c r="A10949" s="307"/>
    </row>
    <row r="10950" ht="14.25" customHeight="1">
      <c r="A10950" s="307"/>
    </row>
    <row r="10951" ht="14.25" customHeight="1">
      <c r="A10951" s="307"/>
    </row>
    <row r="10952" ht="14.25" customHeight="1">
      <c r="A10952" s="307"/>
    </row>
    <row r="10953" ht="14.25" customHeight="1">
      <c r="A10953" s="307"/>
    </row>
    <row r="10954" ht="14.25" customHeight="1">
      <c r="A10954" s="307"/>
    </row>
    <row r="10955" ht="14.25" customHeight="1">
      <c r="A10955" s="307"/>
    </row>
    <row r="10956" ht="14.25" customHeight="1">
      <c r="A10956" s="307"/>
    </row>
    <row r="10957" ht="14.25" customHeight="1">
      <c r="A10957" s="307"/>
    </row>
    <row r="10958" ht="14.25" customHeight="1">
      <c r="A10958" s="307"/>
    </row>
    <row r="10959" ht="14.25" customHeight="1">
      <c r="A10959" s="307"/>
    </row>
    <row r="10960" ht="14.25" customHeight="1">
      <c r="A10960" s="307"/>
    </row>
    <row r="10961" ht="14.25" customHeight="1">
      <c r="A10961" s="307"/>
    </row>
    <row r="10962" ht="14.25" customHeight="1">
      <c r="A10962" s="307"/>
    </row>
    <row r="10963" ht="14.25" customHeight="1">
      <c r="A10963" s="307"/>
    </row>
    <row r="10964" ht="14.25" customHeight="1">
      <c r="A10964" s="307"/>
    </row>
    <row r="10965" ht="14.25" customHeight="1">
      <c r="A10965" s="307"/>
    </row>
    <row r="10966" ht="14.25" customHeight="1">
      <c r="A10966" s="307"/>
    </row>
    <row r="10967" ht="14.25" customHeight="1">
      <c r="A10967" s="307"/>
    </row>
    <row r="10968" ht="14.25" customHeight="1">
      <c r="A10968" s="307"/>
    </row>
    <row r="10969" ht="14.25" customHeight="1">
      <c r="A10969" s="307"/>
    </row>
    <row r="10970" ht="14.25" customHeight="1">
      <c r="A10970" s="307"/>
    </row>
    <row r="10971" ht="14.25" customHeight="1">
      <c r="A10971" s="307"/>
    </row>
    <row r="10972" ht="14.25" customHeight="1">
      <c r="A10972" s="307"/>
    </row>
    <row r="10973" ht="14.25" customHeight="1">
      <c r="A10973" s="307"/>
    </row>
    <row r="10974" ht="14.25" customHeight="1">
      <c r="A10974" s="307"/>
    </row>
    <row r="10975" ht="14.25" customHeight="1">
      <c r="A10975" s="307"/>
    </row>
    <row r="10976" ht="14.25" customHeight="1">
      <c r="A10976" s="307"/>
    </row>
    <row r="10977" ht="14.25" customHeight="1">
      <c r="A10977" s="307"/>
    </row>
    <row r="10978" ht="14.25" customHeight="1">
      <c r="A10978" s="307"/>
    </row>
    <row r="10979" ht="14.25" customHeight="1">
      <c r="A10979" s="307"/>
    </row>
    <row r="10980" ht="14.25" customHeight="1">
      <c r="A10980" s="307"/>
    </row>
    <row r="10981" ht="14.25" customHeight="1">
      <c r="A10981" s="307"/>
    </row>
    <row r="10982" ht="14.25" customHeight="1">
      <c r="A10982" s="307"/>
    </row>
    <row r="10983" ht="14.25" customHeight="1">
      <c r="A10983" s="307"/>
    </row>
    <row r="10984" ht="14.25" customHeight="1">
      <c r="A10984" s="307"/>
    </row>
    <row r="10985" ht="14.25" customHeight="1">
      <c r="A10985" s="307"/>
    </row>
    <row r="10986" ht="14.25" customHeight="1">
      <c r="A10986" s="307"/>
    </row>
    <row r="10987" ht="14.25" customHeight="1">
      <c r="A10987" s="307"/>
    </row>
    <row r="10988" ht="14.25" customHeight="1">
      <c r="A10988" s="307"/>
    </row>
    <row r="10989" ht="14.25" customHeight="1">
      <c r="A10989" s="307"/>
    </row>
    <row r="10990" ht="14.25" customHeight="1">
      <c r="A10990" s="307"/>
    </row>
    <row r="10991" ht="14.25" customHeight="1">
      <c r="A10991" s="307"/>
    </row>
    <row r="10992" ht="14.25" customHeight="1">
      <c r="A10992" s="307"/>
    </row>
    <row r="10993" ht="14.25" customHeight="1">
      <c r="A10993" s="307"/>
    </row>
    <row r="10994" ht="14.25" customHeight="1">
      <c r="A10994" s="307"/>
    </row>
    <row r="10995" ht="14.25" customHeight="1">
      <c r="A10995" s="307"/>
    </row>
    <row r="10996" ht="14.25" customHeight="1">
      <c r="A10996" s="307"/>
    </row>
    <row r="10997" ht="14.25" customHeight="1">
      <c r="A10997" s="307"/>
    </row>
    <row r="10998" ht="14.25" customHeight="1">
      <c r="A10998" s="307"/>
    </row>
    <row r="10999" ht="14.25" customHeight="1">
      <c r="A10999" s="307"/>
    </row>
    <row r="11000" ht="14.25" customHeight="1">
      <c r="A11000" s="307"/>
    </row>
    <row r="11001" ht="14.25" customHeight="1">
      <c r="A11001" s="307"/>
    </row>
    <row r="11002" ht="14.25" customHeight="1">
      <c r="A11002" s="307"/>
    </row>
    <row r="11003" ht="14.25" customHeight="1">
      <c r="A11003" s="307"/>
    </row>
    <row r="11004" ht="14.25" customHeight="1">
      <c r="A11004" s="307"/>
    </row>
    <row r="11005" ht="14.25" customHeight="1">
      <c r="A11005" s="307"/>
    </row>
    <row r="11006" ht="14.25" customHeight="1">
      <c r="A11006" s="307"/>
    </row>
    <row r="11007" ht="14.25" customHeight="1">
      <c r="A11007" s="307"/>
    </row>
    <row r="11008" ht="14.25" customHeight="1">
      <c r="A11008" s="307"/>
    </row>
    <row r="11009" ht="14.25" customHeight="1">
      <c r="A11009" s="307"/>
    </row>
    <row r="11010" ht="14.25" customHeight="1">
      <c r="A11010" s="307"/>
    </row>
    <row r="11011" ht="14.25" customHeight="1">
      <c r="A11011" s="307"/>
    </row>
    <row r="11012" ht="14.25" customHeight="1">
      <c r="A11012" s="307"/>
    </row>
    <row r="11013" ht="14.25" customHeight="1">
      <c r="A11013" s="307"/>
    </row>
    <row r="11014" ht="14.25" customHeight="1">
      <c r="A11014" s="307"/>
    </row>
    <row r="11015" ht="14.25" customHeight="1">
      <c r="A11015" s="307"/>
    </row>
    <row r="11016" ht="14.25" customHeight="1">
      <c r="A11016" s="307"/>
    </row>
    <row r="11017" ht="14.25" customHeight="1">
      <c r="A11017" s="307"/>
    </row>
    <row r="11018" ht="14.25" customHeight="1">
      <c r="A11018" s="307"/>
    </row>
    <row r="11019" ht="14.25" customHeight="1">
      <c r="A11019" s="307"/>
    </row>
    <row r="11020" ht="14.25" customHeight="1">
      <c r="A11020" s="307"/>
    </row>
    <row r="11021" ht="14.25" customHeight="1">
      <c r="A11021" s="307"/>
    </row>
    <row r="11022" ht="14.25" customHeight="1">
      <c r="A11022" s="307"/>
    </row>
    <row r="11023" ht="14.25" customHeight="1">
      <c r="A11023" s="307"/>
    </row>
    <row r="11024" ht="14.25" customHeight="1">
      <c r="A11024" s="307"/>
    </row>
    <row r="11025" ht="14.25" customHeight="1">
      <c r="A11025" s="307"/>
    </row>
    <row r="11026" ht="14.25" customHeight="1">
      <c r="A11026" s="307"/>
    </row>
    <row r="11027" ht="14.25" customHeight="1">
      <c r="A11027" s="307"/>
    </row>
    <row r="11028" ht="14.25" customHeight="1">
      <c r="A11028" s="307"/>
    </row>
    <row r="11029" ht="14.25" customHeight="1">
      <c r="A11029" s="307"/>
    </row>
    <row r="11030" ht="14.25" customHeight="1">
      <c r="A11030" s="307"/>
    </row>
    <row r="11031" ht="14.25" customHeight="1">
      <c r="A11031" s="307"/>
    </row>
    <row r="11032" ht="14.25" customHeight="1">
      <c r="A11032" s="307"/>
    </row>
    <row r="11033" ht="14.25" customHeight="1">
      <c r="A11033" s="307"/>
    </row>
    <row r="11034" ht="14.25" customHeight="1">
      <c r="A11034" s="307"/>
    </row>
    <row r="11035" ht="14.25" customHeight="1">
      <c r="A11035" s="307"/>
    </row>
    <row r="11036" ht="14.25" customHeight="1">
      <c r="A11036" s="307"/>
    </row>
    <row r="11037" ht="14.25" customHeight="1">
      <c r="A11037" s="307"/>
    </row>
    <row r="11038" ht="14.25" customHeight="1">
      <c r="A11038" s="307"/>
    </row>
    <row r="11039" ht="14.25" customHeight="1">
      <c r="A11039" s="307"/>
    </row>
    <row r="11040" ht="14.25" customHeight="1">
      <c r="A11040" s="307"/>
    </row>
    <row r="11041" ht="14.25" customHeight="1">
      <c r="A11041" s="307"/>
    </row>
    <row r="11042" ht="14.25" customHeight="1">
      <c r="A11042" s="307"/>
    </row>
    <row r="11043" ht="14.25" customHeight="1">
      <c r="A11043" s="307"/>
    </row>
    <row r="11044" ht="14.25" customHeight="1">
      <c r="A11044" s="307"/>
    </row>
    <row r="11045" ht="14.25" customHeight="1">
      <c r="A11045" s="307"/>
    </row>
    <row r="11046" ht="14.25" customHeight="1">
      <c r="A11046" s="307"/>
    </row>
    <row r="11047" ht="14.25" customHeight="1">
      <c r="A11047" s="307"/>
    </row>
    <row r="11048" ht="14.25" customHeight="1">
      <c r="A11048" s="307"/>
    </row>
    <row r="11049" ht="14.25" customHeight="1">
      <c r="A11049" s="307"/>
    </row>
    <row r="11050" ht="14.25" customHeight="1">
      <c r="A11050" s="307"/>
    </row>
    <row r="11051" ht="14.25" customHeight="1">
      <c r="A11051" s="307"/>
    </row>
    <row r="11052" ht="14.25" customHeight="1">
      <c r="A11052" s="307"/>
    </row>
    <row r="11053" ht="14.25" customHeight="1">
      <c r="A11053" s="307"/>
    </row>
    <row r="11054" ht="14.25" customHeight="1">
      <c r="A11054" s="307"/>
    </row>
    <row r="11055" ht="14.25" customHeight="1">
      <c r="A11055" s="307"/>
    </row>
    <row r="11056" ht="14.25" customHeight="1">
      <c r="A11056" s="307"/>
    </row>
    <row r="11057" ht="14.25" customHeight="1">
      <c r="A11057" s="307"/>
    </row>
    <row r="11058" ht="14.25" customHeight="1">
      <c r="A11058" s="307"/>
    </row>
    <row r="11059" ht="14.25" customHeight="1">
      <c r="A11059" s="307"/>
    </row>
    <row r="11060" ht="14.25" customHeight="1">
      <c r="A11060" s="307"/>
    </row>
    <row r="11061" ht="14.25" customHeight="1">
      <c r="A11061" s="307"/>
    </row>
    <row r="11062" ht="14.25" customHeight="1">
      <c r="A11062" s="307"/>
    </row>
    <row r="11063" ht="14.25" customHeight="1">
      <c r="A11063" s="307"/>
    </row>
    <row r="11064" ht="14.25" customHeight="1">
      <c r="A11064" s="307"/>
    </row>
    <row r="11065" ht="14.25" customHeight="1">
      <c r="A11065" s="307"/>
    </row>
    <row r="11066" ht="14.25" customHeight="1">
      <c r="A11066" s="307"/>
    </row>
    <row r="11067" ht="14.25" customHeight="1">
      <c r="A11067" s="307"/>
    </row>
    <row r="11068" ht="14.25" customHeight="1">
      <c r="A11068" s="307"/>
    </row>
    <row r="11069" ht="14.25" customHeight="1">
      <c r="A11069" s="307"/>
    </row>
    <row r="11070" ht="14.25" customHeight="1">
      <c r="A11070" s="307"/>
    </row>
    <row r="11071" ht="14.25" customHeight="1">
      <c r="A11071" s="307"/>
    </row>
    <row r="11072" ht="14.25" customHeight="1">
      <c r="A11072" s="307"/>
    </row>
    <row r="11073" ht="14.25" customHeight="1">
      <c r="A11073" s="307"/>
    </row>
    <row r="11074" ht="14.25" customHeight="1">
      <c r="A11074" s="307"/>
    </row>
    <row r="11075" ht="14.25" customHeight="1">
      <c r="A11075" s="307"/>
    </row>
    <row r="11076" ht="14.25" customHeight="1">
      <c r="A11076" s="307"/>
    </row>
    <row r="11077" ht="14.25" customHeight="1">
      <c r="A11077" s="307"/>
    </row>
    <row r="11078" ht="14.25" customHeight="1">
      <c r="A11078" s="307"/>
    </row>
    <row r="11079" ht="14.25" customHeight="1">
      <c r="A11079" s="307"/>
    </row>
    <row r="11080" ht="14.25" customHeight="1">
      <c r="A11080" s="307"/>
    </row>
    <row r="11081" ht="14.25" customHeight="1">
      <c r="A11081" s="307"/>
    </row>
    <row r="11082" ht="14.25" customHeight="1">
      <c r="A11082" s="307"/>
    </row>
    <row r="11083" ht="14.25" customHeight="1">
      <c r="A11083" s="307"/>
    </row>
    <row r="11084" ht="14.25" customHeight="1">
      <c r="A11084" s="307"/>
    </row>
    <row r="11085" ht="14.25" customHeight="1">
      <c r="A11085" s="307"/>
    </row>
    <row r="11086" ht="14.25" customHeight="1">
      <c r="A11086" s="307"/>
    </row>
    <row r="11087" ht="14.25" customHeight="1">
      <c r="A11087" s="307"/>
    </row>
    <row r="11088" ht="14.25" customHeight="1">
      <c r="A11088" s="307"/>
    </row>
    <row r="11089" ht="14.25" customHeight="1">
      <c r="A11089" s="307"/>
    </row>
    <row r="11090" ht="14.25" customHeight="1">
      <c r="A11090" s="307"/>
    </row>
    <row r="11091" ht="14.25" customHeight="1">
      <c r="A11091" s="307"/>
    </row>
    <row r="11092" ht="14.25" customHeight="1">
      <c r="A11092" s="307"/>
    </row>
    <row r="11093" ht="14.25" customHeight="1">
      <c r="A11093" s="307"/>
    </row>
    <row r="11094" ht="14.25" customHeight="1">
      <c r="A11094" s="307"/>
    </row>
    <row r="11095" ht="14.25" customHeight="1">
      <c r="A11095" s="307"/>
    </row>
    <row r="11096" ht="14.25" customHeight="1">
      <c r="A11096" s="307"/>
    </row>
    <row r="11097" ht="14.25" customHeight="1">
      <c r="A11097" s="307"/>
    </row>
    <row r="11098" ht="14.25" customHeight="1">
      <c r="A11098" s="307"/>
    </row>
    <row r="11099" ht="14.25" customHeight="1">
      <c r="A11099" s="307"/>
    </row>
    <row r="11100" ht="14.25" customHeight="1">
      <c r="A11100" s="307"/>
    </row>
    <row r="11101" ht="14.25" customHeight="1">
      <c r="A11101" s="307"/>
    </row>
    <row r="11102" ht="14.25" customHeight="1">
      <c r="A11102" s="307"/>
    </row>
    <row r="11103" ht="14.25" customHeight="1">
      <c r="A11103" s="307"/>
    </row>
    <row r="11104" ht="14.25" customHeight="1">
      <c r="A11104" s="307"/>
    </row>
    <row r="11105" ht="14.25" customHeight="1">
      <c r="A11105" s="307"/>
    </row>
    <row r="11106" ht="14.25" customHeight="1">
      <c r="A11106" s="307"/>
    </row>
    <row r="11107" ht="14.25" customHeight="1">
      <c r="A11107" s="307"/>
    </row>
    <row r="11108" ht="14.25" customHeight="1">
      <c r="A11108" s="307"/>
    </row>
    <row r="11109" ht="14.25" customHeight="1">
      <c r="A11109" s="307"/>
    </row>
    <row r="11110" ht="14.25" customHeight="1">
      <c r="A11110" s="307"/>
    </row>
    <row r="11111" ht="14.25" customHeight="1">
      <c r="A11111" s="307"/>
    </row>
    <row r="11112" ht="14.25" customHeight="1">
      <c r="A11112" s="307"/>
    </row>
    <row r="11113" ht="14.25" customHeight="1">
      <c r="A11113" s="307"/>
    </row>
    <row r="11114" ht="14.25" customHeight="1">
      <c r="A11114" s="307"/>
    </row>
    <row r="11115" ht="14.25" customHeight="1">
      <c r="A11115" s="307"/>
    </row>
    <row r="11116" ht="14.25" customHeight="1">
      <c r="A11116" s="307"/>
    </row>
    <row r="11117" ht="14.25" customHeight="1">
      <c r="A11117" s="307"/>
    </row>
    <row r="11118" ht="14.25" customHeight="1">
      <c r="A11118" s="307"/>
    </row>
    <row r="11119" ht="14.25" customHeight="1">
      <c r="A11119" s="307"/>
    </row>
    <row r="11120" ht="14.25" customHeight="1">
      <c r="A11120" s="307"/>
    </row>
    <row r="11121" ht="14.25" customHeight="1">
      <c r="A11121" s="307"/>
    </row>
    <row r="11122" ht="14.25" customHeight="1">
      <c r="A11122" s="307"/>
    </row>
    <row r="11123" ht="14.25" customHeight="1">
      <c r="A11123" s="307"/>
    </row>
    <row r="11124" ht="14.25" customHeight="1">
      <c r="A11124" s="307"/>
    </row>
    <row r="11125" ht="14.25" customHeight="1">
      <c r="A11125" s="307"/>
    </row>
    <row r="11126" ht="14.25" customHeight="1">
      <c r="A11126" s="307"/>
    </row>
    <row r="11127" ht="14.25" customHeight="1">
      <c r="A11127" s="307"/>
    </row>
    <row r="11128" ht="14.25" customHeight="1">
      <c r="A11128" s="307"/>
    </row>
    <row r="11129" ht="14.25" customHeight="1">
      <c r="A11129" s="307"/>
    </row>
    <row r="11130" ht="14.25" customHeight="1">
      <c r="A11130" s="307"/>
    </row>
    <row r="11131" ht="14.25" customHeight="1">
      <c r="A11131" s="307"/>
    </row>
    <row r="11132" ht="14.25" customHeight="1">
      <c r="A11132" s="307"/>
    </row>
    <row r="11133" ht="14.25" customHeight="1">
      <c r="A11133" s="307"/>
    </row>
    <row r="11134" ht="14.25" customHeight="1">
      <c r="A11134" s="307"/>
    </row>
    <row r="11135" ht="14.25" customHeight="1">
      <c r="A11135" s="307"/>
    </row>
    <row r="11136" ht="14.25" customHeight="1">
      <c r="A11136" s="307"/>
    </row>
    <row r="11137" ht="14.25" customHeight="1">
      <c r="A11137" s="307"/>
    </row>
    <row r="11138" ht="14.25" customHeight="1">
      <c r="A11138" s="307"/>
    </row>
    <row r="11139" ht="14.25" customHeight="1">
      <c r="A11139" s="307"/>
    </row>
    <row r="11140" ht="14.25" customHeight="1">
      <c r="A11140" s="307"/>
    </row>
    <row r="11141" ht="14.25" customHeight="1">
      <c r="A11141" s="307"/>
    </row>
    <row r="11142" ht="14.25" customHeight="1">
      <c r="A11142" s="307"/>
    </row>
    <row r="11143" ht="14.25" customHeight="1">
      <c r="A11143" s="307"/>
    </row>
    <row r="11144" ht="14.25" customHeight="1">
      <c r="A11144" s="307"/>
    </row>
    <row r="11145" ht="14.25" customHeight="1">
      <c r="A11145" s="307"/>
    </row>
    <row r="11146" ht="14.25" customHeight="1">
      <c r="A11146" s="307"/>
    </row>
    <row r="11147" ht="14.25" customHeight="1">
      <c r="A11147" s="307"/>
    </row>
    <row r="11148" ht="14.25" customHeight="1">
      <c r="A11148" s="307"/>
    </row>
    <row r="11149" ht="14.25" customHeight="1">
      <c r="A11149" s="307"/>
    </row>
    <row r="11150" ht="14.25" customHeight="1">
      <c r="A11150" s="307"/>
    </row>
    <row r="11151" ht="14.25" customHeight="1">
      <c r="A11151" s="307"/>
    </row>
    <row r="11152" ht="14.25" customHeight="1">
      <c r="A11152" s="307"/>
    </row>
    <row r="11153" ht="14.25" customHeight="1">
      <c r="A11153" s="307"/>
    </row>
    <row r="11154" ht="14.25" customHeight="1">
      <c r="A11154" s="307"/>
    </row>
    <row r="11155" ht="14.25" customHeight="1">
      <c r="A11155" s="307"/>
    </row>
    <row r="11156" ht="14.25" customHeight="1">
      <c r="A11156" s="307"/>
    </row>
    <row r="11157" ht="14.25" customHeight="1">
      <c r="A11157" s="307"/>
    </row>
    <row r="11158" ht="14.25" customHeight="1">
      <c r="A11158" s="307"/>
    </row>
    <row r="11159" ht="14.25" customHeight="1">
      <c r="A11159" s="307"/>
    </row>
    <row r="11160" ht="14.25" customHeight="1">
      <c r="A11160" s="307"/>
    </row>
    <row r="11161" ht="14.25" customHeight="1">
      <c r="A11161" s="307"/>
    </row>
    <row r="11162" ht="14.25" customHeight="1">
      <c r="A11162" s="307"/>
    </row>
    <row r="11163" ht="14.25" customHeight="1">
      <c r="A11163" s="307"/>
    </row>
    <row r="11164" ht="14.25" customHeight="1">
      <c r="A11164" s="307"/>
    </row>
    <row r="11165" ht="14.25" customHeight="1">
      <c r="A11165" s="307"/>
    </row>
    <row r="11166" ht="14.25" customHeight="1">
      <c r="A11166" s="307"/>
    </row>
    <row r="11167" ht="14.25" customHeight="1">
      <c r="A11167" s="307"/>
    </row>
    <row r="11168" ht="14.25" customHeight="1">
      <c r="A11168" s="307"/>
    </row>
    <row r="11169" ht="14.25" customHeight="1">
      <c r="A11169" s="307"/>
    </row>
    <row r="11170" ht="14.25" customHeight="1">
      <c r="A11170" s="307"/>
    </row>
    <row r="11171" ht="14.25" customHeight="1">
      <c r="A11171" s="307"/>
    </row>
    <row r="11172" ht="14.25" customHeight="1">
      <c r="A11172" s="307"/>
    </row>
    <row r="11173" ht="14.25" customHeight="1">
      <c r="A11173" s="307"/>
    </row>
    <row r="11174" ht="14.25" customHeight="1">
      <c r="A11174" s="307"/>
    </row>
    <row r="11175" ht="14.25" customHeight="1">
      <c r="A11175" s="307"/>
    </row>
    <row r="11176" ht="14.25" customHeight="1">
      <c r="A11176" s="307"/>
    </row>
    <row r="11177" ht="14.25" customHeight="1">
      <c r="A11177" s="307"/>
    </row>
    <row r="11178" ht="14.25" customHeight="1">
      <c r="A11178" s="307"/>
    </row>
    <row r="11179" ht="14.25" customHeight="1">
      <c r="A11179" s="307"/>
    </row>
    <row r="11180" ht="14.25" customHeight="1">
      <c r="A11180" s="307"/>
    </row>
    <row r="11181" ht="14.25" customHeight="1">
      <c r="A11181" s="307"/>
    </row>
    <row r="11182" ht="14.25" customHeight="1">
      <c r="A11182" s="307"/>
    </row>
    <row r="11183" ht="14.25" customHeight="1">
      <c r="A11183" s="307"/>
    </row>
    <row r="11184" ht="14.25" customHeight="1">
      <c r="A11184" s="307"/>
    </row>
    <row r="11185" ht="14.25" customHeight="1">
      <c r="A11185" s="307"/>
    </row>
    <row r="11186" ht="14.25" customHeight="1">
      <c r="A11186" s="307"/>
    </row>
    <row r="11187" ht="14.25" customHeight="1">
      <c r="A11187" s="307"/>
    </row>
    <row r="11188" ht="14.25" customHeight="1">
      <c r="A11188" s="307"/>
    </row>
    <row r="11189" ht="14.25" customHeight="1">
      <c r="A11189" s="307"/>
    </row>
    <row r="11190" ht="14.25" customHeight="1">
      <c r="A11190" s="307"/>
    </row>
    <row r="11191" ht="14.25" customHeight="1">
      <c r="A11191" s="307"/>
    </row>
    <row r="11192" ht="14.25" customHeight="1">
      <c r="A11192" s="307"/>
    </row>
    <row r="11193" ht="14.25" customHeight="1">
      <c r="A11193" s="307"/>
    </row>
    <row r="11194" ht="14.25" customHeight="1">
      <c r="A11194" s="307"/>
    </row>
    <row r="11195" ht="14.25" customHeight="1">
      <c r="A11195" s="307"/>
    </row>
    <row r="11196" ht="14.25" customHeight="1">
      <c r="A11196" s="307"/>
    </row>
    <row r="11197" ht="14.25" customHeight="1">
      <c r="A11197" s="307"/>
    </row>
    <row r="11198" ht="14.25" customHeight="1">
      <c r="A11198" s="307"/>
    </row>
    <row r="11199" ht="14.25" customHeight="1">
      <c r="A11199" s="307"/>
    </row>
    <row r="11200" ht="14.25" customHeight="1">
      <c r="A11200" s="307"/>
    </row>
    <row r="11201" ht="14.25" customHeight="1">
      <c r="A11201" s="307"/>
    </row>
    <row r="11202" ht="14.25" customHeight="1">
      <c r="A11202" s="307"/>
    </row>
    <row r="11203" ht="14.25" customHeight="1">
      <c r="A11203" s="307"/>
    </row>
    <row r="11204" ht="14.25" customHeight="1">
      <c r="A11204" s="307"/>
    </row>
    <row r="11205" ht="14.25" customHeight="1">
      <c r="A11205" s="307"/>
    </row>
    <row r="11206" ht="14.25" customHeight="1">
      <c r="A11206" s="307"/>
    </row>
    <row r="11207" ht="14.25" customHeight="1">
      <c r="A11207" s="307"/>
    </row>
    <row r="11208" ht="14.25" customHeight="1">
      <c r="A11208" s="307"/>
    </row>
    <row r="11209" ht="14.25" customHeight="1">
      <c r="A11209" s="307"/>
    </row>
    <row r="11210" ht="14.25" customHeight="1">
      <c r="A11210" s="307"/>
    </row>
    <row r="11211" ht="14.25" customHeight="1">
      <c r="A11211" s="307"/>
    </row>
    <row r="11212" ht="14.25" customHeight="1">
      <c r="A11212" s="307"/>
    </row>
    <row r="11213" ht="14.25" customHeight="1">
      <c r="A11213" s="307"/>
    </row>
    <row r="11214" ht="14.25" customHeight="1">
      <c r="A11214" s="307"/>
    </row>
    <row r="11215" ht="14.25" customHeight="1">
      <c r="A11215" s="307"/>
    </row>
    <row r="11216" ht="14.25" customHeight="1">
      <c r="A11216" s="307"/>
    </row>
    <row r="11217" ht="14.25" customHeight="1">
      <c r="A11217" s="307"/>
    </row>
    <row r="11218" ht="14.25" customHeight="1">
      <c r="A11218" s="307"/>
    </row>
    <row r="11219" ht="14.25" customHeight="1">
      <c r="A11219" s="307"/>
    </row>
    <row r="11220" ht="14.25" customHeight="1">
      <c r="A11220" s="307"/>
    </row>
    <row r="11221" ht="14.25" customHeight="1">
      <c r="A11221" s="307"/>
    </row>
    <row r="11222" ht="14.25" customHeight="1">
      <c r="A11222" s="307"/>
    </row>
    <row r="11223" ht="14.25" customHeight="1">
      <c r="A11223" s="307"/>
    </row>
    <row r="11224" ht="14.25" customHeight="1">
      <c r="A11224" s="307"/>
    </row>
    <row r="11225" ht="14.25" customHeight="1">
      <c r="A11225" s="307"/>
    </row>
    <row r="11226" ht="14.25" customHeight="1">
      <c r="A11226" s="307"/>
    </row>
    <row r="11227" ht="14.25" customHeight="1">
      <c r="A11227" s="307"/>
    </row>
    <row r="11228" ht="14.25" customHeight="1">
      <c r="A11228" s="307"/>
    </row>
    <row r="11229" ht="14.25" customHeight="1">
      <c r="A11229" s="307"/>
    </row>
    <row r="11230" ht="14.25" customHeight="1">
      <c r="A11230" s="307"/>
    </row>
    <row r="11231" ht="14.25" customHeight="1">
      <c r="A11231" s="307"/>
    </row>
    <row r="11232" ht="14.25" customHeight="1">
      <c r="A11232" s="307"/>
    </row>
    <row r="11233" ht="14.25" customHeight="1">
      <c r="A11233" s="307"/>
    </row>
    <row r="11234" ht="14.25" customHeight="1">
      <c r="A11234" s="307"/>
    </row>
    <row r="11235" ht="14.25" customHeight="1">
      <c r="A11235" s="307"/>
    </row>
    <row r="11236" ht="14.25" customHeight="1">
      <c r="A11236" s="307"/>
    </row>
    <row r="11237" ht="14.25" customHeight="1">
      <c r="A11237" s="307"/>
    </row>
    <row r="11238" ht="14.25" customHeight="1">
      <c r="A11238" s="307"/>
    </row>
    <row r="11239" ht="14.25" customHeight="1">
      <c r="A11239" s="307"/>
    </row>
    <row r="11240" ht="14.25" customHeight="1">
      <c r="A11240" s="307"/>
    </row>
    <row r="11241" ht="14.25" customHeight="1">
      <c r="A11241" s="307"/>
    </row>
    <row r="11242" ht="14.25" customHeight="1">
      <c r="A11242" s="307"/>
    </row>
    <row r="11243" ht="14.25" customHeight="1">
      <c r="A11243" s="307"/>
    </row>
    <row r="11244" ht="14.25" customHeight="1">
      <c r="A11244" s="307"/>
    </row>
    <row r="11245" ht="14.25" customHeight="1">
      <c r="A11245" s="307"/>
    </row>
    <row r="11246" ht="14.25" customHeight="1">
      <c r="A11246" s="307"/>
    </row>
    <row r="11247" ht="14.25" customHeight="1">
      <c r="A11247" s="307"/>
    </row>
    <row r="11248" ht="14.25" customHeight="1">
      <c r="A11248" s="307"/>
    </row>
    <row r="11249" ht="14.25" customHeight="1">
      <c r="A11249" s="307"/>
    </row>
    <row r="11250" ht="14.25" customHeight="1">
      <c r="A11250" s="307"/>
    </row>
    <row r="11251" ht="14.25" customHeight="1">
      <c r="A11251" s="307"/>
    </row>
    <row r="11252" ht="14.25" customHeight="1">
      <c r="A11252" s="307"/>
    </row>
    <row r="11253" ht="14.25" customHeight="1">
      <c r="A11253" s="307"/>
    </row>
    <row r="11254" ht="14.25" customHeight="1">
      <c r="A11254" s="307"/>
    </row>
    <row r="11255" ht="14.25" customHeight="1">
      <c r="A11255" s="307"/>
    </row>
    <row r="11256" ht="14.25" customHeight="1">
      <c r="A11256" s="307"/>
    </row>
    <row r="11257" ht="14.25" customHeight="1">
      <c r="A11257" s="307"/>
    </row>
    <row r="11258" ht="14.25" customHeight="1">
      <c r="A11258" s="307"/>
    </row>
    <row r="11259" ht="14.25" customHeight="1">
      <c r="A11259" s="307"/>
    </row>
    <row r="11260" ht="14.25" customHeight="1">
      <c r="A11260" s="307"/>
    </row>
    <row r="11261" ht="14.25" customHeight="1">
      <c r="A11261" s="307"/>
    </row>
    <row r="11262" ht="14.25" customHeight="1">
      <c r="A11262" s="307"/>
    </row>
    <row r="11263" ht="14.25" customHeight="1">
      <c r="A11263" s="307"/>
    </row>
    <row r="11264" ht="14.25" customHeight="1">
      <c r="A11264" s="307"/>
    </row>
    <row r="11265" ht="14.25" customHeight="1">
      <c r="A11265" s="307"/>
    </row>
    <row r="11266" ht="14.25" customHeight="1">
      <c r="A11266" s="307"/>
    </row>
    <row r="11267" ht="14.25" customHeight="1">
      <c r="A11267" s="307"/>
    </row>
    <row r="11268" ht="14.25" customHeight="1">
      <c r="A11268" s="307"/>
    </row>
    <row r="11269" ht="14.25" customHeight="1">
      <c r="A11269" s="307"/>
    </row>
    <row r="11270" ht="14.25" customHeight="1">
      <c r="A11270" s="307"/>
    </row>
    <row r="11271" ht="14.25" customHeight="1">
      <c r="A11271" s="307"/>
    </row>
    <row r="11272" ht="14.25" customHeight="1">
      <c r="A11272" s="307"/>
    </row>
    <row r="11273" ht="14.25" customHeight="1">
      <c r="A11273" s="307"/>
    </row>
    <row r="11274" ht="14.25" customHeight="1">
      <c r="A11274" s="307"/>
    </row>
    <row r="11275" ht="14.25" customHeight="1">
      <c r="A11275" s="307"/>
    </row>
    <row r="11276" ht="14.25" customHeight="1">
      <c r="A11276" s="307"/>
    </row>
    <row r="11277" ht="14.25" customHeight="1">
      <c r="A11277" s="307"/>
    </row>
    <row r="11278" ht="14.25" customHeight="1">
      <c r="A11278" s="307"/>
    </row>
    <row r="11279" ht="14.25" customHeight="1">
      <c r="A11279" s="307"/>
    </row>
    <row r="11280" ht="14.25" customHeight="1">
      <c r="A11280" s="307"/>
    </row>
    <row r="11281" ht="14.25" customHeight="1">
      <c r="A11281" s="307"/>
    </row>
    <row r="11282" ht="14.25" customHeight="1">
      <c r="A11282" s="307"/>
    </row>
    <row r="11283" ht="14.25" customHeight="1">
      <c r="A11283" s="307"/>
    </row>
    <row r="11284" ht="14.25" customHeight="1">
      <c r="A11284" s="307"/>
    </row>
    <row r="11285" ht="14.25" customHeight="1">
      <c r="A11285" s="307"/>
    </row>
    <row r="11286" ht="14.25" customHeight="1">
      <c r="A11286" s="307"/>
    </row>
    <row r="11287" ht="14.25" customHeight="1">
      <c r="A11287" s="307"/>
    </row>
    <row r="11288" ht="14.25" customHeight="1">
      <c r="A11288" s="307"/>
    </row>
    <row r="11289" ht="14.25" customHeight="1">
      <c r="A11289" s="307"/>
    </row>
    <row r="11290" ht="14.25" customHeight="1">
      <c r="A11290" s="307"/>
    </row>
    <row r="11291" ht="14.25" customHeight="1">
      <c r="A11291" s="307"/>
    </row>
    <row r="11292" ht="14.25" customHeight="1">
      <c r="A11292" s="307"/>
    </row>
    <row r="11293" ht="14.25" customHeight="1">
      <c r="A11293" s="307"/>
    </row>
    <row r="11294" ht="14.25" customHeight="1">
      <c r="A11294" s="307"/>
    </row>
    <row r="11295" ht="14.25" customHeight="1">
      <c r="A11295" s="307"/>
    </row>
    <row r="11296" ht="14.25" customHeight="1">
      <c r="A11296" s="307"/>
    </row>
    <row r="11297" ht="14.25" customHeight="1">
      <c r="A11297" s="307"/>
    </row>
    <row r="11298" ht="14.25" customHeight="1">
      <c r="A11298" s="307"/>
    </row>
    <row r="11299" ht="14.25" customHeight="1">
      <c r="A11299" s="307"/>
    </row>
    <row r="11300" ht="14.25" customHeight="1">
      <c r="A11300" s="307"/>
    </row>
    <row r="11301" ht="14.25" customHeight="1">
      <c r="A11301" s="307"/>
    </row>
    <row r="11302" ht="14.25" customHeight="1">
      <c r="A11302" s="307"/>
    </row>
    <row r="11303" ht="14.25" customHeight="1">
      <c r="A11303" s="307"/>
    </row>
    <row r="11304" ht="14.25" customHeight="1">
      <c r="A11304" s="307"/>
    </row>
    <row r="11305" ht="14.25" customHeight="1">
      <c r="A11305" s="307"/>
    </row>
    <row r="11306" ht="14.25" customHeight="1">
      <c r="A11306" s="307"/>
    </row>
    <row r="11307" ht="14.25" customHeight="1">
      <c r="A11307" s="307"/>
    </row>
    <row r="11308" ht="14.25" customHeight="1">
      <c r="A11308" s="307"/>
    </row>
    <row r="11309" ht="14.25" customHeight="1">
      <c r="A11309" s="307"/>
    </row>
    <row r="11310" ht="14.25" customHeight="1">
      <c r="A11310" s="307"/>
    </row>
    <row r="11311" ht="14.25" customHeight="1">
      <c r="A11311" s="307"/>
    </row>
    <row r="11312" ht="14.25" customHeight="1">
      <c r="A11312" s="307"/>
    </row>
    <row r="11313" ht="14.25" customHeight="1">
      <c r="A11313" s="307"/>
    </row>
    <row r="11314" ht="14.25" customHeight="1">
      <c r="A11314" s="307"/>
    </row>
    <row r="11315" ht="14.25" customHeight="1">
      <c r="A11315" s="307"/>
    </row>
    <row r="11316" ht="14.25" customHeight="1">
      <c r="A11316" s="307"/>
    </row>
    <row r="11317" ht="14.25" customHeight="1">
      <c r="A11317" s="307"/>
    </row>
    <row r="11318" ht="14.25" customHeight="1">
      <c r="A11318" s="307"/>
    </row>
    <row r="11319" ht="14.25" customHeight="1">
      <c r="A11319" s="307"/>
    </row>
    <row r="11320" ht="14.25" customHeight="1">
      <c r="A11320" s="307"/>
    </row>
    <row r="11321" ht="14.25" customHeight="1">
      <c r="A11321" s="307"/>
    </row>
    <row r="11322" ht="14.25" customHeight="1">
      <c r="A11322" s="307"/>
    </row>
    <row r="11323" ht="14.25" customHeight="1">
      <c r="A11323" s="307"/>
    </row>
    <row r="11324" ht="14.25" customHeight="1">
      <c r="A11324" s="307"/>
    </row>
    <row r="11325" ht="14.25" customHeight="1">
      <c r="A11325" s="307"/>
    </row>
    <row r="11326" ht="14.25" customHeight="1">
      <c r="A11326" s="307"/>
    </row>
    <row r="11327" ht="14.25" customHeight="1">
      <c r="A11327" s="307"/>
    </row>
    <row r="11328" ht="14.25" customHeight="1">
      <c r="A11328" s="307"/>
    </row>
    <row r="11329" ht="14.25" customHeight="1">
      <c r="A11329" s="307"/>
    </row>
    <row r="11330" ht="14.25" customHeight="1">
      <c r="A11330" s="307"/>
    </row>
    <row r="11331" ht="14.25" customHeight="1">
      <c r="A11331" s="307"/>
    </row>
    <row r="11332" ht="14.25" customHeight="1">
      <c r="A11332" s="307"/>
    </row>
    <row r="11333" ht="14.25" customHeight="1">
      <c r="A11333" s="307"/>
    </row>
    <row r="11334" ht="14.25" customHeight="1">
      <c r="A11334" s="307"/>
    </row>
    <row r="11335" ht="14.25" customHeight="1">
      <c r="A11335" s="307"/>
    </row>
    <row r="11336" ht="14.25" customHeight="1">
      <c r="A11336" s="307"/>
    </row>
    <row r="11337" ht="14.25" customHeight="1">
      <c r="A11337" s="307"/>
    </row>
    <row r="11338" ht="14.25" customHeight="1">
      <c r="A11338" s="307"/>
    </row>
    <row r="11339" ht="14.25" customHeight="1">
      <c r="A11339" s="307"/>
    </row>
    <row r="11340" ht="14.25" customHeight="1">
      <c r="A11340" s="307"/>
    </row>
    <row r="11341" ht="14.25" customHeight="1">
      <c r="A11341" s="307"/>
    </row>
    <row r="11342" ht="14.25" customHeight="1">
      <c r="A11342" s="307"/>
    </row>
    <row r="11343" ht="14.25" customHeight="1">
      <c r="A11343" s="307"/>
    </row>
    <row r="11344" ht="14.25" customHeight="1">
      <c r="A11344" s="307"/>
    </row>
    <row r="11345" ht="14.25" customHeight="1">
      <c r="A11345" s="307"/>
    </row>
    <row r="11346" ht="14.25" customHeight="1">
      <c r="A11346" s="307"/>
    </row>
    <row r="11347" ht="14.25" customHeight="1">
      <c r="A11347" s="307"/>
    </row>
    <row r="11348" ht="14.25" customHeight="1">
      <c r="A11348" s="307"/>
    </row>
    <row r="11349" ht="14.25" customHeight="1">
      <c r="A11349" s="307"/>
    </row>
    <row r="11350" ht="14.25" customHeight="1">
      <c r="A11350" s="307"/>
    </row>
    <row r="11351" ht="14.25" customHeight="1">
      <c r="A11351" s="307"/>
    </row>
    <row r="11352" ht="14.25" customHeight="1">
      <c r="A11352" s="307"/>
    </row>
    <row r="11353" ht="14.25" customHeight="1">
      <c r="A11353" s="307"/>
    </row>
    <row r="11354" ht="14.25" customHeight="1">
      <c r="A11354" s="307"/>
    </row>
    <row r="11355" ht="14.25" customHeight="1">
      <c r="A11355" s="307"/>
    </row>
    <row r="11356" ht="14.25" customHeight="1">
      <c r="A11356" s="307"/>
    </row>
    <row r="11357" ht="14.25" customHeight="1">
      <c r="A11357" s="307"/>
    </row>
    <row r="11358" ht="14.25" customHeight="1">
      <c r="A11358" s="307"/>
    </row>
    <row r="11359" ht="14.25" customHeight="1">
      <c r="A11359" s="307"/>
    </row>
    <row r="11360" ht="14.25" customHeight="1">
      <c r="A11360" s="307"/>
    </row>
    <row r="11361" ht="14.25" customHeight="1">
      <c r="A11361" s="307"/>
    </row>
    <row r="11362" ht="14.25" customHeight="1">
      <c r="A11362" s="307"/>
    </row>
    <row r="11363" ht="14.25" customHeight="1">
      <c r="A11363" s="307"/>
    </row>
    <row r="11364" ht="14.25" customHeight="1">
      <c r="A11364" s="307"/>
    </row>
    <row r="11365" ht="14.25" customHeight="1">
      <c r="A11365" s="307"/>
    </row>
    <row r="11366" ht="14.25" customHeight="1">
      <c r="A11366" s="307"/>
    </row>
    <row r="11367" ht="14.25" customHeight="1">
      <c r="A11367" s="307"/>
    </row>
    <row r="11368" ht="14.25" customHeight="1">
      <c r="A11368" s="307"/>
    </row>
    <row r="11369" ht="14.25" customHeight="1">
      <c r="A11369" s="307"/>
    </row>
    <row r="11370" ht="14.25" customHeight="1">
      <c r="A11370" s="307"/>
    </row>
    <row r="11371" ht="14.25" customHeight="1">
      <c r="A11371" s="307"/>
    </row>
    <row r="11372" ht="14.25" customHeight="1">
      <c r="A11372" s="307"/>
    </row>
    <row r="11373" ht="14.25" customHeight="1">
      <c r="A11373" s="307"/>
    </row>
    <row r="11374" ht="14.25" customHeight="1">
      <c r="A11374" s="307"/>
    </row>
    <row r="11375" ht="14.25" customHeight="1">
      <c r="A11375" s="307"/>
    </row>
    <row r="11376" ht="14.25" customHeight="1">
      <c r="A11376" s="307"/>
    </row>
    <row r="11377" ht="14.25" customHeight="1">
      <c r="A11377" s="307"/>
    </row>
    <row r="11378" ht="14.25" customHeight="1">
      <c r="A11378" s="307"/>
    </row>
    <row r="11379" ht="14.25" customHeight="1">
      <c r="A11379" s="307"/>
    </row>
    <row r="11380" ht="14.25" customHeight="1">
      <c r="A11380" s="307"/>
    </row>
    <row r="11381" ht="14.25" customHeight="1">
      <c r="A11381" s="307"/>
    </row>
    <row r="11382" ht="14.25" customHeight="1">
      <c r="A11382" s="307"/>
    </row>
    <row r="11383" ht="14.25" customHeight="1">
      <c r="A11383" s="307"/>
    </row>
    <row r="11384" ht="14.25" customHeight="1">
      <c r="A11384" s="307"/>
    </row>
    <row r="11385" ht="14.25" customHeight="1">
      <c r="A11385" s="307"/>
    </row>
    <row r="11386" ht="14.25" customHeight="1">
      <c r="A11386" s="307"/>
    </row>
    <row r="11387" ht="14.25" customHeight="1">
      <c r="A11387" s="307"/>
    </row>
    <row r="11388" ht="14.25" customHeight="1">
      <c r="A11388" s="307"/>
    </row>
    <row r="11389" ht="14.25" customHeight="1">
      <c r="A11389" s="307"/>
    </row>
    <row r="11390" ht="14.25" customHeight="1">
      <c r="A11390" s="307"/>
    </row>
    <row r="11391" ht="14.25" customHeight="1">
      <c r="A11391" s="307"/>
    </row>
    <row r="11392" ht="14.25" customHeight="1">
      <c r="A11392" s="307"/>
    </row>
    <row r="11393" ht="14.25" customHeight="1">
      <c r="A11393" s="307"/>
    </row>
    <row r="11394" ht="14.25" customHeight="1">
      <c r="A11394" s="307"/>
    </row>
    <row r="11395" ht="14.25" customHeight="1">
      <c r="A11395" s="307"/>
    </row>
    <row r="11396" ht="14.25" customHeight="1">
      <c r="A11396" s="307"/>
    </row>
    <row r="11397" ht="14.25" customHeight="1">
      <c r="A11397" s="307"/>
    </row>
    <row r="11398" ht="14.25" customHeight="1">
      <c r="A11398" s="307"/>
    </row>
    <row r="11399" ht="14.25" customHeight="1">
      <c r="A11399" s="307"/>
    </row>
    <row r="11400" ht="14.25" customHeight="1">
      <c r="A11400" s="307"/>
    </row>
    <row r="11401" ht="14.25" customHeight="1">
      <c r="A11401" s="307"/>
    </row>
    <row r="11402" ht="14.25" customHeight="1">
      <c r="A11402" s="307"/>
    </row>
    <row r="11403" ht="14.25" customHeight="1">
      <c r="A11403" s="307"/>
    </row>
    <row r="11404" ht="14.25" customHeight="1">
      <c r="A11404" s="307"/>
    </row>
    <row r="11405" ht="14.25" customHeight="1">
      <c r="A11405" s="307"/>
    </row>
    <row r="11406" ht="14.25" customHeight="1">
      <c r="A11406" s="307"/>
    </row>
    <row r="11407" ht="14.25" customHeight="1">
      <c r="A11407" s="307"/>
    </row>
    <row r="11408" ht="14.25" customHeight="1">
      <c r="A11408" s="307"/>
    </row>
    <row r="11409" ht="14.25" customHeight="1">
      <c r="A11409" s="307"/>
    </row>
    <row r="11410" ht="14.25" customHeight="1">
      <c r="A11410" s="307"/>
    </row>
    <row r="11411" ht="14.25" customHeight="1">
      <c r="A11411" s="307"/>
    </row>
    <row r="11412" ht="14.25" customHeight="1">
      <c r="A11412" s="307"/>
    </row>
    <row r="11413" ht="14.25" customHeight="1">
      <c r="A11413" s="307"/>
    </row>
    <row r="11414" ht="14.25" customHeight="1">
      <c r="A11414" s="307"/>
    </row>
    <row r="11415" ht="14.25" customHeight="1">
      <c r="A11415" s="307"/>
    </row>
    <row r="11416" ht="14.25" customHeight="1">
      <c r="A11416" s="307"/>
    </row>
    <row r="11417" ht="14.25" customHeight="1">
      <c r="A11417" s="307"/>
    </row>
    <row r="11418" ht="14.25" customHeight="1">
      <c r="A11418" s="307"/>
    </row>
    <row r="11419" ht="14.25" customHeight="1">
      <c r="A11419" s="307"/>
    </row>
    <row r="11420" ht="14.25" customHeight="1">
      <c r="A11420" s="307"/>
    </row>
    <row r="11421" ht="14.25" customHeight="1">
      <c r="A11421" s="307"/>
    </row>
    <row r="11422" ht="14.25" customHeight="1">
      <c r="A11422" s="307"/>
    </row>
    <row r="11423" ht="14.25" customHeight="1">
      <c r="A11423" s="307"/>
    </row>
    <row r="11424" ht="14.25" customHeight="1">
      <c r="A11424" s="307"/>
    </row>
    <row r="11425" ht="14.25" customHeight="1">
      <c r="A11425" s="307"/>
    </row>
    <row r="11426" ht="14.25" customHeight="1">
      <c r="A11426" s="307"/>
    </row>
    <row r="11427" ht="14.25" customHeight="1">
      <c r="A11427" s="307"/>
    </row>
    <row r="11428" ht="14.25" customHeight="1">
      <c r="A11428" s="307"/>
    </row>
    <row r="11429" ht="14.25" customHeight="1">
      <c r="A11429" s="307"/>
    </row>
    <row r="11430" ht="14.25" customHeight="1">
      <c r="A11430" s="307"/>
    </row>
    <row r="11431" ht="14.25" customHeight="1">
      <c r="A11431" s="307"/>
    </row>
    <row r="11432" ht="14.25" customHeight="1">
      <c r="A11432" s="307"/>
    </row>
    <row r="11433" ht="14.25" customHeight="1">
      <c r="A11433" s="307"/>
    </row>
    <row r="11434" ht="14.25" customHeight="1">
      <c r="A11434" s="307"/>
    </row>
    <row r="11435" ht="14.25" customHeight="1">
      <c r="A11435" s="307"/>
    </row>
    <row r="11436" ht="14.25" customHeight="1">
      <c r="A11436" s="307"/>
    </row>
    <row r="11437" ht="14.25" customHeight="1">
      <c r="A11437" s="307"/>
    </row>
    <row r="11438" ht="14.25" customHeight="1">
      <c r="A11438" s="307"/>
    </row>
    <row r="11439" ht="14.25" customHeight="1">
      <c r="A11439" s="307"/>
    </row>
    <row r="11440" ht="14.25" customHeight="1">
      <c r="A11440" s="307"/>
    </row>
    <row r="11441" ht="14.25" customHeight="1">
      <c r="A11441" s="307"/>
    </row>
    <row r="11442" ht="14.25" customHeight="1">
      <c r="A11442" s="307"/>
    </row>
    <row r="11443" ht="14.25" customHeight="1">
      <c r="A11443" s="307"/>
    </row>
    <row r="11444" ht="14.25" customHeight="1">
      <c r="A11444" s="307"/>
    </row>
    <row r="11445" ht="14.25" customHeight="1">
      <c r="A11445" s="307"/>
    </row>
    <row r="11446" ht="14.25" customHeight="1">
      <c r="A11446" s="307"/>
    </row>
    <row r="11447" ht="14.25" customHeight="1">
      <c r="A11447" s="307"/>
    </row>
    <row r="11448" ht="14.25" customHeight="1">
      <c r="A11448" s="307"/>
    </row>
    <row r="11449" ht="14.25" customHeight="1">
      <c r="A11449" s="307"/>
    </row>
    <row r="11450" ht="14.25" customHeight="1">
      <c r="A11450" s="307"/>
    </row>
    <row r="11451" ht="14.25" customHeight="1">
      <c r="A11451" s="307"/>
    </row>
    <row r="11452" ht="14.25" customHeight="1">
      <c r="A11452" s="307"/>
    </row>
    <row r="11453" ht="14.25" customHeight="1">
      <c r="A11453" s="307"/>
    </row>
    <row r="11454" ht="14.25" customHeight="1">
      <c r="A11454" s="307"/>
    </row>
    <row r="11455" ht="14.25" customHeight="1">
      <c r="A11455" s="307"/>
    </row>
    <row r="11456" ht="14.25" customHeight="1">
      <c r="A11456" s="307"/>
    </row>
    <row r="11457" ht="14.25" customHeight="1">
      <c r="A11457" s="307"/>
    </row>
    <row r="11458" ht="14.25" customHeight="1">
      <c r="A11458" s="307"/>
    </row>
    <row r="11459" ht="14.25" customHeight="1">
      <c r="A11459" s="307"/>
    </row>
    <row r="11460" ht="14.25" customHeight="1">
      <c r="A11460" s="307"/>
    </row>
    <row r="11461" ht="14.25" customHeight="1">
      <c r="A11461" s="307"/>
    </row>
    <row r="11462" ht="14.25" customHeight="1">
      <c r="A11462" s="307"/>
    </row>
    <row r="11463" ht="14.25" customHeight="1">
      <c r="A11463" s="307"/>
    </row>
    <row r="11464" ht="14.25" customHeight="1">
      <c r="A11464" s="307"/>
    </row>
    <row r="11465" ht="14.25" customHeight="1">
      <c r="A11465" s="307"/>
    </row>
    <row r="11466" ht="14.25" customHeight="1">
      <c r="A11466" s="307"/>
    </row>
    <row r="11467" ht="14.25" customHeight="1">
      <c r="A11467" s="307"/>
    </row>
    <row r="11468" ht="14.25" customHeight="1">
      <c r="A11468" s="307"/>
    </row>
    <row r="11469" ht="14.25" customHeight="1">
      <c r="A11469" s="307"/>
    </row>
    <row r="11470" ht="14.25" customHeight="1">
      <c r="A11470" s="307"/>
    </row>
    <row r="11471" ht="14.25" customHeight="1">
      <c r="A11471" s="307"/>
    </row>
    <row r="11472" ht="14.25" customHeight="1">
      <c r="A11472" s="307"/>
    </row>
    <row r="11473" ht="14.25" customHeight="1">
      <c r="A11473" s="307"/>
    </row>
    <row r="11474" ht="14.25" customHeight="1">
      <c r="A11474" s="307"/>
    </row>
    <row r="11475" ht="14.25" customHeight="1">
      <c r="A11475" s="307"/>
    </row>
    <row r="11476" ht="14.25" customHeight="1">
      <c r="A11476" s="307"/>
    </row>
    <row r="11477" ht="14.25" customHeight="1">
      <c r="A11477" s="307"/>
    </row>
    <row r="11478" ht="14.25" customHeight="1">
      <c r="A11478" s="307"/>
    </row>
    <row r="11479" ht="14.25" customHeight="1">
      <c r="A11479" s="307"/>
    </row>
    <row r="11480" ht="14.25" customHeight="1">
      <c r="A11480" s="307"/>
    </row>
    <row r="11481" ht="14.25" customHeight="1">
      <c r="A11481" s="307"/>
    </row>
    <row r="11482" ht="14.25" customHeight="1">
      <c r="A11482" s="307"/>
    </row>
    <row r="11483" ht="14.25" customHeight="1">
      <c r="A11483" s="307"/>
    </row>
    <row r="11484" ht="14.25" customHeight="1">
      <c r="A11484" s="307"/>
    </row>
    <row r="11485" ht="14.25" customHeight="1">
      <c r="A11485" s="307"/>
    </row>
    <row r="11486" ht="14.25" customHeight="1">
      <c r="A11486" s="307"/>
    </row>
    <row r="11487" ht="14.25" customHeight="1">
      <c r="A11487" s="307"/>
    </row>
    <row r="11488" ht="14.25" customHeight="1">
      <c r="A11488" s="307"/>
    </row>
    <row r="11489" ht="14.25" customHeight="1">
      <c r="A11489" s="307"/>
    </row>
    <row r="11490" ht="14.25" customHeight="1">
      <c r="A11490" s="307"/>
    </row>
    <row r="11491" ht="14.25" customHeight="1">
      <c r="A11491" s="307"/>
    </row>
    <row r="11492" ht="14.25" customHeight="1">
      <c r="A11492" s="307"/>
    </row>
    <row r="11493" ht="14.25" customHeight="1">
      <c r="A11493" s="307"/>
    </row>
    <row r="11494" ht="14.25" customHeight="1">
      <c r="A11494" s="307"/>
    </row>
    <row r="11495" ht="14.25" customHeight="1">
      <c r="A11495" s="307"/>
    </row>
    <row r="11496" ht="14.25" customHeight="1">
      <c r="A11496" s="307"/>
    </row>
    <row r="11497" ht="14.25" customHeight="1">
      <c r="A11497" s="307"/>
    </row>
    <row r="11498" ht="14.25" customHeight="1">
      <c r="A11498" s="307"/>
    </row>
    <row r="11499" ht="14.25" customHeight="1">
      <c r="A11499" s="307"/>
    </row>
    <row r="11500" ht="14.25" customHeight="1">
      <c r="A11500" s="307"/>
    </row>
    <row r="11501" ht="14.25" customHeight="1">
      <c r="A11501" s="307"/>
    </row>
    <row r="11502" ht="14.25" customHeight="1">
      <c r="A11502" s="307"/>
    </row>
    <row r="11503" ht="14.25" customHeight="1">
      <c r="A11503" s="307"/>
    </row>
    <row r="11504" ht="14.25" customHeight="1">
      <c r="A11504" s="307"/>
    </row>
    <row r="11505" ht="14.25" customHeight="1">
      <c r="A11505" s="307"/>
    </row>
    <row r="11506" ht="14.25" customHeight="1">
      <c r="A11506" s="307"/>
    </row>
    <row r="11507" ht="14.25" customHeight="1">
      <c r="A11507" s="307"/>
    </row>
    <row r="11508" ht="14.25" customHeight="1">
      <c r="A11508" s="307"/>
    </row>
    <row r="11509" ht="14.25" customHeight="1">
      <c r="A11509" s="307"/>
    </row>
    <row r="11510" ht="14.25" customHeight="1">
      <c r="A11510" s="307"/>
    </row>
    <row r="11511" ht="14.25" customHeight="1">
      <c r="A11511" s="307"/>
    </row>
    <row r="11512" ht="14.25" customHeight="1">
      <c r="A11512" s="307"/>
    </row>
    <row r="11513" ht="14.25" customHeight="1">
      <c r="A11513" s="307"/>
    </row>
    <row r="11514" ht="14.25" customHeight="1">
      <c r="A11514" s="307"/>
    </row>
    <row r="11515" ht="14.25" customHeight="1">
      <c r="A11515" s="307"/>
    </row>
    <row r="11516" ht="14.25" customHeight="1">
      <c r="A11516" s="307"/>
    </row>
    <row r="11517" ht="14.25" customHeight="1">
      <c r="A11517" s="307"/>
    </row>
    <row r="11518" ht="14.25" customHeight="1">
      <c r="A11518" s="307"/>
    </row>
    <row r="11519" ht="14.25" customHeight="1">
      <c r="A11519" s="307"/>
    </row>
    <row r="11520" ht="14.25" customHeight="1">
      <c r="A11520" s="307"/>
    </row>
    <row r="11521" ht="14.25" customHeight="1">
      <c r="A11521" s="307"/>
    </row>
    <row r="11522" ht="14.25" customHeight="1">
      <c r="A11522" s="307"/>
    </row>
    <row r="11523" ht="14.25" customHeight="1">
      <c r="A11523" s="307"/>
    </row>
    <row r="11524" ht="14.25" customHeight="1">
      <c r="A11524" s="307"/>
    </row>
    <row r="11525" ht="14.25" customHeight="1">
      <c r="A11525" s="307"/>
    </row>
    <row r="11526" ht="14.25" customHeight="1">
      <c r="A11526" s="307"/>
    </row>
    <row r="11527" ht="14.25" customHeight="1">
      <c r="A11527" s="307"/>
    </row>
    <row r="11528" ht="14.25" customHeight="1">
      <c r="A11528" s="307"/>
    </row>
    <row r="11529" ht="14.25" customHeight="1">
      <c r="A11529" s="307"/>
    </row>
    <row r="11530" ht="14.25" customHeight="1">
      <c r="A11530" s="307"/>
    </row>
    <row r="11531" ht="14.25" customHeight="1">
      <c r="A11531" s="307"/>
    </row>
    <row r="11532" ht="14.25" customHeight="1">
      <c r="A11532" s="307"/>
    </row>
    <row r="11533" ht="14.25" customHeight="1">
      <c r="A11533" s="307"/>
    </row>
    <row r="11534" ht="14.25" customHeight="1">
      <c r="A11534" s="307"/>
    </row>
    <row r="11535" ht="14.25" customHeight="1">
      <c r="A11535" s="307"/>
    </row>
    <row r="11536" ht="14.25" customHeight="1">
      <c r="A11536" s="307"/>
    </row>
    <row r="11537" ht="14.25" customHeight="1">
      <c r="A11537" s="307"/>
    </row>
    <row r="11538" ht="14.25" customHeight="1">
      <c r="A11538" s="307"/>
    </row>
    <row r="11539" ht="14.25" customHeight="1">
      <c r="A11539" s="307"/>
    </row>
    <row r="11540" ht="14.25" customHeight="1">
      <c r="A11540" s="307"/>
    </row>
    <row r="11541" ht="14.25" customHeight="1">
      <c r="A11541" s="307"/>
    </row>
    <row r="11542" ht="14.25" customHeight="1">
      <c r="A11542" s="307"/>
    </row>
    <row r="11543" ht="14.25" customHeight="1">
      <c r="A11543" s="307"/>
    </row>
    <row r="11544" ht="14.25" customHeight="1">
      <c r="A11544" s="307"/>
    </row>
    <row r="11545" ht="14.25" customHeight="1">
      <c r="A11545" s="307"/>
    </row>
    <row r="11546" ht="14.25" customHeight="1">
      <c r="A11546" s="307"/>
    </row>
    <row r="11547" ht="14.25" customHeight="1">
      <c r="A11547" s="307"/>
    </row>
    <row r="11548" ht="14.25" customHeight="1">
      <c r="A11548" s="307"/>
    </row>
    <row r="11549" ht="14.25" customHeight="1">
      <c r="A11549" s="307"/>
    </row>
    <row r="11550" ht="14.25" customHeight="1">
      <c r="A11550" s="307"/>
    </row>
    <row r="11551" ht="14.25" customHeight="1">
      <c r="A11551" s="307"/>
    </row>
    <row r="11552" ht="14.25" customHeight="1">
      <c r="A11552" s="307"/>
    </row>
    <row r="11553" ht="14.25" customHeight="1">
      <c r="A11553" s="307"/>
    </row>
    <row r="11554" ht="14.25" customHeight="1">
      <c r="A11554" s="307"/>
    </row>
    <row r="11555" ht="14.25" customHeight="1">
      <c r="A11555" s="307"/>
    </row>
    <row r="11556" ht="14.25" customHeight="1">
      <c r="A11556" s="307"/>
    </row>
    <row r="11557" ht="14.25" customHeight="1">
      <c r="A11557" s="307"/>
    </row>
    <row r="11558" ht="14.25" customHeight="1">
      <c r="A11558" s="307"/>
    </row>
    <row r="11559" ht="14.25" customHeight="1">
      <c r="A11559" s="307"/>
    </row>
    <row r="11560" ht="14.25" customHeight="1">
      <c r="A11560" s="307"/>
    </row>
    <row r="11561" ht="14.25" customHeight="1">
      <c r="A11561" s="307"/>
    </row>
    <row r="11562" ht="14.25" customHeight="1">
      <c r="A11562" s="307"/>
    </row>
    <row r="11563" ht="14.25" customHeight="1">
      <c r="A11563" s="307"/>
    </row>
    <row r="11564" ht="14.25" customHeight="1">
      <c r="A11564" s="307"/>
    </row>
    <row r="11565" ht="14.25" customHeight="1">
      <c r="A11565" s="307"/>
    </row>
    <row r="11566" ht="14.25" customHeight="1">
      <c r="A11566" s="307"/>
    </row>
    <row r="11567" ht="14.25" customHeight="1">
      <c r="A11567" s="307"/>
    </row>
    <row r="11568" ht="14.25" customHeight="1">
      <c r="A11568" s="307"/>
    </row>
    <row r="11569" ht="14.25" customHeight="1">
      <c r="A11569" s="307"/>
    </row>
    <row r="11570" ht="14.25" customHeight="1">
      <c r="A11570" s="307"/>
    </row>
    <row r="11571" ht="14.25" customHeight="1">
      <c r="A11571" s="307"/>
    </row>
    <row r="11572" ht="14.25" customHeight="1">
      <c r="A11572" s="307"/>
    </row>
    <row r="11573" ht="14.25" customHeight="1">
      <c r="A11573" s="307"/>
    </row>
    <row r="11574" ht="14.25" customHeight="1">
      <c r="A11574" s="307"/>
    </row>
    <row r="11575" ht="14.25" customHeight="1">
      <c r="A11575" s="307"/>
    </row>
    <row r="11576" ht="14.25" customHeight="1">
      <c r="A11576" s="307"/>
    </row>
    <row r="11577" ht="14.25" customHeight="1">
      <c r="A11577" s="307"/>
    </row>
    <row r="11578" ht="14.25" customHeight="1">
      <c r="A11578" s="307"/>
    </row>
    <row r="11579" ht="14.25" customHeight="1">
      <c r="A11579" s="307"/>
    </row>
    <row r="11580" ht="14.25" customHeight="1">
      <c r="A11580" s="307"/>
    </row>
    <row r="11581" ht="14.25" customHeight="1">
      <c r="A11581" s="307"/>
    </row>
    <row r="11582" ht="14.25" customHeight="1">
      <c r="A11582" s="307"/>
    </row>
    <row r="11583" ht="14.25" customHeight="1">
      <c r="A11583" s="307"/>
    </row>
    <row r="11584" ht="14.25" customHeight="1">
      <c r="A11584" s="307"/>
    </row>
    <row r="11585" ht="14.25" customHeight="1">
      <c r="A11585" s="307"/>
    </row>
    <row r="11586" ht="14.25" customHeight="1">
      <c r="A11586" s="307"/>
    </row>
    <row r="11587" ht="14.25" customHeight="1">
      <c r="A11587" s="307"/>
    </row>
    <row r="11588" ht="14.25" customHeight="1">
      <c r="A11588" s="307"/>
    </row>
    <row r="11589" ht="14.25" customHeight="1">
      <c r="A11589" s="307"/>
    </row>
    <row r="11590" ht="14.25" customHeight="1">
      <c r="A11590" s="307"/>
    </row>
    <row r="11591" ht="14.25" customHeight="1">
      <c r="A11591" s="307"/>
    </row>
    <row r="11592" ht="14.25" customHeight="1">
      <c r="A11592" s="307"/>
    </row>
    <row r="11593" ht="14.25" customHeight="1">
      <c r="A11593" s="307"/>
    </row>
    <row r="11594" ht="14.25" customHeight="1">
      <c r="A11594" s="307"/>
    </row>
    <row r="11595" ht="14.25" customHeight="1">
      <c r="A11595" s="307"/>
    </row>
    <row r="11596" ht="14.25" customHeight="1">
      <c r="A11596" s="307"/>
    </row>
    <row r="11597" ht="14.25" customHeight="1">
      <c r="A11597" s="307"/>
    </row>
    <row r="11598" ht="14.25" customHeight="1">
      <c r="A11598" s="307"/>
    </row>
    <row r="11599" ht="14.25" customHeight="1">
      <c r="A11599" s="307"/>
    </row>
    <row r="11600" ht="14.25" customHeight="1">
      <c r="A11600" s="307"/>
    </row>
    <row r="11601" ht="14.25" customHeight="1">
      <c r="A11601" s="307"/>
    </row>
    <row r="11602" ht="14.25" customHeight="1">
      <c r="A11602" s="307"/>
    </row>
    <row r="11603" ht="14.25" customHeight="1">
      <c r="A11603" s="307"/>
    </row>
    <row r="11604" ht="14.25" customHeight="1">
      <c r="A11604" s="307"/>
    </row>
    <row r="11605" ht="14.25" customHeight="1">
      <c r="A11605" s="307"/>
    </row>
    <row r="11606" ht="14.25" customHeight="1">
      <c r="A11606" s="307"/>
    </row>
    <row r="11607" ht="14.25" customHeight="1">
      <c r="A11607" s="307"/>
    </row>
    <row r="11608" ht="14.25" customHeight="1">
      <c r="A11608" s="307"/>
    </row>
    <row r="11609" ht="14.25" customHeight="1">
      <c r="A11609" s="307"/>
    </row>
    <row r="11610" ht="14.25" customHeight="1">
      <c r="A11610" s="307"/>
    </row>
    <row r="11611" ht="14.25" customHeight="1">
      <c r="A11611" s="307"/>
    </row>
    <row r="11612" ht="14.25" customHeight="1">
      <c r="A11612" s="307"/>
    </row>
    <row r="11613" ht="14.25" customHeight="1">
      <c r="A11613" s="307"/>
    </row>
    <row r="11614" ht="14.25" customHeight="1">
      <c r="A11614" s="307"/>
    </row>
    <row r="11615" ht="14.25" customHeight="1">
      <c r="A11615" s="307"/>
    </row>
    <row r="11616" ht="14.25" customHeight="1">
      <c r="A11616" s="307"/>
    </row>
    <row r="11617" ht="14.25" customHeight="1">
      <c r="A11617" s="307"/>
    </row>
    <row r="11618" ht="14.25" customHeight="1">
      <c r="A11618" s="307"/>
    </row>
    <row r="11619" ht="14.25" customHeight="1">
      <c r="A11619" s="307"/>
    </row>
    <row r="11620" ht="14.25" customHeight="1">
      <c r="A11620" s="307"/>
    </row>
    <row r="11621" ht="14.25" customHeight="1">
      <c r="A11621" s="307"/>
    </row>
    <row r="11622" ht="14.25" customHeight="1">
      <c r="A11622" s="307"/>
    </row>
    <row r="11623" ht="14.25" customHeight="1">
      <c r="A11623" s="307"/>
    </row>
    <row r="11624" ht="14.25" customHeight="1">
      <c r="A11624" s="307"/>
    </row>
    <row r="11625" ht="14.25" customHeight="1">
      <c r="A11625" s="307"/>
    </row>
    <row r="11626" ht="14.25" customHeight="1">
      <c r="A11626" s="307"/>
    </row>
    <row r="11627" ht="14.25" customHeight="1">
      <c r="A11627" s="307"/>
    </row>
    <row r="11628" ht="14.25" customHeight="1">
      <c r="A11628" s="307"/>
    </row>
    <row r="11629" ht="14.25" customHeight="1">
      <c r="A11629" s="307"/>
    </row>
    <row r="11630" ht="14.25" customHeight="1">
      <c r="A11630" s="307"/>
    </row>
    <row r="11631" ht="14.25" customHeight="1">
      <c r="A11631" s="307"/>
    </row>
    <row r="11632" ht="14.25" customHeight="1">
      <c r="A11632" s="307"/>
    </row>
    <row r="11633" ht="14.25" customHeight="1">
      <c r="A11633" s="307"/>
    </row>
    <row r="11634" ht="14.25" customHeight="1">
      <c r="A11634" s="307"/>
    </row>
    <row r="11635" ht="14.25" customHeight="1">
      <c r="A11635" s="307"/>
    </row>
    <row r="11636" ht="14.25" customHeight="1">
      <c r="A11636" s="307"/>
    </row>
    <row r="11637" ht="14.25" customHeight="1">
      <c r="A11637" s="307"/>
    </row>
    <row r="11638" ht="14.25" customHeight="1">
      <c r="A11638" s="307"/>
    </row>
    <row r="11639" ht="14.25" customHeight="1">
      <c r="A11639" s="307"/>
    </row>
    <row r="11640" ht="14.25" customHeight="1">
      <c r="A11640" s="307"/>
    </row>
    <row r="11641" ht="14.25" customHeight="1">
      <c r="A11641" s="307"/>
    </row>
    <row r="11642" ht="14.25" customHeight="1">
      <c r="A11642" s="307"/>
    </row>
    <row r="11643" ht="14.25" customHeight="1">
      <c r="A11643" s="307"/>
    </row>
    <row r="11644" ht="14.25" customHeight="1">
      <c r="A11644" s="307"/>
    </row>
    <row r="11645" ht="14.25" customHeight="1">
      <c r="A11645" s="307"/>
    </row>
    <row r="11646" ht="14.25" customHeight="1">
      <c r="A11646" s="307"/>
    </row>
    <row r="11647" ht="14.25" customHeight="1">
      <c r="A11647" s="307"/>
    </row>
    <row r="11648" ht="14.25" customHeight="1">
      <c r="A11648" s="307"/>
    </row>
    <row r="11649" ht="14.25" customHeight="1">
      <c r="A11649" s="307"/>
    </row>
    <row r="11650" ht="14.25" customHeight="1">
      <c r="A11650" s="307"/>
    </row>
    <row r="11651" ht="14.25" customHeight="1">
      <c r="A11651" s="307"/>
    </row>
    <row r="11652" ht="14.25" customHeight="1">
      <c r="A11652" s="307"/>
    </row>
    <row r="11653" ht="14.25" customHeight="1">
      <c r="A11653" s="307"/>
    </row>
    <row r="11654" ht="14.25" customHeight="1">
      <c r="A11654" s="307"/>
    </row>
    <row r="11655" ht="14.25" customHeight="1">
      <c r="A11655" s="307"/>
    </row>
    <row r="11656" ht="14.25" customHeight="1">
      <c r="A11656" s="307"/>
    </row>
    <row r="11657" ht="14.25" customHeight="1">
      <c r="A11657" s="307"/>
    </row>
    <row r="11658" ht="14.25" customHeight="1">
      <c r="A11658" s="307"/>
    </row>
    <row r="11659" ht="14.25" customHeight="1">
      <c r="A11659" s="307"/>
    </row>
    <row r="11660" ht="14.25" customHeight="1">
      <c r="A11660" s="307"/>
    </row>
    <row r="11661" ht="14.25" customHeight="1">
      <c r="A11661" s="307"/>
    </row>
    <row r="11662" ht="14.25" customHeight="1">
      <c r="A11662" s="307"/>
    </row>
    <row r="11663" ht="14.25" customHeight="1">
      <c r="A11663" s="307"/>
    </row>
    <row r="11664" ht="14.25" customHeight="1">
      <c r="A11664" s="307"/>
    </row>
    <row r="11665" ht="14.25" customHeight="1">
      <c r="A11665" s="307"/>
    </row>
    <row r="11666" ht="14.25" customHeight="1">
      <c r="A11666" s="307"/>
    </row>
    <row r="11667" ht="14.25" customHeight="1">
      <c r="A11667" s="307"/>
    </row>
    <row r="11668" ht="14.25" customHeight="1">
      <c r="A11668" s="307"/>
    </row>
    <row r="11669" ht="14.25" customHeight="1">
      <c r="A11669" s="307"/>
    </row>
    <row r="11670" ht="14.25" customHeight="1">
      <c r="A11670" s="307"/>
    </row>
    <row r="11671" ht="14.25" customHeight="1">
      <c r="A11671" s="307"/>
    </row>
    <row r="11672" ht="14.25" customHeight="1">
      <c r="A11672" s="307"/>
    </row>
    <row r="11673" ht="14.25" customHeight="1">
      <c r="A11673" s="307"/>
    </row>
    <row r="11674" ht="14.25" customHeight="1">
      <c r="A11674" s="307"/>
    </row>
    <row r="11675" ht="14.25" customHeight="1">
      <c r="A11675" s="307"/>
    </row>
    <row r="11676" ht="14.25" customHeight="1">
      <c r="A11676" s="307"/>
    </row>
    <row r="11677" ht="14.25" customHeight="1">
      <c r="A11677" s="307"/>
    </row>
    <row r="11678" ht="14.25" customHeight="1">
      <c r="A11678" s="307"/>
    </row>
    <row r="11679" ht="14.25" customHeight="1">
      <c r="A11679" s="307"/>
    </row>
    <row r="11680" ht="14.25" customHeight="1">
      <c r="A11680" s="307"/>
    </row>
    <row r="11681" ht="14.25" customHeight="1">
      <c r="A11681" s="307"/>
    </row>
    <row r="11682" ht="14.25" customHeight="1">
      <c r="A11682" s="307"/>
    </row>
    <row r="11683" ht="14.25" customHeight="1">
      <c r="A11683" s="307"/>
    </row>
    <row r="11684" ht="14.25" customHeight="1">
      <c r="A11684" s="307"/>
    </row>
    <row r="11685" ht="14.25" customHeight="1">
      <c r="A11685" s="307"/>
    </row>
    <row r="11686" ht="14.25" customHeight="1">
      <c r="A11686" s="307"/>
    </row>
    <row r="11687" ht="14.25" customHeight="1">
      <c r="A11687" s="307"/>
    </row>
    <row r="11688" ht="14.25" customHeight="1">
      <c r="A11688" s="307"/>
    </row>
    <row r="11689" ht="14.25" customHeight="1">
      <c r="A11689" s="307"/>
    </row>
    <row r="11690" ht="14.25" customHeight="1">
      <c r="A11690" s="307"/>
    </row>
    <row r="11691" ht="14.25" customHeight="1">
      <c r="A11691" s="307"/>
    </row>
    <row r="11692" ht="14.25" customHeight="1">
      <c r="A11692" s="307"/>
    </row>
    <row r="11693" ht="14.25" customHeight="1">
      <c r="A11693" s="307"/>
    </row>
    <row r="11694" ht="14.25" customHeight="1">
      <c r="A11694" s="307"/>
    </row>
    <row r="11695" ht="14.25" customHeight="1">
      <c r="A11695" s="307"/>
    </row>
    <row r="11696" ht="14.25" customHeight="1">
      <c r="A11696" s="307"/>
    </row>
    <row r="11697" ht="14.25" customHeight="1">
      <c r="A11697" s="307"/>
    </row>
    <row r="11698" ht="14.25" customHeight="1">
      <c r="A11698" s="307"/>
    </row>
    <row r="11699" ht="14.25" customHeight="1">
      <c r="A11699" s="307"/>
    </row>
    <row r="11700" ht="14.25" customHeight="1">
      <c r="A11700" s="307"/>
    </row>
    <row r="11701" ht="14.25" customHeight="1">
      <c r="A11701" s="307"/>
    </row>
    <row r="11702" ht="14.25" customHeight="1">
      <c r="A11702" s="307"/>
    </row>
    <row r="11703" ht="14.25" customHeight="1">
      <c r="A11703" s="307"/>
    </row>
    <row r="11704" ht="14.25" customHeight="1">
      <c r="A11704" s="307"/>
    </row>
    <row r="11705" ht="14.25" customHeight="1">
      <c r="A11705" s="307"/>
    </row>
    <row r="11706" ht="14.25" customHeight="1">
      <c r="A11706" s="307"/>
    </row>
    <row r="11707" ht="14.25" customHeight="1">
      <c r="A11707" s="307"/>
    </row>
    <row r="11708" ht="14.25" customHeight="1">
      <c r="A11708" s="307"/>
    </row>
    <row r="11709" ht="14.25" customHeight="1">
      <c r="A11709" s="307"/>
    </row>
    <row r="11710" ht="14.25" customHeight="1">
      <c r="A11710" s="307"/>
    </row>
    <row r="11711" ht="14.25" customHeight="1">
      <c r="A11711" s="307"/>
    </row>
    <row r="11712" ht="14.25" customHeight="1">
      <c r="A11712" s="307"/>
    </row>
    <row r="11713" ht="14.25" customHeight="1">
      <c r="A11713" s="307"/>
    </row>
    <row r="11714" ht="14.25" customHeight="1">
      <c r="A11714" s="307"/>
    </row>
    <row r="11715" ht="14.25" customHeight="1">
      <c r="A11715" s="307"/>
    </row>
    <row r="11716" ht="14.25" customHeight="1">
      <c r="A11716" s="307"/>
    </row>
    <row r="11717" ht="14.25" customHeight="1">
      <c r="A11717" s="307"/>
    </row>
    <row r="11718" ht="14.25" customHeight="1">
      <c r="A11718" s="307"/>
    </row>
    <row r="11719" ht="14.25" customHeight="1">
      <c r="A11719" s="307"/>
    </row>
    <row r="11720" ht="14.25" customHeight="1">
      <c r="A11720" s="307"/>
    </row>
    <row r="11721" ht="14.25" customHeight="1">
      <c r="A11721" s="307"/>
    </row>
    <row r="11722" ht="14.25" customHeight="1">
      <c r="A11722" s="307"/>
    </row>
    <row r="11723" ht="14.25" customHeight="1">
      <c r="A11723" s="307"/>
    </row>
    <row r="11724" ht="14.25" customHeight="1">
      <c r="A11724" s="307"/>
    </row>
    <row r="11725" ht="14.25" customHeight="1">
      <c r="A11725" s="307"/>
    </row>
    <row r="11726" ht="14.25" customHeight="1">
      <c r="A11726" s="307"/>
    </row>
    <row r="11727" ht="14.25" customHeight="1">
      <c r="A11727" s="307"/>
    </row>
    <row r="11728" ht="14.25" customHeight="1">
      <c r="A11728" s="307"/>
    </row>
    <row r="11729" ht="14.25" customHeight="1">
      <c r="A11729" s="307"/>
    </row>
    <row r="11730" ht="14.25" customHeight="1">
      <c r="A11730" s="307"/>
    </row>
    <row r="11731" ht="14.25" customHeight="1">
      <c r="A11731" s="307"/>
    </row>
    <row r="11732" ht="14.25" customHeight="1">
      <c r="A11732" s="307"/>
    </row>
    <row r="11733" ht="14.25" customHeight="1">
      <c r="A11733" s="307"/>
    </row>
    <row r="11734" ht="14.25" customHeight="1">
      <c r="A11734" s="307"/>
    </row>
    <row r="11735" ht="14.25" customHeight="1">
      <c r="A11735" s="307"/>
    </row>
    <row r="11736" ht="14.25" customHeight="1">
      <c r="A11736" s="307"/>
    </row>
    <row r="11737" ht="14.25" customHeight="1">
      <c r="A11737" s="307"/>
    </row>
    <row r="11738" ht="14.25" customHeight="1">
      <c r="A11738" s="307"/>
    </row>
    <row r="11739" ht="14.25" customHeight="1">
      <c r="A11739" s="307"/>
    </row>
    <row r="11740" ht="14.25" customHeight="1">
      <c r="A11740" s="307"/>
    </row>
    <row r="11741" ht="14.25" customHeight="1">
      <c r="A11741" s="307"/>
    </row>
    <row r="11742" ht="14.25" customHeight="1">
      <c r="A11742" s="307"/>
    </row>
    <row r="11743" ht="14.25" customHeight="1">
      <c r="A11743" s="307"/>
    </row>
    <row r="11744" ht="14.25" customHeight="1">
      <c r="A11744" s="307"/>
    </row>
    <row r="11745" ht="14.25" customHeight="1">
      <c r="A11745" s="307"/>
    </row>
    <row r="11746" ht="14.25" customHeight="1">
      <c r="A11746" s="307"/>
    </row>
    <row r="11747" ht="14.25" customHeight="1">
      <c r="A11747" s="307"/>
    </row>
    <row r="11748" ht="14.25" customHeight="1">
      <c r="A11748" s="307"/>
    </row>
    <row r="11749" ht="14.25" customHeight="1">
      <c r="A11749" s="307"/>
    </row>
    <row r="11750" ht="14.25" customHeight="1">
      <c r="A11750" s="307"/>
    </row>
    <row r="11751" ht="14.25" customHeight="1">
      <c r="A11751" s="307"/>
    </row>
    <row r="11752" ht="14.25" customHeight="1">
      <c r="A11752" s="307"/>
    </row>
    <row r="11753" ht="14.25" customHeight="1">
      <c r="A11753" s="307"/>
    </row>
    <row r="11754" ht="14.25" customHeight="1">
      <c r="A11754" s="307"/>
    </row>
    <row r="11755" ht="14.25" customHeight="1">
      <c r="A11755" s="307"/>
    </row>
    <row r="11756" ht="14.25" customHeight="1">
      <c r="A11756" s="307"/>
    </row>
    <row r="11757" ht="14.25" customHeight="1">
      <c r="A11757" s="307"/>
    </row>
    <row r="11758" ht="14.25" customHeight="1">
      <c r="A11758" s="307"/>
    </row>
    <row r="11759" ht="14.25" customHeight="1">
      <c r="A11759" s="307"/>
    </row>
    <row r="11760" ht="14.25" customHeight="1">
      <c r="A11760" s="307"/>
    </row>
    <row r="11761" ht="14.25" customHeight="1">
      <c r="A11761" s="307"/>
    </row>
    <row r="11762" ht="14.25" customHeight="1">
      <c r="A11762" s="307"/>
    </row>
    <row r="11763" ht="14.25" customHeight="1">
      <c r="A11763" s="307"/>
    </row>
    <row r="11764" ht="14.25" customHeight="1">
      <c r="A11764" s="307"/>
    </row>
    <row r="11765" ht="14.25" customHeight="1">
      <c r="A11765" s="307"/>
    </row>
    <row r="11766" ht="14.25" customHeight="1">
      <c r="A11766" s="307"/>
    </row>
    <row r="11767" ht="14.25" customHeight="1">
      <c r="A11767" s="307"/>
    </row>
    <row r="11768" ht="14.25" customHeight="1">
      <c r="A11768" s="307"/>
    </row>
    <row r="11769" ht="14.25" customHeight="1">
      <c r="A11769" s="307"/>
    </row>
    <row r="11770" ht="14.25" customHeight="1">
      <c r="A11770" s="307"/>
    </row>
    <row r="11771" ht="14.25" customHeight="1">
      <c r="A11771" s="307"/>
    </row>
    <row r="11772" ht="14.25" customHeight="1">
      <c r="A11772" s="307"/>
    </row>
    <row r="11773" ht="14.25" customHeight="1">
      <c r="A11773" s="307"/>
    </row>
    <row r="11774" ht="14.25" customHeight="1">
      <c r="A11774" s="307"/>
    </row>
    <row r="11775" ht="14.25" customHeight="1">
      <c r="A11775" s="307"/>
    </row>
    <row r="11776" ht="14.25" customHeight="1">
      <c r="A11776" s="307"/>
    </row>
    <row r="11777" ht="14.25" customHeight="1">
      <c r="A11777" s="307"/>
    </row>
    <row r="11778" ht="14.25" customHeight="1">
      <c r="A11778" s="307"/>
    </row>
    <row r="11779" ht="14.25" customHeight="1">
      <c r="A11779" s="307"/>
    </row>
    <row r="11780" ht="14.25" customHeight="1">
      <c r="A11780" s="307"/>
    </row>
    <row r="11781" ht="14.25" customHeight="1">
      <c r="A11781" s="307"/>
    </row>
    <row r="11782" ht="14.25" customHeight="1">
      <c r="A11782" s="307"/>
    </row>
    <row r="11783" ht="14.25" customHeight="1">
      <c r="A11783" s="307"/>
    </row>
    <row r="11784" ht="14.25" customHeight="1">
      <c r="A11784" s="307"/>
    </row>
    <row r="11785" ht="14.25" customHeight="1">
      <c r="A11785" s="307"/>
    </row>
    <row r="11786" ht="14.25" customHeight="1">
      <c r="A11786" s="307"/>
    </row>
    <row r="11787" ht="14.25" customHeight="1">
      <c r="A11787" s="307"/>
    </row>
    <row r="11788" ht="14.25" customHeight="1">
      <c r="A11788" s="307"/>
    </row>
    <row r="11789" ht="14.25" customHeight="1">
      <c r="A11789" s="307"/>
    </row>
    <row r="11790" ht="14.25" customHeight="1">
      <c r="A11790" s="307"/>
    </row>
    <row r="11791" ht="14.25" customHeight="1">
      <c r="A11791" s="307"/>
    </row>
    <row r="11792" ht="14.25" customHeight="1">
      <c r="A11792" s="307"/>
    </row>
    <row r="11793" ht="14.25" customHeight="1">
      <c r="A11793" s="307"/>
    </row>
    <row r="11794" ht="14.25" customHeight="1">
      <c r="A11794" s="307"/>
    </row>
    <row r="11795" ht="14.25" customHeight="1">
      <c r="A11795" s="307"/>
    </row>
    <row r="11796" ht="14.25" customHeight="1">
      <c r="A11796" s="307"/>
    </row>
    <row r="11797" ht="14.25" customHeight="1">
      <c r="A11797" s="307"/>
    </row>
    <row r="11798" ht="14.25" customHeight="1">
      <c r="A11798" s="307"/>
    </row>
    <row r="11799" ht="14.25" customHeight="1">
      <c r="A11799" s="307"/>
    </row>
    <row r="11800" ht="14.25" customHeight="1">
      <c r="A11800" s="307"/>
    </row>
    <row r="11801" ht="14.25" customHeight="1">
      <c r="A11801" s="307"/>
    </row>
    <row r="11802" ht="14.25" customHeight="1">
      <c r="A11802" s="307"/>
    </row>
    <row r="11803" ht="14.25" customHeight="1">
      <c r="A11803" s="307"/>
    </row>
    <row r="11804" ht="14.25" customHeight="1">
      <c r="A11804" s="307"/>
    </row>
    <row r="11805" ht="14.25" customHeight="1">
      <c r="A11805" s="307"/>
    </row>
    <row r="11806" ht="14.25" customHeight="1">
      <c r="A11806" s="307"/>
    </row>
    <row r="11807" ht="14.25" customHeight="1">
      <c r="A11807" s="307"/>
    </row>
    <row r="11808" ht="14.25" customHeight="1">
      <c r="A11808" s="307"/>
    </row>
    <row r="11809" ht="14.25" customHeight="1">
      <c r="A11809" s="307"/>
    </row>
    <row r="11810" ht="14.25" customHeight="1">
      <c r="A11810" s="307"/>
    </row>
    <row r="11811" ht="14.25" customHeight="1">
      <c r="A11811" s="307"/>
    </row>
    <row r="11812" ht="14.25" customHeight="1">
      <c r="A11812" s="307"/>
    </row>
    <row r="11813" ht="14.25" customHeight="1">
      <c r="A11813" s="307"/>
    </row>
    <row r="11814" ht="14.25" customHeight="1">
      <c r="A11814" s="307"/>
    </row>
    <row r="11815" ht="14.25" customHeight="1">
      <c r="A11815" s="307"/>
    </row>
    <row r="11816" ht="14.25" customHeight="1">
      <c r="A11816" s="307"/>
    </row>
    <row r="11817" ht="14.25" customHeight="1">
      <c r="A11817" s="307"/>
    </row>
    <row r="11818" ht="14.25" customHeight="1">
      <c r="A11818" s="307"/>
    </row>
    <row r="11819" ht="14.25" customHeight="1">
      <c r="A11819" s="307"/>
    </row>
    <row r="11820" ht="14.25" customHeight="1">
      <c r="A11820" s="307"/>
    </row>
    <row r="11821" ht="14.25" customHeight="1">
      <c r="A11821" s="307"/>
    </row>
    <row r="11822" ht="14.25" customHeight="1">
      <c r="A11822" s="307"/>
    </row>
    <row r="11823" ht="14.25" customHeight="1">
      <c r="A11823" s="307"/>
    </row>
    <row r="11824" ht="14.25" customHeight="1">
      <c r="A11824" s="307"/>
    </row>
    <row r="11825" ht="14.25" customHeight="1">
      <c r="A11825" s="307"/>
    </row>
    <row r="11826" ht="14.25" customHeight="1">
      <c r="A11826" s="307"/>
    </row>
    <row r="11827" ht="14.25" customHeight="1">
      <c r="A11827" s="307"/>
    </row>
    <row r="11828" ht="14.25" customHeight="1">
      <c r="A11828" s="307"/>
    </row>
    <row r="11829" ht="14.25" customHeight="1">
      <c r="A11829" s="307"/>
    </row>
    <row r="11830" ht="14.25" customHeight="1">
      <c r="A11830" s="307"/>
    </row>
    <row r="11831" ht="14.25" customHeight="1">
      <c r="A11831" s="307"/>
    </row>
    <row r="11832" ht="14.25" customHeight="1">
      <c r="A11832" s="307"/>
    </row>
    <row r="11833" ht="14.25" customHeight="1">
      <c r="A11833" s="307"/>
    </row>
    <row r="11834" ht="14.25" customHeight="1">
      <c r="A11834" s="307"/>
    </row>
    <row r="11835" ht="14.25" customHeight="1">
      <c r="A11835" s="307"/>
    </row>
    <row r="11836" ht="14.25" customHeight="1">
      <c r="A11836" s="307"/>
    </row>
    <row r="11837" ht="14.25" customHeight="1">
      <c r="A11837" s="307"/>
    </row>
    <row r="11838" ht="14.25" customHeight="1">
      <c r="A11838" s="307"/>
    </row>
    <row r="11839" ht="14.25" customHeight="1">
      <c r="A11839" s="307"/>
    </row>
    <row r="11840" ht="14.25" customHeight="1">
      <c r="A11840" s="307"/>
    </row>
    <row r="11841" ht="14.25" customHeight="1">
      <c r="A11841" s="307"/>
    </row>
    <row r="11842" ht="14.25" customHeight="1">
      <c r="A11842" s="307"/>
    </row>
    <row r="11843" ht="14.25" customHeight="1">
      <c r="A11843" s="307"/>
    </row>
    <row r="11844" ht="14.25" customHeight="1">
      <c r="A11844" s="307"/>
    </row>
    <row r="11845" ht="14.25" customHeight="1">
      <c r="A11845" s="307"/>
    </row>
    <row r="11846" ht="14.25" customHeight="1">
      <c r="A11846" s="307"/>
    </row>
    <row r="11847" ht="14.25" customHeight="1">
      <c r="A11847" s="307"/>
    </row>
    <row r="11848" ht="14.25" customHeight="1">
      <c r="A11848" s="307"/>
    </row>
    <row r="11849" ht="14.25" customHeight="1">
      <c r="A11849" s="307"/>
    </row>
    <row r="11850" ht="14.25" customHeight="1">
      <c r="A11850" s="307"/>
    </row>
    <row r="11851" ht="14.25" customHeight="1">
      <c r="A11851" s="307"/>
    </row>
    <row r="11852" ht="14.25" customHeight="1">
      <c r="A11852" s="307"/>
    </row>
    <row r="11853" ht="14.25" customHeight="1">
      <c r="A11853" s="307"/>
    </row>
    <row r="11854" ht="14.25" customHeight="1">
      <c r="A11854" s="307"/>
    </row>
    <row r="11855" ht="14.25" customHeight="1">
      <c r="A11855" s="307"/>
    </row>
    <row r="11856" ht="14.25" customHeight="1">
      <c r="A11856" s="307"/>
    </row>
    <row r="11857" ht="14.25" customHeight="1">
      <c r="A11857" s="307"/>
    </row>
    <row r="11858" ht="14.25" customHeight="1">
      <c r="A11858" s="307"/>
    </row>
    <row r="11859" ht="14.25" customHeight="1">
      <c r="A11859" s="307"/>
    </row>
    <row r="11860" ht="14.25" customHeight="1">
      <c r="A11860" s="307"/>
    </row>
    <row r="11861" ht="14.25" customHeight="1">
      <c r="A11861" s="307"/>
    </row>
    <row r="11862" ht="14.25" customHeight="1">
      <c r="A11862" s="307"/>
    </row>
    <row r="11863" ht="14.25" customHeight="1">
      <c r="A11863" s="307"/>
    </row>
    <row r="11864" ht="14.25" customHeight="1">
      <c r="A11864" s="307"/>
    </row>
    <row r="11865" ht="14.25" customHeight="1">
      <c r="A11865" s="307"/>
    </row>
    <row r="11866" ht="14.25" customHeight="1">
      <c r="A11866" s="307"/>
    </row>
    <row r="11867" ht="14.25" customHeight="1">
      <c r="A11867" s="307"/>
    </row>
    <row r="11868" ht="14.25" customHeight="1">
      <c r="A11868" s="307"/>
    </row>
    <row r="11869" ht="14.25" customHeight="1">
      <c r="A11869" s="307"/>
    </row>
    <row r="11870" ht="14.25" customHeight="1">
      <c r="A11870" s="307"/>
    </row>
    <row r="11871" ht="14.25" customHeight="1">
      <c r="A11871" s="307"/>
    </row>
    <row r="11872" ht="14.25" customHeight="1">
      <c r="A11872" s="307"/>
    </row>
    <row r="11873" ht="14.25" customHeight="1">
      <c r="A11873" s="307"/>
    </row>
    <row r="11874" ht="14.25" customHeight="1">
      <c r="A11874" s="307"/>
    </row>
    <row r="11875" ht="14.25" customHeight="1">
      <c r="A11875" s="307"/>
    </row>
    <row r="11876" ht="14.25" customHeight="1">
      <c r="A11876" s="307"/>
    </row>
    <row r="11877" ht="14.25" customHeight="1">
      <c r="A11877" s="307"/>
    </row>
    <row r="11878" ht="14.25" customHeight="1">
      <c r="A11878" s="307"/>
    </row>
    <row r="11879" ht="14.25" customHeight="1">
      <c r="A11879" s="307"/>
    </row>
    <row r="11880" ht="14.25" customHeight="1">
      <c r="A11880" s="307"/>
    </row>
    <row r="11881" ht="14.25" customHeight="1">
      <c r="A11881" s="307"/>
    </row>
    <row r="11882" ht="14.25" customHeight="1">
      <c r="A11882" s="307"/>
    </row>
    <row r="11883" ht="14.25" customHeight="1">
      <c r="A11883" s="307"/>
    </row>
    <row r="11884" ht="14.25" customHeight="1">
      <c r="A11884" s="307"/>
    </row>
    <row r="11885" ht="14.25" customHeight="1">
      <c r="A11885" s="307"/>
    </row>
    <row r="11886" ht="14.25" customHeight="1">
      <c r="A11886" s="307"/>
    </row>
    <row r="11887" ht="14.25" customHeight="1">
      <c r="A11887" s="307"/>
    </row>
    <row r="11888" ht="14.25" customHeight="1">
      <c r="A11888" s="307"/>
    </row>
    <row r="11889" ht="14.25" customHeight="1">
      <c r="A11889" s="307"/>
    </row>
    <row r="11890" ht="14.25" customHeight="1">
      <c r="A11890" s="307"/>
    </row>
    <row r="11891" ht="14.25" customHeight="1">
      <c r="A11891" s="307"/>
    </row>
    <row r="11892" ht="14.25" customHeight="1">
      <c r="A11892" s="307"/>
    </row>
    <row r="11893" ht="14.25" customHeight="1">
      <c r="A11893" s="307"/>
    </row>
    <row r="11894" ht="14.25" customHeight="1">
      <c r="A11894" s="307"/>
    </row>
    <row r="11895" ht="14.25" customHeight="1">
      <c r="A11895" s="307"/>
    </row>
    <row r="11896" ht="14.25" customHeight="1">
      <c r="A11896" s="307"/>
    </row>
    <row r="11897" ht="14.25" customHeight="1">
      <c r="A11897" s="307"/>
    </row>
    <row r="11898" ht="14.25" customHeight="1">
      <c r="A11898" s="307"/>
    </row>
    <row r="11899" ht="14.25" customHeight="1">
      <c r="A11899" s="307"/>
    </row>
    <row r="11900" ht="14.25" customHeight="1">
      <c r="A11900" s="307"/>
    </row>
    <row r="11901" ht="14.25" customHeight="1">
      <c r="A11901" s="307"/>
    </row>
    <row r="11902" ht="14.25" customHeight="1">
      <c r="A11902" s="307"/>
    </row>
    <row r="11903" ht="14.25" customHeight="1">
      <c r="A11903" s="307"/>
    </row>
    <row r="11904" ht="14.25" customHeight="1">
      <c r="A11904" s="307"/>
    </row>
    <row r="11905" ht="14.25" customHeight="1">
      <c r="A11905" s="307"/>
    </row>
    <row r="11906" ht="14.25" customHeight="1">
      <c r="A11906" s="307"/>
    </row>
    <row r="11907" ht="14.25" customHeight="1">
      <c r="A11907" s="307"/>
    </row>
    <row r="11908" ht="14.25" customHeight="1">
      <c r="A11908" s="307"/>
    </row>
    <row r="11909" ht="14.25" customHeight="1">
      <c r="A11909" s="307"/>
    </row>
    <row r="11910" ht="14.25" customHeight="1">
      <c r="A11910" s="307"/>
    </row>
    <row r="11911" ht="14.25" customHeight="1">
      <c r="A11911" s="307"/>
    </row>
    <row r="11912" ht="14.25" customHeight="1">
      <c r="A11912" s="307"/>
    </row>
    <row r="11913" ht="14.25" customHeight="1">
      <c r="A11913" s="307"/>
    </row>
    <row r="11914" ht="14.25" customHeight="1">
      <c r="A11914" s="307"/>
    </row>
    <row r="11915" ht="14.25" customHeight="1">
      <c r="A11915" s="307"/>
    </row>
    <row r="11916" ht="14.25" customHeight="1">
      <c r="A11916" s="307"/>
    </row>
    <row r="11917" ht="14.25" customHeight="1">
      <c r="A11917" s="307"/>
    </row>
    <row r="11918" ht="14.25" customHeight="1">
      <c r="A11918" s="307"/>
    </row>
    <row r="11919" ht="14.25" customHeight="1">
      <c r="A11919" s="307"/>
    </row>
    <row r="11920" ht="14.25" customHeight="1">
      <c r="A11920" s="307"/>
    </row>
    <row r="11921" ht="14.25" customHeight="1">
      <c r="A11921" s="307"/>
    </row>
    <row r="11922" ht="14.25" customHeight="1">
      <c r="A11922" s="307"/>
    </row>
    <row r="11923" ht="14.25" customHeight="1">
      <c r="A11923" s="307"/>
    </row>
    <row r="11924" ht="14.25" customHeight="1">
      <c r="A11924" s="307"/>
    </row>
    <row r="11925" ht="14.25" customHeight="1">
      <c r="A11925" s="307"/>
    </row>
    <row r="11926" ht="14.25" customHeight="1">
      <c r="A11926" s="307"/>
    </row>
    <row r="11927" ht="14.25" customHeight="1">
      <c r="A11927" s="307"/>
    </row>
    <row r="11928" ht="14.25" customHeight="1">
      <c r="A11928" s="307"/>
    </row>
    <row r="11929" ht="14.25" customHeight="1">
      <c r="A11929" s="307"/>
    </row>
    <row r="11930" ht="14.25" customHeight="1">
      <c r="A11930" s="307"/>
    </row>
    <row r="11931" ht="14.25" customHeight="1">
      <c r="A11931" s="307"/>
    </row>
    <row r="11932" ht="14.25" customHeight="1">
      <c r="A11932" s="307"/>
    </row>
    <row r="11933" ht="14.25" customHeight="1">
      <c r="A11933" s="307"/>
    </row>
    <row r="11934" ht="14.25" customHeight="1">
      <c r="A11934" s="307"/>
    </row>
    <row r="11935" ht="14.25" customHeight="1">
      <c r="A11935" s="307"/>
    </row>
    <row r="11936" ht="14.25" customHeight="1">
      <c r="A11936" s="307"/>
    </row>
    <row r="11937" ht="14.25" customHeight="1">
      <c r="A11937" s="307"/>
    </row>
    <row r="11938" ht="14.25" customHeight="1">
      <c r="A11938" s="307"/>
    </row>
    <row r="11939" ht="14.25" customHeight="1">
      <c r="A11939" s="307"/>
    </row>
    <row r="11940" ht="14.25" customHeight="1">
      <c r="A11940" s="307"/>
    </row>
    <row r="11941" ht="14.25" customHeight="1">
      <c r="A11941" s="307"/>
    </row>
    <row r="11942" ht="14.25" customHeight="1">
      <c r="A11942" s="307"/>
    </row>
    <row r="11943" ht="14.25" customHeight="1">
      <c r="A11943" s="307"/>
    </row>
    <row r="11944" ht="14.25" customHeight="1">
      <c r="A11944" s="307"/>
    </row>
    <row r="11945" ht="14.25" customHeight="1">
      <c r="A11945" s="307"/>
    </row>
    <row r="11946" ht="14.25" customHeight="1">
      <c r="A11946" s="307"/>
    </row>
    <row r="11947" ht="14.25" customHeight="1">
      <c r="A11947" s="307"/>
    </row>
    <row r="11948" ht="14.25" customHeight="1">
      <c r="A11948" s="307"/>
    </row>
    <row r="11949" ht="14.25" customHeight="1">
      <c r="A11949" s="307"/>
    </row>
    <row r="11950" ht="14.25" customHeight="1">
      <c r="A11950" s="307"/>
    </row>
    <row r="11951" ht="14.25" customHeight="1">
      <c r="A11951" s="307"/>
    </row>
    <row r="11952" ht="14.25" customHeight="1">
      <c r="A11952" s="307"/>
    </row>
    <row r="11953" ht="14.25" customHeight="1">
      <c r="A11953" s="307"/>
    </row>
    <row r="11954" ht="14.25" customHeight="1">
      <c r="A11954" s="307"/>
    </row>
    <row r="11955" ht="14.25" customHeight="1">
      <c r="A11955" s="307"/>
    </row>
    <row r="11956" ht="14.25" customHeight="1">
      <c r="A11956" s="307"/>
    </row>
    <row r="11957" ht="14.25" customHeight="1">
      <c r="A11957" s="307"/>
    </row>
    <row r="11958" ht="14.25" customHeight="1">
      <c r="A11958" s="307"/>
    </row>
    <row r="11959" ht="14.25" customHeight="1">
      <c r="A11959" s="307"/>
    </row>
    <row r="11960" ht="14.25" customHeight="1">
      <c r="A11960" s="307"/>
    </row>
    <row r="11961" ht="14.25" customHeight="1">
      <c r="A11961" s="307"/>
    </row>
    <row r="11962" ht="14.25" customHeight="1">
      <c r="A11962" s="307"/>
    </row>
    <row r="11963" ht="14.25" customHeight="1">
      <c r="A11963" s="307"/>
    </row>
    <row r="11964" ht="14.25" customHeight="1">
      <c r="A11964" s="307"/>
    </row>
    <row r="11965" ht="14.25" customHeight="1">
      <c r="A11965" s="307"/>
    </row>
    <row r="11966" ht="14.25" customHeight="1">
      <c r="A11966" s="307"/>
    </row>
    <row r="11967" ht="14.25" customHeight="1">
      <c r="A11967" s="307"/>
    </row>
    <row r="11968" ht="14.25" customHeight="1">
      <c r="A11968" s="307"/>
    </row>
    <row r="11969" ht="14.25" customHeight="1">
      <c r="A11969" s="307"/>
    </row>
    <row r="11970" ht="14.25" customHeight="1">
      <c r="A11970" s="307"/>
    </row>
    <row r="11971" ht="14.25" customHeight="1">
      <c r="A11971" s="307"/>
    </row>
    <row r="11972" ht="14.25" customHeight="1">
      <c r="A11972" s="307"/>
    </row>
    <row r="11973" ht="14.25" customHeight="1">
      <c r="A11973" s="307"/>
    </row>
    <row r="11974" ht="14.25" customHeight="1">
      <c r="A11974" s="307"/>
    </row>
    <row r="11975" ht="14.25" customHeight="1">
      <c r="A11975" s="307"/>
    </row>
    <row r="11976" ht="14.25" customHeight="1">
      <c r="A11976" s="307"/>
    </row>
    <row r="11977" ht="14.25" customHeight="1">
      <c r="A11977" s="307"/>
    </row>
    <row r="11978" ht="14.25" customHeight="1">
      <c r="A11978" s="307"/>
    </row>
    <row r="11979" ht="14.25" customHeight="1">
      <c r="A11979" s="307"/>
    </row>
    <row r="11980" ht="14.25" customHeight="1">
      <c r="A11980" s="307"/>
    </row>
    <row r="11981" ht="14.25" customHeight="1">
      <c r="A11981" s="307"/>
    </row>
    <row r="11982" ht="14.25" customHeight="1">
      <c r="A11982" s="307"/>
    </row>
    <row r="11983" ht="14.25" customHeight="1">
      <c r="A11983" s="307"/>
    </row>
    <row r="11984" ht="14.25" customHeight="1">
      <c r="A11984" s="307"/>
    </row>
    <row r="11985" ht="14.25" customHeight="1">
      <c r="A11985" s="307"/>
    </row>
    <row r="11986" ht="14.25" customHeight="1">
      <c r="A11986" s="307"/>
    </row>
    <row r="11987" ht="14.25" customHeight="1">
      <c r="A11987" s="307"/>
    </row>
    <row r="11988" ht="14.25" customHeight="1">
      <c r="A11988" s="307"/>
    </row>
    <row r="11989" ht="14.25" customHeight="1">
      <c r="A11989" s="307"/>
    </row>
    <row r="11990" ht="14.25" customHeight="1">
      <c r="A11990" s="307"/>
    </row>
    <row r="11991" ht="14.25" customHeight="1">
      <c r="A11991" s="307"/>
    </row>
    <row r="11992" ht="14.25" customHeight="1">
      <c r="A11992" s="307"/>
    </row>
    <row r="11993" ht="14.25" customHeight="1">
      <c r="A11993" s="307"/>
    </row>
    <row r="11994" ht="14.25" customHeight="1">
      <c r="A11994" s="307"/>
    </row>
    <row r="11995" ht="14.25" customHeight="1">
      <c r="A11995" s="307"/>
    </row>
    <row r="11996" ht="14.25" customHeight="1">
      <c r="A11996" s="307"/>
    </row>
    <row r="11997" ht="14.25" customHeight="1">
      <c r="A11997" s="307"/>
    </row>
    <row r="11998" ht="14.25" customHeight="1">
      <c r="A11998" s="307"/>
    </row>
    <row r="11999" ht="14.25" customHeight="1">
      <c r="A11999" s="307"/>
    </row>
    <row r="12000" ht="14.25" customHeight="1">
      <c r="A12000" s="307"/>
    </row>
    <row r="12001" ht="14.25" customHeight="1">
      <c r="A12001" s="307"/>
    </row>
    <row r="12002" ht="14.25" customHeight="1">
      <c r="A12002" s="307"/>
    </row>
    <row r="12003" ht="14.25" customHeight="1">
      <c r="A12003" s="307"/>
    </row>
    <row r="12004" ht="14.25" customHeight="1">
      <c r="A12004" s="307"/>
    </row>
    <row r="12005" ht="14.25" customHeight="1">
      <c r="A12005" s="307"/>
    </row>
    <row r="12006" ht="14.25" customHeight="1">
      <c r="A12006" s="307"/>
    </row>
    <row r="12007" ht="14.25" customHeight="1">
      <c r="A12007" s="307"/>
    </row>
    <row r="12008" ht="14.25" customHeight="1">
      <c r="A12008" s="307"/>
    </row>
    <row r="12009" ht="14.25" customHeight="1">
      <c r="A12009" s="307"/>
    </row>
    <row r="12010" ht="14.25" customHeight="1">
      <c r="A12010" s="307"/>
    </row>
    <row r="12011" ht="14.25" customHeight="1">
      <c r="A12011" s="307"/>
    </row>
    <row r="12012" ht="14.25" customHeight="1">
      <c r="A12012" s="307"/>
    </row>
    <row r="12013" ht="14.25" customHeight="1">
      <c r="A12013" s="307"/>
    </row>
    <row r="12014" ht="14.25" customHeight="1">
      <c r="A12014" s="307"/>
    </row>
    <row r="12015" ht="14.25" customHeight="1">
      <c r="A12015" s="307"/>
    </row>
    <row r="12016" ht="14.25" customHeight="1">
      <c r="A12016" s="307"/>
    </row>
    <row r="12017" ht="14.25" customHeight="1">
      <c r="A12017" s="307"/>
    </row>
    <row r="12018" ht="14.25" customHeight="1">
      <c r="A12018" s="307"/>
    </row>
    <row r="12019" ht="14.25" customHeight="1">
      <c r="A12019" s="307"/>
    </row>
    <row r="12020" ht="14.25" customHeight="1">
      <c r="A12020" s="307"/>
    </row>
    <row r="12021" ht="14.25" customHeight="1">
      <c r="A12021" s="307"/>
    </row>
    <row r="12022" ht="14.25" customHeight="1">
      <c r="A12022" s="307"/>
    </row>
    <row r="12023" ht="14.25" customHeight="1">
      <c r="A12023" s="307"/>
    </row>
    <row r="12024" ht="14.25" customHeight="1">
      <c r="A12024" s="307"/>
    </row>
    <row r="12025" ht="14.25" customHeight="1">
      <c r="A12025" s="307"/>
    </row>
    <row r="12026" ht="14.25" customHeight="1">
      <c r="A12026" s="307"/>
    </row>
    <row r="12027" ht="14.25" customHeight="1">
      <c r="A12027" s="307"/>
    </row>
    <row r="12028" ht="14.25" customHeight="1">
      <c r="A12028" s="307"/>
    </row>
    <row r="12029" ht="14.25" customHeight="1">
      <c r="A12029" s="307"/>
    </row>
    <row r="12030" ht="14.25" customHeight="1">
      <c r="A12030" s="307"/>
    </row>
    <row r="12031" ht="14.25" customHeight="1">
      <c r="A12031" s="307"/>
    </row>
    <row r="12032" ht="14.25" customHeight="1">
      <c r="A12032" s="307"/>
    </row>
    <row r="12033" ht="14.25" customHeight="1">
      <c r="A12033" s="307"/>
    </row>
    <row r="12034" ht="14.25" customHeight="1">
      <c r="A12034" s="307"/>
    </row>
    <row r="12035" ht="14.25" customHeight="1">
      <c r="A12035" s="307"/>
    </row>
    <row r="12036" ht="14.25" customHeight="1">
      <c r="A12036" s="307"/>
    </row>
    <row r="12037" ht="14.25" customHeight="1">
      <c r="A12037" s="307"/>
    </row>
    <row r="12038" ht="14.25" customHeight="1">
      <c r="A12038" s="307"/>
    </row>
    <row r="12039" ht="14.25" customHeight="1">
      <c r="A12039" s="307"/>
    </row>
    <row r="12040" ht="14.25" customHeight="1">
      <c r="A12040" s="307"/>
    </row>
    <row r="12041" ht="14.25" customHeight="1">
      <c r="A12041" s="307"/>
    </row>
    <row r="12042" ht="14.25" customHeight="1">
      <c r="A12042" s="307"/>
    </row>
    <row r="12043" ht="14.25" customHeight="1">
      <c r="A12043" s="307"/>
    </row>
    <row r="12044" ht="14.25" customHeight="1">
      <c r="A12044" s="307"/>
    </row>
    <row r="12045" ht="14.25" customHeight="1">
      <c r="A12045" s="307"/>
    </row>
    <row r="12046" ht="14.25" customHeight="1">
      <c r="A12046" s="307"/>
    </row>
    <row r="12047" ht="14.25" customHeight="1">
      <c r="A12047" s="307"/>
    </row>
    <row r="12048" ht="14.25" customHeight="1">
      <c r="A12048" s="307"/>
    </row>
    <row r="12049" ht="14.25" customHeight="1">
      <c r="A12049" s="307"/>
    </row>
    <row r="12050" ht="14.25" customHeight="1">
      <c r="A12050" s="307"/>
    </row>
    <row r="12051" ht="14.25" customHeight="1">
      <c r="A12051" s="307"/>
    </row>
    <row r="12052" ht="14.25" customHeight="1">
      <c r="A12052" s="307"/>
    </row>
    <row r="12053" ht="14.25" customHeight="1">
      <c r="A12053" s="307"/>
    </row>
    <row r="12054" ht="14.25" customHeight="1">
      <c r="A12054" s="307"/>
    </row>
    <row r="12055" ht="14.25" customHeight="1">
      <c r="A12055" s="307"/>
    </row>
    <row r="12056" ht="14.25" customHeight="1">
      <c r="A12056" s="307"/>
    </row>
    <row r="12057" ht="14.25" customHeight="1">
      <c r="A12057" s="307"/>
    </row>
    <row r="12058" ht="14.25" customHeight="1">
      <c r="A12058" s="307"/>
    </row>
    <row r="12059" ht="14.25" customHeight="1">
      <c r="A12059" s="307"/>
    </row>
    <row r="12060" ht="14.25" customHeight="1">
      <c r="A12060" s="307"/>
    </row>
    <row r="12061" ht="14.25" customHeight="1">
      <c r="A12061" s="307"/>
    </row>
    <row r="12062" ht="14.25" customHeight="1">
      <c r="A12062" s="307"/>
    </row>
    <row r="12063" ht="14.25" customHeight="1">
      <c r="A12063" s="307"/>
    </row>
    <row r="12064" ht="14.25" customHeight="1">
      <c r="A12064" s="307"/>
    </row>
    <row r="12065" ht="14.25" customHeight="1">
      <c r="A12065" s="307"/>
    </row>
    <row r="12066" ht="14.25" customHeight="1">
      <c r="A12066" s="307"/>
    </row>
    <row r="12067" ht="14.25" customHeight="1">
      <c r="A12067" s="307"/>
    </row>
    <row r="12068" ht="14.25" customHeight="1">
      <c r="A12068" s="307"/>
    </row>
    <row r="12069" ht="14.25" customHeight="1">
      <c r="A12069" s="307"/>
    </row>
    <row r="12070" ht="14.25" customHeight="1">
      <c r="A12070" s="307"/>
    </row>
    <row r="12071" ht="14.25" customHeight="1">
      <c r="A12071" s="307"/>
    </row>
    <row r="12072" ht="14.25" customHeight="1">
      <c r="A12072" s="307"/>
    </row>
    <row r="12073" ht="14.25" customHeight="1">
      <c r="A12073" s="307"/>
    </row>
    <row r="12074" ht="14.25" customHeight="1">
      <c r="A12074" s="307"/>
    </row>
    <row r="12075" ht="14.25" customHeight="1">
      <c r="A12075" s="307"/>
    </row>
    <row r="12076" ht="14.25" customHeight="1">
      <c r="A12076" s="307"/>
    </row>
    <row r="12077" ht="14.25" customHeight="1">
      <c r="A12077" s="307"/>
    </row>
    <row r="12078" ht="14.25" customHeight="1">
      <c r="A12078" s="307"/>
    </row>
    <row r="12079" ht="14.25" customHeight="1">
      <c r="A12079" s="307"/>
    </row>
    <row r="12080" ht="14.25" customHeight="1">
      <c r="A12080" s="307"/>
    </row>
    <row r="12081" ht="14.25" customHeight="1">
      <c r="A12081" s="307"/>
    </row>
    <row r="12082" ht="14.25" customHeight="1">
      <c r="A12082" s="307"/>
    </row>
    <row r="12083" ht="14.25" customHeight="1">
      <c r="A12083" s="307"/>
    </row>
    <row r="12084" ht="14.25" customHeight="1">
      <c r="A12084" s="307"/>
    </row>
    <row r="12085" ht="14.25" customHeight="1">
      <c r="A12085" s="307"/>
    </row>
    <row r="12086" ht="14.25" customHeight="1">
      <c r="A12086" s="307"/>
    </row>
    <row r="12087" ht="14.25" customHeight="1">
      <c r="A12087" s="307"/>
    </row>
    <row r="12088" ht="14.25" customHeight="1">
      <c r="A12088" s="307"/>
    </row>
    <row r="12089" ht="14.25" customHeight="1">
      <c r="A12089" s="307"/>
    </row>
    <row r="12090" ht="14.25" customHeight="1">
      <c r="A12090" s="307"/>
    </row>
    <row r="12091" ht="14.25" customHeight="1">
      <c r="A12091" s="307"/>
    </row>
    <row r="12092" ht="14.25" customHeight="1">
      <c r="A12092" s="307"/>
    </row>
    <row r="12093" ht="14.25" customHeight="1">
      <c r="A12093" s="307"/>
    </row>
    <row r="12094" ht="14.25" customHeight="1">
      <c r="A12094" s="307"/>
    </row>
    <row r="12095" ht="14.25" customHeight="1">
      <c r="A12095" s="307"/>
    </row>
    <row r="12096" ht="14.25" customHeight="1">
      <c r="A12096" s="307"/>
    </row>
    <row r="12097" ht="14.25" customHeight="1">
      <c r="A12097" s="307"/>
    </row>
    <row r="12098" ht="14.25" customHeight="1">
      <c r="A12098" s="307"/>
    </row>
    <row r="12099" ht="14.25" customHeight="1">
      <c r="A12099" s="307"/>
    </row>
    <row r="12100" ht="14.25" customHeight="1">
      <c r="A12100" s="307"/>
    </row>
    <row r="12101" ht="14.25" customHeight="1">
      <c r="A12101" s="307"/>
    </row>
    <row r="12102" ht="14.25" customHeight="1">
      <c r="A12102" s="307"/>
    </row>
    <row r="12103" ht="14.25" customHeight="1">
      <c r="A12103" s="307"/>
    </row>
    <row r="12104" ht="14.25" customHeight="1">
      <c r="A12104" s="307"/>
    </row>
    <row r="12105" ht="14.25" customHeight="1">
      <c r="A12105" s="307"/>
    </row>
    <row r="12106" ht="14.25" customHeight="1">
      <c r="A12106" s="307"/>
    </row>
    <row r="12107" ht="14.25" customHeight="1">
      <c r="A12107" s="307"/>
    </row>
    <row r="12108" ht="14.25" customHeight="1">
      <c r="A12108" s="307"/>
    </row>
    <row r="12109" ht="14.25" customHeight="1">
      <c r="A12109" s="307"/>
    </row>
    <row r="12110" ht="14.25" customHeight="1">
      <c r="A12110" s="307"/>
    </row>
    <row r="12111" ht="14.25" customHeight="1">
      <c r="A12111" s="307"/>
    </row>
    <row r="12112" ht="14.25" customHeight="1">
      <c r="A12112" s="307"/>
    </row>
    <row r="12113" ht="14.25" customHeight="1">
      <c r="A12113" s="307"/>
    </row>
    <row r="12114" ht="14.25" customHeight="1">
      <c r="A12114" s="307"/>
    </row>
    <row r="12115" ht="14.25" customHeight="1">
      <c r="A12115" s="307"/>
    </row>
    <row r="12116" ht="14.25" customHeight="1">
      <c r="A12116" s="307"/>
    </row>
    <row r="12117" ht="14.25" customHeight="1">
      <c r="A12117" s="307"/>
    </row>
    <row r="12118" ht="14.25" customHeight="1">
      <c r="A12118" s="307"/>
    </row>
    <row r="12119" ht="14.25" customHeight="1">
      <c r="A12119" s="307"/>
    </row>
    <row r="12120" ht="14.25" customHeight="1">
      <c r="A12120" s="307"/>
    </row>
    <row r="12121" ht="14.25" customHeight="1">
      <c r="A12121" s="307"/>
    </row>
    <row r="12122" ht="14.25" customHeight="1">
      <c r="A12122" s="307"/>
    </row>
    <row r="12123" ht="14.25" customHeight="1">
      <c r="A12123" s="307"/>
    </row>
    <row r="12124" ht="14.25" customHeight="1">
      <c r="A12124" s="307"/>
    </row>
    <row r="12125" ht="14.25" customHeight="1">
      <c r="A12125" s="307"/>
    </row>
    <row r="12126" ht="14.25" customHeight="1">
      <c r="A12126" s="307"/>
    </row>
    <row r="12127" ht="14.25" customHeight="1">
      <c r="A12127" s="307"/>
    </row>
    <row r="12128" ht="14.25" customHeight="1">
      <c r="A12128" s="307"/>
    </row>
    <row r="12129" ht="14.25" customHeight="1">
      <c r="A12129" s="307"/>
    </row>
    <row r="12130" ht="14.25" customHeight="1">
      <c r="A12130" s="307"/>
    </row>
    <row r="12131" ht="14.25" customHeight="1">
      <c r="A12131" s="307"/>
    </row>
    <row r="12132" ht="14.25" customHeight="1">
      <c r="A12132" s="307"/>
    </row>
    <row r="12133" ht="14.25" customHeight="1">
      <c r="A12133" s="307"/>
    </row>
    <row r="12134" ht="14.25" customHeight="1">
      <c r="A12134" s="307"/>
    </row>
    <row r="12135" ht="14.25" customHeight="1">
      <c r="A12135" s="307"/>
    </row>
    <row r="12136" ht="14.25" customHeight="1">
      <c r="A12136" s="307"/>
    </row>
    <row r="12137" ht="14.25" customHeight="1">
      <c r="A12137" s="307"/>
    </row>
    <row r="12138" ht="14.25" customHeight="1">
      <c r="A12138" s="307"/>
    </row>
    <row r="12139" ht="14.25" customHeight="1">
      <c r="A12139" s="307"/>
    </row>
    <row r="12140" ht="14.25" customHeight="1">
      <c r="A12140" s="307"/>
    </row>
    <row r="12141" ht="14.25" customHeight="1">
      <c r="A12141" s="307"/>
    </row>
    <row r="12142" ht="14.25" customHeight="1">
      <c r="A12142" s="307"/>
    </row>
    <row r="12143" ht="14.25" customHeight="1">
      <c r="A12143" s="307"/>
    </row>
    <row r="12144" ht="14.25" customHeight="1">
      <c r="A12144" s="307"/>
    </row>
    <row r="12145" ht="14.25" customHeight="1">
      <c r="A12145" s="307"/>
    </row>
    <row r="12146" ht="14.25" customHeight="1">
      <c r="A12146" s="307"/>
    </row>
    <row r="12147" ht="14.25" customHeight="1">
      <c r="A12147" s="307"/>
    </row>
    <row r="12148" ht="14.25" customHeight="1">
      <c r="A12148" s="307"/>
    </row>
    <row r="12149" ht="14.25" customHeight="1">
      <c r="A12149" s="307"/>
    </row>
    <row r="12150" ht="14.25" customHeight="1">
      <c r="A12150" s="307"/>
    </row>
    <row r="12151" ht="14.25" customHeight="1">
      <c r="A12151" s="307"/>
    </row>
    <row r="12152" ht="14.25" customHeight="1">
      <c r="A12152" s="307"/>
    </row>
    <row r="12153" ht="14.25" customHeight="1">
      <c r="A12153" s="307"/>
    </row>
    <row r="12154" ht="14.25" customHeight="1">
      <c r="A12154" s="307"/>
    </row>
    <row r="12155" ht="14.25" customHeight="1">
      <c r="A12155" s="307"/>
    </row>
    <row r="12156" ht="14.25" customHeight="1">
      <c r="A12156" s="307"/>
    </row>
    <row r="12157" ht="14.25" customHeight="1">
      <c r="A12157" s="307"/>
    </row>
    <row r="12158" ht="14.25" customHeight="1">
      <c r="A12158" s="307"/>
    </row>
    <row r="12159" ht="14.25" customHeight="1">
      <c r="A12159" s="307"/>
    </row>
    <row r="12160" ht="14.25" customHeight="1">
      <c r="A12160" s="307"/>
    </row>
    <row r="12161" ht="14.25" customHeight="1">
      <c r="A12161" s="307"/>
    </row>
    <row r="12162" ht="14.25" customHeight="1">
      <c r="A12162" s="307"/>
    </row>
    <row r="12163" ht="14.25" customHeight="1">
      <c r="A12163" s="307"/>
    </row>
    <row r="12164" ht="14.25" customHeight="1">
      <c r="A12164" s="307"/>
    </row>
    <row r="12165" ht="14.25" customHeight="1">
      <c r="A12165" s="307"/>
    </row>
    <row r="12166" ht="14.25" customHeight="1">
      <c r="A12166" s="307"/>
    </row>
    <row r="12167" ht="14.25" customHeight="1">
      <c r="A12167" s="307"/>
    </row>
    <row r="12168" ht="14.25" customHeight="1">
      <c r="A12168" s="307"/>
    </row>
    <row r="12169" ht="14.25" customHeight="1">
      <c r="A12169" s="307"/>
    </row>
    <row r="12170" ht="14.25" customHeight="1">
      <c r="A12170" s="307"/>
    </row>
    <row r="12171" ht="14.25" customHeight="1">
      <c r="A12171" s="307"/>
    </row>
    <row r="12172" ht="14.25" customHeight="1">
      <c r="A12172" s="307"/>
    </row>
    <row r="12173" ht="14.25" customHeight="1">
      <c r="A12173" s="307"/>
    </row>
    <row r="12174" ht="14.25" customHeight="1">
      <c r="A12174" s="307"/>
    </row>
    <row r="12175" ht="14.25" customHeight="1">
      <c r="A12175" s="307"/>
    </row>
    <row r="12176" ht="14.25" customHeight="1">
      <c r="A12176" s="307"/>
    </row>
    <row r="12177" ht="14.25" customHeight="1">
      <c r="A12177" s="307"/>
    </row>
    <row r="12178" ht="14.25" customHeight="1">
      <c r="A12178" s="307"/>
    </row>
    <row r="12179" ht="14.25" customHeight="1">
      <c r="A12179" s="307"/>
    </row>
    <row r="12180" ht="14.25" customHeight="1">
      <c r="A12180" s="307"/>
    </row>
    <row r="12181" ht="14.25" customHeight="1">
      <c r="A12181" s="307"/>
    </row>
    <row r="12182" ht="14.25" customHeight="1">
      <c r="A12182" s="307"/>
    </row>
    <row r="12183" ht="14.25" customHeight="1">
      <c r="A12183" s="307"/>
    </row>
    <row r="12184" ht="14.25" customHeight="1">
      <c r="A12184" s="307"/>
    </row>
    <row r="12185" ht="14.25" customHeight="1">
      <c r="A12185" s="307"/>
    </row>
    <row r="12186" ht="14.25" customHeight="1">
      <c r="A12186" s="307"/>
    </row>
    <row r="12187" ht="14.25" customHeight="1">
      <c r="A12187" s="307"/>
    </row>
    <row r="12188" ht="14.25" customHeight="1">
      <c r="A12188" s="307"/>
    </row>
    <row r="12189" ht="14.25" customHeight="1">
      <c r="A12189" s="307"/>
    </row>
    <row r="12190" ht="14.25" customHeight="1">
      <c r="A12190" s="307"/>
    </row>
    <row r="12191" ht="14.25" customHeight="1">
      <c r="A12191" s="307"/>
    </row>
    <row r="12192" ht="14.25" customHeight="1">
      <c r="A12192" s="307"/>
    </row>
    <row r="12193" ht="14.25" customHeight="1">
      <c r="A12193" s="307"/>
    </row>
    <row r="12194" ht="14.25" customHeight="1">
      <c r="A12194" s="307"/>
    </row>
    <row r="12195" ht="14.25" customHeight="1">
      <c r="A12195" s="307"/>
    </row>
    <row r="12196" ht="14.25" customHeight="1">
      <c r="A12196" s="307"/>
    </row>
    <row r="12197" ht="14.25" customHeight="1">
      <c r="A12197" s="307"/>
    </row>
    <row r="12198" ht="14.25" customHeight="1">
      <c r="A12198" s="307"/>
    </row>
    <row r="12199" ht="14.25" customHeight="1">
      <c r="A12199" s="307"/>
    </row>
    <row r="12200" ht="14.25" customHeight="1">
      <c r="A12200" s="307"/>
    </row>
    <row r="12201" ht="14.25" customHeight="1">
      <c r="A12201" s="307"/>
    </row>
    <row r="12202" ht="14.25" customHeight="1">
      <c r="A12202" s="307"/>
    </row>
    <row r="12203" ht="14.25" customHeight="1">
      <c r="A12203" s="307"/>
    </row>
    <row r="12204" ht="14.25" customHeight="1">
      <c r="A12204" s="307"/>
    </row>
    <row r="12205" ht="14.25" customHeight="1">
      <c r="A12205" s="307"/>
    </row>
    <row r="12206" ht="14.25" customHeight="1">
      <c r="A12206" s="307"/>
    </row>
    <row r="12207" ht="14.25" customHeight="1">
      <c r="A12207" s="307"/>
    </row>
    <row r="12208" ht="14.25" customHeight="1">
      <c r="A12208" s="307"/>
    </row>
    <row r="12209" ht="14.25" customHeight="1">
      <c r="A12209" s="307"/>
    </row>
    <row r="12210" ht="14.25" customHeight="1">
      <c r="A12210" s="307"/>
    </row>
    <row r="12211" ht="14.25" customHeight="1">
      <c r="A12211" s="307"/>
    </row>
    <row r="12212" ht="14.25" customHeight="1">
      <c r="A12212" s="307"/>
    </row>
    <row r="12213" ht="14.25" customHeight="1">
      <c r="A12213" s="307"/>
    </row>
    <row r="12214" ht="14.25" customHeight="1">
      <c r="A12214" s="307"/>
    </row>
    <row r="12215" ht="14.25" customHeight="1">
      <c r="A12215" s="307"/>
    </row>
    <row r="12216" ht="14.25" customHeight="1">
      <c r="A12216" s="307"/>
    </row>
    <row r="12217" ht="14.25" customHeight="1">
      <c r="A12217" s="307"/>
    </row>
    <row r="12218" ht="14.25" customHeight="1">
      <c r="A12218" s="307"/>
    </row>
    <row r="12219" ht="14.25" customHeight="1">
      <c r="A12219" s="307"/>
    </row>
    <row r="12220" ht="14.25" customHeight="1">
      <c r="A12220" s="307"/>
    </row>
    <row r="12221" ht="14.25" customHeight="1">
      <c r="A12221" s="307"/>
    </row>
    <row r="12222" ht="14.25" customHeight="1">
      <c r="A12222" s="307"/>
    </row>
    <row r="12223" ht="14.25" customHeight="1">
      <c r="A12223" s="307"/>
    </row>
    <row r="12224" ht="14.25" customHeight="1">
      <c r="A12224" s="307"/>
    </row>
    <row r="12225" ht="14.25" customHeight="1">
      <c r="A12225" s="307"/>
    </row>
    <row r="12226" ht="14.25" customHeight="1">
      <c r="A12226" s="307"/>
    </row>
    <row r="12227" ht="14.25" customHeight="1">
      <c r="A12227" s="307"/>
    </row>
    <row r="12228" ht="14.25" customHeight="1">
      <c r="A12228" s="307"/>
    </row>
    <row r="12229" ht="14.25" customHeight="1">
      <c r="A12229" s="307"/>
    </row>
    <row r="12230" ht="14.25" customHeight="1">
      <c r="A12230" s="307"/>
    </row>
    <row r="12231" ht="14.25" customHeight="1">
      <c r="A12231" s="307"/>
    </row>
    <row r="12232" ht="14.25" customHeight="1">
      <c r="A12232" s="307"/>
    </row>
    <row r="12233" ht="14.25" customHeight="1">
      <c r="A12233" s="307"/>
    </row>
    <row r="12234" ht="14.25" customHeight="1">
      <c r="A12234" s="307"/>
    </row>
    <row r="12235" ht="14.25" customHeight="1">
      <c r="A12235" s="307"/>
    </row>
    <row r="12236" ht="14.25" customHeight="1">
      <c r="A12236" s="307"/>
    </row>
    <row r="12237" ht="14.25" customHeight="1">
      <c r="A12237" s="307"/>
    </row>
    <row r="12238" ht="14.25" customHeight="1">
      <c r="A12238" s="307"/>
    </row>
    <row r="12239" ht="14.25" customHeight="1">
      <c r="A12239" s="307"/>
    </row>
    <row r="12240" ht="14.25" customHeight="1">
      <c r="A12240" s="307"/>
    </row>
    <row r="12241" ht="14.25" customHeight="1">
      <c r="A12241" s="307"/>
    </row>
    <row r="12242" ht="14.25" customHeight="1">
      <c r="A12242" s="307"/>
    </row>
    <row r="12243" ht="14.25" customHeight="1">
      <c r="A12243" s="307"/>
    </row>
    <row r="12244" ht="14.25" customHeight="1">
      <c r="A12244" s="307"/>
    </row>
    <row r="12245" ht="14.25" customHeight="1">
      <c r="A12245" s="307"/>
    </row>
    <row r="12246" ht="14.25" customHeight="1">
      <c r="A12246" s="307"/>
    </row>
    <row r="12247" ht="14.25" customHeight="1">
      <c r="A12247" s="307"/>
    </row>
    <row r="12248" ht="14.25" customHeight="1">
      <c r="A12248" s="307"/>
    </row>
    <row r="12249" ht="14.25" customHeight="1">
      <c r="A12249" s="307"/>
    </row>
    <row r="12250" ht="14.25" customHeight="1">
      <c r="A12250" s="307"/>
    </row>
    <row r="12251" ht="14.25" customHeight="1">
      <c r="A12251" s="307"/>
    </row>
    <row r="12252" ht="14.25" customHeight="1">
      <c r="A12252" s="307"/>
    </row>
    <row r="12253" ht="14.25" customHeight="1">
      <c r="A12253" s="307"/>
    </row>
    <row r="12254" ht="14.25" customHeight="1">
      <c r="A12254" s="307"/>
    </row>
    <row r="12255" ht="14.25" customHeight="1">
      <c r="A12255" s="307"/>
    </row>
    <row r="12256" ht="14.25" customHeight="1">
      <c r="A12256" s="307"/>
    </row>
    <row r="12257" ht="14.25" customHeight="1">
      <c r="A12257" s="307"/>
    </row>
    <row r="12258" ht="14.25" customHeight="1">
      <c r="A12258" s="307"/>
    </row>
    <row r="12259" ht="14.25" customHeight="1">
      <c r="A12259" s="307"/>
    </row>
    <row r="12260" ht="14.25" customHeight="1">
      <c r="A12260" s="307"/>
    </row>
    <row r="12261" ht="14.25" customHeight="1">
      <c r="A12261" s="307"/>
    </row>
    <row r="12262" ht="14.25" customHeight="1">
      <c r="A12262" s="307"/>
    </row>
    <row r="12263" ht="14.25" customHeight="1">
      <c r="A12263" s="307"/>
    </row>
    <row r="12264" ht="14.25" customHeight="1">
      <c r="A12264" s="307"/>
    </row>
    <row r="12265" ht="14.25" customHeight="1">
      <c r="A12265" s="307"/>
    </row>
    <row r="12266" ht="14.25" customHeight="1">
      <c r="A12266" s="307"/>
    </row>
    <row r="12267" ht="14.25" customHeight="1">
      <c r="A12267" s="307"/>
    </row>
    <row r="12268" ht="14.25" customHeight="1">
      <c r="A12268" s="307"/>
    </row>
    <row r="12269" ht="14.25" customHeight="1">
      <c r="A12269" s="307"/>
    </row>
    <row r="12270" ht="14.25" customHeight="1">
      <c r="A12270" s="307"/>
    </row>
    <row r="12271" ht="14.25" customHeight="1">
      <c r="A12271" s="307"/>
    </row>
    <row r="12272" ht="14.25" customHeight="1">
      <c r="A12272" s="307"/>
    </row>
    <row r="12273" ht="14.25" customHeight="1">
      <c r="A12273" s="307"/>
    </row>
    <row r="12274" ht="14.25" customHeight="1">
      <c r="A12274" s="307"/>
    </row>
    <row r="12275" ht="14.25" customHeight="1">
      <c r="A12275" s="307"/>
    </row>
    <row r="12276" ht="14.25" customHeight="1">
      <c r="A12276" s="307"/>
    </row>
    <row r="12277" ht="14.25" customHeight="1">
      <c r="A12277" s="307"/>
    </row>
    <row r="12278" ht="14.25" customHeight="1">
      <c r="A12278" s="307"/>
    </row>
    <row r="12279" ht="14.25" customHeight="1">
      <c r="A12279" s="307"/>
    </row>
    <row r="12280" ht="14.25" customHeight="1">
      <c r="A12280" s="307"/>
    </row>
    <row r="12281" ht="14.25" customHeight="1">
      <c r="A12281" s="307"/>
    </row>
    <row r="12282" ht="14.25" customHeight="1">
      <c r="A12282" s="307"/>
    </row>
    <row r="12283" ht="14.25" customHeight="1">
      <c r="A12283" s="307"/>
    </row>
    <row r="12284" ht="14.25" customHeight="1">
      <c r="A12284" s="307"/>
    </row>
    <row r="12285" ht="14.25" customHeight="1">
      <c r="A12285" s="307"/>
    </row>
    <row r="12286" ht="14.25" customHeight="1">
      <c r="A12286" s="307"/>
    </row>
    <row r="12287" ht="14.25" customHeight="1">
      <c r="A12287" s="307"/>
    </row>
    <row r="12288" ht="14.25" customHeight="1">
      <c r="A12288" s="307"/>
    </row>
    <row r="12289" ht="14.25" customHeight="1">
      <c r="A12289" s="307"/>
    </row>
    <row r="12290" ht="14.25" customHeight="1">
      <c r="A12290" s="307"/>
    </row>
    <row r="12291" ht="14.25" customHeight="1">
      <c r="A12291" s="307"/>
    </row>
    <row r="12292" ht="14.25" customHeight="1">
      <c r="A12292" s="307"/>
    </row>
    <row r="12293" ht="14.25" customHeight="1">
      <c r="A12293" s="307"/>
    </row>
    <row r="12294" ht="14.25" customHeight="1">
      <c r="A12294" s="307"/>
    </row>
    <row r="12295" ht="14.25" customHeight="1">
      <c r="A12295" s="307"/>
    </row>
    <row r="12296" ht="14.25" customHeight="1">
      <c r="A12296" s="307"/>
    </row>
    <row r="12297" ht="14.25" customHeight="1">
      <c r="A12297" s="307"/>
    </row>
    <row r="12298" ht="14.25" customHeight="1">
      <c r="A12298" s="307"/>
    </row>
    <row r="12299" ht="14.25" customHeight="1">
      <c r="A12299" s="307"/>
    </row>
    <row r="12300" ht="14.25" customHeight="1">
      <c r="A12300" s="307"/>
    </row>
    <row r="12301" ht="14.25" customHeight="1">
      <c r="A12301" s="307"/>
    </row>
    <row r="12302" ht="14.25" customHeight="1">
      <c r="A12302" s="307"/>
    </row>
    <row r="12303" ht="14.25" customHeight="1">
      <c r="A12303" s="307"/>
    </row>
    <row r="12304" ht="14.25" customHeight="1">
      <c r="A12304" s="307"/>
    </row>
    <row r="12305" ht="14.25" customHeight="1">
      <c r="A12305" s="307"/>
    </row>
    <row r="12306" ht="14.25" customHeight="1">
      <c r="A12306" s="307"/>
    </row>
    <row r="12307" ht="14.25" customHeight="1">
      <c r="A12307" s="307"/>
    </row>
    <row r="12308" ht="14.25" customHeight="1">
      <c r="A12308" s="307"/>
    </row>
    <row r="12309" ht="14.25" customHeight="1">
      <c r="A12309" s="307"/>
    </row>
    <row r="12310" ht="14.25" customHeight="1">
      <c r="A12310" s="307"/>
    </row>
    <row r="12311" ht="14.25" customHeight="1">
      <c r="A12311" s="307"/>
    </row>
    <row r="12312" ht="14.25" customHeight="1">
      <c r="A12312" s="307"/>
    </row>
    <row r="12313" ht="14.25" customHeight="1">
      <c r="A12313" s="307"/>
    </row>
    <row r="12314" ht="14.25" customHeight="1">
      <c r="A12314" s="307"/>
    </row>
    <row r="12315" ht="14.25" customHeight="1">
      <c r="A12315" s="307"/>
    </row>
    <row r="12316" ht="14.25" customHeight="1">
      <c r="A12316" s="307"/>
    </row>
    <row r="12317" ht="14.25" customHeight="1">
      <c r="A12317" s="307"/>
    </row>
    <row r="12318" ht="14.25" customHeight="1">
      <c r="A12318" s="307"/>
    </row>
    <row r="12319" ht="14.25" customHeight="1">
      <c r="A12319" s="307"/>
    </row>
    <row r="12320" ht="14.25" customHeight="1">
      <c r="A12320" s="307"/>
    </row>
    <row r="12321" ht="14.25" customHeight="1">
      <c r="A12321" s="307"/>
    </row>
    <row r="12322" ht="14.25" customHeight="1">
      <c r="A12322" s="307"/>
    </row>
    <row r="12323" ht="14.25" customHeight="1">
      <c r="A12323" s="307"/>
    </row>
    <row r="12324" ht="14.25" customHeight="1">
      <c r="A12324" s="307"/>
    </row>
    <row r="12325" ht="14.25" customHeight="1">
      <c r="A12325" s="307"/>
    </row>
    <row r="12326" ht="14.25" customHeight="1">
      <c r="A12326" s="307"/>
    </row>
    <row r="12327" ht="14.25" customHeight="1">
      <c r="A12327" s="307"/>
    </row>
    <row r="12328" ht="14.25" customHeight="1">
      <c r="A12328" s="307"/>
    </row>
    <row r="12329" ht="14.25" customHeight="1">
      <c r="A12329" s="307"/>
    </row>
    <row r="12330" ht="14.25" customHeight="1">
      <c r="A12330" s="307"/>
    </row>
    <row r="12331" ht="14.25" customHeight="1">
      <c r="A12331" s="307"/>
    </row>
    <row r="12332" ht="14.25" customHeight="1">
      <c r="A12332" s="307"/>
    </row>
    <row r="12333" ht="14.25" customHeight="1">
      <c r="A12333" s="307"/>
    </row>
    <row r="12334" ht="14.25" customHeight="1">
      <c r="A12334" s="307"/>
    </row>
    <row r="12335" ht="14.25" customHeight="1">
      <c r="A12335" s="307"/>
    </row>
    <row r="12336" ht="14.25" customHeight="1">
      <c r="A12336" s="307"/>
    </row>
    <row r="12337" ht="14.25" customHeight="1">
      <c r="A12337" s="307"/>
    </row>
    <row r="12338" ht="14.25" customHeight="1">
      <c r="A12338" s="307"/>
    </row>
    <row r="12339" ht="14.25" customHeight="1">
      <c r="A12339" s="307"/>
    </row>
    <row r="12340" ht="14.25" customHeight="1">
      <c r="A12340" s="307"/>
    </row>
    <row r="12341" ht="14.25" customHeight="1">
      <c r="A12341" s="307"/>
    </row>
    <row r="12342" ht="14.25" customHeight="1">
      <c r="A12342" s="307"/>
    </row>
    <row r="12343" ht="14.25" customHeight="1">
      <c r="A12343" s="307"/>
    </row>
    <row r="12344" ht="14.25" customHeight="1">
      <c r="A12344" s="307"/>
    </row>
    <row r="12345" ht="14.25" customHeight="1">
      <c r="A12345" s="307"/>
    </row>
    <row r="12346" ht="14.25" customHeight="1">
      <c r="A12346" s="307"/>
    </row>
    <row r="12347" ht="14.25" customHeight="1">
      <c r="A12347" s="307"/>
    </row>
    <row r="12348" ht="14.25" customHeight="1">
      <c r="A12348" s="307"/>
    </row>
    <row r="12349" ht="14.25" customHeight="1">
      <c r="A12349" s="307"/>
    </row>
    <row r="12350" ht="14.25" customHeight="1">
      <c r="A12350" s="307"/>
    </row>
    <row r="12351" ht="14.25" customHeight="1">
      <c r="A12351" s="307"/>
    </row>
    <row r="12352" ht="14.25" customHeight="1">
      <c r="A12352" s="307"/>
    </row>
    <row r="12353" ht="14.25" customHeight="1">
      <c r="A12353" s="307"/>
    </row>
    <row r="12354" ht="14.25" customHeight="1">
      <c r="A12354" s="307"/>
    </row>
    <row r="12355" ht="14.25" customHeight="1">
      <c r="A12355" s="307"/>
    </row>
    <row r="12356" ht="14.25" customHeight="1">
      <c r="A12356" s="307"/>
    </row>
    <row r="12357" ht="14.25" customHeight="1">
      <c r="A12357" s="307"/>
    </row>
    <row r="12358" ht="14.25" customHeight="1">
      <c r="A12358" s="307"/>
    </row>
    <row r="12359" ht="14.25" customHeight="1">
      <c r="A12359" s="307"/>
    </row>
    <row r="12360" ht="14.25" customHeight="1">
      <c r="A12360" s="307"/>
    </row>
    <row r="12361" ht="14.25" customHeight="1">
      <c r="A12361" s="307"/>
    </row>
    <row r="12362" ht="14.25" customHeight="1">
      <c r="A12362" s="307"/>
    </row>
    <row r="12363" ht="14.25" customHeight="1">
      <c r="A12363" s="307"/>
    </row>
    <row r="12364" ht="14.25" customHeight="1">
      <c r="A12364" s="307"/>
    </row>
    <row r="12365" ht="14.25" customHeight="1">
      <c r="A12365" s="307"/>
    </row>
    <row r="12366" ht="14.25" customHeight="1">
      <c r="A12366" s="307"/>
    </row>
    <row r="12367" ht="14.25" customHeight="1">
      <c r="A12367" s="307"/>
    </row>
    <row r="12368" ht="14.25" customHeight="1">
      <c r="A12368" s="307"/>
    </row>
    <row r="12369" ht="14.25" customHeight="1">
      <c r="A12369" s="307"/>
    </row>
    <row r="12370" ht="14.25" customHeight="1">
      <c r="A12370" s="307"/>
    </row>
    <row r="12371" ht="14.25" customHeight="1">
      <c r="A12371" s="307"/>
    </row>
    <row r="12372" ht="14.25" customHeight="1">
      <c r="A12372" s="307"/>
    </row>
    <row r="12373" ht="14.25" customHeight="1">
      <c r="A12373" s="307"/>
    </row>
    <row r="12374" ht="14.25" customHeight="1">
      <c r="A12374" s="307"/>
    </row>
    <row r="12375" ht="14.25" customHeight="1">
      <c r="A12375" s="307"/>
    </row>
    <row r="12376" ht="14.25" customHeight="1">
      <c r="A12376" s="307"/>
    </row>
    <row r="12377" ht="14.25" customHeight="1">
      <c r="A12377" s="307"/>
    </row>
    <row r="12378" ht="14.25" customHeight="1">
      <c r="A12378" s="307"/>
    </row>
    <row r="12379" ht="14.25" customHeight="1">
      <c r="A12379" s="307"/>
    </row>
    <row r="12380" ht="14.25" customHeight="1">
      <c r="A12380" s="307"/>
    </row>
    <row r="12381" ht="14.25" customHeight="1">
      <c r="A12381" s="307"/>
    </row>
    <row r="12382" ht="14.25" customHeight="1">
      <c r="A12382" s="307"/>
    </row>
    <row r="12383" ht="14.25" customHeight="1">
      <c r="A12383" s="307"/>
    </row>
    <row r="12384" ht="14.25" customHeight="1">
      <c r="A12384" s="307"/>
    </row>
    <row r="12385" ht="14.25" customHeight="1">
      <c r="A12385" s="307"/>
    </row>
    <row r="12386" ht="14.25" customHeight="1">
      <c r="A12386" s="307"/>
    </row>
    <row r="12387" ht="14.25" customHeight="1">
      <c r="A12387" s="307"/>
    </row>
    <row r="12388" ht="14.25" customHeight="1">
      <c r="A12388" s="307"/>
    </row>
    <row r="12389" ht="14.25" customHeight="1">
      <c r="A12389" s="307"/>
    </row>
    <row r="12390" ht="14.25" customHeight="1">
      <c r="A12390" s="307"/>
    </row>
    <row r="12391" ht="14.25" customHeight="1">
      <c r="A12391" s="307"/>
    </row>
    <row r="12392" ht="14.25" customHeight="1">
      <c r="A12392" s="307"/>
    </row>
    <row r="12393" ht="14.25" customHeight="1">
      <c r="A12393" s="307"/>
    </row>
    <row r="12394" ht="14.25" customHeight="1">
      <c r="A12394" s="307"/>
    </row>
    <row r="12395" ht="14.25" customHeight="1">
      <c r="A12395" s="307"/>
    </row>
    <row r="12396" ht="14.25" customHeight="1">
      <c r="A12396" s="307"/>
    </row>
    <row r="12397" ht="14.25" customHeight="1">
      <c r="A12397" s="307"/>
    </row>
    <row r="12398" ht="14.25" customHeight="1">
      <c r="A12398" s="307"/>
    </row>
    <row r="12399" ht="14.25" customHeight="1">
      <c r="A12399" s="307"/>
    </row>
    <row r="12400" ht="14.25" customHeight="1">
      <c r="A12400" s="307"/>
    </row>
    <row r="12401" ht="14.25" customHeight="1">
      <c r="A12401" s="307"/>
    </row>
    <row r="12402" ht="14.25" customHeight="1">
      <c r="A12402" s="307"/>
    </row>
    <row r="12403" ht="14.25" customHeight="1">
      <c r="A12403" s="307"/>
    </row>
    <row r="12404" ht="14.25" customHeight="1">
      <c r="A12404" s="307"/>
    </row>
    <row r="12405" ht="14.25" customHeight="1">
      <c r="A12405" s="307"/>
    </row>
    <row r="12406" ht="14.25" customHeight="1">
      <c r="A12406" s="307"/>
    </row>
    <row r="12407" ht="14.25" customHeight="1">
      <c r="A12407" s="307"/>
    </row>
    <row r="12408" ht="14.25" customHeight="1">
      <c r="A12408" s="307"/>
    </row>
    <row r="12409" ht="14.25" customHeight="1">
      <c r="A12409" s="307"/>
    </row>
    <row r="12410" ht="14.25" customHeight="1">
      <c r="A12410" s="307"/>
    </row>
    <row r="12411" ht="14.25" customHeight="1">
      <c r="A12411" s="307"/>
    </row>
    <row r="12412" ht="14.25" customHeight="1">
      <c r="A12412" s="307"/>
    </row>
    <row r="12413" ht="14.25" customHeight="1">
      <c r="A12413" s="307"/>
    </row>
    <row r="12414" ht="14.25" customHeight="1">
      <c r="A12414" s="307"/>
    </row>
    <row r="12415" ht="14.25" customHeight="1">
      <c r="A12415" s="307"/>
    </row>
    <row r="12416" ht="14.25" customHeight="1">
      <c r="A12416" s="307"/>
    </row>
    <row r="12417" ht="14.25" customHeight="1">
      <c r="A12417" s="307"/>
    </row>
    <row r="12418" ht="14.25" customHeight="1">
      <c r="A12418" s="307"/>
    </row>
    <row r="12419" ht="14.25" customHeight="1">
      <c r="A12419" s="307"/>
    </row>
    <row r="12420" ht="14.25" customHeight="1">
      <c r="A12420" s="307"/>
    </row>
    <row r="12421" ht="14.25" customHeight="1">
      <c r="A12421" s="307"/>
    </row>
    <row r="12422" ht="14.25" customHeight="1">
      <c r="A12422" s="307"/>
    </row>
    <row r="12423" ht="14.25" customHeight="1">
      <c r="A12423" s="307"/>
    </row>
    <row r="12424" ht="14.25" customHeight="1">
      <c r="A12424" s="307"/>
    </row>
    <row r="12425" ht="14.25" customHeight="1">
      <c r="A12425" s="307"/>
    </row>
    <row r="12426" ht="14.25" customHeight="1">
      <c r="A12426" s="307"/>
    </row>
    <row r="12427" ht="14.25" customHeight="1">
      <c r="A12427" s="307"/>
    </row>
    <row r="12428" ht="14.25" customHeight="1">
      <c r="A12428" s="307"/>
    </row>
    <row r="12429" ht="14.25" customHeight="1">
      <c r="A12429" s="307"/>
    </row>
    <row r="12430" ht="14.25" customHeight="1">
      <c r="A12430" s="307"/>
    </row>
    <row r="12431" ht="14.25" customHeight="1">
      <c r="A12431" s="307"/>
    </row>
    <row r="12432" ht="14.25" customHeight="1">
      <c r="A12432" s="307"/>
    </row>
    <row r="12433" ht="14.25" customHeight="1">
      <c r="A12433" s="307"/>
    </row>
    <row r="12434" ht="14.25" customHeight="1">
      <c r="A12434" s="307"/>
    </row>
    <row r="12435" ht="14.25" customHeight="1">
      <c r="A12435" s="307"/>
    </row>
    <row r="12436" ht="14.25" customHeight="1">
      <c r="A12436" s="307"/>
    </row>
    <row r="12437" ht="14.25" customHeight="1">
      <c r="A12437" s="307"/>
    </row>
    <row r="12438" ht="14.25" customHeight="1">
      <c r="A12438" s="307"/>
    </row>
    <row r="12439" ht="14.25" customHeight="1">
      <c r="A12439" s="307"/>
    </row>
    <row r="12440" ht="14.25" customHeight="1">
      <c r="A12440" s="307"/>
    </row>
    <row r="12441" ht="14.25" customHeight="1">
      <c r="A12441" s="307"/>
    </row>
    <row r="12442" ht="14.25" customHeight="1">
      <c r="A12442" s="307"/>
    </row>
    <row r="12443" ht="14.25" customHeight="1">
      <c r="A12443" s="307"/>
    </row>
    <row r="12444" ht="14.25" customHeight="1">
      <c r="A12444" s="307"/>
    </row>
    <row r="12445" ht="14.25" customHeight="1">
      <c r="A12445" s="307"/>
    </row>
    <row r="12446" ht="14.25" customHeight="1">
      <c r="A12446" s="307"/>
    </row>
    <row r="12447" ht="14.25" customHeight="1">
      <c r="A12447" s="307"/>
    </row>
    <row r="12448" ht="14.25" customHeight="1">
      <c r="A12448" s="307"/>
    </row>
    <row r="12449" ht="14.25" customHeight="1">
      <c r="A12449" s="307"/>
    </row>
    <row r="12450" ht="14.25" customHeight="1">
      <c r="A12450" s="307"/>
    </row>
    <row r="12451" ht="14.25" customHeight="1">
      <c r="A12451" s="307"/>
    </row>
    <row r="12452" ht="14.25" customHeight="1">
      <c r="A12452" s="307"/>
    </row>
    <row r="12453" ht="14.25" customHeight="1">
      <c r="A12453" s="307"/>
    </row>
    <row r="12454" ht="14.25" customHeight="1">
      <c r="A12454" s="307"/>
    </row>
    <row r="12455" ht="14.25" customHeight="1">
      <c r="A12455" s="307"/>
    </row>
    <row r="12456" ht="14.25" customHeight="1">
      <c r="A12456" s="307"/>
    </row>
    <row r="12457" ht="14.25" customHeight="1">
      <c r="A12457" s="307"/>
    </row>
    <row r="12458" ht="14.25" customHeight="1">
      <c r="A12458" s="307"/>
    </row>
    <row r="12459" ht="14.25" customHeight="1">
      <c r="A12459" s="307"/>
    </row>
    <row r="12460" ht="14.25" customHeight="1">
      <c r="A12460" s="307"/>
    </row>
    <row r="12461" ht="14.25" customHeight="1">
      <c r="A12461" s="307"/>
    </row>
    <row r="12462" ht="14.25" customHeight="1">
      <c r="A12462" s="307"/>
    </row>
    <row r="12463" ht="14.25" customHeight="1">
      <c r="A12463" s="307"/>
    </row>
    <row r="12464" ht="14.25" customHeight="1">
      <c r="A12464" s="307"/>
    </row>
    <row r="12465" ht="14.25" customHeight="1">
      <c r="A12465" s="307"/>
    </row>
    <row r="12466" ht="14.25" customHeight="1">
      <c r="A12466" s="307"/>
    </row>
    <row r="12467" ht="14.25" customHeight="1">
      <c r="A12467" s="307"/>
    </row>
    <row r="12468" ht="14.25" customHeight="1">
      <c r="A12468" s="307"/>
    </row>
    <row r="12469" ht="14.25" customHeight="1">
      <c r="A12469" s="307"/>
    </row>
    <row r="12470" ht="14.25" customHeight="1">
      <c r="A12470" s="307"/>
    </row>
    <row r="12471" ht="14.25" customHeight="1">
      <c r="A12471" s="307"/>
    </row>
    <row r="12472" ht="14.25" customHeight="1">
      <c r="A12472" s="307"/>
    </row>
    <row r="12473" ht="14.25" customHeight="1">
      <c r="A12473" s="307"/>
    </row>
    <row r="12474" ht="14.25" customHeight="1">
      <c r="A12474" s="307"/>
    </row>
    <row r="12475" ht="14.25" customHeight="1">
      <c r="A12475" s="307"/>
    </row>
    <row r="12476" ht="14.25" customHeight="1">
      <c r="A12476" s="307"/>
    </row>
    <row r="12477" ht="14.25" customHeight="1">
      <c r="A12477" s="307"/>
    </row>
    <row r="12478" ht="14.25" customHeight="1">
      <c r="A12478" s="307"/>
    </row>
    <row r="12479" ht="14.25" customHeight="1">
      <c r="A12479" s="307"/>
    </row>
    <row r="12480" ht="14.25" customHeight="1">
      <c r="A12480" s="307"/>
    </row>
    <row r="12481" ht="14.25" customHeight="1">
      <c r="A12481" s="307"/>
    </row>
    <row r="12482" ht="14.25" customHeight="1">
      <c r="A12482" s="307"/>
    </row>
    <row r="12483" ht="14.25" customHeight="1">
      <c r="A12483" s="307"/>
    </row>
    <row r="12484" ht="14.25" customHeight="1">
      <c r="A12484" s="307"/>
    </row>
    <row r="12485" ht="14.25" customHeight="1">
      <c r="A12485" s="307"/>
    </row>
    <row r="12486" ht="14.25" customHeight="1">
      <c r="A12486" s="307"/>
    </row>
    <row r="12487" ht="14.25" customHeight="1">
      <c r="A12487" s="307"/>
    </row>
    <row r="12488" ht="14.25" customHeight="1">
      <c r="A12488" s="307"/>
    </row>
    <row r="12489" ht="14.25" customHeight="1">
      <c r="A12489" s="307"/>
    </row>
    <row r="12490" ht="14.25" customHeight="1">
      <c r="A12490" s="307"/>
    </row>
    <row r="12491" ht="14.25" customHeight="1">
      <c r="A12491" s="307"/>
    </row>
    <row r="12492" ht="14.25" customHeight="1">
      <c r="A12492" s="307"/>
    </row>
    <row r="12493" ht="14.25" customHeight="1">
      <c r="A12493" s="307"/>
    </row>
    <row r="12494" ht="14.25" customHeight="1">
      <c r="A12494" s="307"/>
    </row>
    <row r="12495" ht="14.25" customHeight="1">
      <c r="A12495" s="307"/>
    </row>
    <row r="12496" ht="14.25" customHeight="1">
      <c r="A12496" s="307"/>
    </row>
    <row r="12497" ht="14.25" customHeight="1">
      <c r="A12497" s="307"/>
    </row>
    <row r="12498" ht="14.25" customHeight="1">
      <c r="A12498" s="307"/>
    </row>
    <row r="12499" ht="14.25" customHeight="1">
      <c r="A12499" s="307"/>
    </row>
    <row r="12500" ht="14.25" customHeight="1">
      <c r="A12500" s="307"/>
    </row>
    <row r="12501" ht="14.25" customHeight="1">
      <c r="A12501" s="307"/>
    </row>
    <row r="12502" ht="14.25" customHeight="1">
      <c r="A12502" s="307"/>
    </row>
    <row r="12503" ht="14.25" customHeight="1">
      <c r="A12503" s="307"/>
    </row>
    <row r="12504" ht="14.25" customHeight="1">
      <c r="A12504" s="307"/>
    </row>
    <row r="12505" ht="14.25" customHeight="1">
      <c r="A12505" s="307"/>
    </row>
    <row r="12506" ht="14.25" customHeight="1">
      <c r="A12506" s="307"/>
    </row>
    <row r="12507" ht="14.25" customHeight="1">
      <c r="A12507" s="307"/>
    </row>
    <row r="12508" ht="14.25" customHeight="1">
      <c r="A12508" s="307"/>
    </row>
    <row r="12509" ht="14.25" customHeight="1">
      <c r="A12509" s="307"/>
    </row>
    <row r="12510" ht="14.25" customHeight="1">
      <c r="A12510" s="307"/>
    </row>
    <row r="12511" ht="14.25" customHeight="1">
      <c r="A12511" s="307"/>
    </row>
    <row r="12512" ht="14.25" customHeight="1">
      <c r="A12512" s="307"/>
    </row>
    <row r="12513" ht="14.25" customHeight="1">
      <c r="A12513" s="307"/>
    </row>
    <row r="12514" ht="14.25" customHeight="1">
      <c r="A12514" s="307"/>
    </row>
    <row r="12515" ht="14.25" customHeight="1">
      <c r="A12515" s="307"/>
    </row>
    <row r="12516" ht="14.25" customHeight="1">
      <c r="A12516" s="307"/>
    </row>
    <row r="12517" ht="14.25" customHeight="1">
      <c r="A12517" s="307"/>
    </row>
    <row r="12518" ht="14.25" customHeight="1">
      <c r="A12518" s="307"/>
    </row>
    <row r="12519" ht="14.25" customHeight="1">
      <c r="A12519" s="307"/>
    </row>
    <row r="12520" ht="14.25" customHeight="1">
      <c r="A12520" s="307"/>
    </row>
    <row r="12521" ht="14.25" customHeight="1">
      <c r="A12521" s="307"/>
    </row>
    <row r="12522" ht="14.25" customHeight="1">
      <c r="A12522" s="307"/>
    </row>
    <row r="12523" ht="14.25" customHeight="1">
      <c r="A12523" s="307"/>
    </row>
    <row r="12524" ht="14.25" customHeight="1">
      <c r="A12524" s="307"/>
    </row>
    <row r="12525" ht="14.25" customHeight="1">
      <c r="A12525" s="307"/>
    </row>
    <row r="12526" ht="14.25" customHeight="1">
      <c r="A12526" s="307"/>
    </row>
    <row r="12527" ht="14.25" customHeight="1">
      <c r="A12527" s="307"/>
    </row>
    <row r="12528" ht="14.25" customHeight="1">
      <c r="A12528" s="307"/>
    </row>
    <row r="12529" ht="14.25" customHeight="1">
      <c r="A12529" s="307"/>
    </row>
    <row r="12530" ht="14.25" customHeight="1">
      <c r="A12530" s="307"/>
    </row>
    <row r="12531" ht="14.25" customHeight="1">
      <c r="A12531" s="307"/>
    </row>
    <row r="12532" ht="14.25" customHeight="1">
      <c r="A12532" s="307"/>
    </row>
    <row r="12533" ht="14.25" customHeight="1">
      <c r="A12533" s="307"/>
    </row>
    <row r="12534" ht="14.25" customHeight="1">
      <c r="A12534" s="307"/>
    </row>
    <row r="12535" ht="14.25" customHeight="1">
      <c r="A12535" s="307"/>
    </row>
    <row r="12536" ht="14.25" customHeight="1">
      <c r="A12536" s="307"/>
    </row>
    <row r="12537" ht="14.25" customHeight="1">
      <c r="A12537" s="307"/>
    </row>
    <row r="12538" ht="14.25" customHeight="1">
      <c r="A12538" s="307"/>
    </row>
    <row r="12539" ht="14.25" customHeight="1">
      <c r="A12539" s="307"/>
    </row>
    <row r="12540" ht="14.25" customHeight="1">
      <c r="A12540" s="307"/>
    </row>
    <row r="12541" ht="14.25" customHeight="1">
      <c r="A12541" s="307"/>
    </row>
    <row r="12542" ht="14.25" customHeight="1">
      <c r="A12542" s="307"/>
    </row>
    <row r="12543" ht="14.25" customHeight="1">
      <c r="A12543" s="307"/>
    </row>
    <row r="12544" ht="14.25" customHeight="1">
      <c r="A12544" s="307"/>
    </row>
    <row r="12545" ht="14.25" customHeight="1">
      <c r="A12545" s="307"/>
    </row>
    <row r="12546" ht="14.25" customHeight="1">
      <c r="A12546" s="307"/>
    </row>
    <row r="12547" ht="14.25" customHeight="1">
      <c r="A12547" s="307"/>
    </row>
    <row r="12548" ht="14.25" customHeight="1">
      <c r="A12548" s="307"/>
    </row>
    <row r="12549" ht="14.25" customHeight="1">
      <c r="A12549" s="307"/>
    </row>
    <row r="12550" ht="14.25" customHeight="1">
      <c r="A12550" s="307"/>
    </row>
    <row r="12551" ht="14.25" customHeight="1">
      <c r="A12551" s="307"/>
    </row>
    <row r="12552" ht="14.25" customHeight="1">
      <c r="A12552" s="307"/>
    </row>
    <row r="12553" ht="14.25" customHeight="1">
      <c r="A12553" s="307"/>
    </row>
    <row r="12554" ht="14.25" customHeight="1">
      <c r="A12554" s="307"/>
    </row>
    <row r="12555" ht="14.25" customHeight="1">
      <c r="A12555" s="307"/>
    </row>
    <row r="12556" ht="14.25" customHeight="1">
      <c r="A12556" s="307"/>
    </row>
    <row r="12557" ht="14.25" customHeight="1">
      <c r="A12557" s="307"/>
    </row>
    <row r="12558" ht="14.25" customHeight="1">
      <c r="A12558" s="307"/>
    </row>
    <row r="12559" ht="14.25" customHeight="1">
      <c r="A12559" s="307"/>
    </row>
    <row r="12560" ht="14.25" customHeight="1">
      <c r="A12560" s="307"/>
    </row>
    <row r="12561" ht="14.25" customHeight="1">
      <c r="A12561" s="307"/>
    </row>
    <row r="12562" ht="14.25" customHeight="1">
      <c r="A12562" s="307"/>
    </row>
    <row r="12563" ht="14.25" customHeight="1">
      <c r="A12563" s="307"/>
    </row>
    <row r="12564" ht="14.25" customHeight="1">
      <c r="A12564" s="307"/>
    </row>
    <row r="12565" ht="14.25" customHeight="1">
      <c r="A12565" s="307"/>
    </row>
    <row r="12566" ht="14.25" customHeight="1">
      <c r="A12566" s="307"/>
    </row>
    <row r="12567" ht="14.25" customHeight="1">
      <c r="A12567" s="307"/>
    </row>
    <row r="12568" ht="14.25" customHeight="1">
      <c r="A12568" s="307"/>
    </row>
    <row r="12569" ht="14.25" customHeight="1">
      <c r="A12569" s="307"/>
    </row>
    <row r="12570" ht="14.25" customHeight="1">
      <c r="A12570" s="307"/>
    </row>
    <row r="12571" ht="14.25" customHeight="1">
      <c r="A12571" s="307"/>
    </row>
    <row r="12572" ht="14.25" customHeight="1">
      <c r="A12572" s="307"/>
    </row>
    <row r="12573" ht="14.25" customHeight="1">
      <c r="A12573" s="307"/>
    </row>
    <row r="12574" ht="14.25" customHeight="1">
      <c r="A12574" s="307"/>
    </row>
    <row r="12575" ht="14.25" customHeight="1">
      <c r="A12575" s="307"/>
    </row>
    <row r="12576" ht="14.25" customHeight="1">
      <c r="A12576" s="307"/>
    </row>
    <row r="12577" ht="14.25" customHeight="1">
      <c r="A12577" s="307"/>
    </row>
    <row r="12578" ht="14.25" customHeight="1">
      <c r="A12578" s="307"/>
    </row>
    <row r="12579" ht="14.25" customHeight="1">
      <c r="A12579" s="307"/>
    </row>
    <row r="12580" ht="14.25" customHeight="1">
      <c r="A12580" s="307"/>
    </row>
    <row r="12581" ht="14.25" customHeight="1">
      <c r="A12581" s="307"/>
    </row>
    <row r="12582" ht="14.25" customHeight="1">
      <c r="A12582" s="307"/>
    </row>
    <row r="12583" ht="14.25" customHeight="1">
      <c r="A12583" s="307"/>
    </row>
    <row r="12584" ht="14.25" customHeight="1">
      <c r="A12584" s="307"/>
    </row>
    <row r="12585" ht="14.25" customHeight="1">
      <c r="A12585" s="307"/>
    </row>
    <row r="12586" ht="14.25" customHeight="1">
      <c r="A12586" s="307"/>
    </row>
    <row r="12587" ht="14.25" customHeight="1">
      <c r="A12587" s="307"/>
    </row>
    <row r="12588" ht="14.25" customHeight="1">
      <c r="A12588" s="307"/>
    </row>
    <row r="12589" ht="14.25" customHeight="1">
      <c r="A12589" s="307"/>
    </row>
    <row r="12590" ht="14.25" customHeight="1">
      <c r="A12590" s="307"/>
    </row>
    <row r="12591" ht="14.25" customHeight="1">
      <c r="A12591" s="307"/>
    </row>
    <row r="12592" ht="14.25" customHeight="1">
      <c r="A12592" s="307"/>
    </row>
    <row r="12593" ht="14.25" customHeight="1">
      <c r="A12593" s="307"/>
    </row>
    <row r="12594" ht="14.25" customHeight="1">
      <c r="A12594" s="307"/>
    </row>
    <row r="12595" ht="14.25" customHeight="1">
      <c r="A12595" s="307"/>
    </row>
    <row r="12596" ht="14.25" customHeight="1">
      <c r="A12596" s="307"/>
    </row>
    <row r="12597" ht="14.25" customHeight="1">
      <c r="A12597" s="307"/>
    </row>
    <row r="12598" ht="14.25" customHeight="1">
      <c r="A12598" s="307"/>
    </row>
    <row r="12599" ht="14.25" customHeight="1">
      <c r="A12599" s="307"/>
    </row>
    <row r="12600" ht="14.25" customHeight="1">
      <c r="A12600" s="307"/>
    </row>
    <row r="12601" ht="14.25" customHeight="1">
      <c r="A12601" s="307"/>
    </row>
    <row r="12602" ht="14.25" customHeight="1">
      <c r="A12602" s="307"/>
    </row>
    <row r="12603" ht="14.25" customHeight="1">
      <c r="A12603" s="307"/>
    </row>
    <row r="12604" ht="14.25" customHeight="1">
      <c r="A12604" s="307"/>
    </row>
    <row r="12605" ht="14.25" customHeight="1">
      <c r="A12605" s="307"/>
    </row>
    <row r="12606" ht="14.25" customHeight="1">
      <c r="A12606" s="307"/>
    </row>
    <row r="12607" ht="14.25" customHeight="1">
      <c r="A12607" s="307"/>
    </row>
    <row r="12608" ht="14.25" customHeight="1">
      <c r="A12608" s="307"/>
    </row>
    <row r="12609" ht="14.25" customHeight="1">
      <c r="A12609" s="307"/>
    </row>
    <row r="12610" ht="14.25" customHeight="1">
      <c r="A12610" s="307"/>
    </row>
    <row r="12611" ht="14.25" customHeight="1">
      <c r="A12611" s="307"/>
    </row>
    <row r="12612" ht="14.25" customHeight="1">
      <c r="A12612" s="307"/>
    </row>
    <row r="12613" ht="14.25" customHeight="1">
      <c r="A12613" s="307"/>
    </row>
    <row r="12614" ht="14.25" customHeight="1">
      <c r="A12614" s="307"/>
    </row>
    <row r="12615" ht="14.25" customHeight="1">
      <c r="A12615" s="307"/>
    </row>
    <row r="12616" ht="14.25" customHeight="1">
      <c r="A12616" s="307"/>
    </row>
    <row r="12617" ht="14.25" customHeight="1">
      <c r="A12617" s="307"/>
    </row>
    <row r="12618" ht="14.25" customHeight="1">
      <c r="A12618" s="307"/>
    </row>
    <row r="12619" ht="14.25" customHeight="1">
      <c r="A12619" s="307"/>
    </row>
    <row r="12620" ht="14.25" customHeight="1">
      <c r="A12620" s="307"/>
    </row>
    <row r="12621" ht="14.25" customHeight="1">
      <c r="A12621" s="307"/>
    </row>
    <row r="12622" ht="14.25" customHeight="1">
      <c r="A12622" s="307"/>
    </row>
    <row r="12623" ht="14.25" customHeight="1">
      <c r="A12623" s="307"/>
    </row>
    <row r="12624" ht="14.25" customHeight="1">
      <c r="A12624" s="307"/>
    </row>
    <row r="12625" ht="14.25" customHeight="1">
      <c r="A12625" s="307"/>
    </row>
    <row r="12626" ht="14.25" customHeight="1">
      <c r="A12626" s="307"/>
    </row>
    <row r="12627" ht="14.25" customHeight="1">
      <c r="A12627" s="307"/>
    </row>
    <row r="12628" ht="14.25" customHeight="1">
      <c r="A12628" s="307"/>
    </row>
    <row r="12629" ht="14.25" customHeight="1">
      <c r="A12629" s="307"/>
    </row>
    <row r="12630" ht="14.25" customHeight="1">
      <c r="A12630" s="307"/>
    </row>
    <row r="12631" ht="14.25" customHeight="1">
      <c r="A12631" s="307"/>
    </row>
    <row r="12632" ht="14.25" customHeight="1">
      <c r="A12632" s="307"/>
    </row>
    <row r="12633" ht="14.25" customHeight="1">
      <c r="A12633" s="307"/>
    </row>
    <row r="12634" ht="14.25" customHeight="1">
      <c r="A12634" s="307"/>
    </row>
    <row r="12635" ht="14.25" customHeight="1">
      <c r="A12635" s="307"/>
    </row>
    <row r="12636" ht="14.25" customHeight="1">
      <c r="A12636" s="307"/>
    </row>
    <row r="12637" ht="14.25" customHeight="1">
      <c r="A12637" s="307"/>
    </row>
    <row r="12638" ht="14.25" customHeight="1">
      <c r="A12638" s="307"/>
    </row>
    <row r="12639" ht="14.25" customHeight="1">
      <c r="A12639" s="307"/>
    </row>
    <row r="12640" ht="14.25" customHeight="1">
      <c r="A12640" s="307"/>
    </row>
    <row r="12641" ht="14.25" customHeight="1">
      <c r="A12641" s="307"/>
    </row>
    <row r="12642" ht="14.25" customHeight="1">
      <c r="A12642" s="307"/>
    </row>
    <row r="12643" ht="14.25" customHeight="1">
      <c r="A12643" s="307"/>
    </row>
    <row r="12644" ht="14.25" customHeight="1">
      <c r="A12644" s="307"/>
    </row>
    <row r="12645" ht="14.25" customHeight="1">
      <c r="A12645" s="307"/>
    </row>
    <row r="12646" ht="14.25" customHeight="1">
      <c r="A12646" s="307"/>
    </row>
    <row r="12647" ht="14.25" customHeight="1">
      <c r="A12647" s="307"/>
    </row>
    <row r="12648" ht="14.25" customHeight="1">
      <c r="A12648" s="307"/>
    </row>
    <row r="12649" ht="14.25" customHeight="1">
      <c r="A12649" s="307"/>
    </row>
    <row r="12650" ht="14.25" customHeight="1">
      <c r="A12650" s="307"/>
    </row>
    <row r="12651" ht="14.25" customHeight="1">
      <c r="A12651" s="307"/>
    </row>
    <row r="12652" ht="14.25" customHeight="1">
      <c r="A12652" s="307"/>
    </row>
    <row r="12653" ht="14.25" customHeight="1">
      <c r="A12653" s="307"/>
    </row>
    <row r="12654" ht="14.25" customHeight="1">
      <c r="A12654" s="307"/>
    </row>
    <row r="12655" ht="14.25" customHeight="1">
      <c r="A12655" s="307"/>
    </row>
    <row r="12656" ht="14.25" customHeight="1">
      <c r="A12656" s="307"/>
    </row>
    <row r="12657" ht="14.25" customHeight="1">
      <c r="A12657" s="307"/>
    </row>
    <row r="12658" ht="14.25" customHeight="1">
      <c r="A12658" s="307"/>
    </row>
    <row r="12659" ht="14.25" customHeight="1">
      <c r="A12659" s="307"/>
    </row>
    <row r="12660" ht="14.25" customHeight="1">
      <c r="A12660" s="307"/>
    </row>
    <row r="12661" ht="14.25" customHeight="1">
      <c r="A12661" s="307"/>
    </row>
    <row r="12662" ht="14.25" customHeight="1">
      <c r="A12662" s="307"/>
    </row>
    <row r="12663" ht="14.25" customHeight="1">
      <c r="A12663" s="307"/>
    </row>
    <row r="12664" ht="14.25" customHeight="1">
      <c r="A12664" s="307"/>
    </row>
    <row r="12665" ht="14.25" customHeight="1">
      <c r="A12665" s="307"/>
    </row>
    <row r="12666" ht="14.25" customHeight="1">
      <c r="A12666" s="307"/>
    </row>
    <row r="12667" ht="14.25" customHeight="1">
      <c r="A12667" s="307"/>
    </row>
    <row r="12668" ht="14.25" customHeight="1">
      <c r="A12668" s="307"/>
    </row>
    <row r="12669" ht="14.25" customHeight="1">
      <c r="A12669" s="307"/>
    </row>
    <row r="12670" ht="14.25" customHeight="1">
      <c r="A12670" s="307"/>
    </row>
    <row r="12671" ht="14.25" customHeight="1">
      <c r="A12671" s="307"/>
    </row>
    <row r="12672" ht="14.25" customHeight="1">
      <c r="A12672" s="307"/>
    </row>
    <row r="12673" ht="14.25" customHeight="1">
      <c r="A12673" s="307"/>
    </row>
    <row r="12674" ht="14.25" customHeight="1">
      <c r="A12674" s="307"/>
    </row>
    <row r="12675" ht="14.25" customHeight="1">
      <c r="A12675" s="307"/>
    </row>
    <row r="12676" ht="14.25" customHeight="1">
      <c r="A12676" s="307"/>
    </row>
    <row r="12677" ht="14.25" customHeight="1">
      <c r="A12677" s="307"/>
    </row>
    <row r="12678" ht="14.25" customHeight="1">
      <c r="A12678" s="307"/>
    </row>
    <row r="12679" ht="14.25" customHeight="1">
      <c r="A12679" s="307"/>
    </row>
    <row r="12680" ht="14.25" customHeight="1">
      <c r="A12680" s="307"/>
    </row>
    <row r="12681" ht="14.25" customHeight="1">
      <c r="A12681" s="307"/>
    </row>
    <row r="12682" ht="14.25" customHeight="1">
      <c r="A12682" s="307"/>
    </row>
    <row r="12683" ht="14.25" customHeight="1">
      <c r="A12683" s="307"/>
    </row>
    <row r="12684" ht="14.25" customHeight="1">
      <c r="A12684" s="307"/>
    </row>
    <row r="12685" ht="14.25" customHeight="1">
      <c r="A12685" s="307"/>
    </row>
    <row r="12686" ht="14.25" customHeight="1">
      <c r="A12686" s="307"/>
    </row>
    <row r="12687" ht="14.25" customHeight="1">
      <c r="A12687" s="307"/>
    </row>
    <row r="12688" ht="14.25" customHeight="1">
      <c r="A12688" s="307"/>
    </row>
    <row r="12689" ht="14.25" customHeight="1">
      <c r="A12689" s="307"/>
    </row>
    <row r="12690" ht="14.25" customHeight="1">
      <c r="A12690" s="307"/>
    </row>
    <row r="12691" ht="14.25" customHeight="1">
      <c r="A12691" s="307"/>
    </row>
    <row r="12692" ht="14.25" customHeight="1">
      <c r="A12692" s="307"/>
    </row>
    <row r="12693" ht="14.25" customHeight="1">
      <c r="A12693" s="307"/>
    </row>
    <row r="12694" ht="14.25" customHeight="1">
      <c r="A12694" s="307"/>
    </row>
    <row r="12695" ht="14.25" customHeight="1">
      <c r="A12695" s="307"/>
    </row>
    <row r="12696" ht="14.25" customHeight="1">
      <c r="A12696" s="307"/>
    </row>
    <row r="12697" ht="14.25" customHeight="1">
      <c r="A12697" s="307"/>
    </row>
    <row r="12698" ht="14.25" customHeight="1">
      <c r="A12698" s="307"/>
    </row>
    <row r="12699" ht="14.25" customHeight="1">
      <c r="A12699" s="307"/>
    </row>
    <row r="12700" ht="14.25" customHeight="1">
      <c r="A12700" s="307"/>
    </row>
    <row r="12701" ht="14.25" customHeight="1">
      <c r="A12701" s="307"/>
    </row>
    <row r="12702" ht="14.25" customHeight="1">
      <c r="A12702" s="307"/>
    </row>
    <row r="12703" ht="14.25" customHeight="1">
      <c r="A12703" s="307"/>
    </row>
    <row r="12704" ht="14.25" customHeight="1">
      <c r="A12704" s="307"/>
    </row>
    <row r="12705" ht="14.25" customHeight="1">
      <c r="A12705" s="307"/>
    </row>
    <row r="12706" ht="14.25" customHeight="1">
      <c r="A12706" s="307"/>
    </row>
    <row r="12707" ht="14.25" customHeight="1">
      <c r="A12707" s="307"/>
    </row>
    <row r="12708" ht="14.25" customHeight="1">
      <c r="A12708" s="307"/>
    </row>
    <row r="12709" ht="14.25" customHeight="1">
      <c r="A12709" s="307"/>
    </row>
    <row r="12710" ht="14.25" customHeight="1">
      <c r="A12710" s="307"/>
    </row>
    <row r="12711" ht="14.25" customHeight="1">
      <c r="A12711" s="307"/>
    </row>
    <row r="12712" ht="14.25" customHeight="1">
      <c r="A12712" s="307"/>
    </row>
    <row r="12713" ht="14.25" customHeight="1">
      <c r="A12713" s="307"/>
    </row>
    <row r="12714" ht="14.25" customHeight="1">
      <c r="A12714" s="307"/>
    </row>
    <row r="12715" ht="14.25" customHeight="1">
      <c r="A12715" s="307"/>
    </row>
    <row r="12716" ht="14.25" customHeight="1">
      <c r="A12716" s="307"/>
    </row>
    <row r="12717" ht="14.25" customHeight="1">
      <c r="A12717" s="307"/>
    </row>
    <row r="12718" ht="14.25" customHeight="1">
      <c r="A12718" s="307"/>
    </row>
    <row r="12719" ht="14.25" customHeight="1">
      <c r="A12719" s="307"/>
    </row>
    <row r="12720" ht="14.25" customHeight="1">
      <c r="A12720" s="307"/>
    </row>
    <row r="12721" ht="14.25" customHeight="1">
      <c r="A12721" s="307"/>
    </row>
    <row r="12722" ht="14.25" customHeight="1">
      <c r="A12722" s="307"/>
    </row>
    <row r="12723" ht="14.25" customHeight="1">
      <c r="A12723" s="307"/>
    </row>
    <row r="12724" ht="14.25" customHeight="1">
      <c r="A12724" s="307"/>
    </row>
    <row r="12725" ht="14.25" customHeight="1">
      <c r="A12725" s="307"/>
    </row>
    <row r="12726" ht="14.25" customHeight="1">
      <c r="A12726" s="307"/>
    </row>
    <row r="12727" ht="14.25" customHeight="1">
      <c r="A12727" s="307"/>
    </row>
    <row r="12728" ht="14.25" customHeight="1">
      <c r="A12728" s="307"/>
    </row>
    <row r="12729" ht="14.25" customHeight="1">
      <c r="A12729" s="307"/>
    </row>
    <row r="12730" ht="14.25" customHeight="1">
      <c r="A12730" s="307"/>
    </row>
    <row r="12731" ht="14.25" customHeight="1">
      <c r="A12731" s="307"/>
    </row>
    <row r="12732" ht="14.25" customHeight="1">
      <c r="A12732" s="307"/>
    </row>
    <row r="12733" ht="14.25" customHeight="1">
      <c r="A12733" s="307"/>
    </row>
    <row r="12734" ht="14.25" customHeight="1">
      <c r="A12734" s="307"/>
    </row>
    <row r="12735" ht="14.25" customHeight="1">
      <c r="A12735" s="307"/>
    </row>
    <row r="12736" ht="14.25" customHeight="1">
      <c r="A12736" s="307"/>
    </row>
    <row r="12737" ht="14.25" customHeight="1">
      <c r="A12737" s="307"/>
    </row>
    <row r="12738" ht="14.25" customHeight="1">
      <c r="A12738" s="307"/>
    </row>
    <row r="12739" ht="14.25" customHeight="1">
      <c r="A12739" s="307"/>
    </row>
    <row r="12740" ht="14.25" customHeight="1">
      <c r="A12740" s="307"/>
    </row>
    <row r="12741" ht="14.25" customHeight="1">
      <c r="A12741" s="307"/>
    </row>
    <row r="12742" ht="14.25" customHeight="1">
      <c r="A12742" s="307"/>
    </row>
    <row r="12743" ht="14.25" customHeight="1">
      <c r="A12743" s="307"/>
    </row>
    <row r="12744" ht="14.25" customHeight="1">
      <c r="A12744" s="307"/>
    </row>
    <row r="12745" ht="14.25" customHeight="1">
      <c r="A12745" s="307"/>
    </row>
    <row r="12746" ht="14.25" customHeight="1">
      <c r="A12746" s="307"/>
    </row>
    <row r="12747" ht="14.25" customHeight="1">
      <c r="A12747" s="307"/>
    </row>
    <row r="12748" ht="14.25" customHeight="1">
      <c r="A12748" s="307"/>
    </row>
    <row r="12749" ht="14.25" customHeight="1">
      <c r="A12749" s="307"/>
    </row>
    <row r="12750" ht="14.25" customHeight="1">
      <c r="A12750" s="307"/>
    </row>
    <row r="12751" ht="14.25" customHeight="1">
      <c r="A12751" s="307"/>
    </row>
    <row r="12752" ht="14.25" customHeight="1">
      <c r="A12752" s="307"/>
    </row>
    <row r="12753" ht="14.25" customHeight="1">
      <c r="A12753" s="307"/>
    </row>
    <row r="12754" ht="14.25" customHeight="1">
      <c r="A12754" s="307"/>
    </row>
    <row r="12755" ht="14.25" customHeight="1">
      <c r="A12755" s="307"/>
    </row>
    <row r="12756" ht="14.25" customHeight="1">
      <c r="A12756" s="307"/>
    </row>
    <row r="12757" ht="14.25" customHeight="1">
      <c r="A12757" s="307"/>
    </row>
    <row r="12758" ht="14.25" customHeight="1">
      <c r="A12758" s="307"/>
    </row>
    <row r="12759" ht="14.25" customHeight="1">
      <c r="A12759" s="307"/>
    </row>
    <row r="12760" ht="14.25" customHeight="1">
      <c r="A12760" s="307"/>
    </row>
    <row r="12761" ht="14.25" customHeight="1">
      <c r="A12761" s="307"/>
    </row>
    <row r="12762" ht="14.25" customHeight="1">
      <c r="A12762" s="307"/>
    </row>
    <row r="12763" ht="14.25" customHeight="1">
      <c r="A12763" s="307"/>
    </row>
    <row r="12764" ht="14.25" customHeight="1">
      <c r="A12764" s="307"/>
    </row>
    <row r="12765" ht="14.25" customHeight="1">
      <c r="A12765" s="307"/>
    </row>
    <row r="12766" ht="14.25" customHeight="1">
      <c r="A12766" s="307"/>
    </row>
    <row r="12767" ht="14.25" customHeight="1">
      <c r="A12767" s="307"/>
    </row>
    <row r="12768" ht="14.25" customHeight="1">
      <c r="A12768" s="307"/>
    </row>
    <row r="12769" ht="14.25" customHeight="1">
      <c r="A12769" s="307"/>
    </row>
    <row r="12770" ht="14.25" customHeight="1">
      <c r="A12770" s="307"/>
    </row>
    <row r="12771" ht="14.25" customHeight="1">
      <c r="A12771" s="307"/>
    </row>
    <row r="12772" ht="14.25" customHeight="1">
      <c r="A12772" s="307"/>
    </row>
    <row r="12773" ht="14.25" customHeight="1">
      <c r="A12773" s="307"/>
    </row>
    <row r="12774" ht="14.25" customHeight="1">
      <c r="A12774" s="307"/>
    </row>
    <row r="12775" ht="14.25" customHeight="1">
      <c r="A12775" s="307"/>
    </row>
    <row r="12776" ht="14.25" customHeight="1">
      <c r="A12776" s="307"/>
    </row>
    <row r="12777" ht="14.25" customHeight="1">
      <c r="A12777" s="307"/>
    </row>
    <row r="12778" ht="14.25" customHeight="1">
      <c r="A12778" s="307"/>
    </row>
    <row r="12779" ht="14.25" customHeight="1">
      <c r="A12779" s="307"/>
    </row>
    <row r="12780" ht="14.25" customHeight="1">
      <c r="A12780" s="307"/>
    </row>
    <row r="12781" ht="14.25" customHeight="1">
      <c r="A12781" s="307"/>
    </row>
    <row r="12782" ht="14.25" customHeight="1">
      <c r="A12782" s="307"/>
    </row>
    <row r="12783" ht="14.25" customHeight="1">
      <c r="A12783" s="307"/>
    </row>
    <row r="12784" ht="14.25" customHeight="1">
      <c r="A12784" s="307"/>
    </row>
    <row r="12785" ht="14.25" customHeight="1">
      <c r="A12785" s="307"/>
    </row>
    <row r="12786" ht="14.25" customHeight="1">
      <c r="A12786" s="307"/>
    </row>
    <row r="12787" ht="14.25" customHeight="1">
      <c r="A12787" s="307"/>
    </row>
    <row r="12788" ht="14.25" customHeight="1">
      <c r="A12788" s="307"/>
    </row>
    <row r="12789" ht="14.25" customHeight="1">
      <c r="A12789" s="307"/>
    </row>
    <row r="12790" ht="14.25" customHeight="1">
      <c r="A12790" s="307"/>
    </row>
    <row r="12791" ht="14.25" customHeight="1">
      <c r="A12791" s="307"/>
    </row>
    <row r="12792" ht="14.25" customHeight="1">
      <c r="A12792" s="307"/>
    </row>
    <row r="12793" ht="14.25" customHeight="1">
      <c r="A12793" s="307"/>
    </row>
    <row r="12794" ht="14.25" customHeight="1">
      <c r="A12794" s="307"/>
    </row>
    <row r="12795" ht="14.25" customHeight="1">
      <c r="A12795" s="307"/>
    </row>
    <row r="12796" ht="14.25" customHeight="1">
      <c r="A12796" s="307"/>
    </row>
    <row r="12797" ht="14.25" customHeight="1">
      <c r="A12797" s="307"/>
    </row>
    <row r="12798" ht="14.25" customHeight="1">
      <c r="A12798" s="307"/>
    </row>
    <row r="12799" ht="14.25" customHeight="1">
      <c r="A12799" s="307"/>
    </row>
    <row r="12800" ht="14.25" customHeight="1">
      <c r="A12800" s="307"/>
    </row>
    <row r="12801" ht="14.25" customHeight="1">
      <c r="A12801" s="307"/>
    </row>
    <row r="12802" ht="14.25" customHeight="1">
      <c r="A12802" s="307"/>
    </row>
    <row r="12803" ht="14.25" customHeight="1">
      <c r="A12803" s="307"/>
    </row>
    <row r="12804" ht="14.25" customHeight="1">
      <c r="A12804" s="307"/>
    </row>
    <row r="12805" ht="14.25" customHeight="1">
      <c r="A12805" s="307"/>
    </row>
    <row r="12806" ht="14.25" customHeight="1">
      <c r="A12806" s="307"/>
    </row>
    <row r="12807" ht="14.25" customHeight="1">
      <c r="A12807" s="307"/>
    </row>
    <row r="12808" ht="14.25" customHeight="1">
      <c r="A12808" s="307"/>
    </row>
    <row r="12809" ht="14.25" customHeight="1">
      <c r="A12809" s="307"/>
    </row>
    <row r="12810" ht="14.25" customHeight="1">
      <c r="A12810" s="307"/>
    </row>
    <row r="12811" ht="14.25" customHeight="1">
      <c r="A12811" s="307"/>
    </row>
    <row r="12812" ht="14.25" customHeight="1">
      <c r="A12812" s="307"/>
    </row>
    <row r="12813" ht="14.25" customHeight="1">
      <c r="A12813" s="307"/>
    </row>
    <row r="12814" ht="14.25" customHeight="1">
      <c r="A12814" s="307"/>
    </row>
    <row r="12815" ht="14.25" customHeight="1">
      <c r="A12815" s="307"/>
    </row>
    <row r="12816" ht="14.25" customHeight="1">
      <c r="A12816" s="307"/>
    </row>
    <row r="12817" ht="14.25" customHeight="1">
      <c r="A12817" s="307"/>
    </row>
    <row r="12818" ht="14.25" customHeight="1">
      <c r="A12818" s="307"/>
    </row>
    <row r="12819" ht="14.25" customHeight="1">
      <c r="A12819" s="307"/>
    </row>
    <row r="12820" ht="14.25" customHeight="1">
      <c r="A12820" s="307"/>
    </row>
    <row r="12821" ht="14.25" customHeight="1">
      <c r="A12821" s="307"/>
    </row>
    <row r="12822" ht="14.25" customHeight="1">
      <c r="A12822" s="307"/>
    </row>
    <row r="12823" ht="14.25" customHeight="1">
      <c r="A12823" s="307"/>
    </row>
    <row r="12824" ht="14.25" customHeight="1">
      <c r="A12824" s="307"/>
    </row>
    <row r="12825" ht="14.25" customHeight="1">
      <c r="A12825" s="307"/>
    </row>
    <row r="12826" ht="14.25" customHeight="1">
      <c r="A12826" s="307"/>
    </row>
    <row r="12827" ht="14.25" customHeight="1">
      <c r="A12827" s="307"/>
    </row>
    <row r="12828" ht="14.25" customHeight="1">
      <c r="A12828" s="307"/>
    </row>
    <row r="12829" ht="14.25" customHeight="1">
      <c r="A12829" s="307"/>
    </row>
    <row r="12830" ht="14.25" customHeight="1">
      <c r="A12830" s="307"/>
    </row>
    <row r="12831" ht="14.25" customHeight="1">
      <c r="A12831" s="307"/>
    </row>
    <row r="12832" ht="14.25" customHeight="1">
      <c r="A12832" s="307"/>
    </row>
    <row r="12833" ht="14.25" customHeight="1">
      <c r="A12833" s="307"/>
    </row>
    <row r="12834" ht="14.25" customHeight="1">
      <c r="A12834" s="307"/>
    </row>
    <row r="12835" ht="14.25" customHeight="1">
      <c r="A12835" s="307"/>
    </row>
    <row r="12836" ht="14.25" customHeight="1">
      <c r="A12836" s="307"/>
    </row>
    <row r="12837" ht="14.25" customHeight="1">
      <c r="A12837" s="307"/>
    </row>
    <row r="12838" ht="14.25" customHeight="1">
      <c r="A12838" s="307"/>
    </row>
    <row r="12839" ht="14.25" customHeight="1">
      <c r="A12839" s="307"/>
    </row>
    <row r="12840" ht="14.25" customHeight="1">
      <c r="A12840" s="307"/>
    </row>
    <row r="12841" ht="14.25" customHeight="1">
      <c r="A12841" s="307"/>
    </row>
    <row r="12842" ht="14.25" customHeight="1">
      <c r="A12842" s="307"/>
    </row>
    <row r="12843" ht="14.25" customHeight="1">
      <c r="A12843" s="307"/>
    </row>
    <row r="12844" ht="14.25" customHeight="1">
      <c r="A12844" s="307"/>
    </row>
    <row r="12845" ht="14.25" customHeight="1">
      <c r="A12845" s="307"/>
    </row>
    <row r="12846" ht="14.25" customHeight="1">
      <c r="A12846" s="307"/>
    </row>
    <row r="12847" ht="14.25" customHeight="1">
      <c r="A12847" s="307"/>
    </row>
    <row r="12848" ht="14.25" customHeight="1">
      <c r="A12848" s="307"/>
    </row>
    <row r="12849" ht="14.25" customHeight="1">
      <c r="A12849" s="307"/>
    </row>
    <row r="12850" ht="14.25" customHeight="1">
      <c r="A12850" s="307"/>
    </row>
    <row r="12851" ht="14.25" customHeight="1">
      <c r="A12851" s="307"/>
    </row>
    <row r="12852" ht="14.25" customHeight="1">
      <c r="A12852" s="307"/>
    </row>
    <row r="12853" ht="14.25" customHeight="1">
      <c r="A12853" s="307"/>
    </row>
    <row r="12854" ht="14.25" customHeight="1">
      <c r="A12854" s="307"/>
    </row>
    <row r="12855" ht="14.25" customHeight="1">
      <c r="A12855" s="307"/>
    </row>
    <row r="12856" ht="14.25" customHeight="1">
      <c r="A12856" s="307"/>
    </row>
    <row r="12857" ht="14.25" customHeight="1">
      <c r="A12857" s="307"/>
    </row>
    <row r="12858" ht="14.25" customHeight="1">
      <c r="A12858" s="307"/>
    </row>
    <row r="12859" ht="14.25" customHeight="1">
      <c r="A12859" s="307"/>
    </row>
    <row r="12860" ht="14.25" customHeight="1">
      <c r="A12860" s="307"/>
    </row>
    <row r="12861" ht="14.25" customHeight="1">
      <c r="A12861" s="307"/>
    </row>
    <row r="12862" ht="14.25" customHeight="1">
      <c r="A12862" s="307"/>
    </row>
    <row r="12863" ht="14.25" customHeight="1">
      <c r="A12863" s="307"/>
    </row>
    <row r="12864" ht="14.25" customHeight="1">
      <c r="A12864" s="307"/>
    </row>
    <row r="12865" ht="14.25" customHeight="1">
      <c r="A12865" s="307"/>
    </row>
    <row r="12866" ht="14.25" customHeight="1">
      <c r="A12866" s="307"/>
    </row>
    <row r="12867" ht="14.25" customHeight="1">
      <c r="A12867" s="307"/>
    </row>
    <row r="12868" ht="14.25" customHeight="1">
      <c r="A12868" s="307"/>
    </row>
    <row r="12869" ht="14.25" customHeight="1">
      <c r="A12869" s="307"/>
    </row>
    <row r="12870" ht="14.25" customHeight="1">
      <c r="A12870" s="307"/>
    </row>
    <row r="12871" ht="14.25" customHeight="1">
      <c r="A12871" s="307"/>
    </row>
    <row r="12872" ht="14.25" customHeight="1">
      <c r="A12872" s="307"/>
    </row>
    <row r="12873" ht="14.25" customHeight="1">
      <c r="A12873" s="307"/>
    </row>
    <row r="12874" ht="14.25" customHeight="1">
      <c r="A12874" s="307"/>
    </row>
    <row r="12875" ht="14.25" customHeight="1">
      <c r="A12875" s="307"/>
    </row>
    <row r="12876" ht="14.25" customHeight="1">
      <c r="A12876" s="307"/>
    </row>
    <row r="12877" ht="14.25" customHeight="1">
      <c r="A12877" s="307"/>
    </row>
    <row r="12878" ht="14.25" customHeight="1">
      <c r="A12878" s="307"/>
    </row>
    <row r="12879" ht="14.25" customHeight="1">
      <c r="A12879" s="307"/>
    </row>
    <row r="12880" ht="14.25" customHeight="1">
      <c r="A12880" s="307"/>
    </row>
    <row r="12881" ht="14.25" customHeight="1">
      <c r="A12881" s="307"/>
    </row>
    <row r="12882" ht="14.25" customHeight="1">
      <c r="A12882" s="307"/>
    </row>
    <row r="12883" ht="14.25" customHeight="1">
      <c r="A12883" s="307"/>
    </row>
    <row r="12884" ht="14.25" customHeight="1">
      <c r="A12884" s="307"/>
    </row>
    <row r="12885" ht="14.25" customHeight="1">
      <c r="A12885" s="307"/>
    </row>
    <row r="12886" ht="14.25" customHeight="1">
      <c r="A12886" s="307"/>
    </row>
    <row r="12887" ht="14.25" customHeight="1">
      <c r="A12887" s="307"/>
    </row>
    <row r="12888" ht="14.25" customHeight="1">
      <c r="A12888" s="307"/>
    </row>
    <row r="12889" ht="14.25" customHeight="1">
      <c r="A12889" s="307"/>
    </row>
    <row r="12890" ht="14.25" customHeight="1">
      <c r="A12890" s="307"/>
    </row>
    <row r="12891" ht="14.25" customHeight="1">
      <c r="A12891" s="307"/>
    </row>
    <row r="12892" ht="14.25" customHeight="1">
      <c r="A12892" s="307"/>
    </row>
    <row r="12893" ht="14.25" customHeight="1">
      <c r="A12893" s="307"/>
    </row>
    <row r="12894" ht="14.25" customHeight="1">
      <c r="A12894" s="307"/>
    </row>
    <row r="12895" ht="14.25" customHeight="1">
      <c r="A12895" s="307"/>
    </row>
    <row r="12896" ht="14.25" customHeight="1">
      <c r="A12896" s="307"/>
    </row>
    <row r="12897" ht="14.25" customHeight="1">
      <c r="A12897" s="307"/>
    </row>
    <row r="12898" ht="14.25" customHeight="1">
      <c r="A12898" s="307"/>
    </row>
    <row r="12899" ht="14.25" customHeight="1">
      <c r="A12899" s="307"/>
    </row>
    <row r="12900" ht="14.25" customHeight="1">
      <c r="A12900" s="307"/>
    </row>
    <row r="12901" ht="14.25" customHeight="1">
      <c r="A12901" s="307"/>
    </row>
    <row r="12902" ht="14.25" customHeight="1">
      <c r="A12902" s="307"/>
    </row>
    <row r="12903" ht="14.25" customHeight="1">
      <c r="A12903" s="307"/>
    </row>
    <row r="12904" ht="14.25" customHeight="1">
      <c r="A12904" s="307"/>
    </row>
    <row r="12905" ht="14.25" customHeight="1">
      <c r="A12905" s="307"/>
    </row>
    <row r="12906" ht="14.25" customHeight="1">
      <c r="A12906" s="307"/>
    </row>
    <row r="12907" ht="14.25" customHeight="1">
      <c r="A12907" s="307"/>
    </row>
    <row r="12908" ht="14.25" customHeight="1">
      <c r="A12908" s="307"/>
    </row>
    <row r="12909" ht="14.25" customHeight="1">
      <c r="A12909" s="307"/>
    </row>
    <row r="12910" ht="14.25" customHeight="1">
      <c r="A12910" s="307"/>
    </row>
    <row r="12911" ht="14.25" customHeight="1">
      <c r="A12911" s="307"/>
    </row>
    <row r="12912" ht="14.25" customHeight="1">
      <c r="A12912" s="307"/>
    </row>
    <row r="12913" ht="14.25" customHeight="1">
      <c r="A12913" s="307"/>
    </row>
    <row r="12914" ht="14.25" customHeight="1">
      <c r="A12914" s="307"/>
    </row>
    <row r="12915" ht="14.25" customHeight="1">
      <c r="A12915" s="307"/>
    </row>
    <row r="12916" ht="14.25" customHeight="1">
      <c r="A12916" s="307"/>
    </row>
    <row r="12917" ht="14.25" customHeight="1">
      <c r="A12917" s="307"/>
    </row>
    <row r="12918" ht="14.25" customHeight="1">
      <c r="A12918" s="307"/>
    </row>
    <row r="12919" ht="14.25" customHeight="1">
      <c r="A12919" s="307"/>
    </row>
    <row r="12920" ht="14.25" customHeight="1">
      <c r="A12920" s="307"/>
    </row>
    <row r="12921" ht="14.25" customHeight="1">
      <c r="A12921" s="307"/>
    </row>
    <row r="12922" ht="14.25" customHeight="1">
      <c r="A12922" s="307"/>
    </row>
    <row r="12923" ht="14.25" customHeight="1">
      <c r="A12923" s="307"/>
    </row>
    <row r="12924" ht="14.25" customHeight="1">
      <c r="A12924" s="307"/>
    </row>
    <row r="12925" ht="14.25" customHeight="1">
      <c r="A12925" s="307"/>
    </row>
    <row r="12926" ht="14.25" customHeight="1">
      <c r="A12926" s="307"/>
    </row>
    <row r="12927" ht="14.25" customHeight="1">
      <c r="A12927" s="307"/>
    </row>
    <row r="12928" ht="14.25" customHeight="1">
      <c r="A12928" s="307"/>
    </row>
    <row r="12929" ht="14.25" customHeight="1">
      <c r="A12929" s="307"/>
    </row>
    <row r="12930" ht="14.25" customHeight="1">
      <c r="A12930" s="307"/>
    </row>
    <row r="12931" ht="14.25" customHeight="1">
      <c r="A12931" s="307"/>
    </row>
    <row r="12932" ht="14.25" customHeight="1">
      <c r="A12932" s="307"/>
    </row>
    <row r="12933" ht="14.25" customHeight="1">
      <c r="A12933" s="307"/>
    </row>
    <row r="12934" ht="14.25" customHeight="1">
      <c r="A12934" s="307"/>
    </row>
    <row r="12935" ht="14.25" customHeight="1">
      <c r="A12935" s="307"/>
    </row>
    <row r="12936" ht="14.25" customHeight="1">
      <c r="A12936" s="307"/>
    </row>
    <row r="12937" ht="14.25" customHeight="1">
      <c r="A12937" s="307"/>
    </row>
    <row r="12938" ht="14.25" customHeight="1">
      <c r="A12938" s="307"/>
    </row>
    <row r="12939" ht="14.25" customHeight="1">
      <c r="A12939" s="307"/>
    </row>
    <row r="12940" ht="14.25" customHeight="1">
      <c r="A12940" s="307"/>
    </row>
    <row r="12941" ht="14.25" customHeight="1">
      <c r="A12941" s="307"/>
    </row>
    <row r="12942" ht="14.25" customHeight="1">
      <c r="A12942" s="307"/>
    </row>
    <row r="12943" ht="14.25" customHeight="1">
      <c r="A12943" s="307"/>
    </row>
    <row r="12944" ht="14.25" customHeight="1">
      <c r="A12944" s="307"/>
    </row>
    <row r="12945" ht="14.25" customHeight="1">
      <c r="A12945" s="307"/>
    </row>
    <row r="12946" ht="14.25" customHeight="1">
      <c r="A12946" s="307"/>
    </row>
    <row r="12947" ht="14.25" customHeight="1">
      <c r="A12947" s="307"/>
    </row>
    <row r="12948" ht="14.25" customHeight="1">
      <c r="A12948" s="307"/>
    </row>
    <row r="12949" ht="14.25" customHeight="1">
      <c r="A12949" s="307"/>
    </row>
    <row r="12950" ht="14.25" customHeight="1">
      <c r="A12950" s="307"/>
    </row>
    <row r="12951" ht="14.25" customHeight="1">
      <c r="A12951" s="307"/>
    </row>
    <row r="12952" ht="14.25" customHeight="1">
      <c r="A12952" s="307"/>
    </row>
    <row r="12953" ht="14.25" customHeight="1">
      <c r="A12953" s="307"/>
    </row>
    <row r="12954" ht="14.25" customHeight="1">
      <c r="A12954" s="307"/>
    </row>
    <row r="12955" ht="14.25" customHeight="1">
      <c r="A12955" s="307"/>
    </row>
    <row r="12956" ht="14.25" customHeight="1">
      <c r="A12956" s="307"/>
    </row>
    <row r="12957" ht="14.25" customHeight="1">
      <c r="A12957" s="307"/>
    </row>
    <row r="12958" ht="14.25" customHeight="1">
      <c r="A12958" s="307"/>
    </row>
    <row r="12959" ht="14.25" customHeight="1">
      <c r="A12959" s="307"/>
    </row>
    <row r="12960" ht="14.25" customHeight="1">
      <c r="A12960" s="307"/>
    </row>
    <row r="12961" ht="14.25" customHeight="1">
      <c r="A12961" s="307"/>
    </row>
    <row r="12962" ht="14.25" customHeight="1">
      <c r="A12962" s="307"/>
    </row>
    <row r="12963" ht="14.25" customHeight="1">
      <c r="A12963" s="307"/>
    </row>
    <row r="12964" ht="14.25" customHeight="1">
      <c r="A12964" s="307"/>
    </row>
    <row r="12965" ht="14.25" customHeight="1">
      <c r="A12965" s="307"/>
    </row>
    <row r="12966" ht="14.25" customHeight="1">
      <c r="A12966" s="307"/>
    </row>
    <row r="12967" ht="14.25" customHeight="1">
      <c r="A12967" s="307"/>
    </row>
    <row r="12968" ht="14.25" customHeight="1">
      <c r="A12968" s="307"/>
    </row>
    <row r="12969" ht="14.25" customHeight="1">
      <c r="A12969" s="307"/>
    </row>
    <row r="12970" ht="14.25" customHeight="1">
      <c r="A12970" s="307"/>
    </row>
    <row r="12971" ht="14.25" customHeight="1">
      <c r="A12971" s="307"/>
    </row>
    <row r="12972" ht="14.25" customHeight="1">
      <c r="A12972" s="307"/>
    </row>
    <row r="12973" ht="14.25" customHeight="1">
      <c r="A12973" s="307"/>
    </row>
    <row r="12974" ht="14.25" customHeight="1">
      <c r="A12974" s="307"/>
    </row>
    <row r="12975" ht="14.25" customHeight="1">
      <c r="A12975" s="307"/>
    </row>
    <row r="12976" ht="14.25" customHeight="1">
      <c r="A12976" s="307"/>
    </row>
    <row r="12977" ht="14.25" customHeight="1">
      <c r="A12977" s="307"/>
    </row>
    <row r="12978" ht="14.25" customHeight="1">
      <c r="A12978" s="307"/>
    </row>
    <row r="12979" ht="14.25" customHeight="1">
      <c r="A12979" s="307"/>
    </row>
    <row r="12980" ht="14.25" customHeight="1">
      <c r="A12980" s="307"/>
    </row>
    <row r="12981" ht="14.25" customHeight="1">
      <c r="A12981" s="307"/>
    </row>
    <row r="12982" ht="14.25" customHeight="1">
      <c r="A12982" s="307"/>
    </row>
    <row r="12983" ht="14.25" customHeight="1">
      <c r="A12983" s="307"/>
    </row>
    <row r="12984" ht="14.25" customHeight="1">
      <c r="A12984" s="307"/>
    </row>
    <row r="12985" ht="14.25" customHeight="1">
      <c r="A12985" s="307"/>
    </row>
    <row r="12986" ht="14.25" customHeight="1">
      <c r="A12986" s="307"/>
    </row>
    <row r="12987" ht="14.25" customHeight="1">
      <c r="A12987" s="307"/>
    </row>
    <row r="12988" ht="14.25" customHeight="1">
      <c r="A12988" s="307"/>
    </row>
    <row r="12989" ht="14.25" customHeight="1">
      <c r="A12989" s="307"/>
    </row>
    <row r="12990" ht="14.25" customHeight="1">
      <c r="A12990" s="307"/>
    </row>
    <row r="12991" ht="14.25" customHeight="1">
      <c r="A12991" s="307"/>
    </row>
    <row r="12992" ht="14.25" customHeight="1">
      <c r="A12992" s="307"/>
    </row>
    <row r="12993" ht="14.25" customHeight="1">
      <c r="A12993" s="307"/>
    </row>
    <row r="12994" ht="14.25" customHeight="1">
      <c r="A12994" s="307"/>
    </row>
    <row r="12995" ht="14.25" customHeight="1">
      <c r="A12995" s="307"/>
    </row>
    <row r="12996" ht="14.25" customHeight="1">
      <c r="A12996" s="307"/>
    </row>
    <row r="12997" ht="14.25" customHeight="1">
      <c r="A12997" s="307"/>
    </row>
    <row r="12998" ht="14.25" customHeight="1">
      <c r="A12998" s="307"/>
    </row>
    <row r="12999" ht="14.25" customHeight="1">
      <c r="A12999" s="307"/>
    </row>
    <row r="13000" ht="14.25" customHeight="1">
      <c r="A13000" s="307"/>
    </row>
    <row r="13001" ht="14.25" customHeight="1">
      <c r="A13001" s="307"/>
    </row>
    <row r="13002" ht="14.25" customHeight="1">
      <c r="A13002" s="307"/>
    </row>
    <row r="13003" ht="14.25" customHeight="1">
      <c r="A13003" s="307"/>
    </row>
    <row r="13004" ht="14.25" customHeight="1">
      <c r="A13004" s="307"/>
    </row>
    <row r="13005" ht="14.25" customHeight="1">
      <c r="A13005" s="307"/>
    </row>
    <row r="13006" ht="14.25" customHeight="1">
      <c r="A13006" s="307"/>
    </row>
    <row r="13007" ht="14.25" customHeight="1">
      <c r="A13007" s="307"/>
    </row>
    <row r="13008" ht="14.25" customHeight="1">
      <c r="A13008" s="307"/>
    </row>
    <row r="13009" ht="14.25" customHeight="1">
      <c r="A13009" s="307"/>
    </row>
    <row r="13010" ht="14.25" customHeight="1">
      <c r="A13010" s="307"/>
    </row>
    <row r="13011" ht="14.25" customHeight="1">
      <c r="A13011" s="307"/>
    </row>
    <row r="13012" ht="14.25" customHeight="1">
      <c r="A13012" s="307"/>
    </row>
    <row r="13013" ht="14.25" customHeight="1">
      <c r="A13013" s="307"/>
    </row>
    <row r="13014" ht="14.25" customHeight="1">
      <c r="A13014" s="307"/>
    </row>
    <row r="13015" ht="14.25" customHeight="1">
      <c r="A13015" s="307"/>
    </row>
    <row r="13016" ht="14.25" customHeight="1">
      <c r="A13016" s="307"/>
    </row>
    <row r="13017" ht="14.25" customHeight="1">
      <c r="A13017" s="307"/>
    </row>
    <row r="13018" ht="14.25" customHeight="1">
      <c r="A13018" s="307"/>
    </row>
    <row r="13019" ht="14.25" customHeight="1">
      <c r="A13019" s="307"/>
    </row>
    <row r="13020" ht="14.25" customHeight="1">
      <c r="A13020" s="307"/>
    </row>
    <row r="13021" ht="14.25" customHeight="1">
      <c r="A13021" s="307"/>
    </row>
    <row r="13022" ht="14.25" customHeight="1">
      <c r="A13022" s="307"/>
    </row>
    <row r="13023" ht="14.25" customHeight="1">
      <c r="A13023" s="307"/>
    </row>
    <row r="13024" ht="14.25" customHeight="1">
      <c r="A13024" s="307"/>
    </row>
    <row r="13025" ht="14.25" customHeight="1">
      <c r="A13025" s="307"/>
    </row>
    <row r="13026" ht="14.25" customHeight="1">
      <c r="A13026" s="307"/>
    </row>
    <row r="13027" ht="14.25" customHeight="1">
      <c r="A13027" s="307"/>
    </row>
    <row r="13028" ht="14.25" customHeight="1">
      <c r="A13028" s="307"/>
    </row>
    <row r="13029" ht="14.25" customHeight="1">
      <c r="A13029" s="307"/>
    </row>
    <row r="13030" ht="14.25" customHeight="1">
      <c r="A13030" s="307"/>
    </row>
    <row r="13031" ht="14.25" customHeight="1">
      <c r="A13031" s="307"/>
    </row>
    <row r="13032" ht="14.25" customHeight="1">
      <c r="A13032" s="307"/>
    </row>
    <row r="13033" ht="14.25" customHeight="1">
      <c r="A13033" s="307"/>
    </row>
    <row r="13034" ht="14.25" customHeight="1">
      <c r="A13034" s="307"/>
    </row>
    <row r="13035" ht="14.25" customHeight="1">
      <c r="A13035" s="307"/>
    </row>
    <row r="13036" ht="14.25" customHeight="1">
      <c r="A13036" s="307"/>
    </row>
    <row r="13037" ht="14.25" customHeight="1">
      <c r="A13037" s="307"/>
    </row>
    <row r="13038" ht="14.25" customHeight="1">
      <c r="A13038" s="307"/>
    </row>
    <row r="13039" ht="14.25" customHeight="1">
      <c r="A13039" s="307"/>
    </row>
    <row r="13040" ht="14.25" customHeight="1">
      <c r="A13040" s="307"/>
    </row>
    <row r="13041" ht="14.25" customHeight="1">
      <c r="A13041" s="307"/>
    </row>
    <row r="13042" ht="14.25" customHeight="1">
      <c r="A13042" s="307"/>
    </row>
    <row r="13043" ht="14.25" customHeight="1">
      <c r="A13043" s="307"/>
    </row>
    <row r="13044" ht="14.25" customHeight="1">
      <c r="A13044" s="307"/>
    </row>
    <row r="13045" ht="14.25" customHeight="1">
      <c r="A13045" s="307"/>
    </row>
    <row r="13046" ht="14.25" customHeight="1">
      <c r="A13046" s="307"/>
    </row>
    <row r="13047" ht="14.25" customHeight="1">
      <c r="A13047" s="307"/>
    </row>
    <row r="13048" ht="14.25" customHeight="1">
      <c r="A13048" s="307"/>
    </row>
    <row r="13049" ht="14.25" customHeight="1">
      <c r="A13049" s="307"/>
    </row>
    <row r="13050" ht="14.25" customHeight="1">
      <c r="A13050" s="307"/>
    </row>
    <row r="13051" ht="14.25" customHeight="1">
      <c r="A13051" s="307"/>
    </row>
    <row r="13052" ht="14.25" customHeight="1">
      <c r="A13052" s="307"/>
    </row>
    <row r="13053" ht="14.25" customHeight="1">
      <c r="A13053" s="307"/>
    </row>
    <row r="13054" ht="14.25" customHeight="1">
      <c r="A13054" s="307"/>
    </row>
    <row r="13055" ht="14.25" customHeight="1">
      <c r="A13055" s="307"/>
    </row>
    <row r="13056" ht="14.25" customHeight="1">
      <c r="A13056" s="307"/>
    </row>
    <row r="13057" ht="14.25" customHeight="1">
      <c r="A13057" s="307"/>
    </row>
    <row r="13058" ht="14.25" customHeight="1">
      <c r="A13058" s="307"/>
    </row>
    <row r="13059" ht="14.25" customHeight="1">
      <c r="A13059" s="307"/>
    </row>
    <row r="13060" ht="14.25" customHeight="1">
      <c r="A13060" s="307"/>
    </row>
    <row r="13061" ht="14.25" customHeight="1">
      <c r="A13061" s="307"/>
    </row>
    <row r="13062" ht="14.25" customHeight="1">
      <c r="A13062" s="307"/>
    </row>
    <row r="13063" ht="14.25" customHeight="1">
      <c r="A13063" s="307"/>
    </row>
    <row r="13064" ht="14.25" customHeight="1">
      <c r="A13064" s="307"/>
    </row>
    <row r="13065" ht="14.25" customHeight="1">
      <c r="A13065" s="307"/>
    </row>
    <row r="13066" ht="14.25" customHeight="1">
      <c r="A13066" s="307"/>
    </row>
    <row r="13067" ht="14.25" customHeight="1">
      <c r="A13067" s="307"/>
    </row>
    <row r="13068" ht="14.25" customHeight="1">
      <c r="A13068" s="307"/>
    </row>
    <row r="13069" ht="14.25" customHeight="1">
      <c r="A13069" s="307"/>
    </row>
    <row r="13070" ht="14.25" customHeight="1">
      <c r="A13070" s="307"/>
    </row>
    <row r="13071" ht="14.25" customHeight="1">
      <c r="A13071" s="307"/>
    </row>
    <row r="13072" ht="14.25" customHeight="1">
      <c r="A13072" s="307"/>
    </row>
    <row r="13073" ht="14.25" customHeight="1">
      <c r="A13073" s="307"/>
    </row>
    <row r="13074" ht="14.25" customHeight="1">
      <c r="A13074" s="307"/>
    </row>
    <row r="13075" ht="14.25" customHeight="1">
      <c r="A13075" s="307"/>
    </row>
    <row r="13076" ht="14.25" customHeight="1">
      <c r="A13076" s="307"/>
    </row>
    <row r="13077" ht="14.25" customHeight="1">
      <c r="A13077" s="307"/>
    </row>
    <row r="13078" ht="14.25" customHeight="1">
      <c r="A13078" s="307"/>
    </row>
    <row r="13079" ht="14.25" customHeight="1">
      <c r="A13079" s="307"/>
    </row>
    <row r="13080" ht="14.25" customHeight="1">
      <c r="A13080" s="307"/>
    </row>
    <row r="13081" ht="14.25" customHeight="1">
      <c r="A13081" s="307"/>
    </row>
    <row r="13082" ht="14.25" customHeight="1">
      <c r="A13082" s="307"/>
    </row>
    <row r="13083" ht="14.25" customHeight="1">
      <c r="A13083" s="307"/>
    </row>
    <row r="13084" ht="14.25" customHeight="1">
      <c r="A13084" s="307"/>
    </row>
    <row r="13085" ht="14.25" customHeight="1">
      <c r="A13085" s="307"/>
    </row>
    <row r="13086" ht="14.25" customHeight="1">
      <c r="A13086" s="307"/>
    </row>
    <row r="13087" ht="14.25" customHeight="1">
      <c r="A13087" s="307"/>
    </row>
    <row r="13088" ht="14.25" customHeight="1">
      <c r="A13088" s="307"/>
    </row>
    <row r="13089" ht="14.25" customHeight="1">
      <c r="A13089" s="307"/>
    </row>
    <row r="13090" ht="14.25" customHeight="1">
      <c r="A13090" s="307"/>
    </row>
    <row r="13091" ht="14.25" customHeight="1">
      <c r="A13091" s="307"/>
    </row>
    <row r="13092" ht="14.25" customHeight="1">
      <c r="A13092" s="307"/>
    </row>
    <row r="13093" ht="14.25" customHeight="1">
      <c r="A13093" s="307"/>
    </row>
    <row r="13094" ht="14.25" customHeight="1">
      <c r="A13094" s="307"/>
    </row>
    <row r="13095" ht="14.25" customHeight="1">
      <c r="A13095" s="307"/>
    </row>
    <row r="13096" ht="14.25" customHeight="1">
      <c r="A13096" s="307"/>
    </row>
    <row r="13097" ht="14.25" customHeight="1">
      <c r="A13097" s="307"/>
    </row>
    <row r="13098" ht="14.25" customHeight="1">
      <c r="A13098" s="307"/>
    </row>
    <row r="13099" ht="14.25" customHeight="1">
      <c r="A13099" s="307"/>
    </row>
    <row r="13100" ht="14.25" customHeight="1">
      <c r="A13100" s="307"/>
    </row>
    <row r="13101" ht="14.25" customHeight="1">
      <c r="A13101" s="307"/>
    </row>
    <row r="13102" ht="14.25" customHeight="1">
      <c r="A13102" s="307"/>
    </row>
    <row r="13103" ht="14.25" customHeight="1">
      <c r="A13103" s="307"/>
    </row>
    <row r="13104" ht="14.25" customHeight="1">
      <c r="A13104" s="307"/>
    </row>
    <row r="13105" ht="14.25" customHeight="1">
      <c r="A13105" s="307"/>
    </row>
    <row r="13106" ht="14.25" customHeight="1">
      <c r="A13106" s="307"/>
    </row>
    <row r="13107" ht="14.25" customHeight="1">
      <c r="A13107" s="307"/>
    </row>
    <row r="13108" ht="14.25" customHeight="1">
      <c r="A13108" s="307"/>
    </row>
    <row r="13109" ht="14.25" customHeight="1">
      <c r="A13109" s="307"/>
    </row>
    <row r="13110" ht="14.25" customHeight="1">
      <c r="A13110" s="307"/>
    </row>
    <row r="13111" ht="14.25" customHeight="1">
      <c r="A13111" s="307"/>
    </row>
    <row r="13112" ht="14.25" customHeight="1">
      <c r="A13112" s="307"/>
    </row>
    <row r="13113" ht="14.25" customHeight="1">
      <c r="A13113" s="307"/>
    </row>
    <row r="13114" ht="14.25" customHeight="1">
      <c r="A13114" s="307"/>
    </row>
    <row r="13115" ht="14.25" customHeight="1">
      <c r="A13115" s="307"/>
    </row>
    <row r="13116" ht="14.25" customHeight="1">
      <c r="A13116" s="307"/>
    </row>
    <row r="13117" ht="14.25" customHeight="1">
      <c r="A13117" s="307"/>
    </row>
    <row r="13118" ht="14.25" customHeight="1">
      <c r="A13118" s="307"/>
    </row>
    <row r="13119" ht="14.25" customHeight="1">
      <c r="A13119" s="307"/>
    </row>
    <row r="13120" ht="14.25" customHeight="1">
      <c r="A13120" s="307"/>
    </row>
    <row r="13121" ht="14.25" customHeight="1">
      <c r="A13121" s="307"/>
    </row>
    <row r="13122" ht="14.25" customHeight="1">
      <c r="A13122" s="307"/>
    </row>
    <row r="13123" ht="14.25" customHeight="1">
      <c r="A13123" s="307"/>
    </row>
    <row r="13124" ht="14.25" customHeight="1">
      <c r="A13124" s="307"/>
    </row>
    <row r="13125" ht="14.25" customHeight="1">
      <c r="A13125" s="307"/>
    </row>
    <row r="13126" ht="14.25" customHeight="1">
      <c r="A13126" s="307"/>
    </row>
    <row r="13127" ht="14.25" customHeight="1">
      <c r="A13127" s="307"/>
    </row>
    <row r="13128" ht="14.25" customHeight="1">
      <c r="A13128" s="307"/>
    </row>
    <row r="13129" ht="14.25" customHeight="1">
      <c r="A13129" s="307"/>
    </row>
    <row r="13130" ht="14.25" customHeight="1">
      <c r="A13130" s="307"/>
    </row>
    <row r="13131" ht="14.25" customHeight="1">
      <c r="A13131" s="307"/>
    </row>
    <row r="13132" ht="14.25" customHeight="1">
      <c r="A13132" s="307"/>
    </row>
    <row r="13133" ht="14.25" customHeight="1">
      <c r="A13133" s="307"/>
    </row>
    <row r="13134" ht="14.25" customHeight="1">
      <c r="A13134" s="307"/>
    </row>
    <row r="13135" ht="14.25" customHeight="1">
      <c r="A13135" s="307"/>
    </row>
    <row r="13136" ht="14.25" customHeight="1">
      <c r="A13136" s="307"/>
    </row>
    <row r="13137" ht="14.25" customHeight="1">
      <c r="A13137" s="307"/>
    </row>
    <row r="13138" ht="14.25" customHeight="1">
      <c r="A13138" s="307"/>
    </row>
    <row r="13139" ht="14.25" customHeight="1">
      <c r="A13139" s="307"/>
    </row>
    <row r="13140" ht="14.25" customHeight="1">
      <c r="A13140" s="307"/>
    </row>
    <row r="13141" ht="14.25" customHeight="1">
      <c r="A13141" s="307"/>
    </row>
    <row r="13142" ht="14.25" customHeight="1">
      <c r="A13142" s="307"/>
    </row>
    <row r="13143" ht="14.25" customHeight="1">
      <c r="A13143" s="307"/>
    </row>
    <row r="13144" ht="14.25" customHeight="1">
      <c r="A13144" s="307"/>
    </row>
    <row r="13145" ht="14.25" customHeight="1">
      <c r="A13145" s="307"/>
    </row>
    <row r="13146" ht="14.25" customHeight="1">
      <c r="A13146" s="307"/>
    </row>
    <row r="13147" ht="14.25" customHeight="1">
      <c r="A13147" s="307"/>
    </row>
    <row r="13148" ht="14.25" customHeight="1">
      <c r="A13148" s="307"/>
    </row>
    <row r="13149" ht="14.25" customHeight="1">
      <c r="A13149" s="307"/>
    </row>
    <row r="13150" ht="14.25" customHeight="1">
      <c r="A13150" s="307"/>
    </row>
    <row r="13151" ht="14.25" customHeight="1">
      <c r="A13151" s="307"/>
    </row>
    <row r="13152" ht="14.25" customHeight="1">
      <c r="A13152" s="307"/>
    </row>
    <row r="13153" ht="14.25" customHeight="1">
      <c r="A13153" s="307"/>
    </row>
    <row r="13154" ht="14.25" customHeight="1">
      <c r="A13154" s="307"/>
    </row>
    <row r="13155" ht="14.25" customHeight="1">
      <c r="A13155" s="307"/>
    </row>
    <row r="13156" ht="14.25" customHeight="1">
      <c r="A13156" s="307"/>
    </row>
    <row r="13157" ht="14.25" customHeight="1">
      <c r="A13157" s="307"/>
    </row>
    <row r="13158" ht="14.25" customHeight="1">
      <c r="A13158" s="307"/>
    </row>
    <row r="13159" ht="14.25" customHeight="1">
      <c r="A13159" s="307"/>
    </row>
    <row r="13160" ht="14.25" customHeight="1">
      <c r="A13160" s="307"/>
    </row>
    <row r="13161" ht="14.25" customHeight="1">
      <c r="A13161" s="307"/>
    </row>
    <row r="13162" ht="14.25" customHeight="1">
      <c r="A13162" s="307"/>
    </row>
    <row r="13163" ht="14.25" customHeight="1">
      <c r="A13163" s="307"/>
    </row>
    <row r="13164" ht="14.25" customHeight="1">
      <c r="A13164" s="307"/>
    </row>
    <row r="13165" ht="14.25" customHeight="1">
      <c r="A13165" s="307"/>
    </row>
    <row r="13166" ht="14.25" customHeight="1">
      <c r="A13166" s="307"/>
    </row>
    <row r="13167" ht="14.25" customHeight="1">
      <c r="A13167" s="307"/>
    </row>
    <row r="13168" ht="14.25" customHeight="1">
      <c r="A13168" s="307"/>
    </row>
    <row r="13169" ht="14.25" customHeight="1">
      <c r="A13169" s="307"/>
    </row>
    <row r="13170" ht="14.25" customHeight="1">
      <c r="A13170" s="307"/>
    </row>
    <row r="13171" ht="14.25" customHeight="1">
      <c r="A13171" s="307"/>
    </row>
    <row r="13172" ht="14.25" customHeight="1">
      <c r="A13172" s="307"/>
    </row>
    <row r="13173" ht="14.25" customHeight="1">
      <c r="A13173" s="307"/>
    </row>
    <row r="13174" ht="14.25" customHeight="1">
      <c r="A13174" s="307"/>
    </row>
    <row r="13175" ht="14.25" customHeight="1">
      <c r="A13175" s="307"/>
    </row>
    <row r="13176" ht="14.25" customHeight="1">
      <c r="A13176" s="307"/>
    </row>
    <row r="13177" ht="14.25" customHeight="1">
      <c r="A13177" s="307"/>
    </row>
    <row r="13178" ht="14.25" customHeight="1">
      <c r="A13178" s="307"/>
    </row>
    <row r="13179" ht="14.25" customHeight="1">
      <c r="A13179" s="307"/>
    </row>
    <row r="13180" ht="14.25" customHeight="1">
      <c r="A13180" s="307"/>
    </row>
    <row r="13181" ht="14.25" customHeight="1">
      <c r="A13181" s="307"/>
    </row>
    <row r="13182" ht="14.25" customHeight="1">
      <c r="A13182" s="307"/>
    </row>
    <row r="13183" ht="14.25" customHeight="1">
      <c r="A13183" s="307"/>
    </row>
    <row r="13184" ht="14.25" customHeight="1">
      <c r="A13184" s="307"/>
    </row>
    <row r="13185" ht="14.25" customHeight="1">
      <c r="A13185" s="307"/>
    </row>
    <row r="13186" ht="14.25" customHeight="1">
      <c r="A13186" s="307"/>
    </row>
    <row r="13187" ht="14.25" customHeight="1">
      <c r="A13187" s="307"/>
    </row>
    <row r="13188" ht="14.25" customHeight="1">
      <c r="A13188" s="307"/>
    </row>
    <row r="13189" ht="14.25" customHeight="1">
      <c r="A13189" s="307"/>
    </row>
    <row r="13190" ht="14.25" customHeight="1">
      <c r="A13190" s="307"/>
    </row>
    <row r="13191" ht="14.25" customHeight="1">
      <c r="A13191" s="307"/>
    </row>
    <row r="13192" ht="14.25" customHeight="1">
      <c r="A13192" s="307"/>
    </row>
    <row r="13193" ht="14.25" customHeight="1">
      <c r="A13193" s="307"/>
    </row>
    <row r="13194" ht="14.25" customHeight="1">
      <c r="A13194" s="307"/>
    </row>
    <row r="13195" ht="14.25" customHeight="1">
      <c r="A13195" s="307"/>
    </row>
    <row r="13196" ht="14.25" customHeight="1">
      <c r="A13196" s="307"/>
    </row>
    <row r="13197" ht="14.25" customHeight="1">
      <c r="A13197" s="307"/>
    </row>
    <row r="13198" ht="14.25" customHeight="1">
      <c r="A13198" s="307"/>
    </row>
    <row r="13199" ht="14.25" customHeight="1">
      <c r="A13199" s="307"/>
    </row>
    <row r="13200" ht="14.25" customHeight="1">
      <c r="A13200" s="307"/>
    </row>
    <row r="13201" ht="14.25" customHeight="1">
      <c r="A13201" s="307"/>
    </row>
    <row r="13202" ht="14.25" customHeight="1">
      <c r="A13202" s="307"/>
    </row>
    <row r="13203" ht="14.25" customHeight="1">
      <c r="A13203" s="307"/>
    </row>
    <row r="13204" ht="14.25" customHeight="1">
      <c r="A13204" s="307"/>
    </row>
    <row r="13205" ht="14.25" customHeight="1">
      <c r="A13205" s="307"/>
    </row>
    <row r="13206" ht="14.25" customHeight="1">
      <c r="A13206" s="307"/>
    </row>
    <row r="13207" ht="14.25" customHeight="1">
      <c r="A13207" s="307"/>
    </row>
    <row r="13208" ht="14.25" customHeight="1">
      <c r="A13208" s="307"/>
    </row>
    <row r="13209" ht="14.25" customHeight="1">
      <c r="A13209" s="307"/>
    </row>
    <row r="13210" ht="14.25" customHeight="1">
      <c r="A13210" s="307"/>
    </row>
    <row r="13211" ht="14.25" customHeight="1">
      <c r="A13211" s="307"/>
    </row>
    <row r="13212" ht="14.25" customHeight="1">
      <c r="A13212" s="307"/>
    </row>
    <row r="13213" ht="14.25" customHeight="1">
      <c r="A13213" s="307"/>
    </row>
    <row r="13214" ht="14.25" customHeight="1">
      <c r="A13214" s="307"/>
    </row>
    <row r="13215" ht="14.25" customHeight="1">
      <c r="A13215" s="307"/>
    </row>
    <row r="13216" ht="14.25" customHeight="1">
      <c r="A13216" s="307"/>
    </row>
    <row r="13217" ht="14.25" customHeight="1">
      <c r="A13217" s="307"/>
    </row>
    <row r="13218" ht="14.25" customHeight="1">
      <c r="A13218" s="307"/>
    </row>
    <row r="13219" ht="14.25" customHeight="1">
      <c r="A13219" s="307"/>
    </row>
    <row r="13220" ht="14.25" customHeight="1">
      <c r="A13220" s="307"/>
    </row>
    <row r="13221" ht="14.25" customHeight="1">
      <c r="A13221" s="307"/>
    </row>
    <row r="13222" ht="14.25" customHeight="1">
      <c r="A13222" s="307"/>
    </row>
    <row r="13223" ht="14.25" customHeight="1">
      <c r="A13223" s="307"/>
    </row>
    <row r="13224" ht="14.25" customHeight="1">
      <c r="A13224" s="307"/>
    </row>
    <row r="13225" ht="14.25" customHeight="1">
      <c r="A13225" s="307"/>
    </row>
    <row r="13226" ht="14.25" customHeight="1">
      <c r="A13226" s="307"/>
    </row>
    <row r="13227" ht="14.25" customHeight="1">
      <c r="A13227" s="307"/>
    </row>
    <row r="13228" ht="14.25" customHeight="1">
      <c r="A13228" s="307"/>
    </row>
    <row r="13229" ht="14.25" customHeight="1">
      <c r="A13229" s="307"/>
    </row>
    <row r="13230" ht="14.25" customHeight="1">
      <c r="A13230" s="307"/>
    </row>
    <row r="13231" ht="14.25" customHeight="1">
      <c r="A13231" s="307"/>
    </row>
    <row r="13232" ht="14.25" customHeight="1">
      <c r="A13232" s="307"/>
    </row>
    <row r="13233" ht="14.25" customHeight="1">
      <c r="A13233" s="307"/>
    </row>
    <row r="13234" ht="14.25" customHeight="1">
      <c r="A13234" s="307"/>
    </row>
    <row r="13235" ht="14.25" customHeight="1">
      <c r="A13235" s="307"/>
    </row>
    <row r="13236" ht="14.25" customHeight="1">
      <c r="A13236" s="307"/>
    </row>
    <row r="13237" ht="14.25" customHeight="1">
      <c r="A13237" s="307"/>
    </row>
    <row r="13238" ht="14.25" customHeight="1">
      <c r="A13238" s="307"/>
    </row>
    <row r="13239" ht="14.25" customHeight="1">
      <c r="A13239" s="307"/>
    </row>
    <row r="13240" ht="14.25" customHeight="1">
      <c r="A13240" s="307"/>
    </row>
    <row r="13241" ht="14.25" customHeight="1">
      <c r="A13241" s="307"/>
    </row>
    <row r="13242" ht="14.25" customHeight="1">
      <c r="A13242" s="307"/>
    </row>
    <row r="13243" ht="14.25" customHeight="1">
      <c r="A13243" s="307"/>
    </row>
    <row r="13244" ht="14.25" customHeight="1">
      <c r="A13244" s="307"/>
    </row>
    <row r="13245" ht="14.25" customHeight="1">
      <c r="A13245" s="307"/>
    </row>
    <row r="13246" ht="14.25" customHeight="1">
      <c r="A13246" s="307"/>
    </row>
    <row r="13247" ht="14.25" customHeight="1">
      <c r="A13247" s="307"/>
    </row>
    <row r="13248" ht="14.25" customHeight="1">
      <c r="A13248" s="307"/>
    </row>
    <row r="13249" ht="14.25" customHeight="1">
      <c r="A13249" s="307"/>
    </row>
    <row r="13250" ht="14.25" customHeight="1">
      <c r="A13250" s="307"/>
    </row>
    <row r="13251" ht="14.25" customHeight="1">
      <c r="A13251" s="307"/>
    </row>
    <row r="13252" ht="14.25" customHeight="1">
      <c r="A13252" s="307"/>
    </row>
    <row r="13253" ht="14.25" customHeight="1">
      <c r="A13253" s="307"/>
    </row>
    <row r="13254" ht="14.25" customHeight="1">
      <c r="A13254" s="307"/>
    </row>
    <row r="13255" ht="14.25" customHeight="1">
      <c r="A13255" s="307"/>
    </row>
    <row r="13256" ht="14.25" customHeight="1">
      <c r="A13256" s="307"/>
    </row>
    <row r="13257" ht="14.25" customHeight="1">
      <c r="A13257" s="307"/>
    </row>
    <row r="13258" ht="14.25" customHeight="1">
      <c r="A13258" s="307"/>
    </row>
    <row r="13259" ht="14.25" customHeight="1">
      <c r="A13259" s="307"/>
    </row>
    <row r="13260" ht="14.25" customHeight="1">
      <c r="A13260" s="307"/>
    </row>
    <row r="13261" ht="14.25" customHeight="1">
      <c r="A13261" s="307"/>
    </row>
    <row r="13262" ht="14.25" customHeight="1">
      <c r="A13262" s="307"/>
    </row>
    <row r="13263" ht="14.25" customHeight="1">
      <c r="A13263" s="307"/>
    </row>
    <row r="13264" ht="14.25" customHeight="1">
      <c r="A13264" s="307"/>
    </row>
    <row r="13265" ht="14.25" customHeight="1">
      <c r="A13265" s="307"/>
    </row>
    <row r="13266" ht="14.25" customHeight="1">
      <c r="A13266" s="307"/>
    </row>
    <row r="13267" ht="14.25" customHeight="1">
      <c r="A13267" s="307"/>
    </row>
    <row r="13268" ht="14.25" customHeight="1">
      <c r="A13268" s="307"/>
    </row>
    <row r="13269" ht="14.25" customHeight="1">
      <c r="A13269" s="307"/>
    </row>
    <row r="13270" ht="14.25" customHeight="1">
      <c r="A13270" s="307"/>
    </row>
    <row r="13271" ht="14.25" customHeight="1">
      <c r="A13271" s="307"/>
    </row>
    <row r="13272" ht="14.25" customHeight="1">
      <c r="A13272" s="307"/>
    </row>
    <row r="13273" ht="14.25" customHeight="1">
      <c r="A13273" s="307"/>
    </row>
    <row r="13274" ht="14.25" customHeight="1">
      <c r="A13274" s="307"/>
    </row>
    <row r="13275" ht="14.25" customHeight="1">
      <c r="A13275" s="307"/>
    </row>
    <row r="13276" ht="14.25" customHeight="1">
      <c r="A13276" s="307"/>
    </row>
    <row r="13277" ht="14.25" customHeight="1">
      <c r="A13277" s="307"/>
    </row>
    <row r="13278" ht="14.25" customHeight="1">
      <c r="A13278" s="307"/>
    </row>
    <row r="13279" ht="14.25" customHeight="1">
      <c r="A13279" s="307"/>
    </row>
    <row r="13280" ht="14.25" customHeight="1">
      <c r="A13280" s="307"/>
    </row>
    <row r="13281" ht="14.25" customHeight="1">
      <c r="A13281" s="307"/>
    </row>
    <row r="13282" ht="14.25" customHeight="1">
      <c r="A13282" s="307"/>
    </row>
    <row r="13283" ht="14.25" customHeight="1">
      <c r="A13283" s="307"/>
    </row>
    <row r="13284" ht="14.25" customHeight="1">
      <c r="A13284" s="307"/>
    </row>
    <row r="13285" ht="14.25" customHeight="1">
      <c r="A13285" s="307"/>
    </row>
    <row r="13286" ht="14.25" customHeight="1">
      <c r="A13286" s="307"/>
    </row>
    <row r="13287" ht="14.25" customHeight="1">
      <c r="A13287" s="307"/>
    </row>
    <row r="13288" ht="14.25" customHeight="1">
      <c r="A13288" s="307"/>
    </row>
    <row r="13289" ht="14.25" customHeight="1">
      <c r="A13289" s="307"/>
    </row>
    <row r="13290" ht="14.25" customHeight="1">
      <c r="A13290" s="307"/>
    </row>
    <row r="13291" ht="14.25" customHeight="1">
      <c r="A13291" s="307"/>
    </row>
    <row r="13292" ht="14.25" customHeight="1">
      <c r="A13292" s="307"/>
    </row>
    <row r="13293" ht="14.25" customHeight="1">
      <c r="A13293" s="307"/>
    </row>
    <row r="13294" ht="14.25" customHeight="1">
      <c r="A13294" s="307"/>
    </row>
    <row r="13295" ht="14.25" customHeight="1">
      <c r="A13295" s="307"/>
    </row>
    <row r="13296" ht="14.25" customHeight="1">
      <c r="A13296" s="307"/>
    </row>
    <row r="13297" ht="14.25" customHeight="1">
      <c r="A13297" s="307"/>
    </row>
    <row r="13298" ht="14.25" customHeight="1">
      <c r="A13298" s="307"/>
    </row>
    <row r="13299" ht="14.25" customHeight="1">
      <c r="A13299" s="307"/>
    </row>
    <row r="13300" ht="14.25" customHeight="1">
      <c r="A13300" s="307"/>
    </row>
    <row r="13301" ht="14.25" customHeight="1">
      <c r="A13301" s="307"/>
    </row>
    <row r="13302" ht="14.25" customHeight="1">
      <c r="A13302" s="307"/>
    </row>
    <row r="13303" ht="14.25" customHeight="1">
      <c r="A13303" s="307"/>
    </row>
    <row r="13304" ht="14.25" customHeight="1">
      <c r="A13304" s="307"/>
    </row>
    <row r="13305" ht="14.25" customHeight="1">
      <c r="A13305" s="307"/>
    </row>
    <row r="13306" ht="14.25" customHeight="1">
      <c r="A13306" s="307"/>
    </row>
    <row r="13307" ht="14.25" customHeight="1">
      <c r="A13307" s="307"/>
    </row>
    <row r="13308" ht="14.25" customHeight="1">
      <c r="A13308" s="307"/>
    </row>
    <row r="13309" ht="14.25" customHeight="1">
      <c r="A13309" s="307"/>
    </row>
    <row r="13310" ht="14.25" customHeight="1">
      <c r="A13310" s="307"/>
    </row>
    <row r="13311" ht="14.25" customHeight="1">
      <c r="A13311" s="307"/>
    </row>
    <row r="13312" ht="14.25" customHeight="1">
      <c r="A13312" s="307"/>
    </row>
    <row r="13313" ht="14.25" customHeight="1">
      <c r="A13313" s="307"/>
    </row>
    <row r="13314" ht="14.25" customHeight="1">
      <c r="A13314" s="307"/>
    </row>
    <row r="13315" ht="14.25" customHeight="1">
      <c r="A13315" s="307"/>
    </row>
    <row r="13316" ht="14.25" customHeight="1">
      <c r="A13316" s="307"/>
    </row>
    <row r="13317" ht="14.25" customHeight="1">
      <c r="A13317" s="307"/>
    </row>
    <row r="13318" ht="14.25" customHeight="1">
      <c r="A13318" s="307"/>
    </row>
    <row r="13319" ht="14.25" customHeight="1">
      <c r="A13319" s="307"/>
    </row>
    <row r="13320" ht="14.25" customHeight="1">
      <c r="A13320" s="307"/>
    </row>
    <row r="13321" ht="14.25" customHeight="1">
      <c r="A13321" s="307"/>
    </row>
    <row r="13322" ht="14.25" customHeight="1">
      <c r="A13322" s="307"/>
    </row>
    <row r="13323" ht="14.25" customHeight="1">
      <c r="A13323" s="307"/>
    </row>
    <row r="13324" ht="14.25" customHeight="1">
      <c r="A13324" s="307"/>
    </row>
    <row r="13325" ht="14.25" customHeight="1">
      <c r="A13325" s="307"/>
    </row>
    <row r="13326" ht="14.25" customHeight="1">
      <c r="A13326" s="307"/>
    </row>
    <row r="13327" ht="14.25" customHeight="1">
      <c r="A13327" s="307"/>
    </row>
    <row r="13328" ht="14.25" customHeight="1">
      <c r="A13328" s="307"/>
    </row>
    <row r="13329" ht="14.25" customHeight="1">
      <c r="A13329" s="307"/>
    </row>
    <row r="13330" ht="14.25" customHeight="1">
      <c r="A13330" s="307"/>
    </row>
    <row r="13331" ht="14.25" customHeight="1">
      <c r="A13331" s="307"/>
    </row>
    <row r="13332" ht="14.25" customHeight="1">
      <c r="A13332" s="307"/>
    </row>
    <row r="13333" ht="14.25" customHeight="1">
      <c r="A13333" s="307"/>
    </row>
    <row r="13334" ht="14.25" customHeight="1">
      <c r="A13334" s="307"/>
    </row>
    <row r="13335" ht="14.25" customHeight="1">
      <c r="A13335" s="307"/>
    </row>
    <row r="13336" ht="14.25" customHeight="1">
      <c r="A13336" s="307"/>
    </row>
    <row r="13337" ht="14.25" customHeight="1">
      <c r="A13337" s="307"/>
    </row>
    <row r="13338" ht="14.25" customHeight="1">
      <c r="A13338" s="307"/>
    </row>
    <row r="13339" ht="14.25" customHeight="1">
      <c r="A13339" s="307"/>
    </row>
    <row r="13340" ht="14.25" customHeight="1">
      <c r="A13340" s="307"/>
    </row>
    <row r="13341" ht="14.25" customHeight="1">
      <c r="A13341" s="307"/>
    </row>
    <row r="13342" ht="14.25" customHeight="1">
      <c r="A13342" s="307"/>
    </row>
    <row r="13343" ht="14.25" customHeight="1">
      <c r="A13343" s="307"/>
    </row>
    <row r="13344" ht="14.25" customHeight="1">
      <c r="A13344" s="307"/>
    </row>
    <row r="13345" ht="14.25" customHeight="1">
      <c r="A13345" s="307"/>
    </row>
    <row r="13346" ht="14.25" customHeight="1">
      <c r="A13346" s="307"/>
    </row>
    <row r="13347" ht="14.25" customHeight="1">
      <c r="A13347" s="307"/>
    </row>
    <row r="13348" ht="14.25" customHeight="1">
      <c r="A13348" s="307"/>
    </row>
    <row r="13349" ht="14.25" customHeight="1">
      <c r="A13349" s="307"/>
    </row>
    <row r="13350" ht="14.25" customHeight="1">
      <c r="A13350" s="307"/>
    </row>
    <row r="13351" ht="14.25" customHeight="1">
      <c r="A13351" s="307"/>
    </row>
    <row r="13352" ht="14.25" customHeight="1">
      <c r="A13352" s="307"/>
    </row>
    <row r="13353" ht="14.25" customHeight="1">
      <c r="A13353" s="307"/>
    </row>
    <row r="13354" ht="14.25" customHeight="1">
      <c r="A13354" s="307"/>
    </row>
    <row r="13355" ht="14.25" customHeight="1">
      <c r="A13355" s="307"/>
    </row>
    <row r="13356" ht="14.25" customHeight="1">
      <c r="A13356" s="307"/>
    </row>
    <row r="13357" ht="14.25" customHeight="1">
      <c r="A13357" s="307"/>
    </row>
    <row r="13358" ht="14.25" customHeight="1">
      <c r="A13358" s="307"/>
    </row>
    <row r="13359" ht="14.25" customHeight="1">
      <c r="A13359" s="307"/>
    </row>
    <row r="13360" ht="14.25" customHeight="1">
      <c r="A13360" s="307"/>
    </row>
    <row r="13361" ht="14.25" customHeight="1">
      <c r="A13361" s="307"/>
    </row>
    <row r="13362" ht="14.25" customHeight="1">
      <c r="A13362" s="307"/>
    </row>
    <row r="13363" ht="14.25" customHeight="1">
      <c r="A13363" s="307"/>
    </row>
    <row r="13364" ht="14.25" customHeight="1">
      <c r="A13364" s="307"/>
    </row>
    <row r="13365" ht="14.25" customHeight="1">
      <c r="A13365" s="307"/>
    </row>
    <row r="13366" ht="14.25" customHeight="1">
      <c r="A13366" s="307"/>
    </row>
    <row r="13367" ht="14.25" customHeight="1">
      <c r="A13367" s="307"/>
    </row>
    <row r="13368" ht="14.25" customHeight="1">
      <c r="A13368" s="307"/>
    </row>
    <row r="13369" ht="14.25" customHeight="1">
      <c r="A13369" s="307"/>
    </row>
    <row r="13370" ht="14.25" customHeight="1">
      <c r="A13370" s="307"/>
    </row>
    <row r="13371" ht="14.25" customHeight="1">
      <c r="A13371" s="307"/>
    </row>
    <row r="13372" ht="14.25" customHeight="1">
      <c r="A13372" s="307"/>
    </row>
    <row r="13373" ht="14.25" customHeight="1">
      <c r="A13373" s="307"/>
    </row>
    <row r="13374" ht="14.25" customHeight="1">
      <c r="A13374" s="307"/>
    </row>
    <row r="13375" ht="14.25" customHeight="1">
      <c r="A13375" s="307"/>
    </row>
    <row r="13376" ht="14.25" customHeight="1">
      <c r="A13376" s="307"/>
    </row>
    <row r="13377" ht="14.25" customHeight="1">
      <c r="A13377" s="307"/>
    </row>
    <row r="13378" ht="14.25" customHeight="1">
      <c r="A13378" s="307"/>
    </row>
    <row r="13379" ht="14.25" customHeight="1">
      <c r="A13379" s="307"/>
    </row>
    <row r="13380" ht="14.25" customHeight="1">
      <c r="A13380" s="307"/>
    </row>
    <row r="13381" ht="14.25" customHeight="1">
      <c r="A13381" s="307"/>
    </row>
    <row r="13382" ht="14.25" customHeight="1">
      <c r="A13382" s="307"/>
    </row>
    <row r="13383" ht="14.25" customHeight="1">
      <c r="A13383" s="307"/>
    </row>
    <row r="13384" ht="14.25" customHeight="1">
      <c r="A13384" s="307"/>
    </row>
    <row r="13385" ht="14.25" customHeight="1">
      <c r="A13385" s="307"/>
    </row>
    <row r="13386" ht="14.25" customHeight="1">
      <c r="A13386" s="307"/>
    </row>
    <row r="13387" ht="14.25" customHeight="1">
      <c r="A13387" s="307"/>
    </row>
    <row r="13388" ht="14.25" customHeight="1">
      <c r="A13388" s="307"/>
    </row>
    <row r="13389" ht="14.25" customHeight="1">
      <c r="A13389" s="307"/>
    </row>
    <row r="13390" ht="14.25" customHeight="1">
      <c r="A13390" s="307"/>
    </row>
    <row r="13391" ht="14.25" customHeight="1">
      <c r="A13391" s="307"/>
    </row>
    <row r="13392" ht="14.25" customHeight="1">
      <c r="A13392" s="307"/>
    </row>
    <row r="13393" ht="14.25" customHeight="1">
      <c r="A13393" s="307"/>
    </row>
    <row r="13394" ht="14.25" customHeight="1">
      <c r="A13394" s="307"/>
    </row>
    <row r="13395" ht="14.25" customHeight="1">
      <c r="A13395" s="307"/>
    </row>
    <row r="13396" ht="14.25" customHeight="1">
      <c r="A13396" s="307"/>
    </row>
    <row r="13397" ht="14.25" customHeight="1">
      <c r="A13397" s="307"/>
    </row>
    <row r="13398" ht="14.25" customHeight="1">
      <c r="A13398" s="307"/>
    </row>
    <row r="13399" ht="14.25" customHeight="1">
      <c r="A13399" s="307"/>
    </row>
    <row r="13400" ht="14.25" customHeight="1">
      <c r="A13400" s="307"/>
    </row>
    <row r="13401" ht="14.25" customHeight="1">
      <c r="A13401" s="307"/>
    </row>
    <row r="13402" ht="14.25" customHeight="1">
      <c r="A13402" s="307"/>
    </row>
    <row r="13403" ht="14.25" customHeight="1">
      <c r="A13403" s="307"/>
    </row>
    <row r="13404" ht="14.25" customHeight="1">
      <c r="A13404" s="307"/>
    </row>
    <row r="13405" ht="14.25" customHeight="1">
      <c r="A13405" s="307"/>
    </row>
    <row r="13406" ht="14.25" customHeight="1">
      <c r="A13406" s="307"/>
    </row>
    <row r="13407" ht="14.25" customHeight="1">
      <c r="A13407" s="307"/>
    </row>
    <row r="13408" ht="14.25" customHeight="1">
      <c r="A13408" s="307"/>
    </row>
    <row r="13409" ht="14.25" customHeight="1">
      <c r="A13409" s="307"/>
    </row>
    <row r="13410" ht="14.25" customHeight="1">
      <c r="A13410" s="307"/>
    </row>
    <row r="13411" ht="14.25" customHeight="1">
      <c r="A13411" s="307"/>
    </row>
    <row r="13412" ht="14.25" customHeight="1">
      <c r="A13412" s="307"/>
    </row>
    <row r="13413" ht="14.25" customHeight="1">
      <c r="A13413" s="307"/>
    </row>
    <row r="13414" ht="14.25" customHeight="1">
      <c r="A13414" s="307"/>
    </row>
    <row r="13415" ht="14.25" customHeight="1">
      <c r="A13415" s="307"/>
    </row>
    <row r="13416" ht="14.25" customHeight="1">
      <c r="A13416" s="307"/>
    </row>
    <row r="13417" ht="14.25" customHeight="1">
      <c r="A13417" s="307"/>
    </row>
    <row r="13418" ht="14.25" customHeight="1">
      <c r="A13418" s="307"/>
    </row>
    <row r="13419" ht="14.25" customHeight="1">
      <c r="A13419" s="307"/>
    </row>
    <row r="13420" ht="14.25" customHeight="1">
      <c r="A13420" s="307"/>
    </row>
    <row r="13421" ht="14.25" customHeight="1">
      <c r="A13421" s="307"/>
    </row>
    <row r="13422" ht="14.25" customHeight="1">
      <c r="A13422" s="307"/>
    </row>
    <row r="13423" ht="14.25" customHeight="1">
      <c r="A13423" s="307"/>
    </row>
    <row r="13424" ht="14.25" customHeight="1">
      <c r="A13424" s="307"/>
    </row>
    <row r="13425" ht="14.25" customHeight="1">
      <c r="A13425" s="307"/>
    </row>
    <row r="13426" ht="14.25" customHeight="1">
      <c r="A13426" s="307"/>
    </row>
    <row r="13427" ht="14.25" customHeight="1">
      <c r="A13427" s="307"/>
    </row>
    <row r="13428" ht="14.25" customHeight="1">
      <c r="A13428" s="307"/>
    </row>
    <row r="13429" ht="14.25" customHeight="1">
      <c r="A13429" s="307"/>
    </row>
    <row r="13430" ht="14.25" customHeight="1">
      <c r="A13430" s="307"/>
    </row>
    <row r="13431" ht="14.25" customHeight="1">
      <c r="A13431" s="307"/>
    </row>
    <row r="13432" ht="14.25" customHeight="1">
      <c r="A13432" s="307"/>
    </row>
    <row r="13433" ht="14.25" customHeight="1">
      <c r="A13433" s="307"/>
    </row>
    <row r="13434" ht="14.25" customHeight="1">
      <c r="A13434" s="307"/>
    </row>
    <row r="13435" ht="14.25" customHeight="1">
      <c r="A13435" s="307"/>
    </row>
    <row r="13436" ht="14.25" customHeight="1">
      <c r="A13436" s="307"/>
    </row>
    <row r="13437" ht="14.25" customHeight="1">
      <c r="A13437" s="307"/>
    </row>
    <row r="13438" ht="14.25" customHeight="1">
      <c r="A13438" s="307"/>
    </row>
    <row r="13439" ht="14.25" customHeight="1">
      <c r="A13439" s="307"/>
    </row>
    <row r="13440" ht="14.25" customHeight="1">
      <c r="A13440" s="307"/>
    </row>
    <row r="13441" ht="14.25" customHeight="1">
      <c r="A13441" s="307"/>
    </row>
    <row r="13442" ht="14.25" customHeight="1">
      <c r="A13442" s="307"/>
    </row>
    <row r="13443" ht="14.25" customHeight="1">
      <c r="A13443" s="307"/>
    </row>
    <row r="13444" ht="14.25" customHeight="1">
      <c r="A13444" s="307"/>
    </row>
    <row r="13445" ht="14.25" customHeight="1">
      <c r="A13445" s="307"/>
    </row>
    <row r="13446" ht="14.25" customHeight="1">
      <c r="A13446" s="307"/>
    </row>
    <row r="13447" ht="14.25" customHeight="1">
      <c r="A13447" s="307"/>
    </row>
    <row r="13448" ht="14.25" customHeight="1">
      <c r="A13448" s="307"/>
    </row>
    <row r="13449" ht="14.25" customHeight="1">
      <c r="A13449" s="307"/>
    </row>
    <row r="13450" ht="14.25" customHeight="1">
      <c r="A13450" s="307"/>
    </row>
    <row r="13451" ht="14.25" customHeight="1">
      <c r="A13451" s="307"/>
    </row>
    <row r="13452" ht="14.25" customHeight="1">
      <c r="A13452" s="307"/>
    </row>
    <row r="13453" ht="14.25" customHeight="1">
      <c r="A13453" s="307"/>
    </row>
    <row r="13454" ht="14.25" customHeight="1">
      <c r="A13454" s="307"/>
    </row>
    <row r="13455" ht="14.25" customHeight="1">
      <c r="A13455" s="307"/>
    </row>
    <row r="13456" ht="14.25" customHeight="1">
      <c r="A13456" s="307"/>
    </row>
    <row r="13457" ht="14.25" customHeight="1">
      <c r="A13457" s="307"/>
    </row>
    <row r="13458" ht="14.25" customHeight="1">
      <c r="A13458" s="307"/>
    </row>
    <row r="13459" ht="14.25" customHeight="1">
      <c r="A13459" s="307"/>
    </row>
    <row r="13460" ht="14.25" customHeight="1">
      <c r="A13460" s="307"/>
    </row>
    <row r="13461" ht="14.25" customHeight="1">
      <c r="A13461" s="307"/>
    </row>
    <row r="13462" ht="14.25" customHeight="1">
      <c r="A13462" s="307"/>
    </row>
    <row r="13463" ht="14.25" customHeight="1">
      <c r="A13463" s="307"/>
    </row>
    <row r="13464" ht="14.25" customHeight="1">
      <c r="A13464" s="307"/>
    </row>
    <row r="13465" ht="14.25" customHeight="1">
      <c r="A13465" s="307"/>
    </row>
    <row r="13466" ht="14.25" customHeight="1">
      <c r="A13466" s="307"/>
    </row>
    <row r="13467" ht="14.25" customHeight="1">
      <c r="A13467" s="307"/>
    </row>
    <row r="13468" ht="14.25" customHeight="1">
      <c r="A13468" s="307"/>
    </row>
    <row r="13469" ht="14.25" customHeight="1">
      <c r="A13469" s="307"/>
    </row>
    <row r="13470" ht="14.25" customHeight="1">
      <c r="A13470" s="307"/>
    </row>
    <row r="13471" ht="14.25" customHeight="1">
      <c r="A13471" s="307"/>
    </row>
    <row r="13472" ht="14.25" customHeight="1">
      <c r="A13472" s="307"/>
    </row>
    <row r="13473" ht="14.25" customHeight="1">
      <c r="A13473" s="307"/>
    </row>
    <row r="13474" ht="14.25" customHeight="1">
      <c r="A13474" s="307"/>
    </row>
    <row r="13475" ht="14.25" customHeight="1">
      <c r="A13475" s="307"/>
    </row>
    <row r="13476" ht="14.25" customHeight="1">
      <c r="A13476" s="307"/>
    </row>
    <row r="13477" ht="14.25" customHeight="1">
      <c r="A13477" s="307"/>
    </row>
    <row r="13478" ht="14.25" customHeight="1">
      <c r="A13478" s="307"/>
    </row>
    <row r="13479" ht="14.25" customHeight="1">
      <c r="A13479" s="307"/>
    </row>
    <row r="13480" ht="14.25" customHeight="1">
      <c r="A13480" s="307"/>
    </row>
    <row r="13481" ht="14.25" customHeight="1">
      <c r="A13481" s="307"/>
    </row>
    <row r="13482" ht="14.25" customHeight="1">
      <c r="A13482" s="307"/>
    </row>
    <row r="13483" ht="14.25" customHeight="1">
      <c r="A13483" s="307"/>
    </row>
    <row r="13484" ht="14.25" customHeight="1">
      <c r="A13484" s="307"/>
    </row>
    <row r="13485" ht="14.25" customHeight="1">
      <c r="A13485" s="307"/>
    </row>
    <row r="13486" ht="14.25" customHeight="1">
      <c r="A13486" s="307"/>
    </row>
    <row r="13487" ht="14.25" customHeight="1">
      <c r="A13487" s="307"/>
    </row>
    <row r="13488" ht="14.25" customHeight="1">
      <c r="A13488" s="307"/>
    </row>
    <row r="13489" ht="14.25" customHeight="1">
      <c r="A13489" s="307"/>
    </row>
    <row r="13490" ht="14.25" customHeight="1">
      <c r="A13490" s="307"/>
    </row>
    <row r="13491" ht="14.25" customHeight="1">
      <c r="A13491" s="307"/>
    </row>
    <row r="13492" ht="14.25" customHeight="1">
      <c r="A13492" s="307"/>
    </row>
    <row r="13493" ht="14.25" customHeight="1">
      <c r="A13493" s="307"/>
    </row>
    <row r="13494" ht="14.25" customHeight="1">
      <c r="A13494" s="307"/>
    </row>
    <row r="13495" ht="14.25" customHeight="1">
      <c r="A13495" s="307"/>
    </row>
    <row r="13496" ht="14.25" customHeight="1">
      <c r="A13496" s="307"/>
    </row>
    <row r="13497" ht="14.25" customHeight="1">
      <c r="A13497" s="307"/>
    </row>
    <row r="13498" ht="14.25" customHeight="1">
      <c r="A13498" s="307"/>
    </row>
    <row r="13499" ht="14.25" customHeight="1">
      <c r="A13499" s="307"/>
    </row>
    <row r="13500" ht="14.25" customHeight="1">
      <c r="A13500" s="307"/>
    </row>
    <row r="13501" ht="14.25" customHeight="1">
      <c r="A13501" s="307"/>
    </row>
    <row r="13502" ht="14.25" customHeight="1">
      <c r="A13502" s="307"/>
    </row>
    <row r="13503" ht="14.25" customHeight="1">
      <c r="A13503" s="307"/>
    </row>
    <row r="13504" ht="14.25" customHeight="1">
      <c r="A13504" s="307"/>
    </row>
    <row r="13505" ht="14.25" customHeight="1">
      <c r="A13505" s="307"/>
    </row>
    <row r="13506" ht="14.25" customHeight="1">
      <c r="A13506" s="307"/>
    </row>
    <row r="13507" ht="14.25" customHeight="1">
      <c r="A13507" s="307"/>
    </row>
    <row r="13508" ht="14.25" customHeight="1">
      <c r="A13508" s="307"/>
    </row>
    <row r="13509" ht="14.25" customHeight="1">
      <c r="A13509" s="307"/>
    </row>
    <row r="13510" ht="14.25" customHeight="1">
      <c r="A13510" s="307"/>
    </row>
    <row r="13511" ht="14.25" customHeight="1">
      <c r="A13511" s="307"/>
    </row>
    <row r="13512" ht="14.25" customHeight="1">
      <c r="A13512" s="307"/>
    </row>
    <row r="13513" ht="14.25" customHeight="1">
      <c r="A13513" s="307"/>
    </row>
    <row r="13514" ht="14.25" customHeight="1">
      <c r="A13514" s="307"/>
    </row>
    <row r="13515" ht="14.25" customHeight="1">
      <c r="A13515" s="307"/>
    </row>
    <row r="13516" ht="14.25" customHeight="1">
      <c r="A13516" s="307"/>
    </row>
    <row r="13517" ht="14.25" customHeight="1">
      <c r="A13517" s="307"/>
    </row>
    <row r="13518" ht="14.25" customHeight="1">
      <c r="A13518" s="307"/>
    </row>
    <row r="13519" ht="14.25" customHeight="1">
      <c r="A13519" s="307"/>
    </row>
    <row r="13520" ht="14.25" customHeight="1">
      <c r="A13520" s="307"/>
    </row>
    <row r="13521" ht="14.25" customHeight="1">
      <c r="A13521" s="307"/>
    </row>
    <row r="13522" ht="14.25" customHeight="1">
      <c r="A13522" s="307"/>
    </row>
    <row r="13523" ht="14.25" customHeight="1">
      <c r="A13523" s="307"/>
    </row>
    <row r="13524" ht="14.25" customHeight="1">
      <c r="A13524" s="307"/>
    </row>
    <row r="13525" ht="14.25" customHeight="1">
      <c r="A13525" s="307"/>
    </row>
    <row r="13526" ht="14.25" customHeight="1">
      <c r="A13526" s="307"/>
    </row>
    <row r="13527" ht="14.25" customHeight="1">
      <c r="A13527" s="307"/>
    </row>
    <row r="13528" ht="14.25" customHeight="1">
      <c r="A13528" s="307"/>
    </row>
    <row r="13529" ht="14.25" customHeight="1">
      <c r="A13529" s="307"/>
    </row>
    <row r="13530" ht="14.25" customHeight="1">
      <c r="A13530" s="307"/>
    </row>
    <row r="13531" ht="14.25" customHeight="1">
      <c r="A13531" s="307"/>
    </row>
    <row r="13532" ht="14.25" customHeight="1">
      <c r="A13532" s="307"/>
    </row>
    <row r="13533" ht="14.25" customHeight="1">
      <c r="A13533" s="307"/>
    </row>
    <row r="13534" ht="14.25" customHeight="1">
      <c r="A13534" s="307"/>
    </row>
    <row r="13535" ht="14.25" customHeight="1">
      <c r="A13535" s="307"/>
    </row>
    <row r="13536" ht="14.25" customHeight="1">
      <c r="A13536" s="307"/>
    </row>
    <row r="13537" ht="14.25" customHeight="1">
      <c r="A13537" s="307"/>
    </row>
    <row r="13538" ht="14.25" customHeight="1">
      <c r="A13538" s="307"/>
    </row>
    <row r="13539" ht="14.25" customHeight="1">
      <c r="A13539" s="307"/>
    </row>
    <row r="13540" ht="14.25" customHeight="1">
      <c r="A13540" s="307"/>
    </row>
    <row r="13541" ht="14.25" customHeight="1">
      <c r="A13541" s="307"/>
    </row>
    <row r="13542" ht="14.25" customHeight="1">
      <c r="A13542" s="307"/>
    </row>
    <row r="13543" ht="14.25" customHeight="1">
      <c r="A13543" s="307"/>
    </row>
    <row r="13544" ht="14.25" customHeight="1">
      <c r="A13544" s="307"/>
    </row>
    <row r="13545" ht="14.25" customHeight="1">
      <c r="A13545" s="307"/>
    </row>
    <row r="13546" ht="14.25" customHeight="1">
      <c r="A13546" s="307"/>
    </row>
    <row r="13547" ht="14.25" customHeight="1">
      <c r="A13547" s="307"/>
    </row>
    <row r="13548" ht="14.25" customHeight="1">
      <c r="A13548" s="307"/>
    </row>
    <row r="13549" ht="14.25" customHeight="1">
      <c r="A13549" s="307"/>
    </row>
    <row r="13550" ht="14.25" customHeight="1">
      <c r="A13550" s="307"/>
    </row>
    <row r="13551" ht="14.25" customHeight="1">
      <c r="A13551" s="307"/>
    </row>
    <row r="13552" ht="14.25" customHeight="1">
      <c r="A13552" s="307"/>
    </row>
    <row r="13553" ht="14.25" customHeight="1">
      <c r="A13553" s="307"/>
    </row>
    <row r="13554" ht="14.25" customHeight="1">
      <c r="A13554" s="307"/>
    </row>
    <row r="13555" ht="14.25" customHeight="1">
      <c r="A13555" s="307"/>
    </row>
    <row r="13556" ht="14.25" customHeight="1">
      <c r="A13556" s="307"/>
    </row>
    <row r="13557" ht="14.25" customHeight="1">
      <c r="A13557" s="307"/>
    </row>
    <row r="13558" ht="14.25" customHeight="1">
      <c r="A13558" s="307"/>
    </row>
    <row r="13559" ht="14.25" customHeight="1">
      <c r="A13559" s="307"/>
    </row>
    <row r="13560" ht="14.25" customHeight="1">
      <c r="A13560" s="307"/>
    </row>
    <row r="13561" ht="14.25" customHeight="1">
      <c r="A13561" s="307"/>
    </row>
    <row r="13562" ht="14.25" customHeight="1">
      <c r="A13562" s="307"/>
    </row>
    <row r="13563" ht="14.25" customHeight="1">
      <c r="A13563" s="307"/>
    </row>
    <row r="13564" ht="14.25" customHeight="1">
      <c r="A13564" s="307"/>
    </row>
    <row r="13565" ht="14.25" customHeight="1">
      <c r="A13565" s="307"/>
    </row>
    <row r="13566" ht="14.25" customHeight="1">
      <c r="A13566" s="307"/>
    </row>
    <row r="13567" ht="14.25" customHeight="1">
      <c r="A13567" s="307"/>
    </row>
    <row r="13568" ht="14.25" customHeight="1">
      <c r="A13568" s="307"/>
    </row>
    <row r="13569" ht="14.25" customHeight="1">
      <c r="A13569" s="307"/>
    </row>
    <row r="13570" ht="14.25" customHeight="1">
      <c r="A13570" s="307"/>
    </row>
    <row r="13571" ht="14.25" customHeight="1">
      <c r="A13571" s="307"/>
    </row>
    <row r="13572" ht="14.25" customHeight="1">
      <c r="A13572" s="307"/>
    </row>
    <row r="13573" ht="14.25" customHeight="1">
      <c r="A13573" s="307"/>
    </row>
    <row r="13574" ht="14.25" customHeight="1">
      <c r="A13574" s="307"/>
    </row>
    <row r="13575" ht="14.25" customHeight="1">
      <c r="A13575" s="307"/>
    </row>
    <row r="13576" ht="14.25" customHeight="1">
      <c r="A13576" s="307"/>
    </row>
    <row r="13577" ht="14.25" customHeight="1">
      <c r="A13577" s="307"/>
    </row>
    <row r="13578" ht="14.25" customHeight="1">
      <c r="A13578" s="307"/>
    </row>
    <row r="13579" ht="14.25" customHeight="1">
      <c r="A13579" s="307"/>
    </row>
    <row r="13580" ht="14.25" customHeight="1">
      <c r="A13580" s="307"/>
    </row>
    <row r="13581" ht="14.25" customHeight="1">
      <c r="A13581" s="307"/>
    </row>
    <row r="13582" ht="14.25" customHeight="1">
      <c r="A13582" s="307"/>
    </row>
    <row r="13583" ht="14.25" customHeight="1">
      <c r="A13583" s="307"/>
    </row>
    <row r="13584" ht="14.25" customHeight="1">
      <c r="A13584" s="307"/>
    </row>
    <row r="13585" ht="14.25" customHeight="1">
      <c r="A13585" s="307"/>
    </row>
    <row r="13586" ht="14.25" customHeight="1">
      <c r="A13586" s="307"/>
    </row>
    <row r="13587" ht="14.25" customHeight="1">
      <c r="A13587" s="307"/>
    </row>
    <row r="13588" ht="14.25" customHeight="1">
      <c r="A13588" s="307"/>
    </row>
    <row r="13589" ht="14.25" customHeight="1">
      <c r="A13589" s="307"/>
    </row>
    <row r="13590" ht="14.25" customHeight="1">
      <c r="A13590" s="307"/>
    </row>
    <row r="13591" ht="14.25" customHeight="1">
      <c r="A13591" s="307"/>
    </row>
    <row r="13592" ht="14.25" customHeight="1">
      <c r="A13592" s="307"/>
    </row>
    <row r="13593" ht="14.25" customHeight="1">
      <c r="A13593" s="307"/>
    </row>
    <row r="13594" ht="14.25" customHeight="1">
      <c r="A13594" s="307"/>
    </row>
    <row r="13595" ht="14.25" customHeight="1">
      <c r="A13595" s="307"/>
    </row>
    <row r="13596" ht="14.25" customHeight="1">
      <c r="A13596" s="307"/>
    </row>
    <row r="13597" ht="14.25" customHeight="1">
      <c r="A13597" s="307"/>
    </row>
    <row r="13598" ht="14.25" customHeight="1">
      <c r="A13598" s="307"/>
    </row>
    <row r="13599" ht="14.25" customHeight="1">
      <c r="A13599" s="307"/>
    </row>
    <row r="13600" ht="14.25" customHeight="1">
      <c r="A13600" s="307"/>
    </row>
    <row r="13601" ht="14.25" customHeight="1">
      <c r="A13601" s="307"/>
    </row>
    <row r="13602" ht="14.25" customHeight="1">
      <c r="A13602" s="307"/>
    </row>
    <row r="13603" ht="14.25" customHeight="1">
      <c r="A13603" s="307"/>
    </row>
    <row r="13604" ht="14.25" customHeight="1">
      <c r="A13604" s="307"/>
    </row>
    <row r="13605" ht="14.25" customHeight="1">
      <c r="A13605" s="307"/>
    </row>
    <row r="13606" ht="14.25" customHeight="1">
      <c r="A13606" s="307"/>
    </row>
    <row r="13607" ht="14.25" customHeight="1">
      <c r="A13607" s="307"/>
    </row>
    <row r="13608" ht="14.25" customHeight="1">
      <c r="A13608" s="307"/>
    </row>
    <row r="13609" ht="14.25" customHeight="1">
      <c r="A13609" s="307"/>
    </row>
    <row r="13610" ht="14.25" customHeight="1">
      <c r="A13610" s="307"/>
    </row>
    <row r="13611" ht="14.25" customHeight="1">
      <c r="A13611" s="307"/>
    </row>
    <row r="13612" ht="14.25" customHeight="1">
      <c r="A13612" s="307"/>
    </row>
    <row r="13613" ht="14.25" customHeight="1">
      <c r="A13613" s="307"/>
    </row>
    <row r="13614" ht="14.25" customHeight="1">
      <c r="A13614" s="307"/>
    </row>
    <row r="13615" ht="14.25" customHeight="1">
      <c r="A13615" s="307"/>
    </row>
    <row r="13616" ht="14.25" customHeight="1">
      <c r="A13616" s="307"/>
    </row>
    <row r="13617" ht="14.25" customHeight="1">
      <c r="A13617" s="307"/>
    </row>
    <row r="13618" ht="14.25" customHeight="1">
      <c r="A13618" s="307"/>
    </row>
    <row r="13619" ht="14.25" customHeight="1">
      <c r="A13619" s="307"/>
    </row>
    <row r="13620" ht="14.25" customHeight="1">
      <c r="A13620" s="307"/>
    </row>
    <row r="13621" ht="14.25" customHeight="1">
      <c r="A13621" s="307"/>
    </row>
    <row r="13622" ht="14.25" customHeight="1">
      <c r="A13622" s="307"/>
    </row>
    <row r="13623" ht="14.25" customHeight="1">
      <c r="A13623" s="307"/>
    </row>
    <row r="13624" ht="14.25" customHeight="1">
      <c r="A13624" s="307"/>
    </row>
    <row r="13625" ht="14.25" customHeight="1">
      <c r="A13625" s="307"/>
    </row>
    <row r="13626" ht="14.25" customHeight="1">
      <c r="A13626" s="307"/>
    </row>
    <row r="13627" ht="14.25" customHeight="1">
      <c r="A13627" s="307"/>
    </row>
    <row r="13628" ht="14.25" customHeight="1">
      <c r="A13628" s="307"/>
    </row>
    <row r="13629" ht="14.25" customHeight="1">
      <c r="A13629" s="307"/>
    </row>
    <row r="13630" ht="14.25" customHeight="1">
      <c r="A13630" s="307"/>
    </row>
    <row r="13631" ht="14.25" customHeight="1">
      <c r="A13631" s="307"/>
    </row>
    <row r="13632" ht="14.25" customHeight="1">
      <c r="A13632" s="307"/>
    </row>
    <row r="13633" ht="14.25" customHeight="1">
      <c r="A13633" s="307"/>
    </row>
    <row r="13634" ht="14.25" customHeight="1">
      <c r="A13634" s="307"/>
    </row>
    <row r="13635" ht="14.25" customHeight="1">
      <c r="A13635" s="307"/>
    </row>
    <row r="13636" ht="14.25" customHeight="1">
      <c r="A13636" s="307"/>
    </row>
    <row r="13637" ht="14.25" customHeight="1">
      <c r="A13637" s="307"/>
    </row>
    <row r="13638" ht="14.25" customHeight="1">
      <c r="A13638" s="307"/>
    </row>
    <row r="13639" ht="14.25" customHeight="1">
      <c r="A13639" s="307"/>
    </row>
    <row r="13640" ht="14.25" customHeight="1">
      <c r="A13640" s="307"/>
    </row>
    <row r="13641" ht="14.25" customHeight="1">
      <c r="A13641" s="307"/>
    </row>
    <row r="13642" ht="14.25" customHeight="1">
      <c r="A13642" s="307"/>
    </row>
    <row r="13643" ht="14.25" customHeight="1">
      <c r="A13643" s="307"/>
    </row>
    <row r="13644" ht="14.25" customHeight="1">
      <c r="A13644" s="307"/>
    </row>
    <row r="13645" ht="14.25" customHeight="1">
      <c r="A13645" s="307"/>
    </row>
    <row r="13646" ht="14.25" customHeight="1">
      <c r="A13646" s="307"/>
    </row>
    <row r="13647" ht="14.25" customHeight="1">
      <c r="A13647" s="307"/>
    </row>
    <row r="13648" ht="14.25" customHeight="1">
      <c r="A13648" s="307"/>
    </row>
    <row r="13649" ht="14.25" customHeight="1">
      <c r="A13649" s="307"/>
    </row>
    <row r="13650" ht="14.25" customHeight="1">
      <c r="A13650" s="307"/>
    </row>
    <row r="13651" ht="14.25" customHeight="1">
      <c r="A13651" s="307"/>
    </row>
    <row r="13652" ht="14.25" customHeight="1">
      <c r="A13652" s="307"/>
    </row>
    <row r="13653" ht="14.25" customHeight="1">
      <c r="A13653" s="307"/>
    </row>
    <row r="13654" ht="14.25" customHeight="1">
      <c r="A13654" s="307"/>
    </row>
    <row r="13655" ht="14.25" customHeight="1">
      <c r="A13655" s="307"/>
    </row>
    <row r="13656" ht="14.25" customHeight="1">
      <c r="A13656" s="307"/>
    </row>
    <row r="13657" ht="14.25" customHeight="1">
      <c r="A13657" s="307"/>
    </row>
    <row r="13658" ht="14.25" customHeight="1">
      <c r="A13658" s="307"/>
    </row>
    <row r="13659" ht="14.25" customHeight="1">
      <c r="A13659" s="307"/>
    </row>
    <row r="13660" ht="14.25" customHeight="1">
      <c r="A13660" s="307"/>
    </row>
    <row r="13661" ht="14.25" customHeight="1">
      <c r="A13661" s="307"/>
    </row>
    <row r="13662" ht="14.25" customHeight="1">
      <c r="A13662" s="307"/>
    </row>
    <row r="13663" ht="14.25" customHeight="1">
      <c r="A13663" s="307"/>
    </row>
    <row r="13664" ht="14.25" customHeight="1">
      <c r="A13664" s="307"/>
    </row>
    <row r="13665" ht="14.25" customHeight="1">
      <c r="A13665" s="307"/>
    </row>
    <row r="13666" ht="14.25" customHeight="1">
      <c r="A13666" s="307"/>
    </row>
    <row r="13667" ht="14.25" customHeight="1">
      <c r="A13667" s="307"/>
    </row>
    <row r="13668" ht="14.25" customHeight="1">
      <c r="A13668" s="307"/>
    </row>
    <row r="13669" ht="14.25" customHeight="1">
      <c r="A13669" s="307"/>
    </row>
    <row r="13670" ht="14.25" customHeight="1">
      <c r="A13670" s="307"/>
    </row>
    <row r="13671" ht="14.25" customHeight="1">
      <c r="A13671" s="307"/>
    </row>
    <row r="13672" ht="14.25" customHeight="1">
      <c r="A13672" s="307"/>
    </row>
    <row r="13673" ht="14.25" customHeight="1">
      <c r="A13673" s="307"/>
    </row>
    <row r="13674" ht="14.25" customHeight="1">
      <c r="A13674" s="307"/>
    </row>
    <row r="13675" ht="14.25" customHeight="1">
      <c r="A13675" s="307"/>
    </row>
    <row r="13676" ht="14.25" customHeight="1">
      <c r="A13676" s="307"/>
    </row>
    <row r="13677" ht="14.25" customHeight="1">
      <c r="A13677" s="307"/>
    </row>
    <row r="13678" ht="14.25" customHeight="1">
      <c r="A13678" s="307"/>
    </row>
    <row r="13679" ht="14.25" customHeight="1">
      <c r="A13679" s="307"/>
    </row>
    <row r="13680" ht="14.25" customHeight="1">
      <c r="A13680" s="307"/>
    </row>
    <row r="13681" ht="14.25" customHeight="1">
      <c r="A13681" s="307"/>
    </row>
    <row r="13682" ht="14.25" customHeight="1">
      <c r="A13682" s="307"/>
    </row>
    <row r="13683" ht="14.25" customHeight="1">
      <c r="A13683" s="307"/>
    </row>
    <row r="13684" ht="14.25" customHeight="1">
      <c r="A13684" s="307"/>
    </row>
    <row r="13685" ht="14.25" customHeight="1">
      <c r="A13685" s="307"/>
    </row>
    <row r="13686" ht="14.25" customHeight="1">
      <c r="A13686" s="307"/>
    </row>
    <row r="13687" ht="14.25" customHeight="1">
      <c r="A13687" s="307"/>
    </row>
    <row r="13688" ht="14.25" customHeight="1">
      <c r="A13688" s="307"/>
    </row>
    <row r="13689" ht="14.25" customHeight="1">
      <c r="A13689" s="307"/>
    </row>
    <row r="13690" ht="14.25" customHeight="1">
      <c r="A13690" s="307"/>
    </row>
    <row r="13691" ht="14.25" customHeight="1">
      <c r="A13691" s="307"/>
    </row>
    <row r="13692" ht="14.25" customHeight="1">
      <c r="A13692" s="307"/>
    </row>
    <row r="13693" ht="14.25" customHeight="1">
      <c r="A13693" s="307"/>
    </row>
    <row r="13694" ht="14.25" customHeight="1">
      <c r="A13694" s="307"/>
    </row>
    <row r="13695" ht="14.25" customHeight="1">
      <c r="A13695" s="307"/>
    </row>
    <row r="13696" ht="14.25" customHeight="1">
      <c r="A13696" s="307"/>
    </row>
    <row r="13697" ht="14.25" customHeight="1">
      <c r="A13697" s="307"/>
    </row>
    <row r="13698" ht="14.25" customHeight="1">
      <c r="A13698" s="307"/>
    </row>
    <row r="13699" ht="14.25" customHeight="1">
      <c r="A13699" s="307"/>
    </row>
    <row r="13700" ht="14.25" customHeight="1">
      <c r="A13700" s="307"/>
    </row>
    <row r="13701" ht="14.25" customHeight="1">
      <c r="A13701" s="307"/>
    </row>
    <row r="13702" ht="14.25" customHeight="1">
      <c r="A13702" s="307"/>
    </row>
    <row r="13703" ht="14.25" customHeight="1">
      <c r="A13703" s="307"/>
    </row>
    <row r="13704" ht="14.25" customHeight="1">
      <c r="A13704" s="307"/>
    </row>
    <row r="13705" ht="14.25" customHeight="1">
      <c r="A13705" s="307"/>
    </row>
    <row r="13706" ht="14.25" customHeight="1">
      <c r="A13706" s="307"/>
    </row>
    <row r="13707" ht="14.25" customHeight="1">
      <c r="A13707" s="307"/>
    </row>
    <row r="13708" ht="14.25" customHeight="1">
      <c r="A13708" s="307"/>
    </row>
    <row r="13709" ht="14.25" customHeight="1">
      <c r="A13709" s="307"/>
    </row>
    <row r="13710" ht="14.25" customHeight="1">
      <c r="A13710" s="307"/>
    </row>
    <row r="13711" ht="14.25" customHeight="1">
      <c r="A13711" s="307"/>
    </row>
    <row r="13712" ht="14.25" customHeight="1">
      <c r="A13712" s="307"/>
    </row>
    <row r="13713" ht="14.25" customHeight="1">
      <c r="A13713" s="307"/>
    </row>
    <row r="13714" ht="14.25" customHeight="1">
      <c r="A13714" s="307"/>
    </row>
    <row r="13715" ht="14.25" customHeight="1">
      <c r="A13715" s="307"/>
    </row>
    <row r="13716" ht="14.25" customHeight="1">
      <c r="A13716" s="307"/>
    </row>
    <row r="13717" ht="14.25" customHeight="1">
      <c r="A13717" s="307"/>
    </row>
    <row r="13718" ht="14.25" customHeight="1">
      <c r="A13718" s="307"/>
    </row>
    <row r="13719" ht="14.25" customHeight="1">
      <c r="A13719" s="307"/>
    </row>
    <row r="13720" ht="14.25" customHeight="1">
      <c r="A13720" s="307"/>
    </row>
    <row r="13721" ht="14.25" customHeight="1">
      <c r="A13721" s="307"/>
    </row>
    <row r="13722" ht="14.25" customHeight="1">
      <c r="A13722" s="307"/>
    </row>
    <row r="13723" ht="14.25" customHeight="1">
      <c r="A13723" s="307"/>
    </row>
    <row r="13724" ht="14.25" customHeight="1">
      <c r="A13724" s="307"/>
    </row>
    <row r="13725" ht="14.25" customHeight="1">
      <c r="A13725" s="307"/>
    </row>
    <row r="13726" ht="14.25" customHeight="1">
      <c r="A13726" s="307"/>
    </row>
    <row r="13727" ht="14.25" customHeight="1">
      <c r="A13727" s="307"/>
    </row>
    <row r="13728" ht="14.25" customHeight="1">
      <c r="A13728" s="307"/>
    </row>
    <row r="13729" ht="14.25" customHeight="1">
      <c r="A13729" s="307"/>
    </row>
    <row r="13730" ht="14.25" customHeight="1">
      <c r="A13730" s="307"/>
    </row>
    <row r="13731" ht="14.25" customHeight="1">
      <c r="A13731" s="307"/>
    </row>
    <row r="13732" ht="14.25" customHeight="1">
      <c r="A13732" s="307"/>
    </row>
    <row r="13733" ht="14.25" customHeight="1">
      <c r="A13733" s="307"/>
    </row>
    <row r="13734" ht="14.25" customHeight="1">
      <c r="A13734" s="307"/>
    </row>
    <row r="13735" ht="14.25" customHeight="1">
      <c r="A13735" s="307"/>
    </row>
    <row r="13736" ht="14.25" customHeight="1">
      <c r="A13736" s="307"/>
    </row>
    <row r="13737" ht="14.25" customHeight="1">
      <c r="A13737" s="307"/>
    </row>
    <row r="13738" ht="14.25" customHeight="1">
      <c r="A13738" s="307"/>
    </row>
    <row r="13739" ht="14.25" customHeight="1">
      <c r="A13739" s="307"/>
    </row>
    <row r="13740" ht="14.25" customHeight="1">
      <c r="A13740" s="307"/>
    </row>
    <row r="13741" ht="14.25" customHeight="1">
      <c r="A13741" s="307"/>
    </row>
    <row r="13742" ht="14.25" customHeight="1">
      <c r="A13742" s="307"/>
    </row>
    <row r="13743" ht="14.25" customHeight="1">
      <c r="A13743" s="307"/>
    </row>
    <row r="13744" ht="14.25" customHeight="1">
      <c r="A13744" s="307"/>
    </row>
    <row r="13745" ht="14.25" customHeight="1">
      <c r="A13745" s="307"/>
    </row>
    <row r="13746" ht="14.25" customHeight="1">
      <c r="A13746" s="307"/>
    </row>
    <row r="13747" ht="14.25" customHeight="1">
      <c r="A13747" s="307"/>
    </row>
    <row r="13748" ht="14.25" customHeight="1">
      <c r="A13748" s="307"/>
    </row>
    <row r="13749" ht="14.25" customHeight="1">
      <c r="A13749" s="307"/>
    </row>
    <row r="13750" ht="14.25" customHeight="1">
      <c r="A13750" s="307"/>
    </row>
    <row r="13751" ht="14.25" customHeight="1">
      <c r="A13751" s="307"/>
    </row>
    <row r="13752" ht="14.25" customHeight="1">
      <c r="A13752" s="307"/>
    </row>
    <row r="13753" ht="14.25" customHeight="1">
      <c r="A13753" s="307"/>
    </row>
    <row r="13754" ht="14.25" customHeight="1">
      <c r="A13754" s="307"/>
    </row>
    <row r="13755" ht="14.25" customHeight="1">
      <c r="A13755" s="307"/>
    </row>
    <row r="13756" ht="14.25" customHeight="1">
      <c r="A13756" s="307"/>
    </row>
    <row r="13757" ht="14.25" customHeight="1">
      <c r="A13757" s="307"/>
    </row>
    <row r="13758" ht="14.25" customHeight="1">
      <c r="A13758" s="307"/>
    </row>
    <row r="13759" ht="14.25" customHeight="1">
      <c r="A13759" s="307"/>
    </row>
    <row r="13760" ht="14.25" customHeight="1">
      <c r="A13760" s="307"/>
    </row>
    <row r="13761" ht="14.25" customHeight="1">
      <c r="A13761" s="307"/>
    </row>
    <row r="13762" ht="14.25" customHeight="1">
      <c r="A13762" s="307"/>
    </row>
    <row r="13763" ht="14.25" customHeight="1">
      <c r="A13763" s="307"/>
    </row>
    <row r="13764" ht="14.25" customHeight="1">
      <c r="A13764" s="307"/>
    </row>
    <row r="13765" ht="14.25" customHeight="1">
      <c r="A13765" s="307"/>
    </row>
    <row r="13766" ht="14.25" customHeight="1">
      <c r="A13766" s="307"/>
    </row>
    <row r="13767" ht="14.25" customHeight="1">
      <c r="A13767" s="307"/>
    </row>
    <row r="13768" ht="14.25" customHeight="1">
      <c r="A13768" s="307"/>
    </row>
    <row r="13769" ht="14.25" customHeight="1">
      <c r="A13769" s="307"/>
    </row>
    <row r="13770" ht="14.25" customHeight="1">
      <c r="A13770" s="307"/>
    </row>
    <row r="13771" ht="14.25" customHeight="1">
      <c r="A13771" s="307"/>
    </row>
    <row r="13772" ht="14.25" customHeight="1">
      <c r="A13772" s="307"/>
    </row>
    <row r="13773" ht="14.25" customHeight="1">
      <c r="A13773" s="307"/>
    </row>
    <row r="13774" ht="14.25" customHeight="1">
      <c r="A13774" s="307"/>
    </row>
    <row r="13775" ht="14.25" customHeight="1">
      <c r="A13775" s="307"/>
    </row>
    <row r="13776" ht="14.25" customHeight="1">
      <c r="A13776" s="307"/>
    </row>
    <row r="13777" ht="14.25" customHeight="1">
      <c r="A13777" s="307"/>
    </row>
    <row r="13778" ht="14.25" customHeight="1">
      <c r="A13778" s="307"/>
    </row>
    <row r="13779" ht="14.25" customHeight="1">
      <c r="A13779" s="307"/>
    </row>
    <row r="13780" ht="14.25" customHeight="1">
      <c r="A13780" s="307"/>
    </row>
    <row r="13781" ht="14.25" customHeight="1">
      <c r="A13781" s="307"/>
    </row>
    <row r="13782" ht="14.25" customHeight="1">
      <c r="A13782" s="307"/>
    </row>
    <row r="13783" ht="14.25" customHeight="1">
      <c r="A13783" s="307"/>
    </row>
    <row r="13784" ht="14.25" customHeight="1">
      <c r="A13784" s="307"/>
    </row>
    <row r="13785" ht="14.25" customHeight="1">
      <c r="A13785" s="307"/>
    </row>
    <row r="13786" ht="14.25" customHeight="1">
      <c r="A13786" s="307"/>
    </row>
    <row r="13787" ht="14.25" customHeight="1">
      <c r="A13787" s="307"/>
    </row>
    <row r="13788" ht="14.25" customHeight="1">
      <c r="A13788" s="307"/>
    </row>
    <row r="13789" ht="14.25" customHeight="1">
      <c r="A13789" s="307"/>
    </row>
    <row r="13790" ht="14.25" customHeight="1">
      <c r="A13790" s="307"/>
    </row>
    <row r="13791" ht="14.25" customHeight="1">
      <c r="A13791" s="307"/>
    </row>
    <row r="13792" ht="14.25" customHeight="1">
      <c r="A13792" s="307"/>
    </row>
    <row r="13793" ht="14.25" customHeight="1">
      <c r="A13793" s="307"/>
    </row>
    <row r="13794" ht="14.25" customHeight="1">
      <c r="A13794" s="307"/>
    </row>
    <row r="13795" ht="14.25" customHeight="1">
      <c r="A13795" s="307"/>
    </row>
    <row r="13796" ht="14.25" customHeight="1">
      <c r="A13796" s="307"/>
    </row>
    <row r="13797" ht="14.25" customHeight="1">
      <c r="A13797" s="307"/>
    </row>
    <row r="13798" ht="14.25" customHeight="1">
      <c r="A13798" s="307"/>
    </row>
    <row r="13799" ht="14.25" customHeight="1">
      <c r="A13799" s="307"/>
    </row>
    <row r="13800" ht="14.25" customHeight="1">
      <c r="A13800" s="307"/>
    </row>
    <row r="13801" ht="14.25" customHeight="1">
      <c r="A13801" s="307"/>
    </row>
    <row r="13802" ht="14.25" customHeight="1">
      <c r="A13802" s="307"/>
    </row>
    <row r="13803" ht="14.25" customHeight="1">
      <c r="A13803" s="307"/>
    </row>
    <row r="13804" ht="14.25" customHeight="1">
      <c r="A13804" s="307"/>
    </row>
    <row r="13805" ht="14.25" customHeight="1">
      <c r="A13805" s="307"/>
    </row>
    <row r="13806" ht="14.25" customHeight="1">
      <c r="A13806" s="307"/>
    </row>
    <row r="13807" ht="14.25" customHeight="1">
      <c r="A13807" s="307"/>
    </row>
    <row r="13808" ht="14.25" customHeight="1">
      <c r="A13808" s="307"/>
    </row>
    <row r="13809" ht="14.25" customHeight="1">
      <c r="A13809" s="307"/>
    </row>
    <row r="13810" ht="14.25" customHeight="1">
      <c r="A13810" s="307"/>
    </row>
    <row r="13811" ht="14.25" customHeight="1">
      <c r="A13811" s="307"/>
    </row>
    <row r="13812" ht="14.25" customHeight="1">
      <c r="A13812" s="307"/>
    </row>
    <row r="13813" ht="14.25" customHeight="1">
      <c r="A13813" s="307"/>
    </row>
    <row r="13814" ht="14.25" customHeight="1">
      <c r="A13814" s="307"/>
    </row>
    <row r="13815" ht="14.25" customHeight="1">
      <c r="A13815" s="307"/>
    </row>
    <row r="13816" ht="14.25" customHeight="1">
      <c r="A13816" s="307"/>
    </row>
    <row r="13817" ht="14.25" customHeight="1">
      <c r="A13817" s="307"/>
    </row>
    <row r="13818" ht="14.25" customHeight="1">
      <c r="A13818" s="307"/>
    </row>
    <row r="13819" ht="14.25" customHeight="1">
      <c r="A13819" s="307"/>
    </row>
    <row r="13820" ht="14.25" customHeight="1">
      <c r="A13820" s="307"/>
    </row>
    <row r="13821" ht="14.25" customHeight="1">
      <c r="A13821" s="307"/>
    </row>
    <row r="13822" ht="14.25" customHeight="1">
      <c r="A13822" s="307"/>
    </row>
    <row r="13823" ht="14.25" customHeight="1">
      <c r="A13823" s="307"/>
    </row>
    <row r="13824" ht="14.25" customHeight="1">
      <c r="A13824" s="307"/>
    </row>
    <row r="13825" ht="14.25" customHeight="1">
      <c r="A13825" s="307"/>
    </row>
    <row r="13826" ht="14.25" customHeight="1">
      <c r="A13826" s="307"/>
    </row>
    <row r="13827" ht="14.25" customHeight="1">
      <c r="A13827" s="307"/>
    </row>
    <row r="13828" ht="14.25" customHeight="1">
      <c r="A13828" s="307"/>
    </row>
    <row r="13829" ht="14.25" customHeight="1">
      <c r="A13829" s="307"/>
    </row>
    <row r="13830" ht="14.25" customHeight="1">
      <c r="A13830" s="307"/>
    </row>
    <row r="13831" ht="14.25" customHeight="1">
      <c r="A13831" s="307"/>
    </row>
    <row r="13832" ht="14.25" customHeight="1">
      <c r="A13832" s="307"/>
    </row>
    <row r="13833" ht="14.25" customHeight="1">
      <c r="A13833" s="307"/>
    </row>
    <row r="13834" ht="14.25" customHeight="1">
      <c r="A13834" s="307"/>
    </row>
    <row r="13835" ht="14.25" customHeight="1">
      <c r="A13835" s="307"/>
    </row>
    <row r="13836" ht="14.25" customHeight="1">
      <c r="A13836" s="307"/>
    </row>
    <row r="13837" ht="14.25" customHeight="1">
      <c r="A13837" s="307"/>
    </row>
    <row r="13838" ht="14.25" customHeight="1">
      <c r="A13838" s="307"/>
    </row>
    <row r="13839" ht="14.25" customHeight="1">
      <c r="A13839" s="307"/>
    </row>
    <row r="13840" ht="14.25" customHeight="1">
      <c r="A13840" s="307"/>
    </row>
    <row r="13841" ht="14.25" customHeight="1">
      <c r="A13841" s="307"/>
    </row>
    <row r="13842" ht="14.25" customHeight="1">
      <c r="A13842" s="307"/>
    </row>
    <row r="13843" ht="14.25" customHeight="1">
      <c r="A13843" s="307"/>
    </row>
    <row r="13844" ht="14.25" customHeight="1">
      <c r="A13844" s="307"/>
    </row>
    <row r="13845" ht="14.25" customHeight="1">
      <c r="A13845" s="307"/>
    </row>
    <row r="13846" ht="14.25" customHeight="1">
      <c r="A13846" s="307"/>
    </row>
    <row r="13847" ht="14.25" customHeight="1">
      <c r="A13847" s="307"/>
    </row>
    <row r="13848" ht="14.25" customHeight="1">
      <c r="A13848" s="307"/>
    </row>
    <row r="13849" ht="14.25" customHeight="1">
      <c r="A13849" s="307"/>
    </row>
    <row r="13850" ht="14.25" customHeight="1">
      <c r="A13850" s="307"/>
    </row>
    <row r="13851" ht="14.25" customHeight="1">
      <c r="A13851" s="307"/>
    </row>
    <row r="13852" ht="14.25" customHeight="1">
      <c r="A13852" s="307"/>
    </row>
    <row r="13853" ht="14.25" customHeight="1">
      <c r="A13853" s="307"/>
    </row>
    <row r="13854" ht="14.25" customHeight="1">
      <c r="A13854" s="307"/>
    </row>
    <row r="13855" ht="14.25" customHeight="1">
      <c r="A13855" s="307"/>
    </row>
    <row r="13856" ht="14.25" customHeight="1">
      <c r="A13856" s="307"/>
    </row>
    <row r="13857" ht="14.25" customHeight="1">
      <c r="A13857" s="307"/>
    </row>
    <row r="13858" ht="14.25" customHeight="1">
      <c r="A13858" s="307"/>
    </row>
    <row r="13859" ht="14.25" customHeight="1">
      <c r="A13859" s="307"/>
    </row>
    <row r="13860" ht="14.25" customHeight="1">
      <c r="A13860" s="307"/>
    </row>
    <row r="13861" ht="14.25" customHeight="1">
      <c r="A13861" s="307"/>
    </row>
    <row r="13862" ht="14.25" customHeight="1">
      <c r="A13862" s="307"/>
    </row>
    <row r="13863" ht="14.25" customHeight="1">
      <c r="A13863" s="307"/>
    </row>
    <row r="13864" ht="14.25" customHeight="1">
      <c r="A13864" s="307"/>
    </row>
    <row r="13865" ht="14.25" customHeight="1">
      <c r="A13865" s="307"/>
    </row>
    <row r="13866" ht="14.25" customHeight="1">
      <c r="A13866" s="307"/>
    </row>
    <row r="13867" ht="14.25" customHeight="1">
      <c r="A13867" s="307"/>
    </row>
    <row r="13868" ht="14.25" customHeight="1">
      <c r="A13868" s="307"/>
    </row>
    <row r="13869" ht="14.25" customHeight="1">
      <c r="A13869" s="307"/>
    </row>
    <row r="13870" ht="14.25" customHeight="1">
      <c r="A13870" s="307"/>
    </row>
    <row r="13871" ht="14.25" customHeight="1">
      <c r="A13871" s="307"/>
    </row>
    <row r="13872" ht="14.25" customHeight="1">
      <c r="A13872" s="307"/>
    </row>
    <row r="13873" ht="14.25" customHeight="1">
      <c r="A13873" s="307"/>
    </row>
    <row r="13874" ht="14.25" customHeight="1">
      <c r="A13874" s="307"/>
    </row>
    <row r="13875" ht="14.25" customHeight="1">
      <c r="A13875" s="307"/>
    </row>
    <row r="13876" ht="14.25" customHeight="1">
      <c r="A13876" s="307"/>
    </row>
    <row r="13877" ht="14.25" customHeight="1">
      <c r="A13877" s="307"/>
    </row>
    <row r="13878" ht="14.25" customHeight="1">
      <c r="A13878" s="307"/>
    </row>
    <row r="13879" ht="14.25" customHeight="1">
      <c r="A13879" s="307"/>
    </row>
    <row r="13880" ht="14.25" customHeight="1">
      <c r="A13880" s="307"/>
    </row>
    <row r="13881" ht="14.25" customHeight="1">
      <c r="A13881" s="307"/>
    </row>
    <row r="13882" ht="14.25" customHeight="1">
      <c r="A13882" s="307"/>
    </row>
    <row r="13883" ht="14.25" customHeight="1">
      <c r="A13883" s="307"/>
    </row>
    <row r="13884" ht="14.25" customHeight="1">
      <c r="A13884" s="307"/>
    </row>
    <row r="13885" ht="14.25" customHeight="1">
      <c r="A13885" s="307"/>
    </row>
    <row r="13886" ht="14.25" customHeight="1">
      <c r="A13886" s="307"/>
    </row>
    <row r="13887" ht="14.25" customHeight="1">
      <c r="A13887" s="307"/>
    </row>
    <row r="13888" ht="14.25" customHeight="1">
      <c r="A13888" s="307"/>
    </row>
    <row r="13889" ht="14.25" customHeight="1">
      <c r="A13889" s="307"/>
    </row>
    <row r="13890" ht="14.25" customHeight="1">
      <c r="A13890" s="307"/>
    </row>
    <row r="13891" ht="14.25" customHeight="1">
      <c r="A13891" s="307"/>
    </row>
    <row r="13892" ht="14.25" customHeight="1">
      <c r="A13892" s="307"/>
    </row>
    <row r="13893" ht="14.25" customHeight="1">
      <c r="A13893" s="307"/>
    </row>
    <row r="13894" ht="14.25" customHeight="1">
      <c r="A13894" s="307"/>
    </row>
    <row r="13895" ht="14.25" customHeight="1">
      <c r="A13895" s="307"/>
    </row>
    <row r="13896" ht="14.25" customHeight="1">
      <c r="A13896" s="307"/>
    </row>
    <row r="13897" ht="14.25" customHeight="1">
      <c r="A13897" s="307"/>
    </row>
    <row r="13898" ht="14.25" customHeight="1">
      <c r="A13898" s="307"/>
    </row>
    <row r="13899" ht="14.25" customHeight="1">
      <c r="A13899" s="307"/>
    </row>
    <row r="13900" ht="14.25" customHeight="1">
      <c r="A13900" s="307"/>
    </row>
    <row r="13901" ht="14.25" customHeight="1">
      <c r="A13901" s="307"/>
    </row>
    <row r="13902" ht="14.25" customHeight="1">
      <c r="A13902" s="307"/>
    </row>
    <row r="13903" ht="14.25" customHeight="1">
      <c r="A13903" s="307"/>
    </row>
    <row r="13904" ht="14.25" customHeight="1">
      <c r="A13904" s="307"/>
    </row>
    <row r="13905" ht="14.25" customHeight="1">
      <c r="A13905" s="307"/>
    </row>
    <row r="13906" ht="14.25" customHeight="1">
      <c r="A13906" s="307"/>
    </row>
    <row r="13907" ht="14.25" customHeight="1">
      <c r="A13907" s="307"/>
    </row>
    <row r="13908" ht="14.25" customHeight="1">
      <c r="A13908" s="307"/>
    </row>
    <row r="13909" ht="14.25" customHeight="1">
      <c r="A13909" s="307"/>
    </row>
    <row r="13910" ht="14.25" customHeight="1">
      <c r="A13910" s="307"/>
    </row>
    <row r="13911" ht="14.25" customHeight="1">
      <c r="A13911" s="307"/>
    </row>
    <row r="13912" ht="14.25" customHeight="1">
      <c r="A13912" s="307"/>
    </row>
    <row r="13913" ht="14.25" customHeight="1">
      <c r="A13913" s="307"/>
    </row>
    <row r="13914" ht="14.25" customHeight="1">
      <c r="A13914" s="307"/>
    </row>
    <row r="13915" ht="14.25" customHeight="1">
      <c r="A13915" s="307"/>
    </row>
    <row r="13916" ht="14.25" customHeight="1">
      <c r="A13916" s="307"/>
    </row>
    <row r="13917" ht="14.25" customHeight="1">
      <c r="A13917" s="307"/>
    </row>
    <row r="13918" ht="14.25" customHeight="1">
      <c r="A13918" s="307"/>
    </row>
    <row r="13919" ht="14.25" customHeight="1">
      <c r="A13919" s="307"/>
    </row>
    <row r="13920" ht="14.25" customHeight="1">
      <c r="A13920" s="307"/>
    </row>
    <row r="13921" ht="14.25" customHeight="1">
      <c r="A13921" s="307"/>
    </row>
    <row r="13922" ht="14.25" customHeight="1">
      <c r="A13922" s="307"/>
    </row>
    <row r="13923" ht="14.25" customHeight="1">
      <c r="A13923" s="307"/>
    </row>
    <row r="13924" ht="14.25" customHeight="1">
      <c r="A13924" s="307"/>
    </row>
    <row r="13925" ht="14.25" customHeight="1">
      <c r="A13925" s="307"/>
    </row>
    <row r="13926" ht="14.25" customHeight="1">
      <c r="A13926" s="307"/>
    </row>
    <row r="13927" ht="14.25" customHeight="1">
      <c r="A13927" s="307"/>
    </row>
    <row r="13928" ht="14.25" customHeight="1">
      <c r="A13928" s="307"/>
    </row>
    <row r="13929" ht="14.25" customHeight="1">
      <c r="A13929" s="307"/>
    </row>
    <row r="13930" ht="14.25" customHeight="1">
      <c r="A13930" s="307"/>
    </row>
    <row r="13931" ht="14.25" customHeight="1">
      <c r="A13931" s="307"/>
    </row>
    <row r="13932" ht="14.25" customHeight="1">
      <c r="A13932" s="307"/>
    </row>
    <row r="13933" ht="14.25" customHeight="1">
      <c r="A13933" s="307"/>
    </row>
    <row r="13934" ht="14.25" customHeight="1">
      <c r="A13934" s="307"/>
    </row>
    <row r="13935" ht="14.25" customHeight="1">
      <c r="A13935" s="307"/>
    </row>
    <row r="13936" ht="14.25" customHeight="1">
      <c r="A13936" s="307"/>
    </row>
    <row r="13937" ht="14.25" customHeight="1">
      <c r="A13937" s="307"/>
    </row>
    <row r="13938" ht="14.25" customHeight="1">
      <c r="A13938" s="307"/>
    </row>
    <row r="13939" ht="14.25" customHeight="1">
      <c r="A13939" s="307"/>
    </row>
    <row r="13940" ht="14.25" customHeight="1">
      <c r="A13940" s="307"/>
    </row>
    <row r="13941" ht="14.25" customHeight="1">
      <c r="A13941" s="307"/>
    </row>
    <row r="13942" ht="14.25" customHeight="1">
      <c r="A13942" s="307"/>
    </row>
    <row r="13943" ht="14.25" customHeight="1">
      <c r="A13943" s="307"/>
    </row>
    <row r="13944" ht="14.25" customHeight="1">
      <c r="A13944" s="307"/>
    </row>
    <row r="13945" ht="14.25" customHeight="1">
      <c r="A13945" s="307"/>
    </row>
    <row r="13946" ht="14.25" customHeight="1">
      <c r="A13946" s="307"/>
    </row>
    <row r="13947" ht="14.25" customHeight="1">
      <c r="A13947" s="307"/>
    </row>
    <row r="13948" ht="14.25" customHeight="1">
      <c r="A13948" s="307"/>
    </row>
    <row r="13949" ht="14.25" customHeight="1">
      <c r="A13949" s="307"/>
    </row>
    <row r="13950" ht="14.25" customHeight="1">
      <c r="A13950" s="307"/>
    </row>
    <row r="13951" ht="14.25" customHeight="1">
      <c r="A13951" s="307"/>
    </row>
    <row r="13952" ht="14.25" customHeight="1">
      <c r="A13952" s="307"/>
    </row>
    <row r="13953" ht="14.25" customHeight="1">
      <c r="A13953" s="307"/>
    </row>
    <row r="13954" ht="14.25" customHeight="1">
      <c r="A13954" s="307"/>
    </row>
    <row r="13955" ht="14.25" customHeight="1">
      <c r="A13955" s="307"/>
    </row>
    <row r="13956" ht="14.25" customHeight="1">
      <c r="A13956" s="307"/>
    </row>
    <row r="13957" ht="14.25" customHeight="1">
      <c r="A13957" s="307"/>
    </row>
    <row r="13958" ht="14.25" customHeight="1">
      <c r="A13958" s="307"/>
    </row>
    <row r="13959" ht="14.25" customHeight="1">
      <c r="A13959" s="307"/>
    </row>
    <row r="13960" ht="14.25" customHeight="1">
      <c r="A13960" s="307"/>
    </row>
    <row r="13961" ht="14.25" customHeight="1">
      <c r="A13961" s="307"/>
    </row>
    <row r="13962" ht="14.25" customHeight="1">
      <c r="A13962" s="307"/>
    </row>
    <row r="13963" ht="14.25" customHeight="1">
      <c r="A13963" s="307"/>
    </row>
    <row r="13964" ht="14.25" customHeight="1">
      <c r="A13964" s="307"/>
    </row>
    <row r="13965" ht="14.25" customHeight="1">
      <c r="A13965" s="307"/>
    </row>
    <row r="13966" ht="14.25" customHeight="1">
      <c r="A13966" s="307"/>
    </row>
    <row r="13967" ht="14.25" customHeight="1">
      <c r="A13967" s="307"/>
    </row>
    <row r="13968" ht="14.25" customHeight="1">
      <c r="A13968" s="307"/>
    </row>
    <row r="13969" ht="14.25" customHeight="1">
      <c r="A13969" s="307"/>
    </row>
    <row r="13970" ht="14.25" customHeight="1">
      <c r="A13970" s="307"/>
    </row>
    <row r="13971" ht="14.25" customHeight="1">
      <c r="A13971" s="307"/>
    </row>
    <row r="13972" ht="14.25" customHeight="1">
      <c r="A13972" s="307"/>
    </row>
    <row r="13973" ht="14.25" customHeight="1">
      <c r="A13973" s="307"/>
    </row>
    <row r="13974" ht="14.25" customHeight="1">
      <c r="A13974" s="307"/>
    </row>
    <row r="13975" ht="14.25" customHeight="1">
      <c r="A13975" s="307"/>
    </row>
    <row r="13976" ht="14.25" customHeight="1">
      <c r="A13976" s="307"/>
    </row>
    <row r="13977" ht="14.25" customHeight="1">
      <c r="A13977" s="307"/>
    </row>
    <row r="13978" ht="14.25" customHeight="1">
      <c r="A13978" s="307"/>
    </row>
    <row r="13979" ht="14.25" customHeight="1">
      <c r="A13979" s="307"/>
    </row>
    <row r="13980" ht="14.25" customHeight="1">
      <c r="A13980" s="307"/>
    </row>
    <row r="13981" ht="14.25" customHeight="1">
      <c r="A13981" s="307"/>
    </row>
    <row r="13982" ht="14.25" customHeight="1">
      <c r="A13982" s="307"/>
    </row>
    <row r="13983" ht="14.25" customHeight="1">
      <c r="A13983" s="307"/>
    </row>
    <row r="13984" ht="14.25" customHeight="1">
      <c r="A13984" s="307"/>
    </row>
    <row r="13985" ht="14.25" customHeight="1">
      <c r="A13985" s="307"/>
    </row>
    <row r="13986" ht="14.25" customHeight="1">
      <c r="A13986" s="307"/>
    </row>
    <row r="13987" ht="14.25" customHeight="1">
      <c r="A13987" s="307"/>
    </row>
    <row r="13988" ht="14.25" customHeight="1">
      <c r="A13988" s="307"/>
    </row>
    <row r="13989" ht="14.25" customHeight="1">
      <c r="A13989" s="307"/>
    </row>
    <row r="13990" ht="14.25" customHeight="1">
      <c r="A13990" s="307"/>
    </row>
    <row r="13991" ht="14.25" customHeight="1">
      <c r="A13991" s="307"/>
    </row>
    <row r="13992" ht="14.25" customHeight="1">
      <c r="A13992" s="307"/>
    </row>
    <row r="13993" ht="14.25" customHeight="1">
      <c r="A13993" s="307"/>
    </row>
    <row r="13994" ht="14.25" customHeight="1">
      <c r="A13994" s="307"/>
    </row>
    <row r="13995" ht="14.25" customHeight="1">
      <c r="A13995" s="307"/>
    </row>
    <row r="13996" ht="14.25" customHeight="1">
      <c r="A13996" s="307"/>
    </row>
    <row r="13997" ht="14.25" customHeight="1">
      <c r="A13997" s="307"/>
    </row>
    <row r="13998" ht="14.25" customHeight="1">
      <c r="A13998" s="307"/>
    </row>
    <row r="13999" ht="14.25" customHeight="1">
      <c r="A13999" s="307"/>
    </row>
    <row r="14000" ht="14.25" customHeight="1">
      <c r="A14000" s="307"/>
    </row>
    <row r="14001" ht="14.25" customHeight="1">
      <c r="A14001" s="307"/>
    </row>
    <row r="14002" ht="14.25" customHeight="1">
      <c r="A14002" s="307"/>
    </row>
    <row r="14003" ht="14.25" customHeight="1">
      <c r="A14003" s="307"/>
    </row>
    <row r="14004" ht="14.25" customHeight="1">
      <c r="A14004" s="307"/>
    </row>
    <row r="14005" ht="14.25" customHeight="1">
      <c r="A14005" s="307"/>
    </row>
    <row r="14006" ht="14.25" customHeight="1">
      <c r="A14006" s="307"/>
    </row>
    <row r="14007" ht="14.25" customHeight="1">
      <c r="A14007" s="307"/>
    </row>
    <row r="14008" ht="14.25" customHeight="1">
      <c r="A14008" s="307"/>
    </row>
    <row r="14009" ht="14.25" customHeight="1">
      <c r="A14009" s="307"/>
    </row>
    <row r="14010" ht="14.25" customHeight="1">
      <c r="A14010" s="307"/>
    </row>
    <row r="14011" ht="14.25" customHeight="1">
      <c r="A14011" s="307"/>
    </row>
    <row r="14012" ht="14.25" customHeight="1">
      <c r="A14012" s="307"/>
    </row>
    <row r="14013" ht="14.25" customHeight="1">
      <c r="A14013" s="307"/>
    </row>
    <row r="14014" ht="14.25" customHeight="1">
      <c r="A14014" s="307"/>
    </row>
    <row r="14015" ht="14.25" customHeight="1">
      <c r="A14015" s="307"/>
    </row>
    <row r="14016" ht="14.25" customHeight="1">
      <c r="A14016" s="307"/>
    </row>
    <row r="14017" ht="14.25" customHeight="1">
      <c r="A14017" s="307"/>
    </row>
    <row r="14018" ht="14.25" customHeight="1">
      <c r="A14018" s="307"/>
    </row>
    <row r="14019" ht="14.25" customHeight="1">
      <c r="A14019" s="307"/>
    </row>
    <row r="14020" ht="14.25" customHeight="1">
      <c r="A14020" s="307"/>
    </row>
    <row r="14021" ht="14.25" customHeight="1">
      <c r="A14021" s="307"/>
    </row>
    <row r="14022" ht="14.25" customHeight="1">
      <c r="A14022" s="307"/>
    </row>
    <row r="14023" ht="14.25" customHeight="1">
      <c r="A14023" s="307"/>
    </row>
    <row r="14024" ht="14.25" customHeight="1">
      <c r="A14024" s="307"/>
    </row>
    <row r="14025" ht="14.25" customHeight="1">
      <c r="A14025" s="307"/>
    </row>
    <row r="14026" ht="14.25" customHeight="1">
      <c r="A14026" s="307"/>
    </row>
    <row r="14027" ht="14.25" customHeight="1">
      <c r="A14027" s="307"/>
    </row>
    <row r="14028" ht="14.25" customHeight="1">
      <c r="A14028" s="307"/>
    </row>
    <row r="14029" ht="14.25" customHeight="1">
      <c r="A14029" s="307"/>
    </row>
    <row r="14030" ht="14.25" customHeight="1">
      <c r="A14030" s="307"/>
    </row>
    <row r="14031" ht="14.25" customHeight="1">
      <c r="A14031" s="307"/>
    </row>
    <row r="14032" ht="14.25" customHeight="1">
      <c r="A14032" s="307"/>
    </row>
    <row r="14033" ht="14.25" customHeight="1">
      <c r="A14033" s="307"/>
    </row>
    <row r="14034" ht="14.25" customHeight="1">
      <c r="A14034" s="307"/>
    </row>
    <row r="14035" ht="14.25" customHeight="1">
      <c r="A14035" s="307"/>
    </row>
    <row r="14036" ht="14.25" customHeight="1">
      <c r="A14036" s="307"/>
    </row>
    <row r="14037" ht="14.25" customHeight="1">
      <c r="A14037" s="307"/>
    </row>
    <row r="14038" ht="14.25" customHeight="1">
      <c r="A14038" s="307"/>
    </row>
    <row r="14039" ht="14.25" customHeight="1">
      <c r="A14039" s="307"/>
    </row>
    <row r="14040" ht="14.25" customHeight="1">
      <c r="A14040" s="307"/>
    </row>
    <row r="14041" ht="14.25" customHeight="1">
      <c r="A14041" s="307"/>
    </row>
    <row r="14042" ht="14.25" customHeight="1">
      <c r="A14042" s="307"/>
    </row>
    <row r="14043" ht="14.25" customHeight="1">
      <c r="A14043" s="307"/>
    </row>
    <row r="14044" ht="14.25" customHeight="1">
      <c r="A14044" s="307"/>
    </row>
    <row r="14045" ht="14.25" customHeight="1">
      <c r="A14045" s="307"/>
    </row>
    <row r="14046" ht="14.25" customHeight="1">
      <c r="A14046" s="307"/>
    </row>
    <row r="14047" ht="14.25" customHeight="1">
      <c r="A14047" s="307"/>
    </row>
    <row r="14048" ht="14.25" customHeight="1">
      <c r="A14048" s="307"/>
    </row>
    <row r="14049" ht="14.25" customHeight="1">
      <c r="A14049" s="307"/>
    </row>
    <row r="14050" ht="14.25" customHeight="1">
      <c r="A14050" s="307"/>
    </row>
    <row r="14051" ht="14.25" customHeight="1">
      <c r="A14051" s="307"/>
    </row>
    <row r="14052" ht="14.25" customHeight="1">
      <c r="A14052" s="307"/>
    </row>
    <row r="14053" ht="14.25" customHeight="1">
      <c r="A14053" s="307"/>
    </row>
    <row r="14054" ht="14.25" customHeight="1">
      <c r="A14054" s="307"/>
    </row>
    <row r="14055" ht="14.25" customHeight="1">
      <c r="A14055" s="307"/>
    </row>
    <row r="14056" ht="14.25" customHeight="1">
      <c r="A14056" s="307"/>
    </row>
    <row r="14057" ht="14.25" customHeight="1">
      <c r="A14057" s="307"/>
    </row>
    <row r="14058" ht="14.25" customHeight="1">
      <c r="A14058" s="307"/>
    </row>
    <row r="14059" ht="14.25" customHeight="1">
      <c r="A14059" s="307"/>
    </row>
    <row r="14060" ht="14.25" customHeight="1">
      <c r="A14060" s="307"/>
    </row>
    <row r="14061" ht="14.25" customHeight="1">
      <c r="A14061" s="307"/>
    </row>
    <row r="14062" ht="14.25" customHeight="1">
      <c r="A14062" s="307"/>
    </row>
    <row r="14063" ht="14.25" customHeight="1">
      <c r="A14063" s="307"/>
    </row>
    <row r="14064" ht="14.25" customHeight="1">
      <c r="A14064" s="307"/>
    </row>
    <row r="14065" ht="14.25" customHeight="1">
      <c r="A14065" s="307"/>
    </row>
    <row r="14066" ht="14.25" customHeight="1">
      <c r="A14066" s="307"/>
    </row>
    <row r="14067" ht="14.25" customHeight="1">
      <c r="A14067" s="307"/>
    </row>
    <row r="14068" ht="14.25" customHeight="1">
      <c r="A14068" s="307"/>
    </row>
    <row r="14069" ht="14.25" customHeight="1">
      <c r="A14069" s="307"/>
    </row>
    <row r="14070" ht="14.25" customHeight="1">
      <c r="A14070" s="307"/>
    </row>
    <row r="14071" ht="14.25" customHeight="1">
      <c r="A14071" s="307"/>
    </row>
    <row r="14072" ht="14.25" customHeight="1">
      <c r="A14072" s="307"/>
    </row>
    <row r="14073" ht="14.25" customHeight="1">
      <c r="A14073" s="307"/>
    </row>
    <row r="14074" ht="14.25" customHeight="1">
      <c r="A14074" s="307"/>
    </row>
    <row r="14075" ht="14.25" customHeight="1">
      <c r="A14075" s="307"/>
    </row>
    <row r="14076" ht="14.25" customHeight="1">
      <c r="A14076" s="307"/>
    </row>
    <row r="14077" ht="14.25" customHeight="1">
      <c r="A14077" s="307"/>
    </row>
    <row r="14078" ht="14.25" customHeight="1">
      <c r="A14078" s="307"/>
    </row>
    <row r="14079" ht="14.25" customHeight="1">
      <c r="A14079" s="307"/>
    </row>
    <row r="14080" ht="14.25" customHeight="1">
      <c r="A14080" s="307"/>
    </row>
    <row r="14081" ht="14.25" customHeight="1">
      <c r="A14081" s="307"/>
    </row>
    <row r="14082" ht="14.25" customHeight="1">
      <c r="A14082" s="307"/>
    </row>
    <row r="14083" ht="14.25" customHeight="1">
      <c r="A14083" s="307"/>
    </row>
    <row r="14084" ht="14.25" customHeight="1">
      <c r="A14084" s="307"/>
    </row>
    <row r="14085" ht="14.25" customHeight="1">
      <c r="A14085" s="307"/>
    </row>
    <row r="14086" ht="14.25" customHeight="1">
      <c r="A14086" s="307"/>
    </row>
    <row r="14087" ht="14.25" customHeight="1">
      <c r="A14087" s="307"/>
    </row>
    <row r="14088" ht="14.25" customHeight="1">
      <c r="A14088" s="307"/>
    </row>
    <row r="14089" ht="14.25" customHeight="1">
      <c r="A14089" s="307"/>
    </row>
    <row r="14090" ht="14.25" customHeight="1">
      <c r="A14090" s="307"/>
    </row>
    <row r="14091" ht="14.25" customHeight="1">
      <c r="A14091" s="307"/>
    </row>
    <row r="14092" ht="14.25" customHeight="1">
      <c r="A14092" s="307"/>
    </row>
    <row r="14093" ht="14.25" customHeight="1">
      <c r="A14093" s="307"/>
    </row>
    <row r="14094" ht="14.25" customHeight="1">
      <c r="A14094" s="307"/>
    </row>
    <row r="14095" ht="14.25" customHeight="1">
      <c r="A14095" s="307"/>
    </row>
    <row r="14096" ht="14.25" customHeight="1">
      <c r="A14096" s="307"/>
    </row>
    <row r="14097" ht="14.25" customHeight="1">
      <c r="A14097" s="307"/>
    </row>
    <row r="14098" ht="14.25" customHeight="1">
      <c r="A14098" s="307"/>
    </row>
    <row r="14099" ht="14.25" customHeight="1">
      <c r="A14099" s="307"/>
    </row>
    <row r="14100" ht="14.25" customHeight="1">
      <c r="A14100" s="307"/>
    </row>
    <row r="14101" ht="14.25" customHeight="1">
      <c r="A14101" s="307"/>
    </row>
    <row r="14102" ht="14.25" customHeight="1">
      <c r="A14102" s="307"/>
    </row>
    <row r="14103" ht="14.25" customHeight="1">
      <c r="A14103" s="307"/>
    </row>
    <row r="14104" ht="14.25" customHeight="1">
      <c r="A14104" s="307"/>
    </row>
    <row r="14105" ht="14.25" customHeight="1">
      <c r="A14105" s="307"/>
    </row>
    <row r="14106" ht="14.25" customHeight="1">
      <c r="A14106" s="307"/>
    </row>
    <row r="14107" ht="14.25" customHeight="1">
      <c r="A14107" s="307"/>
    </row>
    <row r="14108" ht="14.25" customHeight="1">
      <c r="A14108" s="307"/>
    </row>
    <row r="14109" ht="14.25" customHeight="1">
      <c r="A14109" s="307"/>
    </row>
    <row r="14110" ht="14.25" customHeight="1">
      <c r="A14110" s="307"/>
    </row>
    <row r="14111" ht="14.25" customHeight="1">
      <c r="A14111" s="307"/>
    </row>
    <row r="14112" ht="14.25" customHeight="1">
      <c r="A14112" s="307"/>
    </row>
    <row r="14113" ht="14.25" customHeight="1">
      <c r="A14113" s="307"/>
    </row>
    <row r="14114" ht="14.25" customHeight="1">
      <c r="A14114" s="307"/>
    </row>
    <row r="14115" ht="14.25" customHeight="1">
      <c r="A14115" s="307"/>
    </row>
    <row r="14116" ht="14.25" customHeight="1">
      <c r="A14116" s="307"/>
    </row>
    <row r="14117" ht="14.25" customHeight="1">
      <c r="A14117" s="307"/>
    </row>
    <row r="14118" ht="14.25" customHeight="1">
      <c r="A14118" s="307"/>
    </row>
    <row r="14119" ht="14.25" customHeight="1">
      <c r="A14119" s="307"/>
    </row>
    <row r="14120" ht="14.25" customHeight="1">
      <c r="A14120" s="307"/>
    </row>
    <row r="14121" ht="14.25" customHeight="1">
      <c r="A14121" s="307"/>
    </row>
    <row r="14122" ht="14.25" customHeight="1">
      <c r="A14122" s="307"/>
    </row>
    <row r="14123" ht="14.25" customHeight="1">
      <c r="A14123" s="307"/>
    </row>
    <row r="14124" ht="14.25" customHeight="1">
      <c r="A14124" s="307"/>
    </row>
    <row r="14125" ht="14.25" customHeight="1">
      <c r="A14125" s="307"/>
    </row>
    <row r="14126" ht="14.25" customHeight="1">
      <c r="A14126" s="307"/>
    </row>
    <row r="14127" ht="14.25" customHeight="1">
      <c r="A14127" s="307"/>
    </row>
    <row r="14128" ht="14.25" customHeight="1">
      <c r="A14128" s="307"/>
    </row>
    <row r="14129" ht="14.25" customHeight="1">
      <c r="A14129" s="307"/>
    </row>
    <row r="14130" ht="14.25" customHeight="1">
      <c r="A14130" s="307"/>
    </row>
    <row r="14131" ht="14.25" customHeight="1">
      <c r="A14131" s="307"/>
    </row>
    <row r="14132" ht="14.25" customHeight="1">
      <c r="A14132" s="307"/>
    </row>
    <row r="14133" ht="14.25" customHeight="1">
      <c r="A14133" s="307"/>
    </row>
    <row r="14134" ht="14.25" customHeight="1">
      <c r="A14134" s="307"/>
    </row>
    <row r="14135" ht="14.25" customHeight="1">
      <c r="A14135" s="307"/>
    </row>
    <row r="14136" ht="14.25" customHeight="1">
      <c r="A14136" s="307"/>
    </row>
    <row r="14137" ht="14.25" customHeight="1">
      <c r="A14137" s="307"/>
    </row>
    <row r="14138" ht="14.25" customHeight="1">
      <c r="A14138" s="307"/>
    </row>
    <row r="14139" ht="14.25" customHeight="1">
      <c r="A14139" s="307"/>
    </row>
    <row r="14140" ht="14.25" customHeight="1">
      <c r="A14140" s="307"/>
    </row>
    <row r="14141" ht="14.25" customHeight="1">
      <c r="A14141" s="307"/>
    </row>
    <row r="14142" ht="14.25" customHeight="1">
      <c r="A14142" s="307"/>
    </row>
    <row r="14143" ht="14.25" customHeight="1">
      <c r="A14143" s="307"/>
    </row>
    <row r="14144" ht="14.25" customHeight="1">
      <c r="A14144" s="307"/>
    </row>
    <row r="14145" ht="14.25" customHeight="1">
      <c r="A14145" s="307"/>
    </row>
    <row r="14146" ht="14.25" customHeight="1">
      <c r="A14146" s="307"/>
    </row>
    <row r="14147" ht="14.25" customHeight="1">
      <c r="A14147" s="307"/>
    </row>
    <row r="14148" ht="14.25" customHeight="1">
      <c r="A14148" s="307"/>
    </row>
    <row r="14149" ht="14.25" customHeight="1">
      <c r="A14149" s="307"/>
    </row>
    <row r="14150" ht="14.25" customHeight="1">
      <c r="A14150" s="307"/>
    </row>
    <row r="14151" ht="14.25" customHeight="1">
      <c r="A14151" s="307"/>
    </row>
    <row r="14152" ht="14.25" customHeight="1">
      <c r="A14152" s="307"/>
    </row>
    <row r="14153" ht="14.25" customHeight="1">
      <c r="A14153" s="307"/>
    </row>
    <row r="14154" ht="14.25" customHeight="1">
      <c r="A14154" s="307"/>
    </row>
    <row r="14155" ht="14.25" customHeight="1">
      <c r="A14155" s="307"/>
    </row>
    <row r="14156" ht="14.25" customHeight="1">
      <c r="A14156" s="307"/>
    </row>
    <row r="14157" ht="14.25" customHeight="1">
      <c r="A14157" s="307"/>
    </row>
    <row r="14158" ht="14.25" customHeight="1">
      <c r="A14158" s="307"/>
    </row>
    <row r="14159" ht="14.25" customHeight="1">
      <c r="A14159" s="307"/>
    </row>
    <row r="14160" ht="14.25" customHeight="1">
      <c r="A14160" s="307"/>
    </row>
    <row r="14161" ht="14.25" customHeight="1">
      <c r="A14161" s="307"/>
    </row>
    <row r="14162" ht="14.25" customHeight="1">
      <c r="A14162" s="307"/>
    </row>
    <row r="14163" ht="14.25" customHeight="1">
      <c r="A14163" s="307"/>
    </row>
    <row r="14164" ht="14.25" customHeight="1">
      <c r="A14164" s="307"/>
    </row>
    <row r="14165" ht="14.25" customHeight="1">
      <c r="A14165" s="307"/>
    </row>
    <row r="14166" ht="14.25" customHeight="1">
      <c r="A14166" s="307"/>
    </row>
    <row r="14167" ht="14.25" customHeight="1">
      <c r="A14167" s="307"/>
    </row>
    <row r="14168" ht="14.25" customHeight="1">
      <c r="A14168" s="307"/>
    </row>
    <row r="14169" ht="14.25" customHeight="1">
      <c r="A14169" s="307"/>
    </row>
    <row r="14170" ht="14.25" customHeight="1">
      <c r="A14170" s="307"/>
    </row>
    <row r="14171" ht="14.25" customHeight="1">
      <c r="A14171" s="307"/>
    </row>
    <row r="14172" ht="14.25" customHeight="1">
      <c r="A14172" s="307"/>
    </row>
    <row r="14173" ht="14.25" customHeight="1">
      <c r="A14173" s="307"/>
    </row>
    <row r="14174" ht="14.25" customHeight="1">
      <c r="A14174" s="307"/>
    </row>
    <row r="14175" ht="14.25" customHeight="1">
      <c r="A14175" s="307"/>
    </row>
    <row r="14176" ht="14.25" customHeight="1">
      <c r="A14176" s="307"/>
    </row>
    <row r="14177" ht="14.25" customHeight="1">
      <c r="A14177" s="307"/>
    </row>
    <row r="14178" ht="14.25" customHeight="1">
      <c r="A14178" s="307"/>
    </row>
    <row r="14179" ht="14.25" customHeight="1">
      <c r="A14179" s="307"/>
    </row>
    <row r="14180" ht="14.25" customHeight="1">
      <c r="A14180" s="307"/>
    </row>
    <row r="14181" ht="14.25" customHeight="1">
      <c r="A14181" s="307"/>
    </row>
    <row r="14182" ht="14.25" customHeight="1">
      <c r="A14182" s="307"/>
    </row>
    <row r="14183" ht="14.25" customHeight="1">
      <c r="A14183" s="307"/>
    </row>
    <row r="14184" ht="14.25" customHeight="1">
      <c r="A14184" s="307"/>
    </row>
    <row r="14185" ht="14.25" customHeight="1">
      <c r="A14185" s="307"/>
    </row>
    <row r="14186" ht="14.25" customHeight="1">
      <c r="A14186" s="307"/>
    </row>
    <row r="14187" ht="14.25" customHeight="1">
      <c r="A14187" s="307"/>
    </row>
    <row r="14188" ht="14.25" customHeight="1">
      <c r="A14188" s="307"/>
    </row>
    <row r="14189" ht="14.25" customHeight="1">
      <c r="A14189" s="307"/>
    </row>
    <row r="14190" ht="14.25" customHeight="1">
      <c r="A14190" s="307"/>
    </row>
    <row r="14191" ht="14.25" customHeight="1">
      <c r="A14191" s="307"/>
    </row>
    <row r="14192" ht="14.25" customHeight="1">
      <c r="A14192" s="307"/>
    </row>
    <row r="14193" ht="14.25" customHeight="1">
      <c r="A14193" s="307"/>
    </row>
    <row r="14194" ht="14.25" customHeight="1">
      <c r="A14194" s="307"/>
    </row>
    <row r="14195" ht="14.25" customHeight="1">
      <c r="A14195" s="307"/>
    </row>
    <row r="14196" ht="14.25" customHeight="1">
      <c r="A14196" s="307"/>
    </row>
    <row r="14197" ht="14.25" customHeight="1">
      <c r="A14197" s="307"/>
    </row>
    <row r="14198" ht="14.25" customHeight="1">
      <c r="A14198" s="307"/>
    </row>
    <row r="14199" ht="14.25" customHeight="1">
      <c r="A14199" s="307"/>
    </row>
    <row r="14200" ht="14.25" customHeight="1">
      <c r="A14200" s="307"/>
    </row>
    <row r="14201" ht="14.25" customHeight="1">
      <c r="A14201" s="307"/>
    </row>
    <row r="14202" ht="14.25" customHeight="1">
      <c r="A14202" s="307"/>
    </row>
    <row r="14203" ht="14.25" customHeight="1">
      <c r="A14203" s="307"/>
    </row>
    <row r="14204" ht="14.25" customHeight="1">
      <c r="A14204" s="307"/>
    </row>
    <row r="14205" ht="14.25" customHeight="1">
      <c r="A14205" s="307"/>
    </row>
    <row r="14206" ht="14.25" customHeight="1">
      <c r="A14206" s="307"/>
    </row>
    <row r="14207" ht="14.25" customHeight="1">
      <c r="A14207" s="307"/>
    </row>
    <row r="14208" ht="14.25" customHeight="1">
      <c r="A14208" s="307"/>
    </row>
    <row r="14209" ht="14.25" customHeight="1">
      <c r="A14209" s="307"/>
    </row>
    <row r="14210" ht="14.25" customHeight="1">
      <c r="A14210" s="307"/>
    </row>
    <row r="14211" ht="14.25" customHeight="1">
      <c r="A14211" s="307"/>
    </row>
    <row r="14212" ht="14.25" customHeight="1">
      <c r="A14212" s="307"/>
    </row>
    <row r="14213" ht="14.25" customHeight="1">
      <c r="A14213" s="307"/>
    </row>
    <row r="14214" ht="14.25" customHeight="1">
      <c r="A14214" s="307"/>
    </row>
    <row r="14215" ht="14.25" customHeight="1">
      <c r="A14215" s="307"/>
    </row>
    <row r="14216" ht="14.25" customHeight="1">
      <c r="A14216" s="307"/>
    </row>
    <row r="14217" ht="14.25" customHeight="1">
      <c r="A14217" s="307"/>
    </row>
    <row r="14218" ht="14.25" customHeight="1">
      <c r="A14218" s="307"/>
    </row>
    <row r="14219" ht="14.25" customHeight="1">
      <c r="A14219" s="307"/>
    </row>
    <row r="14220" ht="14.25" customHeight="1">
      <c r="A14220" s="307"/>
    </row>
    <row r="14221" ht="14.25" customHeight="1">
      <c r="A14221" s="307"/>
    </row>
    <row r="14222" ht="14.25" customHeight="1">
      <c r="A14222" s="307"/>
    </row>
    <row r="14223" ht="14.25" customHeight="1">
      <c r="A14223" s="307"/>
    </row>
    <row r="14224" ht="14.25" customHeight="1">
      <c r="A14224" s="307"/>
    </row>
    <row r="14225" ht="14.25" customHeight="1">
      <c r="A14225" s="307"/>
    </row>
    <row r="14226" ht="14.25" customHeight="1">
      <c r="A14226" s="307"/>
    </row>
    <row r="14227" ht="14.25" customHeight="1">
      <c r="A14227" s="307"/>
    </row>
    <row r="14228" ht="14.25" customHeight="1">
      <c r="A14228" s="307"/>
    </row>
    <row r="14229" ht="14.25" customHeight="1">
      <c r="A14229" s="307"/>
    </row>
    <row r="14230" ht="14.25" customHeight="1">
      <c r="A14230" s="307"/>
    </row>
    <row r="14231" ht="14.25" customHeight="1">
      <c r="A14231" s="307"/>
    </row>
    <row r="14232" ht="14.25" customHeight="1">
      <c r="A14232" s="307"/>
    </row>
    <row r="14233" ht="14.25" customHeight="1">
      <c r="A14233" s="307"/>
    </row>
    <row r="14234" ht="14.25" customHeight="1">
      <c r="A14234" s="307"/>
    </row>
    <row r="14235" ht="14.25" customHeight="1">
      <c r="A14235" s="307"/>
    </row>
    <row r="14236" ht="14.25" customHeight="1">
      <c r="A14236" s="307"/>
    </row>
    <row r="14237" ht="14.25" customHeight="1">
      <c r="A14237" s="307"/>
    </row>
    <row r="14238" ht="14.25" customHeight="1">
      <c r="A14238" s="307"/>
    </row>
    <row r="14239" ht="14.25" customHeight="1">
      <c r="A14239" s="307"/>
    </row>
    <row r="14240" ht="14.25" customHeight="1">
      <c r="A14240" s="307"/>
    </row>
    <row r="14241" ht="14.25" customHeight="1">
      <c r="A14241" s="307"/>
    </row>
    <row r="14242" ht="14.25" customHeight="1">
      <c r="A14242" s="307"/>
    </row>
    <row r="14243" ht="14.25" customHeight="1">
      <c r="A14243" s="307"/>
    </row>
    <row r="14244" ht="14.25" customHeight="1">
      <c r="A14244" s="307"/>
    </row>
    <row r="14245" ht="14.25" customHeight="1">
      <c r="A14245" s="307"/>
    </row>
    <row r="14246" ht="14.25" customHeight="1">
      <c r="A14246" s="307"/>
    </row>
    <row r="14247" ht="14.25" customHeight="1">
      <c r="A14247" s="307"/>
    </row>
    <row r="14248" ht="14.25" customHeight="1">
      <c r="A14248" s="307"/>
    </row>
    <row r="14249" ht="14.25" customHeight="1">
      <c r="A14249" s="307"/>
    </row>
    <row r="14250" ht="14.25" customHeight="1">
      <c r="A14250" s="307"/>
    </row>
    <row r="14251" ht="14.25" customHeight="1">
      <c r="A14251" s="307"/>
    </row>
    <row r="14252" ht="14.25" customHeight="1">
      <c r="A14252" s="307"/>
    </row>
    <row r="14253" ht="14.25" customHeight="1">
      <c r="A14253" s="307"/>
    </row>
    <row r="14254" ht="14.25" customHeight="1">
      <c r="A14254" s="307"/>
    </row>
    <row r="14255" ht="14.25" customHeight="1">
      <c r="A14255" s="307"/>
    </row>
    <row r="14256" ht="14.25" customHeight="1">
      <c r="A14256" s="307"/>
    </row>
    <row r="14257" ht="14.25" customHeight="1">
      <c r="A14257" s="307"/>
    </row>
    <row r="14258" ht="14.25" customHeight="1">
      <c r="A14258" s="307"/>
    </row>
    <row r="14259" ht="14.25" customHeight="1">
      <c r="A14259" s="307"/>
    </row>
    <row r="14260" ht="14.25" customHeight="1">
      <c r="A14260" s="307"/>
    </row>
    <row r="14261" ht="14.25" customHeight="1">
      <c r="A14261" s="307"/>
    </row>
    <row r="14262" ht="14.25" customHeight="1">
      <c r="A14262" s="307"/>
    </row>
    <row r="14263" ht="14.25" customHeight="1">
      <c r="A14263" s="307"/>
    </row>
    <row r="14264" ht="14.25" customHeight="1">
      <c r="A14264" s="307"/>
    </row>
    <row r="14265" ht="14.25" customHeight="1">
      <c r="A14265" s="307"/>
    </row>
    <row r="14266" ht="14.25" customHeight="1">
      <c r="A14266" s="307"/>
    </row>
    <row r="14267" ht="14.25" customHeight="1">
      <c r="A14267" s="307"/>
    </row>
    <row r="14268" ht="14.25" customHeight="1">
      <c r="A14268" s="307"/>
    </row>
    <row r="14269" ht="14.25" customHeight="1">
      <c r="A14269" s="307"/>
    </row>
    <row r="14270" ht="14.25" customHeight="1">
      <c r="A14270" s="307"/>
    </row>
    <row r="14271" ht="14.25" customHeight="1">
      <c r="A14271" s="307"/>
    </row>
    <row r="14272" ht="14.25" customHeight="1">
      <c r="A14272" s="307"/>
    </row>
    <row r="14273" ht="14.25" customHeight="1">
      <c r="A14273" s="307"/>
    </row>
    <row r="14274" ht="14.25" customHeight="1">
      <c r="A14274" s="307"/>
    </row>
    <row r="14275" ht="14.25" customHeight="1">
      <c r="A14275" s="307"/>
    </row>
    <row r="14276" ht="14.25" customHeight="1">
      <c r="A14276" s="307"/>
    </row>
    <row r="14277" ht="14.25" customHeight="1">
      <c r="A14277" s="307"/>
    </row>
    <row r="14278" ht="14.25" customHeight="1">
      <c r="A14278" s="307"/>
    </row>
    <row r="14279" ht="14.25" customHeight="1">
      <c r="A14279" s="307"/>
    </row>
    <row r="14280" ht="14.25" customHeight="1">
      <c r="A14280" s="307"/>
    </row>
    <row r="14281" ht="14.25" customHeight="1">
      <c r="A14281" s="307"/>
    </row>
    <row r="14282" ht="14.25" customHeight="1">
      <c r="A14282" s="307"/>
    </row>
    <row r="14283" ht="14.25" customHeight="1">
      <c r="A14283" s="307"/>
    </row>
    <row r="14284" ht="14.25" customHeight="1">
      <c r="A14284" s="307"/>
    </row>
    <row r="14285" ht="14.25" customHeight="1">
      <c r="A14285" s="307"/>
    </row>
    <row r="14286" ht="14.25" customHeight="1">
      <c r="A14286" s="307"/>
    </row>
    <row r="14287" ht="14.25" customHeight="1">
      <c r="A14287" s="307"/>
    </row>
    <row r="14288" ht="14.25" customHeight="1">
      <c r="A14288" s="307"/>
    </row>
    <row r="14289" ht="14.25" customHeight="1">
      <c r="A14289" s="307"/>
    </row>
    <row r="14290" ht="14.25" customHeight="1">
      <c r="A14290" s="307"/>
    </row>
    <row r="14291" ht="14.25" customHeight="1">
      <c r="A14291" s="307"/>
    </row>
    <row r="14292" ht="14.25" customHeight="1">
      <c r="A14292" s="307"/>
    </row>
    <row r="14293" ht="14.25" customHeight="1">
      <c r="A14293" s="307"/>
    </row>
    <row r="14294" ht="14.25" customHeight="1">
      <c r="A14294" s="307"/>
    </row>
    <row r="14295" ht="14.25" customHeight="1">
      <c r="A14295" s="307"/>
    </row>
    <row r="14296" ht="14.25" customHeight="1">
      <c r="A14296" s="307"/>
    </row>
    <row r="14297" ht="14.25" customHeight="1">
      <c r="A14297" s="307"/>
    </row>
    <row r="14298" ht="14.25" customHeight="1">
      <c r="A14298" s="307"/>
    </row>
    <row r="14299" ht="14.25" customHeight="1">
      <c r="A14299" s="307"/>
    </row>
    <row r="14300" ht="14.25" customHeight="1">
      <c r="A14300" s="307"/>
    </row>
    <row r="14301" ht="14.25" customHeight="1">
      <c r="A14301" s="307"/>
    </row>
    <row r="14302" ht="14.25" customHeight="1">
      <c r="A14302" s="307"/>
    </row>
    <row r="14303" ht="14.25" customHeight="1">
      <c r="A14303" s="307"/>
    </row>
    <row r="14304" ht="14.25" customHeight="1">
      <c r="A14304" s="307"/>
    </row>
    <row r="14305" ht="14.25" customHeight="1">
      <c r="A14305" s="307"/>
    </row>
    <row r="14306" ht="14.25" customHeight="1">
      <c r="A14306" s="307"/>
    </row>
    <row r="14307" ht="14.25" customHeight="1">
      <c r="A14307" s="307"/>
    </row>
    <row r="14308" ht="14.25" customHeight="1">
      <c r="A14308" s="307"/>
    </row>
    <row r="14309" ht="14.25" customHeight="1">
      <c r="A14309" s="307"/>
    </row>
    <row r="14310" ht="14.25" customHeight="1">
      <c r="A14310" s="307"/>
    </row>
    <row r="14311" ht="14.25" customHeight="1">
      <c r="A14311" s="307"/>
    </row>
    <row r="14312" ht="14.25" customHeight="1">
      <c r="A14312" s="307"/>
    </row>
    <row r="14313" ht="14.25" customHeight="1">
      <c r="A14313" s="307"/>
    </row>
    <row r="14314" ht="14.25" customHeight="1">
      <c r="A14314" s="307"/>
    </row>
    <row r="14315" ht="14.25" customHeight="1">
      <c r="A14315" s="307"/>
    </row>
    <row r="14316" ht="14.25" customHeight="1">
      <c r="A14316" s="307"/>
    </row>
    <row r="14317" ht="14.25" customHeight="1">
      <c r="A14317" s="307"/>
    </row>
    <row r="14318" ht="14.25" customHeight="1">
      <c r="A14318" s="307"/>
    </row>
    <row r="14319" ht="14.25" customHeight="1">
      <c r="A14319" s="307"/>
    </row>
    <row r="14320" ht="14.25" customHeight="1">
      <c r="A14320" s="307"/>
    </row>
    <row r="14321" ht="14.25" customHeight="1">
      <c r="A14321" s="307"/>
    </row>
    <row r="14322" ht="14.25" customHeight="1">
      <c r="A14322" s="307"/>
    </row>
    <row r="14323" ht="14.25" customHeight="1">
      <c r="A14323" s="307"/>
    </row>
    <row r="14324" ht="14.25" customHeight="1">
      <c r="A14324" s="307"/>
    </row>
    <row r="14325" ht="14.25" customHeight="1">
      <c r="A14325" s="307"/>
    </row>
    <row r="14326" ht="14.25" customHeight="1">
      <c r="A14326" s="307"/>
    </row>
    <row r="14327" ht="14.25" customHeight="1">
      <c r="A14327" s="307"/>
    </row>
    <row r="14328" ht="14.25" customHeight="1">
      <c r="A14328" s="307"/>
    </row>
    <row r="14329" ht="14.25" customHeight="1">
      <c r="A14329" s="307"/>
    </row>
    <row r="14330" ht="14.25" customHeight="1">
      <c r="A14330" s="307"/>
    </row>
    <row r="14331" ht="14.25" customHeight="1">
      <c r="A14331" s="307"/>
    </row>
    <row r="14332" ht="14.25" customHeight="1">
      <c r="A14332" s="307"/>
    </row>
    <row r="14333" ht="14.25" customHeight="1">
      <c r="A14333" s="307"/>
    </row>
    <row r="14334" ht="14.25" customHeight="1">
      <c r="A14334" s="307"/>
    </row>
    <row r="14335" ht="14.25" customHeight="1">
      <c r="A14335" s="307"/>
    </row>
    <row r="14336" ht="14.25" customHeight="1">
      <c r="A14336" s="307"/>
    </row>
    <row r="14337" ht="14.25" customHeight="1">
      <c r="A14337" s="307"/>
    </row>
    <row r="14338" ht="14.25" customHeight="1">
      <c r="A14338" s="307"/>
    </row>
    <row r="14339" ht="14.25" customHeight="1">
      <c r="A14339" s="307"/>
    </row>
    <row r="14340" ht="14.25" customHeight="1">
      <c r="A14340" s="307"/>
    </row>
    <row r="14341" ht="14.25" customHeight="1">
      <c r="A14341" s="307"/>
    </row>
    <row r="14342" ht="14.25" customHeight="1">
      <c r="A14342" s="307"/>
    </row>
    <row r="14343" ht="14.25" customHeight="1">
      <c r="A14343" s="307"/>
    </row>
    <row r="14344" ht="14.25" customHeight="1">
      <c r="A14344" s="307"/>
    </row>
    <row r="14345" ht="14.25" customHeight="1">
      <c r="A14345" s="307"/>
    </row>
    <row r="14346" ht="14.25" customHeight="1">
      <c r="A14346" s="307"/>
    </row>
    <row r="14347" ht="14.25" customHeight="1">
      <c r="A14347" s="307"/>
    </row>
    <row r="14348" ht="14.25" customHeight="1">
      <c r="A14348" s="307"/>
    </row>
    <row r="14349" ht="14.25" customHeight="1">
      <c r="A14349" s="307"/>
    </row>
    <row r="14350" ht="14.25" customHeight="1">
      <c r="A14350" s="307"/>
    </row>
    <row r="14351" ht="14.25" customHeight="1">
      <c r="A14351" s="307"/>
    </row>
    <row r="14352" ht="14.25" customHeight="1">
      <c r="A14352" s="307"/>
    </row>
    <row r="14353" ht="14.25" customHeight="1">
      <c r="A14353" s="307"/>
    </row>
    <row r="14354" ht="14.25" customHeight="1">
      <c r="A14354" s="307"/>
    </row>
    <row r="14355" ht="14.25" customHeight="1">
      <c r="A14355" s="307"/>
    </row>
    <row r="14356" ht="14.25" customHeight="1">
      <c r="A14356" s="307"/>
    </row>
    <row r="14357" ht="14.25" customHeight="1">
      <c r="A14357" s="307"/>
    </row>
    <row r="14358" ht="14.25" customHeight="1">
      <c r="A14358" s="307"/>
    </row>
    <row r="14359" ht="14.25" customHeight="1">
      <c r="A14359" s="307"/>
    </row>
    <row r="14360" ht="14.25" customHeight="1">
      <c r="A14360" s="307"/>
    </row>
    <row r="14361" ht="14.25" customHeight="1">
      <c r="A14361" s="307"/>
    </row>
    <row r="14362" ht="14.25" customHeight="1">
      <c r="A14362" s="307"/>
    </row>
    <row r="14363" ht="14.25" customHeight="1">
      <c r="A14363" s="307"/>
    </row>
    <row r="14364" ht="14.25" customHeight="1">
      <c r="A14364" s="307"/>
    </row>
    <row r="14365" ht="14.25" customHeight="1">
      <c r="A14365" s="307"/>
    </row>
    <row r="14366" ht="14.25" customHeight="1">
      <c r="A14366" s="307"/>
    </row>
    <row r="14367" ht="14.25" customHeight="1">
      <c r="A14367" s="307"/>
    </row>
    <row r="14368" ht="14.25" customHeight="1">
      <c r="A14368" s="307"/>
    </row>
    <row r="14369" ht="14.25" customHeight="1">
      <c r="A14369" s="307"/>
    </row>
    <row r="14370" ht="14.25" customHeight="1">
      <c r="A14370" s="307"/>
    </row>
    <row r="14371" ht="14.25" customHeight="1">
      <c r="A14371" s="307"/>
    </row>
    <row r="14372" ht="14.25" customHeight="1">
      <c r="A14372" s="307"/>
    </row>
    <row r="14373" ht="14.25" customHeight="1">
      <c r="A14373" s="307"/>
    </row>
    <row r="14374" ht="14.25" customHeight="1">
      <c r="A14374" s="307"/>
    </row>
    <row r="14375" ht="14.25" customHeight="1">
      <c r="A14375" s="307"/>
    </row>
    <row r="14376" ht="14.25" customHeight="1">
      <c r="A14376" s="307"/>
    </row>
    <row r="14377" ht="14.25" customHeight="1">
      <c r="A14377" s="307"/>
    </row>
    <row r="14378" ht="14.25" customHeight="1">
      <c r="A14378" s="307"/>
    </row>
    <row r="14379" ht="14.25" customHeight="1">
      <c r="A14379" s="307"/>
    </row>
    <row r="14380" ht="14.25" customHeight="1">
      <c r="A14380" s="307"/>
    </row>
    <row r="14381" ht="14.25" customHeight="1">
      <c r="A14381" s="307"/>
    </row>
    <row r="14382" ht="14.25" customHeight="1">
      <c r="A14382" s="307"/>
    </row>
    <row r="14383" ht="14.25" customHeight="1">
      <c r="A14383" s="307"/>
    </row>
    <row r="14384" ht="14.25" customHeight="1">
      <c r="A14384" s="307"/>
    </row>
    <row r="14385" ht="14.25" customHeight="1">
      <c r="A14385" s="307"/>
    </row>
    <row r="14386" ht="14.25" customHeight="1">
      <c r="A14386" s="307"/>
    </row>
    <row r="14387" ht="14.25" customHeight="1">
      <c r="A14387" s="307"/>
    </row>
    <row r="14388" ht="14.25" customHeight="1">
      <c r="A14388" s="307"/>
    </row>
    <row r="14389" ht="14.25" customHeight="1">
      <c r="A14389" s="307"/>
    </row>
    <row r="14390" ht="14.25" customHeight="1">
      <c r="A14390" s="307"/>
    </row>
    <row r="14391" ht="14.25" customHeight="1">
      <c r="A14391" s="307"/>
    </row>
    <row r="14392" ht="14.25" customHeight="1">
      <c r="A14392" s="307"/>
    </row>
    <row r="14393" ht="14.25" customHeight="1">
      <c r="A14393" s="307"/>
    </row>
    <row r="14394" ht="14.25" customHeight="1">
      <c r="A14394" s="307"/>
    </row>
    <row r="14395" ht="14.25" customHeight="1">
      <c r="A14395" s="307"/>
    </row>
    <row r="14396" ht="14.25" customHeight="1">
      <c r="A14396" s="307"/>
    </row>
    <row r="14397" ht="14.25" customHeight="1">
      <c r="A14397" s="307"/>
    </row>
    <row r="14398" ht="14.25" customHeight="1">
      <c r="A14398" s="307"/>
    </row>
    <row r="14399" ht="14.25" customHeight="1">
      <c r="A14399" s="307"/>
    </row>
    <row r="14400" ht="14.25" customHeight="1">
      <c r="A14400" s="307"/>
    </row>
    <row r="14401" ht="14.25" customHeight="1">
      <c r="A14401" s="307"/>
    </row>
    <row r="14402" ht="14.25" customHeight="1">
      <c r="A14402" s="307"/>
    </row>
    <row r="14403" ht="14.25" customHeight="1">
      <c r="A14403" s="307"/>
    </row>
    <row r="14404" ht="14.25" customHeight="1">
      <c r="A14404" s="307"/>
    </row>
    <row r="14405" ht="14.25" customHeight="1">
      <c r="A14405" s="307"/>
    </row>
    <row r="14406" ht="14.25" customHeight="1">
      <c r="A14406" s="307"/>
    </row>
    <row r="14407" ht="14.25" customHeight="1">
      <c r="A14407" s="307"/>
    </row>
    <row r="14408" ht="14.25" customHeight="1">
      <c r="A14408" s="307"/>
    </row>
    <row r="14409" ht="14.25" customHeight="1">
      <c r="A14409" s="307"/>
    </row>
    <row r="14410" ht="14.25" customHeight="1">
      <c r="A14410" s="307"/>
    </row>
    <row r="14411" ht="14.25" customHeight="1">
      <c r="A14411" s="307"/>
    </row>
    <row r="14412" ht="14.25" customHeight="1">
      <c r="A14412" s="307"/>
    </row>
    <row r="14413" ht="14.25" customHeight="1">
      <c r="A14413" s="307"/>
    </row>
    <row r="14414" ht="14.25" customHeight="1">
      <c r="A14414" s="307"/>
    </row>
    <row r="14415" ht="14.25" customHeight="1">
      <c r="A14415" s="307"/>
    </row>
    <row r="14416" ht="14.25" customHeight="1">
      <c r="A14416" s="307"/>
    </row>
    <row r="14417" ht="14.25" customHeight="1">
      <c r="A14417" s="307"/>
    </row>
    <row r="14418" ht="14.25" customHeight="1">
      <c r="A14418" s="307"/>
    </row>
    <row r="14419" ht="14.25" customHeight="1">
      <c r="A14419" s="307"/>
    </row>
    <row r="14420" ht="14.25" customHeight="1">
      <c r="A14420" s="307"/>
    </row>
    <row r="14421" ht="14.25" customHeight="1">
      <c r="A14421" s="307"/>
    </row>
    <row r="14422" ht="14.25" customHeight="1">
      <c r="A14422" s="307"/>
    </row>
    <row r="14423" ht="14.25" customHeight="1">
      <c r="A14423" s="307"/>
    </row>
    <row r="14424" ht="14.25" customHeight="1">
      <c r="A14424" s="307"/>
    </row>
    <row r="14425" ht="14.25" customHeight="1">
      <c r="A14425" s="307"/>
    </row>
    <row r="14426" ht="14.25" customHeight="1">
      <c r="A14426" s="307"/>
    </row>
    <row r="14427" ht="14.25" customHeight="1">
      <c r="A14427" s="307"/>
    </row>
    <row r="14428" ht="14.25" customHeight="1">
      <c r="A14428" s="307"/>
    </row>
    <row r="14429" ht="14.25" customHeight="1">
      <c r="A14429" s="307"/>
    </row>
    <row r="14430" ht="14.25" customHeight="1">
      <c r="A14430" s="307"/>
    </row>
    <row r="14431" ht="14.25" customHeight="1">
      <c r="A14431" s="307"/>
    </row>
    <row r="14432" ht="14.25" customHeight="1">
      <c r="A14432" s="307"/>
    </row>
    <row r="14433" ht="14.25" customHeight="1">
      <c r="A14433" s="307"/>
    </row>
    <row r="14434" ht="14.25" customHeight="1">
      <c r="A14434" s="307"/>
    </row>
    <row r="14435" ht="14.25" customHeight="1">
      <c r="A14435" s="307"/>
    </row>
    <row r="14436" ht="14.25" customHeight="1">
      <c r="A14436" s="307"/>
    </row>
    <row r="14437" ht="14.25" customHeight="1">
      <c r="A14437" s="307"/>
    </row>
    <row r="14438" ht="14.25" customHeight="1">
      <c r="A14438" s="307"/>
    </row>
    <row r="14439" ht="14.25" customHeight="1">
      <c r="A14439" s="307"/>
    </row>
    <row r="14440" ht="14.25" customHeight="1">
      <c r="A14440" s="307"/>
    </row>
    <row r="14441" ht="14.25" customHeight="1">
      <c r="A14441" s="307"/>
    </row>
    <row r="14442" ht="14.25" customHeight="1">
      <c r="A14442" s="307"/>
    </row>
    <row r="14443" ht="14.25" customHeight="1">
      <c r="A14443" s="307"/>
    </row>
    <row r="14444" ht="14.25" customHeight="1">
      <c r="A14444" s="307"/>
    </row>
    <row r="14445" ht="14.25" customHeight="1">
      <c r="A14445" s="307"/>
    </row>
    <row r="14446" ht="14.25" customHeight="1">
      <c r="A14446" s="307"/>
    </row>
    <row r="14447" ht="14.25" customHeight="1">
      <c r="A14447" s="307"/>
    </row>
    <row r="14448" ht="14.25" customHeight="1">
      <c r="A14448" s="307"/>
    </row>
    <row r="14449" ht="14.25" customHeight="1">
      <c r="A14449" s="307"/>
    </row>
    <row r="14450" ht="14.25" customHeight="1">
      <c r="A14450" s="307"/>
    </row>
    <row r="14451" ht="14.25" customHeight="1">
      <c r="A14451" s="307"/>
    </row>
    <row r="14452" ht="14.25" customHeight="1">
      <c r="A14452" s="307"/>
    </row>
    <row r="14453" ht="14.25" customHeight="1">
      <c r="A14453" s="307"/>
    </row>
    <row r="14454" ht="14.25" customHeight="1">
      <c r="A14454" s="307"/>
    </row>
    <row r="14455" ht="14.25" customHeight="1">
      <c r="A14455" s="307"/>
    </row>
    <row r="14456" ht="14.25" customHeight="1">
      <c r="A14456" s="307"/>
    </row>
    <row r="14457" ht="14.25" customHeight="1">
      <c r="A14457" s="307"/>
    </row>
    <row r="14458" ht="14.25" customHeight="1">
      <c r="A14458" s="307"/>
    </row>
    <row r="14459" ht="14.25" customHeight="1">
      <c r="A14459" s="307"/>
    </row>
    <row r="14460" ht="14.25" customHeight="1">
      <c r="A14460" s="307"/>
    </row>
    <row r="14461" ht="14.25" customHeight="1">
      <c r="A14461" s="307"/>
    </row>
    <row r="14462" ht="14.25" customHeight="1">
      <c r="A14462" s="307"/>
    </row>
    <row r="14463" ht="14.25" customHeight="1">
      <c r="A14463" s="307"/>
    </row>
    <row r="14464" ht="14.25" customHeight="1">
      <c r="A14464" s="307"/>
    </row>
    <row r="14465" ht="14.25" customHeight="1">
      <c r="A14465" s="307"/>
    </row>
    <row r="14466" ht="14.25" customHeight="1">
      <c r="A14466" s="307"/>
    </row>
    <row r="14467" ht="14.25" customHeight="1">
      <c r="A14467" s="307"/>
    </row>
    <row r="14468" ht="14.25" customHeight="1">
      <c r="A14468" s="307"/>
    </row>
    <row r="14469" ht="14.25" customHeight="1">
      <c r="A14469" s="307"/>
    </row>
    <row r="14470" ht="14.25" customHeight="1">
      <c r="A14470" s="307"/>
    </row>
    <row r="14471" ht="14.25" customHeight="1">
      <c r="A14471" s="307"/>
    </row>
    <row r="14472" ht="14.25" customHeight="1">
      <c r="A14472" s="307"/>
    </row>
    <row r="14473" ht="14.25" customHeight="1">
      <c r="A14473" s="307"/>
    </row>
    <row r="14474" ht="14.25" customHeight="1">
      <c r="A14474" s="307"/>
    </row>
    <row r="14475" ht="14.25" customHeight="1">
      <c r="A14475" s="307"/>
    </row>
    <row r="14476" ht="14.25" customHeight="1">
      <c r="A14476" s="307"/>
    </row>
    <row r="14477" ht="14.25" customHeight="1">
      <c r="A14477" s="307"/>
    </row>
    <row r="14478" ht="14.25" customHeight="1">
      <c r="A14478" s="307"/>
    </row>
    <row r="14479" ht="14.25" customHeight="1">
      <c r="A14479" s="307"/>
    </row>
    <row r="14480" ht="14.25" customHeight="1">
      <c r="A14480" s="307"/>
    </row>
    <row r="14481" ht="14.25" customHeight="1">
      <c r="A14481" s="307"/>
    </row>
    <row r="14482" ht="14.25" customHeight="1">
      <c r="A14482" s="307"/>
    </row>
    <row r="14483" ht="14.25" customHeight="1">
      <c r="A14483" s="307"/>
    </row>
    <row r="14484" ht="14.25" customHeight="1">
      <c r="A14484" s="307"/>
    </row>
    <row r="14485" ht="14.25" customHeight="1">
      <c r="A14485" s="307"/>
    </row>
    <row r="14486" ht="14.25" customHeight="1">
      <c r="A14486" s="307"/>
    </row>
    <row r="14487" ht="14.25" customHeight="1">
      <c r="A14487" s="307"/>
    </row>
    <row r="14488" ht="14.25" customHeight="1">
      <c r="A14488" s="307"/>
    </row>
    <row r="14489" ht="14.25" customHeight="1">
      <c r="A14489" s="307"/>
    </row>
    <row r="14490" ht="14.25" customHeight="1">
      <c r="A14490" s="307"/>
    </row>
    <row r="14491" ht="14.25" customHeight="1">
      <c r="A14491" s="307"/>
    </row>
    <row r="14492" ht="14.25" customHeight="1">
      <c r="A14492" s="307"/>
    </row>
    <row r="14493" ht="14.25" customHeight="1">
      <c r="A14493" s="307"/>
    </row>
    <row r="14494" ht="14.25" customHeight="1">
      <c r="A14494" s="307"/>
    </row>
    <row r="14495" ht="14.25" customHeight="1">
      <c r="A14495" s="307"/>
    </row>
    <row r="14496" ht="14.25" customHeight="1">
      <c r="A14496" s="307"/>
    </row>
    <row r="14497" ht="14.25" customHeight="1">
      <c r="A14497" s="307"/>
    </row>
    <row r="14498" ht="14.25" customHeight="1">
      <c r="A14498" s="307"/>
    </row>
    <row r="14499" ht="14.25" customHeight="1">
      <c r="A14499" s="307"/>
    </row>
    <row r="14500" ht="14.25" customHeight="1">
      <c r="A14500" s="307"/>
    </row>
    <row r="14501" ht="14.25" customHeight="1">
      <c r="A14501" s="307"/>
    </row>
    <row r="14502" ht="14.25" customHeight="1">
      <c r="A14502" s="307"/>
    </row>
    <row r="14503" ht="14.25" customHeight="1">
      <c r="A14503" s="307"/>
    </row>
    <row r="14504" ht="14.25" customHeight="1">
      <c r="A14504" s="307"/>
    </row>
    <row r="14505" ht="14.25" customHeight="1">
      <c r="A14505" s="307"/>
    </row>
    <row r="14506" ht="14.25" customHeight="1">
      <c r="A14506" s="307"/>
    </row>
    <row r="14507" ht="14.25" customHeight="1">
      <c r="A14507" s="307"/>
    </row>
    <row r="14508" ht="14.25" customHeight="1">
      <c r="A14508" s="307"/>
    </row>
    <row r="14509" ht="14.25" customHeight="1">
      <c r="A14509" s="307"/>
    </row>
    <row r="14510" ht="14.25" customHeight="1">
      <c r="A14510" s="307"/>
    </row>
    <row r="14511" ht="14.25" customHeight="1">
      <c r="A14511" s="307"/>
    </row>
    <row r="14512" ht="14.25" customHeight="1">
      <c r="A14512" s="307"/>
    </row>
    <row r="14513" ht="14.25" customHeight="1">
      <c r="A14513" s="307"/>
    </row>
    <row r="14514" ht="14.25" customHeight="1">
      <c r="A14514" s="307"/>
    </row>
    <row r="14515" ht="14.25" customHeight="1">
      <c r="A14515" s="307"/>
    </row>
    <row r="14516" ht="14.25" customHeight="1">
      <c r="A14516" s="307"/>
    </row>
    <row r="14517" ht="14.25" customHeight="1">
      <c r="A14517" s="307"/>
    </row>
    <row r="14518" ht="14.25" customHeight="1">
      <c r="A14518" s="307"/>
    </row>
    <row r="14519" ht="14.25" customHeight="1">
      <c r="A14519" s="307"/>
    </row>
    <row r="14520" ht="14.25" customHeight="1">
      <c r="A14520" s="307"/>
    </row>
    <row r="14521" ht="14.25" customHeight="1">
      <c r="A14521" s="307"/>
    </row>
    <row r="14522" ht="14.25" customHeight="1">
      <c r="A14522" s="307"/>
    </row>
    <row r="14523" ht="14.25" customHeight="1">
      <c r="A14523" s="307"/>
    </row>
    <row r="14524" ht="14.25" customHeight="1">
      <c r="A14524" s="307"/>
    </row>
    <row r="14525" ht="14.25" customHeight="1">
      <c r="A14525" s="307"/>
    </row>
    <row r="14526" ht="14.25" customHeight="1">
      <c r="A14526" s="307"/>
    </row>
    <row r="14527" ht="14.25" customHeight="1">
      <c r="A14527" s="307"/>
    </row>
    <row r="14528" ht="14.25" customHeight="1">
      <c r="A14528" s="307"/>
    </row>
    <row r="14529" ht="14.25" customHeight="1">
      <c r="A14529" s="307"/>
    </row>
    <row r="14530" ht="14.25" customHeight="1">
      <c r="A14530" s="307"/>
    </row>
    <row r="14531" ht="14.25" customHeight="1">
      <c r="A14531" s="307"/>
    </row>
    <row r="14532" ht="14.25" customHeight="1">
      <c r="A14532" s="307"/>
    </row>
    <row r="14533" ht="14.25" customHeight="1">
      <c r="A14533" s="307"/>
    </row>
    <row r="14534" ht="14.25" customHeight="1">
      <c r="A14534" s="307"/>
    </row>
    <row r="14535" ht="14.25" customHeight="1">
      <c r="A14535" s="307"/>
    </row>
    <row r="14536" ht="14.25" customHeight="1">
      <c r="A14536" s="307"/>
    </row>
    <row r="14537" ht="14.25" customHeight="1">
      <c r="A14537" s="307"/>
    </row>
    <row r="14538" ht="14.25" customHeight="1">
      <c r="A14538" s="307"/>
    </row>
    <row r="14539" ht="14.25" customHeight="1">
      <c r="A14539" s="307"/>
    </row>
    <row r="14540" ht="14.25" customHeight="1">
      <c r="A14540" s="307"/>
    </row>
    <row r="14541" ht="14.25" customHeight="1">
      <c r="A14541" s="307"/>
    </row>
    <row r="14542" ht="14.25" customHeight="1">
      <c r="A14542" s="307"/>
    </row>
    <row r="14543" ht="14.25" customHeight="1">
      <c r="A14543" s="307"/>
    </row>
    <row r="14544" ht="14.25" customHeight="1">
      <c r="A14544" s="307"/>
    </row>
    <row r="14545" ht="14.25" customHeight="1">
      <c r="A14545" s="307"/>
    </row>
    <row r="14546" ht="14.25" customHeight="1">
      <c r="A14546" s="307"/>
    </row>
    <row r="14547" ht="14.25" customHeight="1">
      <c r="A14547" s="307"/>
    </row>
    <row r="14548" ht="14.25" customHeight="1">
      <c r="A14548" s="307"/>
    </row>
    <row r="14549" ht="14.25" customHeight="1">
      <c r="A14549" s="307"/>
    </row>
    <row r="14550" ht="14.25" customHeight="1">
      <c r="A14550" s="307"/>
    </row>
    <row r="14551" ht="14.25" customHeight="1">
      <c r="A14551" s="307"/>
    </row>
    <row r="14552" ht="14.25" customHeight="1">
      <c r="A14552" s="307"/>
    </row>
    <row r="14553" ht="14.25" customHeight="1">
      <c r="A14553" s="307"/>
    </row>
    <row r="14554" ht="14.25" customHeight="1">
      <c r="A14554" s="307"/>
    </row>
    <row r="14555" ht="14.25" customHeight="1">
      <c r="A14555" s="307"/>
    </row>
    <row r="14556" ht="14.25" customHeight="1">
      <c r="A14556" s="307"/>
    </row>
    <row r="14557" ht="14.25" customHeight="1">
      <c r="A14557" s="307"/>
    </row>
    <row r="14558" ht="14.25" customHeight="1">
      <c r="A14558" s="307"/>
    </row>
    <row r="14559" ht="14.25" customHeight="1">
      <c r="A14559" s="307"/>
    </row>
    <row r="14560" ht="14.25" customHeight="1">
      <c r="A14560" s="307"/>
    </row>
    <row r="14561" ht="14.25" customHeight="1">
      <c r="A14561" s="307"/>
    </row>
    <row r="14562" ht="14.25" customHeight="1">
      <c r="A14562" s="307"/>
    </row>
    <row r="14563" ht="14.25" customHeight="1">
      <c r="A14563" s="307"/>
    </row>
    <row r="14564" ht="14.25" customHeight="1">
      <c r="A14564" s="307"/>
    </row>
    <row r="14565" ht="14.25" customHeight="1">
      <c r="A14565" s="307"/>
    </row>
    <row r="14566" ht="14.25" customHeight="1">
      <c r="A14566" s="307"/>
    </row>
    <row r="14567" ht="14.25" customHeight="1">
      <c r="A14567" s="307"/>
    </row>
    <row r="14568" ht="14.25" customHeight="1">
      <c r="A14568" s="307"/>
    </row>
    <row r="14569" ht="14.25" customHeight="1">
      <c r="A14569" s="307"/>
    </row>
    <row r="14570" ht="14.25" customHeight="1">
      <c r="A14570" s="307"/>
    </row>
    <row r="14571" ht="14.25" customHeight="1">
      <c r="A14571" s="307"/>
    </row>
    <row r="14572" ht="14.25" customHeight="1">
      <c r="A14572" s="307"/>
    </row>
    <row r="14573" ht="14.25" customHeight="1">
      <c r="A14573" s="307"/>
    </row>
    <row r="14574" ht="14.25" customHeight="1">
      <c r="A14574" s="307"/>
    </row>
    <row r="14575" ht="14.25" customHeight="1">
      <c r="A14575" s="307"/>
    </row>
    <row r="14576" ht="14.25" customHeight="1">
      <c r="A14576" s="307"/>
    </row>
    <row r="14577" ht="14.25" customHeight="1">
      <c r="A14577" s="307"/>
    </row>
    <row r="14578" ht="14.25" customHeight="1">
      <c r="A14578" s="307"/>
    </row>
    <row r="14579" ht="14.25" customHeight="1">
      <c r="A14579" s="307"/>
    </row>
    <row r="14580" ht="14.25" customHeight="1">
      <c r="A14580" s="307"/>
    </row>
    <row r="14581" ht="14.25" customHeight="1">
      <c r="A14581" s="307"/>
    </row>
    <row r="14582" ht="14.25" customHeight="1">
      <c r="A14582" s="307"/>
    </row>
    <row r="14583" ht="14.25" customHeight="1">
      <c r="A14583" s="307"/>
    </row>
    <row r="14584" ht="14.25" customHeight="1">
      <c r="A14584" s="307"/>
    </row>
    <row r="14585" ht="14.25" customHeight="1">
      <c r="A14585" s="307"/>
    </row>
    <row r="14586" ht="14.25" customHeight="1">
      <c r="A14586" s="307"/>
    </row>
    <row r="14587" ht="14.25" customHeight="1">
      <c r="A14587" s="307"/>
    </row>
    <row r="14588" ht="14.25" customHeight="1">
      <c r="A14588" s="307"/>
    </row>
    <row r="14589" ht="14.25" customHeight="1">
      <c r="A14589" s="307"/>
    </row>
    <row r="14590" ht="14.25" customHeight="1">
      <c r="A14590" s="307"/>
    </row>
    <row r="14591" ht="14.25" customHeight="1">
      <c r="A14591" s="307"/>
    </row>
    <row r="14592" ht="14.25" customHeight="1">
      <c r="A14592" s="307"/>
    </row>
    <row r="14593" ht="14.25" customHeight="1">
      <c r="A14593" s="307"/>
    </row>
    <row r="14594" ht="14.25" customHeight="1">
      <c r="A14594" s="307"/>
    </row>
    <row r="14595" ht="14.25" customHeight="1">
      <c r="A14595" s="307"/>
    </row>
    <row r="14596" ht="14.25" customHeight="1">
      <c r="A14596" s="307"/>
    </row>
    <row r="14597" ht="14.25" customHeight="1">
      <c r="A14597" s="307"/>
    </row>
    <row r="14598" ht="14.25" customHeight="1">
      <c r="A14598" s="307"/>
    </row>
    <row r="14599" ht="14.25" customHeight="1">
      <c r="A14599" s="307"/>
    </row>
    <row r="14600" ht="14.25" customHeight="1">
      <c r="A14600" s="307"/>
    </row>
    <row r="14601" ht="14.25" customHeight="1">
      <c r="A14601" s="307"/>
    </row>
    <row r="14602" ht="14.25" customHeight="1">
      <c r="A14602" s="307"/>
    </row>
    <row r="14603" ht="14.25" customHeight="1">
      <c r="A14603" s="307"/>
    </row>
    <row r="14604" ht="14.25" customHeight="1">
      <c r="A14604" s="307"/>
    </row>
    <row r="14605" ht="14.25" customHeight="1">
      <c r="A14605" s="307"/>
    </row>
    <row r="14606" ht="14.25" customHeight="1">
      <c r="A14606" s="307"/>
    </row>
    <row r="14607" ht="14.25" customHeight="1">
      <c r="A14607" s="307"/>
    </row>
    <row r="14608" ht="14.25" customHeight="1">
      <c r="A14608" s="307"/>
    </row>
    <row r="14609" ht="14.25" customHeight="1">
      <c r="A14609" s="307"/>
    </row>
    <row r="14610" ht="14.25" customHeight="1">
      <c r="A14610" s="307"/>
    </row>
    <row r="14611" ht="14.25" customHeight="1">
      <c r="A14611" s="307"/>
    </row>
    <row r="14612" ht="14.25" customHeight="1">
      <c r="A14612" s="307"/>
    </row>
    <row r="14613" ht="14.25" customHeight="1">
      <c r="A14613" s="307"/>
    </row>
    <row r="14614" ht="14.25" customHeight="1">
      <c r="A14614" s="307"/>
    </row>
    <row r="14615" ht="14.25" customHeight="1">
      <c r="A14615" s="307"/>
    </row>
    <row r="14616" ht="14.25" customHeight="1">
      <c r="A14616" s="307"/>
    </row>
    <row r="14617" ht="14.25" customHeight="1">
      <c r="A14617" s="307"/>
    </row>
    <row r="14618" ht="14.25" customHeight="1">
      <c r="A14618" s="307"/>
    </row>
    <row r="14619" ht="14.25" customHeight="1">
      <c r="A14619" s="307"/>
    </row>
    <row r="14620" ht="14.25" customHeight="1">
      <c r="A14620" s="307"/>
    </row>
    <row r="14621" ht="14.25" customHeight="1">
      <c r="A14621" s="307"/>
    </row>
    <row r="14622" ht="14.25" customHeight="1">
      <c r="A14622" s="307"/>
    </row>
    <row r="14623" ht="14.25" customHeight="1">
      <c r="A14623" s="307"/>
    </row>
    <row r="14624" ht="14.25" customHeight="1">
      <c r="A14624" s="307"/>
    </row>
    <row r="14625" ht="14.25" customHeight="1">
      <c r="A14625" s="307"/>
    </row>
    <row r="14626" ht="14.25" customHeight="1">
      <c r="A14626" s="307"/>
    </row>
    <row r="14627" ht="14.25" customHeight="1">
      <c r="A14627" s="307"/>
    </row>
    <row r="14628" ht="14.25" customHeight="1">
      <c r="A14628" s="307"/>
    </row>
    <row r="14629" ht="14.25" customHeight="1">
      <c r="A14629" s="307"/>
    </row>
    <row r="14630" ht="14.25" customHeight="1">
      <c r="A14630" s="307"/>
    </row>
    <row r="14631" ht="14.25" customHeight="1">
      <c r="A14631" s="307"/>
    </row>
    <row r="14632" ht="14.25" customHeight="1">
      <c r="A14632" s="307"/>
    </row>
    <row r="14633" ht="14.25" customHeight="1">
      <c r="A14633" s="307"/>
    </row>
    <row r="14634" ht="14.25" customHeight="1">
      <c r="A14634" s="307"/>
    </row>
    <row r="14635" ht="14.25" customHeight="1">
      <c r="A14635" s="307"/>
    </row>
    <row r="14636" ht="14.25" customHeight="1">
      <c r="A14636" s="307"/>
    </row>
    <row r="14637" ht="14.25" customHeight="1">
      <c r="A14637" s="307"/>
    </row>
    <row r="14638" ht="14.25" customHeight="1">
      <c r="A14638" s="307"/>
    </row>
    <row r="14639" ht="14.25" customHeight="1">
      <c r="A14639" s="307"/>
    </row>
    <row r="14640" ht="14.25" customHeight="1">
      <c r="A14640" s="307"/>
    </row>
    <row r="14641" ht="14.25" customHeight="1">
      <c r="A14641" s="307"/>
    </row>
    <row r="14642" ht="14.25" customHeight="1">
      <c r="A14642" s="307"/>
    </row>
    <row r="14643" ht="14.25" customHeight="1">
      <c r="A14643" s="307"/>
    </row>
    <row r="14644" ht="14.25" customHeight="1">
      <c r="A14644" s="307"/>
    </row>
    <row r="14645" ht="14.25" customHeight="1">
      <c r="A14645" s="307"/>
    </row>
    <row r="14646" ht="14.25" customHeight="1">
      <c r="A14646" s="307"/>
    </row>
    <row r="14647" ht="14.25" customHeight="1">
      <c r="A14647" s="307"/>
    </row>
    <row r="14648" ht="14.25" customHeight="1">
      <c r="A14648" s="307"/>
    </row>
    <row r="14649" ht="14.25" customHeight="1">
      <c r="A14649" s="307"/>
    </row>
    <row r="14650" ht="14.25" customHeight="1">
      <c r="A14650" s="307"/>
    </row>
    <row r="14651" ht="14.25" customHeight="1">
      <c r="A14651" s="307"/>
    </row>
    <row r="14652" ht="14.25" customHeight="1">
      <c r="A14652" s="307"/>
    </row>
    <row r="14653" ht="14.25" customHeight="1">
      <c r="A14653" s="307"/>
    </row>
    <row r="14654" ht="14.25" customHeight="1">
      <c r="A14654" s="307"/>
    </row>
    <row r="14655" ht="14.25" customHeight="1">
      <c r="A14655" s="307"/>
    </row>
    <row r="14656" ht="14.25" customHeight="1">
      <c r="A14656" s="307"/>
    </row>
    <row r="14657" ht="14.25" customHeight="1">
      <c r="A14657" s="307"/>
    </row>
    <row r="14658" ht="14.25" customHeight="1">
      <c r="A14658" s="307"/>
    </row>
    <row r="14659" ht="14.25" customHeight="1">
      <c r="A14659" s="307"/>
    </row>
    <row r="14660" ht="14.25" customHeight="1">
      <c r="A14660" s="307"/>
    </row>
    <row r="14661" ht="14.25" customHeight="1">
      <c r="A14661" s="307"/>
    </row>
    <row r="14662" ht="14.25" customHeight="1">
      <c r="A14662" s="307"/>
    </row>
    <row r="14663" ht="14.25" customHeight="1">
      <c r="A14663" s="307"/>
    </row>
    <row r="14664" ht="14.25" customHeight="1">
      <c r="A14664" s="307"/>
    </row>
    <row r="14665" ht="14.25" customHeight="1">
      <c r="A14665" s="307"/>
    </row>
    <row r="14666" ht="14.25" customHeight="1">
      <c r="A14666" s="307"/>
    </row>
    <row r="14667" ht="14.25" customHeight="1">
      <c r="A14667" s="307"/>
    </row>
    <row r="14668" ht="14.25" customHeight="1">
      <c r="A14668" s="307"/>
    </row>
    <row r="14669" ht="14.25" customHeight="1">
      <c r="A14669" s="307"/>
    </row>
    <row r="14670" ht="14.25" customHeight="1">
      <c r="A14670" s="307"/>
    </row>
    <row r="14671" ht="14.25" customHeight="1">
      <c r="A14671" s="307"/>
    </row>
    <row r="14672" ht="14.25" customHeight="1">
      <c r="A14672" s="307"/>
    </row>
    <row r="14673" ht="14.25" customHeight="1">
      <c r="A14673" s="307"/>
    </row>
    <row r="14674" ht="14.25" customHeight="1">
      <c r="A14674" s="307"/>
    </row>
    <row r="14675" ht="14.25" customHeight="1">
      <c r="A14675" s="307"/>
    </row>
    <row r="14676" ht="14.25" customHeight="1">
      <c r="A14676" s="307"/>
    </row>
    <row r="14677" ht="14.25" customHeight="1">
      <c r="A14677" s="307"/>
    </row>
    <row r="14678" ht="14.25" customHeight="1">
      <c r="A14678" s="307"/>
    </row>
    <row r="14679" ht="14.25" customHeight="1">
      <c r="A14679" s="307"/>
    </row>
    <row r="14680" ht="14.25" customHeight="1">
      <c r="A14680" s="307"/>
    </row>
    <row r="14681" ht="14.25" customHeight="1">
      <c r="A14681" s="307"/>
    </row>
    <row r="14682" ht="14.25" customHeight="1">
      <c r="A14682" s="307"/>
    </row>
    <row r="14683" ht="14.25" customHeight="1">
      <c r="A14683" s="307"/>
    </row>
    <row r="14684" ht="14.25" customHeight="1">
      <c r="A14684" s="307"/>
    </row>
    <row r="14685" ht="14.25" customHeight="1">
      <c r="A14685" s="307"/>
    </row>
    <row r="14686" ht="14.25" customHeight="1">
      <c r="A14686" s="307"/>
    </row>
    <row r="14687" ht="14.25" customHeight="1">
      <c r="A14687" s="307"/>
    </row>
    <row r="14688" ht="14.25" customHeight="1">
      <c r="A14688" s="307"/>
    </row>
    <row r="14689" ht="14.25" customHeight="1">
      <c r="A14689" s="307"/>
    </row>
    <row r="14690" ht="14.25" customHeight="1">
      <c r="A14690" s="307"/>
    </row>
    <row r="14691" ht="14.25" customHeight="1">
      <c r="A14691" s="307"/>
    </row>
    <row r="14692" ht="14.25" customHeight="1">
      <c r="A14692" s="307"/>
    </row>
    <row r="14693" ht="14.25" customHeight="1">
      <c r="A14693" s="307"/>
    </row>
    <row r="14694" ht="14.25" customHeight="1">
      <c r="A14694" s="307"/>
    </row>
    <row r="14695" ht="14.25" customHeight="1">
      <c r="A14695" s="307"/>
    </row>
    <row r="14696" ht="14.25" customHeight="1">
      <c r="A14696" s="307"/>
    </row>
    <row r="14697" ht="14.25" customHeight="1">
      <c r="A14697" s="307"/>
    </row>
    <row r="14698" ht="14.25" customHeight="1">
      <c r="A14698" s="307"/>
    </row>
    <row r="14699" ht="14.25" customHeight="1">
      <c r="A14699" s="307"/>
    </row>
    <row r="14700" ht="14.25" customHeight="1">
      <c r="A14700" s="307"/>
    </row>
    <row r="14701" ht="14.25" customHeight="1">
      <c r="A14701" s="307"/>
    </row>
    <row r="14702" ht="14.25" customHeight="1">
      <c r="A14702" s="307"/>
    </row>
    <row r="14703" ht="14.25" customHeight="1">
      <c r="A14703" s="307"/>
    </row>
    <row r="14704" ht="14.25" customHeight="1">
      <c r="A14704" s="307"/>
    </row>
    <row r="14705" ht="14.25" customHeight="1">
      <c r="A14705" s="307"/>
    </row>
    <row r="14706" ht="14.25" customHeight="1">
      <c r="A14706" s="307"/>
    </row>
    <row r="14707" ht="14.25" customHeight="1">
      <c r="A14707" s="307"/>
    </row>
    <row r="14708" ht="14.25" customHeight="1">
      <c r="A14708" s="307"/>
    </row>
    <row r="14709" ht="14.25" customHeight="1">
      <c r="A14709" s="307"/>
    </row>
    <row r="14710" ht="14.25" customHeight="1">
      <c r="A14710" s="307"/>
    </row>
    <row r="14711" ht="14.25" customHeight="1">
      <c r="A14711" s="307"/>
    </row>
    <row r="14712" ht="14.25" customHeight="1">
      <c r="A14712" s="307"/>
    </row>
    <row r="14713" ht="14.25" customHeight="1">
      <c r="A14713" s="307"/>
    </row>
    <row r="14714" ht="14.25" customHeight="1">
      <c r="A14714" s="307"/>
    </row>
    <row r="14715" ht="14.25" customHeight="1">
      <c r="A14715" s="307"/>
    </row>
    <row r="14716" ht="14.25" customHeight="1">
      <c r="A14716" s="307"/>
    </row>
    <row r="14717" ht="14.25" customHeight="1">
      <c r="A14717" s="307"/>
    </row>
    <row r="14718" ht="14.25" customHeight="1">
      <c r="A14718" s="307"/>
    </row>
    <row r="14719" ht="14.25" customHeight="1">
      <c r="A14719" s="307"/>
    </row>
    <row r="14720" ht="14.25" customHeight="1">
      <c r="A14720" s="307"/>
    </row>
    <row r="14721" ht="14.25" customHeight="1">
      <c r="A14721" s="307"/>
    </row>
    <row r="14722" ht="14.25" customHeight="1">
      <c r="A14722" s="307"/>
    </row>
    <row r="14723" ht="14.25" customHeight="1">
      <c r="A14723" s="307"/>
    </row>
    <row r="14724" ht="14.25" customHeight="1">
      <c r="A14724" s="307"/>
    </row>
    <row r="14725" ht="14.25" customHeight="1">
      <c r="A14725" s="307"/>
    </row>
    <row r="14726" ht="14.25" customHeight="1">
      <c r="A14726" s="307"/>
    </row>
    <row r="14727" ht="14.25" customHeight="1">
      <c r="A14727" s="307"/>
    </row>
    <row r="14728" ht="14.25" customHeight="1">
      <c r="A14728" s="307"/>
    </row>
    <row r="14729" ht="14.25" customHeight="1">
      <c r="A14729" s="307"/>
    </row>
    <row r="14730" ht="14.25" customHeight="1">
      <c r="A14730" s="307"/>
    </row>
    <row r="14731" ht="14.25" customHeight="1">
      <c r="A14731" s="307"/>
    </row>
    <row r="14732" ht="14.25" customHeight="1">
      <c r="A14732" s="307"/>
    </row>
    <row r="14733" ht="14.25" customHeight="1">
      <c r="A14733" s="307"/>
    </row>
    <row r="14734" ht="14.25" customHeight="1">
      <c r="A14734" s="307"/>
    </row>
    <row r="14735" ht="14.25" customHeight="1">
      <c r="A14735" s="307"/>
    </row>
    <row r="14736" ht="14.25" customHeight="1">
      <c r="A14736" s="307"/>
    </row>
    <row r="14737" ht="14.25" customHeight="1">
      <c r="A14737" s="307"/>
    </row>
    <row r="14738" ht="14.25" customHeight="1">
      <c r="A14738" s="307"/>
    </row>
    <row r="14739" ht="14.25" customHeight="1">
      <c r="A14739" s="307"/>
    </row>
    <row r="14740" ht="14.25" customHeight="1">
      <c r="A14740" s="307"/>
    </row>
    <row r="14741" ht="14.25" customHeight="1">
      <c r="A14741" s="307"/>
    </row>
    <row r="14742" ht="14.25" customHeight="1">
      <c r="A14742" s="307"/>
    </row>
    <row r="14743" ht="14.25" customHeight="1">
      <c r="A14743" s="307"/>
    </row>
    <row r="14744" ht="14.25" customHeight="1">
      <c r="A14744" s="307"/>
    </row>
    <row r="14745" ht="14.25" customHeight="1">
      <c r="A14745" s="307"/>
    </row>
    <row r="14746" ht="14.25" customHeight="1">
      <c r="A14746" s="307"/>
    </row>
    <row r="14747" ht="14.25" customHeight="1">
      <c r="A14747" s="307"/>
    </row>
    <row r="14748" ht="14.25" customHeight="1">
      <c r="A14748" s="307"/>
    </row>
    <row r="14749" ht="14.25" customHeight="1">
      <c r="A14749" s="307"/>
    </row>
    <row r="14750" ht="14.25" customHeight="1">
      <c r="A14750" s="307"/>
    </row>
    <row r="14751" ht="14.25" customHeight="1">
      <c r="A14751" s="307"/>
    </row>
    <row r="14752" ht="14.25" customHeight="1">
      <c r="A14752" s="307"/>
    </row>
    <row r="14753" ht="14.25" customHeight="1">
      <c r="A14753" s="307"/>
    </row>
    <row r="14754" ht="14.25" customHeight="1">
      <c r="A14754" s="307"/>
    </row>
    <row r="14755" ht="14.25" customHeight="1">
      <c r="A14755" s="307"/>
    </row>
    <row r="14756" ht="14.25" customHeight="1">
      <c r="A14756" s="307"/>
    </row>
    <row r="14757" ht="14.25" customHeight="1">
      <c r="A14757" s="307"/>
    </row>
    <row r="14758" ht="14.25" customHeight="1">
      <c r="A14758" s="307"/>
    </row>
    <row r="14759" ht="14.25" customHeight="1">
      <c r="A14759" s="307"/>
    </row>
    <row r="14760" ht="14.25" customHeight="1">
      <c r="A14760" s="307"/>
    </row>
    <row r="14761" ht="14.25" customHeight="1">
      <c r="A14761" s="307"/>
    </row>
    <row r="14762" ht="14.25" customHeight="1">
      <c r="A14762" s="307"/>
    </row>
    <row r="14763" ht="14.25" customHeight="1">
      <c r="A14763" s="307"/>
    </row>
    <row r="14764" ht="14.25" customHeight="1">
      <c r="A14764" s="307"/>
    </row>
    <row r="14765" ht="14.25" customHeight="1">
      <c r="A14765" s="307"/>
    </row>
    <row r="14766" ht="14.25" customHeight="1">
      <c r="A14766" s="307"/>
    </row>
    <row r="14767" ht="14.25" customHeight="1">
      <c r="A14767" s="307"/>
    </row>
    <row r="14768" ht="14.25" customHeight="1">
      <c r="A14768" s="307"/>
    </row>
    <row r="14769" ht="14.25" customHeight="1">
      <c r="A14769" s="307"/>
    </row>
    <row r="14770" ht="14.25" customHeight="1">
      <c r="A14770" s="307"/>
    </row>
    <row r="14771" ht="14.25" customHeight="1">
      <c r="A14771" s="307"/>
    </row>
    <row r="14772" ht="14.25" customHeight="1">
      <c r="A14772" s="307"/>
    </row>
    <row r="14773" ht="14.25" customHeight="1">
      <c r="A14773" s="307"/>
    </row>
    <row r="14774" ht="14.25" customHeight="1">
      <c r="A14774" s="307"/>
    </row>
    <row r="14775" ht="14.25" customHeight="1">
      <c r="A14775" s="307"/>
    </row>
    <row r="14776" ht="14.25" customHeight="1">
      <c r="A14776" s="307"/>
    </row>
    <row r="14777" ht="14.25" customHeight="1">
      <c r="A14777" s="307"/>
    </row>
    <row r="14778" ht="14.25" customHeight="1">
      <c r="A14778" s="307"/>
    </row>
    <row r="14779" ht="14.25" customHeight="1">
      <c r="A14779" s="307"/>
    </row>
    <row r="14780" ht="14.25" customHeight="1">
      <c r="A14780" s="307"/>
    </row>
    <row r="14781" ht="14.25" customHeight="1">
      <c r="A14781" s="307"/>
    </row>
    <row r="14782" ht="14.25" customHeight="1">
      <c r="A14782" s="307"/>
    </row>
    <row r="14783" ht="14.25" customHeight="1">
      <c r="A14783" s="307"/>
    </row>
    <row r="14784" ht="14.25" customHeight="1">
      <c r="A14784" s="307"/>
    </row>
    <row r="14785" ht="14.25" customHeight="1">
      <c r="A14785" s="307"/>
    </row>
    <row r="14786" ht="14.25" customHeight="1">
      <c r="A14786" s="307"/>
    </row>
    <row r="14787" ht="14.25" customHeight="1">
      <c r="A14787" s="307"/>
    </row>
    <row r="14788" ht="14.25" customHeight="1">
      <c r="A14788" s="307"/>
    </row>
    <row r="14789" ht="14.25" customHeight="1">
      <c r="A14789" s="307"/>
    </row>
    <row r="14790" ht="14.25" customHeight="1">
      <c r="A14790" s="307"/>
    </row>
    <row r="14791" ht="14.25" customHeight="1">
      <c r="A14791" s="307"/>
    </row>
    <row r="14792" ht="14.25" customHeight="1">
      <c r="A14792" s="307"/>
    </row>
    <row r="14793" ht="14.25" customHeight="1">
      <c r="A14793" s="307"/>
    </row>
    <row r="14794" ht="14.25" customHeight="1">
      <c r="A14794" s="307"/>
    </row>
    <row r="14795" ht="14.25" customHeight="1">
      <c r="A14795" s="307"/>
    </row>
    <row r="14796" ht="14.25" customHeight="1">
      <c r="A14796" s="307"/>
    </row>
    <row r="14797" ht="14.25" customHeight="1">
      <c r="A14797" s="307"/>
    </row>
    <row r="14798" ht="14.25" customHeight="1">
      <c r="A14798" s="307"/>
    </row>
    <row r="14799" ht="14.25" customHeight="1">
      <c r="A14799" s="307"/>
    </row>
    <row r="14800" ht="14.25" customHeight="1">
      <c r="A14800" s="307"/>
    </row>
    <row r="14801" ht="14.25" customHeight="1">
      <c r="A14801" s="307"/>
    </row>
    <row r="14802" ht="14.25" customHeight="1">
      <c r="A14802" s="307"/>
    </row>
    <row r="14803" ht="14.25" customHeight="1">
      <c r="A14803" s="307"/>
    </row>
    <row r="14804" ht="14.25" customHeight="1">
      <c r="A14804" s="307"/>
    </row>
    <row r="14805" ht="14.25" customHeight="1">
      <c r="A14805" s="307"/>
    </row>
    <row r="14806" ht="14.25" customHeight="1">
      <c r="A14806" s="307"/>
    </row>
    <row r="14807" ht="14.25" customHeight="1">
      <c r="A14807" s="307"/>
    </row>
    <row r="14808" ht="14.25" customHeight="1">
      <c r="A14808" s="307"/>
    </row>
    <row r="14809" ht="14.25" customHeight="1">
      <c r="A14809" s="307"/>
    </row>
    <row r="14810" ht="14.25" customHeight="1">
      <c r="A14810" s="307"/>
    </row>
    <row r="14811" ht="14.25" customHeight="1">
      <c r="A14811" s="307"/>
    </row>
    <row r="14812" ht="14.25" customHeight="1">
      <c r="A14812" s="307"/>
    </row>
    <row r="14813" ht="14.25" customHeight="1">
      <c r="A14813" s="307"/>
    </row>
    <row r="14814" ht="14.25" customHeight="1">
      <c r="A14814" s="307"/>
    </row>
    <row r="14815" ht="14.25" customHeight="1">
      <c r="A14815" s="307"/>
    </row>
    <row r="14816" ht="14.25" customHeight="1">
      <c r="A14816" s="307"/>
    </row>
    <row r="14817" ht="14.25" customHeight="1">
      <c r="A14817" s="307"/>
    </row>
    <row r="14818" ht="14.25" customHeight="1">
      <c r="A14818" s="307"/>
    </row>
    <row r="14819" ht="14.25" customHeight="1">
      <c r="A14819" s="307"/>
    </row>
    <row r="14820" ht="14.25" customHeight="1">
      <c r="A14820" s="307"/>
    </row>
    <row r="14821" ht="14.25" customHeight="1">
      <c r="A14821" s="307"/>
    </row>
    <row r="14822" ht="14.25" customHeight="1">
      <c r="A14822" s="307"/>
    </row>
    <row r="14823" ht="14.25" customHeight="1">
      <c r="A14823" s="307"/>
    </row>
    <row r="14824" ht="14.25" customHeight="1">
      <c r="A14824" s="307"/>
    </row>
    <row r="14825" ht="14.25" customHeight="1">
      <c r="A14825" s="307"/>
    </row>
    <row r="14826" ht="14.25" customHeight="1">
      <c r="A14826" s="307"/>
    </row>
    <row r="14827" ht="14.25" customHeight="1">
      <c r="A14827" s="307"/>
    </row>
    <row r="14828" ht="14.25" customHeight="1">
      <c r="A14828" s="307"/>
    </row>
    <row r="14829" ht="14.25" customHeight="1">
      <c r="A14829" s="307"/>
    </row>
    <row r="14830" ht="14.25" customHeight="1">
      <c r="A14830" s="307"/>
    </row>
    <row r="14831" ht="14.25" customHeight="1">
      <c r="A14831" s="307"/>
    </row>
    <row r="14832" ht="14.25" customHeight="1">
      <c r="A14832" s="307"/>
    </row>
    <row r="14833" ht="14.25" customHeight="1">
      <c r="A14833" s="307"/>
    </row>
    <row r="14834" ht="14.25" customHeight="1">
      <c r="A14834" s="307"/>
    </row>
    <row r="14835" ht="14.25" customHeight="1">
      <c r="A14835" s="307"/>
    </row>
    <row r="14836" ht="14.25" customHeight="1">
      <c r="A14836" s="307"/>
    </row>
    <row r="14837" ht="14.25" customHeight="1">
      <c r="A14837" s="307"/>
    </row>
    <row r="14838" ht="14.25" customHeight="1">
      <c r="A14838" s="307"/>
    </row>
    <row r="14839" ht="14.25" customHeight="1">
      <c r="A14839" s="307"/>
    </row>
    <row r="14840" ht="14.25" customHeight="1">
      <c r="A14840" s="307"/>
    </row>
    <row r="14841" ht="14.25" customHeight="1">
      <c r="A14841" s="307"/>
    </row>
    <row r="14842" ht="14.25" customHeight="1">
      <c r="A14842" s="307"/>
    </row>
    <row r="14843" ht="14.25" customHeight="1">
      <c r="A14843" s="307"/>
    </row>
    <row r="14844" ht="14.25" customHeight="1">
      <c r="A14844" s="307"/>
    </row>
    <row r="14845" ht="14.25" customHeight="1">
      <c r="A14845" s="307"/>
    </row>
    <row r="14846" ht="14.25" customHeight="1">
      <c r="A14846" s="307"/>
    </row>
    <row r="14847" ht="14.25" customHeight="1">
      <c r="A14847" s="307"/>
    </row>
    <row r="14848" ht="14.25" customHeight="1">
      <c r="A14848" s="307"/>
    </row>
    <row r="14849" ht="14.25" customHeight="1">
      <c r="A14849" s="307"/>
    </row>
    <row r="14850" ht="14.25" customHeight="1">
      <c r="A14850" s="307"/>
    </row>
    <row r="14851" ht="14.25" customHeight="1">
      <c r="A14851" s="307"/>
    </row>
    <row r="14852" ht="14.25" customHeight="1">
      <c r="A14852" s="307"/>
    </row>
    <row r="14853" ht="14.25" customHeight="1">
      <c r="A14853" s="307"/>
    </row>
    <row r="14854" ht="14.25" customHeight="1">
      <c r="A14854" s="307"/>
    </row>
    <row r="14855" ht="14.25" customHeight="1">
      <c r="A14855" s="307"/>
    </row>
  </sheetData>
  <autoFilter ref="$A$1:$F$4855">
    <filterColumn colId="0">
      <filters>
        <filter val="butler"/>
      </filters>
    </filterColumn>
  </autoFilter>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25"/>
    <col customWidth="1" min="2" max="2" width="12.75"/>
    <col customWidth="1" min="3" max="26" width="7.63"/>
  </cols>
  <sheetData>
    <row r="1" ht="14.25" customHeight="1">
      <c r="A1" s="271" t="s">
        <v>1566</v>
      </c>
      <c r="B1" s="271" t="s">
        <v>384</v>
      </c>
      <c r="C1" s="271" t="s">
        <v>1571</v>
      </c>
      <c r="D1" s="271"/>
      <c r="E1" s="271"/>
      <c r="F1" s="271"/>
      <c r="G1" s="271" t="s">
        <v>1572</v>
      </c>
      <c r="H1" s="271"/>
      <c r="I1" s="271"/>
      <c r="J1" s="271"/>
      <c r="K1" s="271"/>
      <c r="L1" s="271"/>
      <c r="M1" s="271"/>
      <c r="N1" s="271"/>
      <c r="O1" s="271"/>
      <c r="P1" s="271"/>
      <c r="Q1" s="271"/>
      <c r="R1" s="271"/>
      <c r="S1" s="271"/>
      <c r="T1" s="271"/>
      <c r="U1" s="271"/>
      <c r="V1" s="271"/>
      <c r="W1" s="271"/>
      <c r="X1" s="271"/>
      <c r="Y1" s="271"/>
      <c r="Z1" s="271"/>
    </row>
    <row r="2" ht="14.25" hidden="1" customHeight="1">
      <c r="A2" s="8" t="s">
        <v>618</v>
      </c>
      <c r="B2" s="8" t="s">
        <v>389</v>
      </c>
      <c r="C2" s="121" t="str">
        <f t="shared" ref="C2:C29" si="1">HYPERLINK("http://www.alaska.va.gov/contact/phone_directory.asp")</f>
        <v>http://www.alaska.va.gov/contact/phone_directory.asp</v>
      </c>
    </row>
    <row r="3" ht="14.25" hidden="1" customHeight="1">
      <c r="A3" s="8" t="s">
        <v>626</v>
      </c>
      <c r="B3" s="8" t="s">
        <v>389</v>
      </c>
      <c r="C3" s="121" t="str">
        <f t="shared" si="1"/>
        <v>http://www.alaska.va.gov/contact/phone_directory.asp</v>
      </c>
    </row>
    <row r="4" ht="14.25" hidden="1" customHeight="1">
      <c r="A4" s="8" t="s">
        <v>244</v>
      </c>
      <c r="B4" s="8" t="s">
        <v>389</v>
      </c>
      <c r="C4" s="121" t="str">
        <f t="shared" si="1"/>
        <v>http://www.alaska.va.gov/contact/phone_directory.asp</v>
      </c>
    </row>
    <row r="5" ht="14.25" hidden="1" customHeight="1">
      <c r="A5" s="8" t="s">
        <v>455</v>
      </c>
      <c r="B5" s="8" t="s">
        <v>389</v>
      </c>
      <c r="C5" s="121" t="str">
        <f t="shared" si="1"/>
        <v>http://www.alaska.va.gov/contact/phone_directory.asp</v>
      </c>
    </row>
    <row r="6" ht="14.25" hidden="1" customHeight="1">
      <c r="A6" s="8" t="s">
        <v>1580</v>
      </c>
      <c r="B6" s="8" t="s">
        <v>389</v>
      </c>
      <c r="C6" s="121" t="str">
        <f t="shared" si="1"/>
        <v>http://www.alaska.va.gov/contact/phone_directory.asp</v>
      </c>
    </row>
    <row r="7" ht="14.25" hidden="1" customHeight="1">
      <c r="A7" s="8" t="s">
        <v>304</v>
      </c>
      <c r="B7" s="8" t="s">
        <v>389</v>
      </c>
      <c r="C7" s="121" t="str">
        <f t="shared" si="1"/>
        <v>http://www.alaska.va.gov/contact/phone_directory.asp</v>
      </c>
    </row>
    <row r="8" ht="14.25" hidden="1" customHeight="1">
      <c r="A8" s="8" t="s">
        <v>1582</v>
      </c>
      <c r="B8" s="8" t="s">
        <v>389</v>
      </c>
      <c r="C8" s="121" t="str">
        <f t="shared" si="1"/>
        <v>http://www.alaska.va.gov/contact/phone_directory.asp</v>
      </c>
    </row>
    <row r="9" ht="14.25" hidden="1" customHeight="1">
      <c r="A9" s="8" t="s">
        <v>1546</v>
      </c>
      <c r="B9" s="8" t="s">
        <v>389</v>
      </c>
      <c r="C9" s="121" t="str">
        <f t="shared" si="1"/>
        <v>http://www.alaska.va.gov/contact/phone_directory.asp</v>
      </c>
    </row>
    <row r="10" ht="14.25" hidden="1" customHeight="1">
      <c r="A10" s="8" t="s">
        <v>663</v>
      </c>
      <c r="B10" s="8" t="s">
        <v>389</v>
      </c>
      <c r="C10" s="121" t="str">
        <f t="shared" si="1"/>
        <v>http://www.alaska.va.gov/contact/phone_directory.asp</v>
      </c>
    </row>
    <row r="11" ht="14.25" hidden="1" customHeight="1">
      <c r="A11" s="8" t="s">
        <v>467</v>
      </c>
      <c r="B11" s="8" t="s">
        <v>389</v>
      </c>
      <c r="C11" s="121" t="str">
        <f t="shared" si="1"/>
        <v>http://www.alaska.va.gov/contact/phone_directory.asp</v>
      </c>
    </row>
    <row r="12" ht="14.25" hidden="1" customHeight="1">
      <c r="A12" s="8" t="s">
        <v>1584</v>
      </c>
      <c r="B12" s="8" t="s">
        <v>389</v>
      </c>
      <c r="C12" s="121" t="str">
        <f t="shared" si="1"/>
        <v>http://www.alaska.va.gov/contact/phone_directory.asp</v>
      </c>
    </row>
    <row r="13" ht="14.25" hidden="1" customHeight="1">
      <c r="A13" s="8" t="s">
        <v>670</v>
      </c>
      <c r="B13" s="8" t="s">
        <v>389</v>
      </c>
      <c r="C13" s="121" t="str">
        <f t="shared" si="1"/>
        <v>http://www.alaska.va.gov/contact/phone_directory.asp</v>
      </c>
    </row>
    <row r="14" ht="14.25" hidden="1" customHeight="1">
      <c r="A14" s="8" t="s">
        <v>1585</v>
      </c>
      <c r="B14" s="8" t="s">
        <v>389</v>
      </c>
      <c r="C14" s="121" t="str">
        <f t="shared" si="1"/>
        <v>http://www.alaska.va.gov/contact/phone_directory.asp</v>
      </c>
    </row>
    <row r="15" ht="14.25" hidden="1" customHeight="1">
      <c r="A15" s="8" t="s">
        <v>1586</v>
      </c>
      <c r="B15" s="8" t="s">
        <v>389</v>
      </c>
      <c r="C15" s="121" t="str">
        <f t="shared" si="1"/>
        <v>http://www.alaska.va.gov/contact/phone_directory.asp</v>
      </c>
    </row>
    <row r="16" ht="14.25" hidden="1" customHeight="1">
      <c r="A16" s="8" t="s">
        <v>1587</v>
      </c>
      <c r="B16" s="8" t="s">
        <v>389</v>
      </c>
      <c r="C16" s="121" t="str">
        <f t="shared" si="1"/>
        <v>http://www.alaska.va.gov/contact/phone_directory.asp</v>
      </c>
    </row>
    <row r="17" ht="14.25" hidden="1" customHeight="1">
      <c r="A17" s="8" t="s">
        <v>1589</v>
      </c>
      <c r="B17" s="8" t="s">
        <v>389</v>
      </c>
      <c r="C17" s="121" t="str">
        <f t="shared" si="1"/>
        <v>http://www.alaska.va.gov/contact/phone_directory.asp</v>
      </c>
    </row>
    <row r="18" ht="14.25" hidden="1" customHeight="1">
      <c r="A18" s="8" t="s">
        <v>1590</v>
      </c>
      <c r="B18" s="8" t="s">
        <v>389</v>
      </c>
      <c r="C18" s="121" t="str">
        <f t="shared" si="1"/>
        <v>http://www.alaska.va.gov/contact/phone_directory.asp</v>
      </c>
    </row>
    <row r="19" ht="14.25" hidden="1" customHeight="1">
      <c r="A19" s="8" t="s">
        <v>608</v>
      </c>
      <c r="B19" s="8" t="s">
        <v>389</v>
      </c>
      <c r="C19" s="121" t="str">
        <f t="shared" si="1"/>
        <v>http://www.alaska.va.gov/contact/phone_directory.asp</v>
      </c>
    </row>
    <row r="20" ht="14.25" hidden="1" customHeight="1">
      <c r="A20" s="8" t="s">
        <v>348</v>
      </c>
      <c r="B20" s="8" t="s">
        <v>389</v>
      </c>
      <c r="C20" s="121" t="str">
        <f t="shared" si="1"/>
        <v>http://www.alaska.va.gov/contact/phone_directory.asp</v>
      </c>
    </row>
    <row r="21" ht="14.25" hidden="1" customHeight="1">
      <c r="A21" s="8" t="s">
        <v>684</v>
      </c>
      <c r="B21" s="8" t="s">
        <v>389</v>
      </c>
      <c r="C21" s="121" t="str">
        <f t="shared" si="1"/>
        <v>http://www.alaska.va.gov/contact/phone_directory.asp</v>
      </c>
    </row>
    <row r="22" ht="14.25" hidden="1" customHeight="1">
      <c r="A22" s="8" t="s">
        <v>717</v>
      </c>
      <c r="B22" s="8" t="s">
        <v>389</v>
      </c>
      <c r="C22" s="121" t="str">
        <f t="shared" si="1"/>
        <v>http://www.alaska.va.gov/contact/phone_directory.asp</v>
      </c>
    </row>
    <row r="23" ht="14.25" hidden="1" customHeight="1">
      <c r="A23" s="8" t="s">
        <v>708</v>
      </c>
      <c r="B23" s="8" t="s">
        <v>389</v>
      </c>
      <c r="C23" s="121" t="str">
        <f t="shared" si="1"/>
        <v>http://www.alaska.va.gov/contact/phone_directory.asp</v>
      </c>
    </row>
    <row r="24" ht="14.25" hidden="1" customHeight="1">
      <c r="A24" s="8" t="s">
        <v>1593</v>
      </c>
      <c r="B24" s="8" t="s">
        <v>389</v>
      </c>
      <c r="C24" s="121" t="str">
        <f t="shared" si="1"/>
        <v>http://www.alaska.va.gov/contact/phone_directory.asp</v>
      </c>
    </row>
    <row r="25" ht="14.25" hidden="1" customHeight="1">
      <c r="A25" s="8" t="s">
        <v>1400</v>
      </c>
      <c r="B25" s="8" t="s">
        <v>389</v>
      </c>
      <c r="C25" s="121" t="str">
        <f t="shared" si="1"/>
        <v>http://www.alaska.va.gov/contact/phone_directory.asp</v>
      </c>
    </row>
    <row r="26" ht="14.25" hidden="1" customHeight="1">
      <c r="A26" s="8" t="s">
        <v>724</v>
      </c>
      <c r="B26" s="8" t="s">
        <v>389</v>
      </c>
      <c r="C26" s="121" t="str">
        <f t="shared" si="1"/>
        <v>http://www.alaska.va.gov/contact/phone_directory.asp</v>
      </c>
    </row>
    <row r="27" ht="14.25" hidden="1" customHeight="1">
      <c r="A27" s="8" t="s">
        <v>910</v>
      </c>
      <c r="B27" s="8" t="s">
        <v>389</v>
      </c>
      <c r="C27" s="121" t="str">
        <f t="shared" si="1"/>
        <v>http://www.alaska.va.gov/contact/phone_directory.asp</v>
      </c>
    </row>
    <row r="28" ht="14.25" hidden="1" customHeight="1">
      <c r="A28" s="8" t="s">
        <v>1595</v>
      </c>
      <c r="B28" s="8" t="s">
        <v>389</v>
      </c>
      <c r="C28" s="121" t="str">
        <f t="shared" si="1"/>
        <v>http://www.alaska.va.gov/contact/phone_directory.asp</v>
      </c>
    </row>
    <row r="29" ht="14.25" hidden="1" customHeight="1">
      <c r="A29" s="8" t="s">
        <v>375</v>
      </c>
      <c r="B29" s="8" t="s">
        <v>389</v>
      </c>
      <c r="C29" s="121" t="str">
        <f t="shared" si="1"/>
        <v>http://www.alaska.va.gov/contact/phone_directory.asp</v>
      </c>
    </row>
    <row r="30" ht="14.25" hidden="1" customHeight="1">
      <c r="A30" s="8" t="s">
        <v>1596</v>
      </c>
      <c r="B30" s="8" t="s">
        <v>406</v>
      </c>
      <c r="C30" s="121" t="str">
        <f t="shared" ref="C30:C70" si="2">HYPERLINK("http://www.albany.va.gov/contact/phone_directory.asp")</f>
        <v>http://www.albany.va.gov/contact/phone_directory.asp</v>
      </c>
    </row>
    <row r="31" ht="14.25" hidden="1" customHeight="1">
      <c r="A31" s="8" t="s">
        <v>475</v>
      </c>
      <c r="B31" s="8" t="s">
        <v>406</v>
      </c>
      <c r="C31" s="121" t="str">
        <f t="shared" si="2"/>
        <v>http://www.albany.va.gov/contact/phone_directory.asp</v>
      </c>
    </row>
    <row r="32" ht="14.25" hidden="1" customHeight="1">
      <c r="A32" s="8" t="s">
        <v>624</v>
      </c>
      <c r="B32" s="8" t="s">
        <v>406</v>
      </c>
      <c r="C32" s="121" t="str">
        <f t="shared" si="2"/>
        <v>http://www.albany.va.gov/contact/phone_directory.asp</v>
      </c>
    </row>
    <row r="33" ht="14.25" hidden="1" customHeight="1">
      <c r="A33" s="8" t="s">
        <v>998</v>
      </c>
      <c r="B33" s="8" t="s">
        <v>406</v>
      </c>
      <c r="C33" s="121" t="str">
        <f t="shared" si="2"/>
        <v>http://www.albany.va.gov/contact/phone_directory.asp</v>
      </c>
    </row>
    <row r="34" ht="14.25" hidden="1" customHeight="1">
      <c r="A34" s="8" t="s">
        <v>864</v>
      </c>
      <c r="B34" s="8" t="s">
        <v>406</v>
      </c>
      <c r="C34" s="121" t="str">
        <f t="shared" si="2"/>
        <v>http://www.albany.va.gov/contact/phone_directory.asp</v>
      </c>
    </row>
    <row r="35" ht="14.25" hidden="1" customHeight="1">
      <c r="A35" s="8" t="s">
        <v>480</v>
      </c>
      <c r="B35" s="8" t="s">
        <v>406</v>
      </c>
      <c r="C35" s="121" t="str">
        <f t="shared" si="2"/>
        <v>http://www.albany.va.gov/contact/phone_directory.asp</v>
      </c>
    </row>
    <row r="36" ht="14.25" hidden="1" customHeight="1">
      <c r="A36" s="8" t="s">
        <v>1597</v>
      </c>
      <c r="B36" s="8" t="s">
        <v>406</v>
      </c>
      <c r="C36" s="121" t="str">
        <f t="shared" si="2"/>
        <v>http://www.albany.va.gov/contact/phone_directory.asp</v>
      </c>
    </row>
    <row r="37" ht="14.25" hidden="1" customHeight="1">
      <c r="A37" s="8" t="s">
        <v>1598</v>
      </c>
      <c r="B37" s="8" t="s">
        <v>406</v>
      </c>
      <c r="C37" s="121" t="str">
        <f t="shared" si="2"/>
        <v>http://www.albany.va.gov/contact/phone_directory.asp</v>
      </c>
    </row>
    <row r="38" ht="14.25" hidden="1" customHeight="1">
      <c r="A38" s="8" t="s">
        <v>483</v>
      </c>
      <c r="B38" s="8" t="s">
        <v>406</v>
      </c>
      <c r="C38" s="121" t="str">
        <f t="shared" si="2"/>
        <v>http://www.albany.va.gov/contact/phone_directory.asp</v>
      </c>
    </row>
    <row r="39" ht="14.25" hidden="1" customHeight="1">
      <c r="A39" s="8" t="s">
        <v>1221</v>
      </c>
      <c r="B39" s="8" t="s">
        <v>406</v>
      </c>
      <c r="C39" s="121" t="str">
        <f t="shared" si="2"/>
        <v>http://www.albany.va.gov/contact/phone_directory.asp</v>
      </c>
    </row>
    <row r="40" ht="14.25" hidden="1" customHeight="1">
      <c r="A40" s="8" t="s">
        <v>663</v>
      </c>
      <c r="B40" s="8" t="s">
        <v>406</v>
      </c>
      <c r="C40" s="121" t="str">
        <f t="shared" si="2"/>
        <v>http://www.albany.va.gov/contact/phone_directory.asp</v>
      </c>
    </row>
    <row r="41" ht="14.25" hidden="1" customHeight="1">
      <c r="A41" s="8" t="s">
        <v>758</v>
      </c>
      <c r="B41" s="8" t="s">
        <v>406</v>
      </c>
      <c r="C41" s="121" t="str">
        <f t="shared" si="2"/>
        <v>http://www.albany.va.gov/contact/phone_directory.asp</v>
      </c>
    </row>
    <row r="42" ht="14.25" hidden="1" customHeight="1">
      <c r="A42" s="8" t="s">
        <v>1438</v>
      </c>
      <c r="B42" s="8" t="s">
        <v>406</v>
      </c>
      <c r="C42" s="121" t="str">
        <f t="shared" si="2"/>
        <v>http://www.albany.va.gov/contact/phone_directory.asp</v>
      </c>
    </row>
    <row r="43" ht="14.25" hidden="1" customHeight="1">
      <c r="A43" s="8" t="s">
        <v>1599</v>
      </c>
      <c r="B43" s="8" t="s">
        <v>406</v>
      </c>
      <c r="C43" s="121" t="str">
        <f t="shared" si="2"/>
        <v>http://www.albany.va.gov/contact/phone_directory.asp</v>
      </c>
    </row>
    <row r="44" ht="14.25" hidden="1" customHeight="1">
      <c r="A44" s="8" t="s">
        <v>1600</v>
      </c>
      <c r="B44" s="8" t="s">
        <v>406</v>
      </c>
      <c r="C44" s="121" t="str">
        <f t="shared" si="2"/>
        <v>http://www.albany.va.gov/contact/phone_directory.asp</v>
      </c>
    </row>
    <row r="45" ht="14.25" hidden="1" customHeight="1">
      <c r="A45" s="8" t="s">
        <v>1602</v>
      </c>
      <c r="B45" s="8" t="s">
        <v>406</v>
      </c>
      <c r="C45" s="121" t="str">
        <f t="shared" si="2"/>
        <v>http://www.albany.va.gov/contact/phone_directory.asp</v>
      </c>
    </row>
    <row r="46" ht="14.25" hidden="1" customHeight="1">
      <c r="A46" s="8" t="s">
        <v>486</v>
      </c>
      <c r="B46" s="8" t="s">
        <v>406</v>
      </c>
      <c r="C46" s="121" t="str">
        <f t="shared" si="2"/>
        <v>http://www.albany.va.gov/contact/phone_directory.asp</v>
      </c>
    </row>
    <row r="47" ht="14.25" hidden="1" customHeight="1">
      <c r="A47" s="8" t="s">
        <v>1373</v>
      </c>
      <c r="B47" s="8" t="s">
        <v>406</v>
      </c>
      <c r="C47" s="121" t="str">
        <f t="shared" si="2"/>
        <v>http://www.albany.va.gov/contact/phone_directory.asp</v>
      </c>
    </row>
    <row r="48" ht="14.25" hidden="1" customHeight="1">
      <c r="A48" s="8" t="s">
        <v>670</v>
      </c>
      <c r="B48" s="8" t="s">
        <v>406</v>
      </c>
      <c r="C48" s="121" t="str">
        <f t="shared" si="2"/>
        <v>http://www.albany.va.gov/contact/phone_directory.asp</v>
      </c>
    </row>
    <row r="49" ht="14.25" hidden="1" customHeight="1">
      <c r="A49" s="8" t="s">
        <v>1605</v>
      </c>
      <c r="B49" s="8" t="s">
        <v>406</v>
      </c>
      <c r="C49" s="121" t="str">
        <f t="shared" si="2"/>
        <v>http://www.albany.va.gov/contact/phone_directory.asp</v>
      </c>
    </row>
    <row r="50" ht="14.25" hidden="1" customHeight="1">
      <c r="A50" s="8" t="s">
        <v>481</v>
      </c>
      <c r="B50" s="8" t="s">
        <v>406</v>
      </c>
      <c r="C50" s="121" t="str">
        <f t="shared" si="2"/>
        <v>http://www.albany.va.gov/contact/phone_directory.asp</v>
      </c>
    </row>
    <row r="51" ht="14.25" hidden="1" customHeight="1">
      <c r="A51" s="8" t="s">
        <v>1606</v>
      </c>
      <c r="B51" s="8" t="s">
        <v>406</v>
      </c>
      <c r="C51" s="121" t="str">
        <f t="shared" si="2"/>
        <v>http://www.albany.va.gov/contact/phone_directory.asp</v>
      </c>
    </row>
    <row r="52" ht="14.25" hidden="1" customHeight="1">
      <c r="A52" s="8" t="s">
        <v>1028</v>
      </c>
      <c r="B52" s="8" t="s">
        <v>406</v>
      </c>
      <c r="C52" s="121" t="str">
        <f t="shared" si="2"/>
        <v>http://www.albany.va.gov/contact/phone_directory.asp</v>
      </c>
    </row>
    <row r="53" ht="14.25" hidden="1" customHeight="1">
      <c r="A53" s="8" t="s">
        <v>1463</v>
      </c>
      <c r="B53" s="8" t="s">
        <v>406</v>
      </c>
      <c r="C53" s="121" t="str">
        <f t="shared" si="2"/>
        <v>http://www.albany.va.gov/contact/phone_directory.asp</v>
      </c>
    </row>
    <row r="54" ht="14.25" hidden="1" customHeight="1">
      <c r="A54" s="8" t="s">
        <v>1609</v>
      </c>
      <c r="B54" s="8" t="s">
        <v>406</v>
      </c>
      <c r="C54" s="121" t="str">
        <f t="shared" si="2"/>
        <v>http://www.albany.va.gov/contact/phone_directory.asp</v>
      </c>
    </row>
    <row r="55" ht="14.25" hidden="1" customHeight="1">
      <c r="A55" s="8" t="s">
        <v>694</v>
      </c>
      <c r="B55" s="8" t="s">
        <v>406</v>
      </c>
      <c r="C55" s="121" t="str">
        <f t="shared" si="2"/>
        <v>http://www.albany.va.gov/contact/phone_directory.asp</v>
      </c>
    </row>
    <row r="56" ht="14.25" hidden="1" customHeight="1">
      <c r="A56" s="8" t="s">
        <v>1610</v>
      </c>
      <c r="B56" s="8" t="s">
        <v>406</v>
      </c>
      <c r="C56" s="121" t="str">
        <f t="shared" si="2"/>
        <v>http://www.albany.va.gov/contact/phone_directory.asp</v>
      </c>
    </row>
    <row r="57" ht="14.25" hidden="1" customHeight="1">
      <c r="A57" s="8" t="s">
        <v>1611</v>
      </c>
      <c r="B57" s="8" t="s">
        <v>406</v>
      </c>
      <c r="C57" s="121" t="str">
        <f t="shared" si="2"/>
        <v>http://www.albany.va.gov/contact/phone_directory.asp</v>
      </c>
    </row>
    <row r="58" ht="14.25" hidden="1" customHeight="1">
      <c r="A58" s="8" t="s">
        <v>1612</v>
      </c>
      <c r="B58" s="8" t="s">
        <v>406</v>
      </c>
      <c r="C58" s="121" t="str">
        <f t="shared" si="2"/>
        <v>http://www.albany.va.gov/contact/phone_directory.asp</v>
      </c>
    </row>
    <row r="59" ht="14.25" hidden="1" customHeight="1">
      <c r="A59" s="8" t="s">
        <v>713</v>
      </c>
      <c r="B59" s="8" t="s">
        <v>406</v>
      </c>
      <c r="C59" s="121" t="str">
        <f t="shared" si="2"/>
        <v>http://www.albany.va.gov/contact/phone_directory.asp</v>
      </c>
    </row>
    <row r="60" ht="14.25" hidden="1" customHeight="1">
      <c r="A60" s="8" t="s">
        <v>1614</v>
      </c>
      <c r="B60" s="8" t="s">
        <v>406</v>
      </c>
      <c r="C60" s="121" t="str">
        <f t="shared" si="2"/>
        <v>http://www.albany.va.gov/contact/phone_directory.asp</v>
      </c>
    </row>
    <row r="61" ht="14.25" hidden="1" customHeight="1">
      <c r="A61" s="8" t="s">
        <v>504</v>
      </c>
      <c r="B61" s="8" t="s">
        <v>406</v>
      </c>
      <c r="C61" s="121" t="str">
        <f t="shared" si="2"/>
        <v>http://www.albany.va.gov/contact/phone_directory.asp</v>
      </c>
    </row>
    <row r="62" ht="14.25" hidden="1" customHeight="1">
      <c r="A62" s="8" t="s">
        <v>505</v>
      </c>
      <c r="B62" s="8" t="s">
        <v>406</v>
      </c>
      <c r="C62" s="121" t="str">
        <f t="shared" si="2"/>
        <v>http://www.albany.va.gov/contact/phone_directory.asp</v>
      </c>
    </row>
    <row r="63" ht="14.25" hidden="1" customHeight="1">
      <c r="A63" s="8" t="s">
        <v>708</v>
      </c>
      <c r="B63" s="8" t="s">
        <v>406</v>
      </c>
      <c r="C63" s="121" t="str">
        <f t="shared" si="2"/>
        <v>http://www.albany.va.gov/contact/phone_directory.asp</v>
      </c>
    </row>
    <row r="64" ht="14.25" hidden="1" customHeight="1">
      <c r="A64" s="8" t="s">
        <v>508</v>
      </c>
      <c r="B64" s="8" t="s">
        <v>406</v>
      </c>
      <c r="C64" s="121" t="str">
        <f t="shared" si="2"/>
        <v>http://www.albany.va.gov/contact/phone_directory.asp</v>
      </c>
    </row>
    <row r="65" ht="14.25" hidden="1" customHeight="1">
      <c r="A65" s="8" t="s">
        <v>1616</v>
      </c>
      <c r="B65" s="8" t="s">
        <v>406</v>
      </c>
      <c r="C65" s="121" t="str">
        <f t="shared" si="2"/>
        <v>http://www.albany.va.gov/contact/phone_directory.asp</v>
      </c>
    </row>
    <row r="66" ht="14.25" hidden="1" customHeight="1">
      <c r="A66" s="8" t="s">
        <v>1431</v>
      </c>
      <c r="B66" s="8" t="s">
        <v>406</v>
      </c>
      <c r="C66" s="121" t="str">
        <f t="shared" si="2"/>
        <v>http://www.albany.va.gov/contact/phone_directory.asp</v>
      </c>
    </row>
    <row r="67" ht="14.25" hidden="1" customHeight="1">
      <c r="A67" s="8" t="s">
        <v>1618</v>
      </c>
      <c r="B67" s="8" t="s">
        <v>406</v>
      </c>
      <c r="C67" s="121" t="str">
        <f t="shared" si="2"/>
        <v>http://www.albany.va.gov/contact/phone_directory.asp</v>
      </c>
    </row>
    <row r="68" ht="14.25" hidden="1" customHeight="1">
      <c r="A68" s="8" t="s">
        <v>1619</v>
      </c>
      <c r="B68" s="8" t="s">
        <v>406</v>
      </c>
      <c r="C68" s="121" t="str">
        <f t="shared" si="2"/>
        <v>http://www.albany.va.gov/contact/phone_directory.asp</v>
      </c>
    </row>
    <row r="69" ht="14.25" hidden="1" customHeight="1">
      <c r="A69" s="8" t="s">
        <v>1620</v>
      </c>
      <c r="B69" s="8" t="s">
        <v>406</v>
      </c>
      <c r="C69" s="121" t="str">
        <f t="shared" si="2"/>
        <v>http://www.albany.va.gov/contact/phone_directory.asp</v>
      </c>
    </row>
    <row r="70" ht="14.25" hidden="1" customHeight="1">
      <c r="A70" s="8" t="s">
        <v>741</v>
      </c>
      <c r="B70" s="8" t="s">
        <v>406</v>
      </c>
      <c r="C70" s="121" t="str">
        <f t="shared" si="2"/>
        <v>http://www.albany.va.gov/contact/phone_directory.asp</v>
      </c>
    </row>
    <row r="71" ht="14.25" hidden="1" customHeight="1">
      <c r="A71" s="8" t="s">
        <v>624</v>
      </c>
      <c r="B71" s="8" t="s">
        <v>474</v>
      </c>
      <c r="C71" s="121" t="str">
        <f t="shared" ref="C71:C77" si="3">HYPERLINK("http://www.albuquerque.va.gov/contact/phone_directory.asp")</f>
        <v>http://www.albuquerque.va.gov/contact/phone_directory.asp</v>
      </c>
    </row>
    <row r="72" ht="14.25" hidden="1" customHeight="1">
      <c r="A72" s="8" t="s">
        <v>998</v>
      </c>
      <c r="B72" s="8" t="s">
        <v>474</v>
      </c>
      <c r="C72" s="121" t="str">
        <f t="shared" si="3"/>
        <v>http://www.albuquerque.va.gov/contact/phone_directory.asp</v>
      </c>
    </row>
    <row r="73" ht="14.25" hidden="1" customHeight="1">
      <c r="A73" s="8" t="s">
        <v>872</v>
      </c>
      <c r="B73" s="8" t="s">
        <v>474</v>
      </c>
      <c r="C73" s="121" t="str">
        <f t="shared" si="3"/>
        <v>http://www.albuquerque.va.gov/contact/phone_directory.asp</v>
      </c>
    </row>
    <row r="74" ht="14.25" hidden="1" customHeight="1">
      <c r="A74" s="8" t="s">
        <v>1622</v>
      </c>
      <c r="B74" s="8" t="s">
        <v>474</v>
      </c>
      <c r="C74" s="121" t="str">
        <f t="shared" si="3"/>
        <v>http://www.albuquerque.va.gov/contact/phone_directory.asp</v>
      </c>
    </row>
    <row r="75" ht="14.25" hidden="1" customHeight="1">
      <c r="A75" s="8" t="s">
        <v>1623</v>
      </c>
      <c r="B75" s="8" t="s">
        <v>474</v>
      </c>
      <c r="C75" s="121" t="str">
        <f t="shared" si="3"/>
        <v>http://www.albuquerque.va.gov/contact/phone_directory.asp</v>
      </c>
    </row>
    <row r="76" ht="14.25" hidden="1" customHeight="1">
      <c r="A76" s="8" t="s">
        <v>1625</v>
      </c>
      <c r="B76" s="8" t="s">
        <v>474</v>
      </c>
      <c r="C76" s="121" t="str">
        <f t="shared" si="3"/>
        <v>http://www.albuquerque.va.gov/contact/phone_directory.asp</v>
      </c>
    </row>
    <row r="77" ht="14.25" hidden="1" customHeight="1">
      <c r="A77" s="8" t="s">
        <v>1626</v>
      </c>
      <c r="B77" s="8" t="s">
        <v>474</v>
      </c>
      <c r="C77" s="121" t="str">
        <f t="shared" si="3"/>
        <v>http://www.albuquerque.va.gov/contact/phone_directory.asp</v>
      </c>
    </row>
    <row r="78" ht="14.25" hidden="1" customHeight="1">
      <c r="A78" s="8" t="s">
        <v>304</v>
      </c>
      <c r="B78" s="8" t="s">
        <v>522</v>
      </c>
      <c r="C78" s="121" t="str">
        <f t="shared" ref="C78:C81" si="4">HYPERLINK("http://www.alexandria.va.gov/contact/phone_directory.asp")</f>
        <v>http://www.alexandria.va.gov/contact/phone_directory.asp</v>
      </c>
    </row>
    <row r="79" ht="14.25" hidden="1" customHeight="1">
      <c r="A79" s="8" t="s">
        <v>1075</v>
      </c>
      <c r="B79" s="8" t="s">
        <v>522</v>
      </c>
      <c r="C79" s="121" t="str">
        <f t="shared" si="4"/>
        <v>http://www.alexandria.va.gov/contact/phone_directory.asp</v>
      </c>
    </row>
    <row r="80" ht="14.25" hidden="1" customHeight="1">
      <c r="A80" s="8" t="s">
        <v>1628</v>
      </c>
      <c r="B80" s="8" t="s">
        <v>522</v>
      </c>
      <c r="C80" s="121" t="str">
        <f t="shared" si="4"/>
        <v>http://www.alexandria.va.gov/contact/phone_directory.asp</v>
      </c>
    </row>
    <row r="81" ht="14.25" hidden="1" customHeight="1">
      <c r="A81" s="8" t="s">
        <v>1630</v>
      </c>
      <c r="B81" s="8" t="s">
        <v>522</v>
      </c>
      <c r="C81" s="121" t="str">
        <f t="shared" si="4"/>
        <v>http://www.alexandria.va.gov/contact/phone_directory.asp</v>
      </c>
    </row>
    <row r="82" ht="14.25" hidden="1" customHeight="1">
      <c r="A82" s="8" t="s">
        <v>615</v>
      </c>
      <c r="B82" s="8" t="s">
        <v>530</v>
      </c>
      <c r="C82" s="121" t="str">
        <f t="shared" ref="C82:C104" si="5">HYPERLINK("http://www.altoona.va.gov/contact/phone_directory.asp")</f>
        <v>http://www.altoona.va.gov/contact/phone_directory.asp</v>
      </c>
    </row>
    <row r="83" ht="14.25" hidden="1" customHeight="1">
      <c r="A83" s="8" t="s">
        <v>624</v>
      </c>
      <c r="B83" s="8" t="s">
        <v>530</v>
      </c>
      <c r="C83" s="121" t="str">
        <f t="shared" si="5"/>
        <v>http://www.altoona.va.gov/contact/phone_directory.asp</v>
      </c>
    </row>
    <row r="84" ht="14.25" hidden="1" customHeight="1">
      <c r="A84" s="8" t="s">
        <v>631</v>
      </c>
      <c r="B84" s="8" t="s">
        <v>530</v>
      </c>
      <c r="C84" s="121" t="str">
        <f t="shared" si="5"/>
        <v>http://www.altoona.va.gov/contact/phone_directory.asp</v>
      </c>
    </row>
    <row r="85" ht="14.25" hidden="1" customHeight="1">
      <c r="A85" s="8" t="s">
        <v>638</v>
      </c>
      <c r="B85" s="8" t="s">
        <v>530</v>
      </c>
      <c r="C85" s="121" t="str">
        <f t="shared" si="5"/>
        <v>http://www.altoona.va.gov/contact/phone_directory.asp</v>
      </c>
    </row>
    <row r="86" ht="14.25" hidden="1" customHeight="1">
      <c r="A86" s="8" t="s">
        <v>478</v>
      </c>
      <c r="B86" s="8" t="s">
        <v>530</v>
      </c>
      <c r="C86" s="121" t="str">
        <f t="shared" si="5"/>
        <v>http://www.altoona.va.gov/contact/phone_directory.asp</v>
      </c>
    </row>
    <row r="87" ht="14.25" hidden="1" customHeight="1">
      <c r="A87" s="8" t="s">
        <v>455</v>
      </c>
      <c r="B87" s="8" t="s">
        <v>530</v>
      </c>
      <c r="C87" s="121" t="str">
        <f t="shared" si="5"/>
        <v>http://www.altoona.va.gov/contact/phone_directory.asp</v>
      </c>
    </row>
    <row r="88" ht="14.25" hidden="1" customHeight="1">
      <c r="A88" s="8" t="s">
        <v>656</v>
      </c>
      <c r="B88" s="8" t="s">
        <v>530</v>
      </c>
      <c r="C88" s="121" t="str">
        <f t="shared" si="5"/>
        <v>http://www.altoona.va.gov/contact/phone_directory.asp</v>
      </c>
    </row>
    <row r="89" ht="14.25" hidden="1" customHeight="1">
      <c r="A89" s="8" t="s">
        <v>663</v>
      </c>
      <c r="B89" s="8" t="s">
        <v>530</v>
      </c>
      <c r="C89" s="121" t="str">
        <f t="shared" si="5"/>
        <v>http://www.altoona.va.gov/contact/phone_directory.asp</v>
      </c>
    </row>
    <row r="90" ht="14.25" hidden="1" customHeight="1">
      <c r="A90" s="8" t="s">
        <v>670</v>
      </c>
      <c r="B90" s="8" t="s">
        <v>530</v>
      </c>
      <c r="C90" s="121" t="str">
        <f t="shared" si="5"/>
        <v>http://www.altoona.va.gov/contact/phone_directory.asp</v>
      </c>
    </row>
    <row r="91" ht="14.25" hidden="1" customHeight="1">
      <c r="A91" s="8" t="s">
        <v>678</v>
      </c>
      <c r="B91" s="8" t="s">
        <v>530</v>
      </c>
      <c r="C91" s="121" t="str">
        <f t="shared" si="5"/>
        <v>http://www.altoona.va.gov/contact/phone_directory.asp</v>
      </c>
    </row>
    <row r="92" ht="14.25" hidden="1" customHeight="1">
      <c r="A92" s="8" t="s">
        <v>683</v>
      </c>
      <c r="B92" s="8" t="s">
        <v>530</v>
      </c>
      <c r="C92" s="121" t="str">
        <f t="shared" si="5"/>
        <v>http://www.altoona.va.gov/contact/phone_directory.asp</v>
      </c>
    </row>
    <row r="93" ht="14.25" hidden="1" customHeight="1">
      <c r="A93" s="8" t="s">
        <v>671</v>
      </c>
      <c r="B93" s="8" t="s">
        <v>530</v>
      </c>
      <c r="C93" s="121" t="str">
        <f t="shared" si="5"/>
        <v>http://www.altoona.va.gov/contact/phone_directory.asp</v>
      </c>
    </row>
    <row r="94" ht="14.25" hidden="1" customHeight="1">
      <c r="A94" s="8" t="s">
        <v>691</v>
      </c>
      <c r="B94" s="8" t="s">
        <v>530</v>
      </c>
      <c r="C94" s="121" t="str">
        <f t="shared" si="5"/>
        <v>http://www.altoona.va.gov/contact/phone_directory.asp</v>
      </c>
    </row>
    <row r="95" ht="14.25" hidden="1" customHeight="1">
      <c r="A95" s="8" t="s">
        <v>694</v>
      </c>
      <c r="B95" s="8" t="s">
        <v>530</v>
      </c>
      <c r="C95" s="121" t="str">
        <f t="shared" si="5"/>
        <v>http://www.altoona.va.gov/contact/phone_directory.asp</v>
      </c>
    </row>
    <row r="96" ht="14.25" hidden="1" customHeight="1">
      <c r="A96" s="8" t="s">
        <v>697</v>
      </c>
      <c r="B96" s="8" t="s">
        <v>530</v>
      </c>
      <c r="C96" s="121" t="str">
        <f t="shared" si="5"/>
        <v>http://www.altoona.va.gov/contact/phone_directory.asp</v>
      </c>
    </row>
    <row r="97" ht="14.25" hidden="1" customHeight="1">
      <c r="A97" s="8" t="s">
        <v>703</v>
      </c>
      <c r="B97" s="8" t="s">
        <v>530</v>
      </c>
      <c r="C97" s="121" t="str">
        <f t="shared" si="5"/>
        <v>http://www.altoona.va.gov/contact/phone_directory.asp</v>
      </c>
    </row>
    <row r="98" ht="14.25" hidden="1" customHeight="1">
      <c r="A98" s="8" t="s">
        <v>708</v>
      </c>
      <c r="B98" s="8" t="s">
        <v>530</v>
      </c>
      <c r="C98" s="121" t="str">
        <f t="shared" si="5"/>
        <v>http://www.altoona.va.gov/contact/phone_directory.asp</v>
      </c>
    </row>
    <row r="99" ht="14.25" hidden="1" customHeight="1">
      <c r="A99" s="8" t="s">
        <v>712</v>
      </c>
      <c r="B99" s="8" t="s">
        <v>530</v>
      </c>
      <c r="C99" s="121" t="str">
        <f t="shared" si="5"/>
        <v>http://www.altoona.va.gov/contact/phone_directory.asp</v>
      </c>
    </row>
    <row r="100" ht="14.25" hidden="1" customHeight="1">
      <c r="A100" s="8" t="s">
        <v>715</v>
      </c>
      <c r="B100" s="8" t="s">
        <v>530</v>
      </c>
      <c r="C100" s="121" t="str">
        <f t="shared" si="5"/>
        <v>http://www.altoona.va.gov/contact/phone_directory.asp</v>
      </c>
    </row>
    <row r="101" ht="14.25" hidden="1" customHeight="1">
      <c r="A101" s="8" t="s">
        <v>564</v>
      </c>
      <c r="B101" s="8" t="s">
        <v>530</v>
      </c>
      <c r="C101" s="121" t="str">
        <f t="shared" si="5"/>
        <v>http://www.altoona.va.gov/contact/phone_directory.asp</v>
      </c>
    </row>
    <row r="102" ht="14.25" hidden="1" customHeight="1">
      <c r="A102" s="8" t="s">
        <v>724</v>
      </c>
      <c r="B102" s="8" t="s">
        <v>530</v>
      </c>
      <c r="C102" s="121" t="str">
        <f t="shared" si="5"/>
        <v>http://www.altoona.va.gov/contact/phone_directory.asp</v>
      </c>
    </row>
    <row r="103" ht="14.25" hidden="1" customHeight="1">
      <c r="A103" s="8" t="s">
        <v>729</v>
      </c>
      <c r="B103" s="8" t="s">
        <v>530</v>
      </c>
      <c r="C103" s="121" t="str">
        <f t="shared" si="5"/>
        <v>http://www.altoona.va.gov/contact/phone_directory.asp</v>
      </c>
    </row>
    <row r="104" ht="14.25" hidden="1" customHeight="1">
      <c r="A104" s="8" t="s">
        <v>734</v>
      </c>
      <c r="B104" s="8" t="s">
        <v>530</v>
      </c>
      <c r="C104" s="121" t="str">
        <f t="shared" si="5"/>
        <v>http://www.altoona.va.gov/contact/phone_directory.asp</v>
      </c>
    </row>
    <row r="105" ht="14.25" hidden="1" customHeight="1">
      <c r="A105" s="8" t="s">
        <v>1636</v>
      </c>
      <c r="B105" s="8" t="s">
        <v>574</v>
      </c>
      <c r="C105" s="121" t="str">
        <f t="shared" ref="C105:C151" si="6">HYPERLINK("http://www.amarillo.va.gov/contact/phone_directory.asp")</f>
        <v>http://www.amarillo.va.gov/contact/phone_directory.asp</v>
      </c>
    </row>
    <row r="106" ht="14.25" hidden="1" customHeight="1">
      <c r="A106" s="8" t="s">
        <v>998</v>
      </c>
      <c r="B106" s="8" t="s">
        <v>574</v>
      </c>
      <c r="C106" s="121" t="str">
        <f t="shared" si="6"/>
        <v>http://www.amarillo.va.gov/contact/phone_directory.asp</v>
      </c>
    </row>
    <row r="107" ht="14.25" hidden="1" customHeight="1">
      <c r="A107" s="8" t="s">
        <v>1137</v>
      </c>
      <c r="B107" s="8" t="s">
        <v>574</v>
      </c>
      <c r="C107" s="121" t="str">
        <f t="shared" si="6"/>
        <v>http://www.amarillo.va.gov/contact/phone_directory.asp</v>
      </c>
    </row>
    <row r="108" ht="14.25" hidden="1" customHeight="1">
      <c r="A108" s="8" t="s">
        <v>1638</v>
      </c>
      <c r="B108" s="8" t="s">
        <v>574</v>
      </c>
      <c r="C108" s="121" t="str">
        <f t="shared" si="6"/>
        <v>http://www.amarillo.va.gov/contact/phone_directory.asp</v>
      </c>
    </row>
    <row r="109" ht="14.25" hidden="1" customHeight="1">
      <c r="A109" s="8" t="s">
        <v>478</v>
      </c>
      <c r="B109" s="8" t="s">
        <v>574</v>
      </c>
      <c r="C109" s="121" t="str">
        <f t="shared" si="6"/>
        <v>http://www.amarillo.va.gov/contact/phone_directory.asp</v>
      </c>
    </row>
    <row r="110" ht="14.25" hidden="1" customHeight="1">
      <c r="A110" s="8" t="s">
        <v>1639</v>
      </c>
      <c r="B110" s="8" t="s">
        <v>574</v>
      </c>
      <c r="C110" s="121" t="str">
        <f t="shared" si="6"/>
        <v>http://www.amarillo.va.gov/contact/phone_directory.asp</v>
      </c>
    </row>
    <row r="111" ht="14.25" hidden="1" customHeight="1">
      <c r="A111" s="8" t="s">
        <v>1640</v>
      </c>
      <c r="B111" s="8" t="s">
        <v>574</v>
      </c>
      <c r="C111" s="121" t="str">
        <f t="shared" si="6"/>
        <v>http://www.amarillo.va.gov/contact/phone_directory.asp</v>
      </c>
    </row>
    <row r="112" ht="14.25" hidden="1" customHeight="1">
      <c r="A112" s="8" t="s">
        <v>1641</v>
      </c>
      <c r="B112" s="8" t="s">
        <v>574</v>
      </c>
      <c r="C112" s="121" t="str">
        <f t="shared" si="6"/>
        <v>http://www.amarillo.va.gov/contact/phone_directory.asp</v>
      </c>
    </row>
    <row r="113" ht="14.25" hidden="1" customHeight="1">
      <c r="A113" s="8" t="s">
        <v>455</v>
      </c>
      <c r="B113" s="8" t="s">
        <v>574</v>
      </c>
      <c r="C113" s="121" t="str">
        <f t="shared" si="6"/>
        <v>http://www.amarillo.va.gov/contact/phone_directory.asp</v>
      </c>
    </row>
    <row r="114" ht="14.25" hidden="1" customHeight="1">
      <c r="A114" s="8" t="s">
        <v>1642</v>
      </c>
      <c r="B114" s="8" t="s">
        <v>574</v>
      </c>
      <c r="C114" s="121" t="str">
        <f t="shared" si="6"/>
        <v>http://www.amarillo.va.gov/contact/phone_directory.asp</v>
      </c>
    </row>
    <row r="115" ht="14.25" hidden="1" customHeight="1">
      <c r="A115" s="8" t="s">
        <v>1193</v>
      </c>
      <c r="B115" s="8" t="s">
        <v>574</v>
      </c>
      <c r="C115" s="121" t="str">
        <f t="shared" si="6"/>
        <v>http://www.amarillo.va.gov/contact/phone_directory.asp</v>
      </c>
    </row>
    <row r="116" ht="14.25" hidden="1" customHeight="1">
      <c r="A116" s="8" t="s">
        <v>663</v>
      </c>
      <c r="B116" s="8" t="s">
        <v>574</v>
      </c>
      <c r="C116" s="121" t="str">
        <f t="shared" si="6"/>
        <v>http://www.amarillo.va.gov/contact/phone_directory.asp</v>
      </c>
    </row>
    <row r="117" ht="14.25" hidden="1" customHeight="1">
      <c r="A117" s="8" t="s">
        <v>1622</v>
      </c>
      <c r="B117" s="8" t="s">
        <v>574</v>
      </c>
      <c r="C117" s="121" t="str">
        <f t="shared" si="6"/>
        <v>http://www.amarillo.va.gov/contact/phone_directory.asp</v>
      </c>
    </row>
    <row r="118" ht="14.25" hidden="1" customHeight="1">
      <c r="A118" s="8" t="s">
        <v>1644</v>
      </c>
      <c r="B118" s="8" t="s">
        <v>574</v>
      </c>
      <c r="C118" s="121" t="str">
        <f t="shared" si="6"/>
        <v>http://www.amarillo.va.gov/contact/phone_directory.asp</v>
      </c>
    </row>
    <row r="119" ht="14.25" hidden="1" customHeight="1">
      <c r="A119" s="8" t="s">
        <v>1438</v>
      </c>
      <c r="B119" s="8" t="s">
        <v>574</v>
      </c>
      <c r="C119" s="121" t="str">
        <f t="shared" si="6"/>
        <v>http://www.amarillo.va.gov/contact/phone_directory.asp</v>
      </c>
    </row>
    <row r="120" ht="14.25" hidden="1" customHeight="1">
      <c r="A120" s="8" t="s">
        <v>1645</v>
      </c>
      <c r="B120" s="8" t="s">
        <v>574</v>
      </c>
      <c r="C120" s="121" t="str">
        <f t="shared" si="6"/>
        <v>http://www.amarillo.va.gov/contact/phone_directory.asp</v>
      </c>
    </row>
    <row r="121" ht="14.25" hidden="1" customHeight="1">
      <c r="A121" s="8" t="s">
        <v>1646</v>
      </c>
      <c r="B121" s="8" t="s">
        <v>574</v>
      </c>
      <c r="C121" s="121" t="str">
        <f t="shared" si="6"/>
        <v>http://www.amarillo.va.gov/contact/phone_directory.asp</v>
      </c>
    </row>
    <row r="122" ht="14.25" hidden="1" customHeight="1">
      <c r="A122" s="8" t="s">
        <v>486</v>
      </c>
      <c r="B122" s="8" t="s">
        <v>574</v>
      </c>
      <c r="C122" s="121" t="str">
        <f t="shared" si="6"/>
        <v>http://www.amarillo.va.gov/contact/phone_directory.asp</v>
      </c>
    </row>
    <row r="123" ht="14.25" hidden="1" customHeight="1">
      <c r="A123" s="8" t="s">
        <v>1648</v>
      </c>
      <c r="B123" s="8" t="s">
        <v>574</v>
      </c>
      <c r="C123" s="121" t="str">
        <f t="shared" si="6"/>
        <v>http://www.amarillo.va.gov/contact/phone_directory.asp</v>
      </c>
    </row>
    <row r="124" ht="14.25" hidden="1" customHeight="1">
      <c r="A124" s="8" t="s">
        <v>556</v>
      </c>
      <c r="B124" s="8" t="s">
        <v>574</v>
      </c>
      <c r="C124" s="121" t="str">
        <f t="shared" si="6"/>
        <v>http://www.amarillo.va.gov/contact/phone_directory.asp</v>
      </c>
    </row>
    <row r="125" ht="14.25" hidden="1" customHeight="1">
      <c r="A125" s="8" t="s">
        <v>1649</v>
      </c>
      <c r="B125" s="8" t="s">
        <v>574</v>
      </c>
      <c r="C125" s="121" t="str">
        <f t="shared" si="6"/>
        <v>http://www.amarillo.va.gov/contact/phone_directory.asp</v>
      </c>
    </row>
    <row r="126" ht="14.25" hidden="1" customHeight="1">
      <c r="A126" s="8" t="s">
        <v>706</v>
      </c>
      <c r="B126" s="8" t="s">
        <v>574</v>
      </c>
      <c r="C126" s="121" t="str">
        <f t="shared" si="6"/>
        <v>http://www.amarillo.va.gov/contact/phone_directory.asp</v>
      </c>
    </row>
    <row r="127" ht="14.25" hidden="1" customHeight="1">
      <c r="A127" s="8" t="s">
        <v>670</v>
      </c>
      <c r="B127" s="8" t="s">
        <v>574</v>
      </c>
      <c r="C127" s="121" t="str">
        <f t="shared" si="6"/>
        <v>http://www.amarillo.va.gov/contact/phone_directory.asp</v>
      </c>
    </row>
    <row r="128" ht="14.25" hidden="1" customHeight="1">
      <c r="A128" s="8" t="s">
        <v>1650</v>
      </c>
      <c r="B128" s="8" t="s">
        <v>574</v>
      </c>
      <c r="C128" s="121" t="str">
        <f t="shared" si="6"/>
        <v>http://www.amarillo.va.gov/contact/phone_directory.asp</v>
      </c>
    </row>
    <row r="129" ht="14.25" hidden="1" customHeight="1">
      <c r="A129" s="8" t="s">
        <v>1651</v>
      </c>
      <c r="B129" s="8" t="s">
        <v>574</v>
      </c>
      <c r="C129" s="121" t="str">
        <f t="shared" si="6"/>
        <v>http://www.amarillo.va.gov/contact/phone_directory.asp</v>
      </c>
    </row>
    <row r="130" ht="14.25" hidden="1" customHeight="1">
      <c r="A130" s="8" t="s">
        <v>683</v>
      </c>
      <c r="B130" s="8" t="s">
        <v>574</v>
      </c>
      <c r="C130" s="121" t="str">
        <f t="shared" si="6"/>
        <v>http://www.amarillo.va.gov/contact/phone_directory.asp</v>
      </c>
    </row>
    <row r="131" ht="14.25" hidden="1" customHeight="1">
      <c r="A131" s="8" t="s">
        <v>1653</v>
      </c>
      <c r="B131" s="8" t="s">
        <v>574</v>
      </c>
      <c r="C131" s="121" t="str">
        <f t="shared" si="6"/>
        <v>http://www.amarillo.va.gov/contact/phone_directory.asp</v>
      </c>
    </row>
    <row r="132" ht="14.25" hidden="1" customHeight="1">
      <c r="A132" s="8" t="s">
        <v>1654</v>
      </c>
      <c r="B132" s="8" t="s">
        <v>574</v>
      </c>
      <c r="C132" s="121" t="str">
        <f t="shared" si="6"/>
        <v>http://www.amarillo.va.gov/contact/phone_directory.asp</v>
      </c>
    </row>
    <row r="133" ht="14.25" hidden="1" customHeight="1">
      <c r="A133" s="8" t="s">
        <v>707</v>
      </c>
      <c r="B133" s="8" t="s">
        <v>574</v>
      </c>
      <c r="C133" s="121" t="str">
        <f t="shared" si="6"/>
        <v>http://www.amarillo.va.gov/contact/phone_directory.asp</v>
      </c>
    </row>
    <row r="134" ht="14.25" hidden="1" customHeight="1">
      <c r="A134" s="8" t="s">
        <v>1655</v>
      </c>
      <c r="B134" s="8" t="s">
        <v>574</v>
      </c>
      <c r="C134" s="121" t="str">
        <f t="shared" si="6"/>
        <v>http://www.amarillo.va.gov/contact/phone_directory.asp</v>
      </c>
    </row>
    <row r="135" ht="14.25" hidden="1" customHeight="1">
      <c r="A135" s="8" t="s">
        <v>1656</v>
      </c>
      <c r="B135" s="8" t="s">
        <v>574</v>
      </c>
      <c r="C135" s="121" t="str">
        <f t="shared" si="6"/>
        <v>http://www.amarillo.va.gov/contact/phone_directory.asp</v>
      </c>
    </row>
    <row r="136" ht="14.25" hidden="1" customHeight="1">
      <c r="A136" s="8" t="s">
        <v>694</v>
      </c>
      <c r="B136" s="8" t="s">
        <v>574</v>
      </c>
      <c r="C136" s="121" t="str">
        <f t="shared" si="6"/>
        <v>http://www.amarillo.va.gov/contact/phone_directory.asp</v>
      </c>
    </row>
    <row r="137" ht="14.25" hidden="1" customHeight="1">
      <c r="A137" s="8" t="s">
        <v>500</v>
      </c>
      <c r="B137" s="8" t="s">
        <v>574</v>
      </c>
      <c r="C137" s="121" t="str">
        <f t="shared" si="6"/>
        <v>http://www.amarillo.va.gov/contact/phone_directory.asp</v>
      </c>
    </row>
    <row r="138" ht="14.25" hidden="1" customHeight="1">
      <c r="A138" s="8" t="s">
        <v>775</v>
      </c>
      <c r="B138" s="8" t="s">
        <v>574</v>
      </c>
      <c r="C138" s="121" t="str">
        <f t="shared" si="6"/>
        <v>http://www.amarillo.va.gov/contact/phone_directory.asp</v>
      </c>
    </row>
    <row r="139" ht="14.25" hidden="1" customHeight="1">
      <c r="A139" s="8" t="s">
        <v>504</v>
      </c>
      <c r="B139" s="8" t="s">
        <v>574</v>
      </c>
      <c r="C139" s="121" t="str">
        <f t="shared" si="6"/>
        <v>http://www.amarillo.va.gov/contact/phone_directory.asp</v>
      </c>
    </row>
    <row r="140" ht="14.25" hidden="1" customHeight="1">
      <c r="A140" s="8" t="s">
        <v>1658</v>
      </c>
      <c r="B140" s="8" t="s">
        <v>574</v>
      </c>
      <c r="C140" s="121" t="str">
        <f t="shared" si="6"/>
        <v>http://www.amarillo.va.gov/contact/phone_directory.asp</v>
      </c>
    </row>
    <row r="141" ht="14.25" hidden="1" customHeight="1">
      <c r="A141" s="8" t="s">
        <v>717</v>
      </c>
      <c r="B141" s="8" t="s">
        <v>574</v>
      </c>
      <c r="C141" s="121" t="str">
        <f t="shared" si="6"/>
        <v>http://www.amarillo.va.gov/contact/phone_directory.asp</v>
      </c>
    </row>
    <row r="142" ht="14.25" hidden="1" customHeight="1">
      <c r="A142" s="8" t="s">
        <v>708</v>
      </c>
      <c r="B142" s="8" t="s">
        <v>574</v>
      </c>
      <c r="C142" s="121" t="str">
        <f t="shared" si="6"/>
        <v>http://www.amarillo.va.gov/contact/phone_directory.asp</v>
      </c>
    </row>
    <row r="143" ht="14.25" hidden="1" customHeight="1">
      <c r="A143" s="8" t="s">
        <v>355</v>
      </c>
      <c r="B143" s="8" t="s">
        <v>574</v>
      </c>
      <c r="C143" s="121" t="str">
        <f t="shared" si="6"/>
        <v>http://www.amarillo.va.gov/contact/phone_directory.asp</v>
      </c>
    </row>
    <row r="144" ht="14.25" hidden="1" customHeight="1">
      <c r="A144" s="8" t="s">
        <v>1660</v>
      </c>
      <c r="B144" s="8" t="s">
        <v>574</v>
      </c>
      <c r="C144" s="121" t="str">
        <f t="shared" si="6"/>
        <v>http://www.amarillo.va.gov/contact/phone_directory.asp</v>
      </c>
    </row>
    <row r="145" ht="14.25" hidden="1" customHeight="1">
      <c r="A145" s="8" t="s">
        <v>360</v>
      </c>
      <c r="B145" s="8" t="s">
        <v>574</v>
      </c>
      <c r="C145" s="121" t="str">
        <f t="shared" si="6"/>
        <v>http://www.amarillo.va.gov/contact/phone_directory.asp</v>
      </c>
    </row>
    <row r="146" ht="14.25" hidden="1" customHeight="1">
      <c r="A146" s="8" t="s">
        <v>792</v>
      </c>
      <c r="B146" s="8" t="s">
        <v>574</v>
      </c>
      <c r="C146" s="121" t="str">
        <f t="shared" si="6"/>
        <v>http://www.amarillo.va.gov/contact/phone_directory.asp</v>
      </c>
    </row>
    <row r="147" ht="14.25" hidden="1" customHeight="1">
      <c r="A147" s="8" t="s">
        <v>1662</v>
      </c>
      <c r="B147" s="8" t="s">
        <v>574</v>
      </c>
      <c r="C147" s="121" t="str">
        <f t="shared" si="6"/>
        <v>http://www.amarillo.va.gov/contact/phone_directory.asp</v>
      </c>
    </row>
    <row r="148" ht="14.25" hidden="1" customHeight="1">
      <c r="A148" s="8" t="s">
        <v>1663</v>
      </c>
      <c r="B148" s="8" t="s">
        <v>574</v>
      </c>
      <c r="C148" s="121" t="str">
        <f t="shared" si="6"/>
        <v>http://www.amarillo.va.gov/contact/phone_directory.asp</v>
      </c>
    </row>
    <row r="149" ht="14.25" hidden="1" customHeight="1">
      <c r="A149" s="8" t="s">
        <v>1664</v>
      </c>
      <c r="B149" s="8" t="s">
        <v>574</v>
      </c>
      <c r="C149" s="121" t="str">
        <f t="shared" si="6"/>
        <v>http://www.amarillo.va.gov/contact/phone_directory.asp</v>
      </c>
    </row>
    <row r="150" ht="14.25" hidden="1" customHeight="1">
      <c r="A150" s="8" t="s">
        <v>518</v>
      </c>
      <c r="B150" s="8" t="s">
        <v>574</v>
      </c>
      <c r="C150" s="121" t="str">
        <f t="shared" si="6"/>
        <v>http://www.amarillo.va.gov/contact/phone_directory.asp</v>
      </c>
    </row>
    <row r="151" ht="14.25" hidden="1" customHeight="1">
      <c r="A151" s="8" t="s">
        <v>520</v>
      </c>
      <c r="B151" s="8" t="s">
        <v>574</v>
      </c>
      <c r="C151" s="121" t="str">
        <f t="shared" si="6"/>
        <v>http://www.amarillo.va.gov/contact/phone_directory.asp</v>
      </c>
    </row>
    <row r="152" ht="14.25" hidden="1" customHeight="1">
      <c r="A152" s="8" t="s">
        <v>1115</v>
      </c>
      <c r="B152" s="8" t="s">
        <v>629</v>
      </c>
      <c r="C152" s="121" t="str">
        <f t="shared" ref="C152:C186" si="7">HYPERLINK("http://www.annarbor.va.gov/contact/phone_directory.asp")</f>
        <v>http://www.annarbor.va.gov/contact/phone_directory.asp</v>
      </c>
    </row>
    <row r="153" ht="14.25" hidden="1" customHeight="1">
      <c r="A153" s="8" t="s">
        <v>626</v>
      </c>
      <c r="B153" s="8" t="s">
        <v>629</v>
      </c>
      <c r="C153" s="121" t="str">
        <f t="shared" si="7"/>
        <v>http://www.annarbor.va.gov/contact/phone_directory.asp</v>
      </c>
    </row>
    <row r="154" ht="14.25" hidden="1" customHeight="1">
      <c r="A154" s="8" t="s">
        <v>624</v>
      </c>
      <c r="B154" s="8" t="s">
        <v>629</v>
      </c>
      <c r="C154" s="121" t="str">
        <f t="shared" si="7"/>
        <v>http://www.annarbor.va.gov/contact/phone_directory.asp</v>
      </c>
    </row>
    <row r="155" ht="14.25" hidden="1" customHeight="1">
      <c r="A155" s="8" t="s">
        <v>636</v>
      </c>
      <c r="B155" s="8" t="s">
        <v>629</v>
      </c>
      <c r="C155" s="121" t="str">
        <f t="shared" si="7"/>
        <v>http://www.annarbor.va.gov/contact/phone_directory.asp</v>
      </c>
    </row>
    <row r="156" ht="14.25" hidden="1" customHeight="1">
      <c r="A156" s="8" t="s">
        <v>631</v>
      </c>
      <c r="B156" s="8" t="s">
        <v>629</v>
      </c>
      <c r="C156" s="121" t="str">
        <f t="shared" si="7"/>
        <v>http://www.annarbor.va.gov/contact/phone_directory.asp</v>
      </c>
    </row>
    <row r="157" ht="14.25" hidden="1" customHeight="1">
      <c r="A157" s="8" t="s">
        <v>1668</v>
      </c>
      <c r="B157" s="8" t="s">
        <v>629</v>
      </c>
      <c r="C157" s="121" t="str">
        <f t="shared" si="7"/>
        <v>http://www.annarbor.va.gov/contact/phone_directory.asp</v>
      </c>
    </row>
    <row r="158" ht="14.25" hidden="1" customHeight="1">
      <c r="A158" s="8" t="s">
        <v>638</v>
      </c>
      <c r="B158" s="8" t="s">
        <v>629</v>
      </c>
      <c r="C158" s="121" t="str">
        <f t="shared" si="7"/>
        <v>http://www.annarbor.va.gov/contact/phone_directory.asp</v>
      </c>
    </row>
    <row r="159" ht="14.25" hidden="1" customHeight="1">
      <c r="A159" s="8" t="s">
        <v>478</v>
      </c>
      <c r="B159" s="8" t="s">
        <v>629</v>
      </c>
      <c r="C159" s="121" t="str">
        <f t="shared" si="7"/>
        <v>http://www.annarbor.va.gov/contact/phone_directory.asp</v>
      </c>
    </row>
    <row r="160" ht="14.25" hidden="1" customHeight="1">
      <c r="A160" s="8" t="s">
        <v>1669</v>
      </c>
      <c r="B160" s="8" t="s">
        <v>629</v>
      </c>
      <c r="C160" s="121" t="str">
        <f t="shared" si="7"/>
        <v>http://www.annarbor.va.gov/contact/phone_directory.asp</v>
      </c>
    </row>
    <row r="161" ht="14.25" hidden="1" customHeight="1">
      <c r="A161" s="8" t="s">
        <v>455</v>
      </c>
      <c r="B161" s="8" t="s">
        <v>629</v>
      </c>
      <c r="C161" s="121" t="str">
        <f t="shared" si="7"/>
        <v>http://www.annarbor.va.gov/contact/phone_directory.asp</v>
      </c>
    </row>
    <row r="162" ht="14.25" hidden="1" customHeight="1">
      <c r="A162" s="8" t="s">
        <v>1671</v>
      </c>
      <c r="B162" s="8" t="s">
        <v>629</v>
      </c>
      <c r="C162" s="121" t="str">
        <f t="shared" si="7"/>
        <v>http://www.annarbor.va.gov/contact/phone_directory.asp</v>
      </c>
    </row>
    <row r="163" ht="14.25" hidden="1" customHeight="1">
      <c r="A163" s="8" t="s">
        <v>1456</v>
      </c>
      <c r="B163" s="8" t="s">
        <v>629</v>
      </c>
      <c r="C163" s="121" t="str">
        <f t="shared" si="7"/>
        <v>http://www.annarbor.va.gov/contact/phone_directory.asp</v>
      </c>
    </row>
    <row r="164" ht="14.25" hidden="1" customHeight="1">
      <c r="A164" s="8" t="s">
        <v>663</v>
      </c>
      <c r="B164" s="8" t="s">
        <v>629</v>
      </c>
      <c r="C164" s="121" t="str">
        <f t="shared" si="7"/>
        <v>http://www.annarbor.va.gov/contact/phone_directory.asp</v>
      </c>
    </row>
    <row r="165" ht="14.25" hidden="1" customHeight="1">
      <c r="A165" s="8" t="s">
        <v>1672</v>
      </c>
      <c r="B165" s="8" t="s">
        <v>629</v>
      </c>
      <c r="C165" s="121" t="str">
        <f t="shared" si="7"/>
        <v>http://www.annarbor.va.gov/contact/phone_directory.asp</v>
      </c>
    </row>
    <row r="166" ht="14.25" hidden="1" customHeight="1">
      <c r="A166" s="8" t="s">
        <v>1673</v>
      </c>
      <c r="B166" s="8" t="s">
        <v>629</v>
      </c>
      <c r="C166" s="121" t="str">
        <f t="shared" si="7"/>
        <v>http://www.annarbor.va.gov/contact/phone_directory.asp</v>
      </c>
    </row>
    <row r="167" ht="14.25" hidden="1" customHeight="1">
      <c r="A167" s="8" t="s">
        <v>1674</v>
      </c>
      <c r="B167" s="8" t="s">
        <v>629</v>
      </c>
      <c r="C167" s="121" t="str">
        <f t="shared" si="7"/>
        <v>http://www.annarbor.va.gov/contact/phone_directory.asp</v>
      </c>
    </row>
    <row r="168" ht="14.25" hidden="1" customHeight="1">
      <c r="A168" s="8" t="s">
        <v>1676</v>
      </c>
      <c r="B168" s="8" t="s">
        <v>629</v>
      </c>
      <c r="C168" s="121" t="str">
        <f t="shared" si="7"/>
        <v>http://www.annarbor.va.gov/contact/phone_directory.asp</v>
      </c>
    </row>
    <row r="169" ht="14.25" hidden="1" customHeight="1">
      <c r="A169" s="8" t="s">
        <v>683</v>
      </c>
      <c r="B169" s="8" t="s">
        <v>629</v>
      </c>
      <c r="C169" s="121" t="str">
        <f t="shared" si="7"/>
        <v>http://www.annarbor.va.gov/contact/phone_directory.asp</v>
      </c>
    </row>
    <row r="170" ht="14.25" hidden="1" customHeight="1">
      <c r="A170" s="8" t="s">
        <v>1016</v>
      </c>
      <c r="B170" s="8" t="s">
        <v>629</v>
      </c>
      <c r="C170" s="121" t="str">
        <f t="shared" si="7"/>
        <v>http://www.annarbor.va.gov/contact/phone_directory.asp</v>
      </c>
    </row>
    <row r="171" ht="14.25" hidden="1" customHeight="1">
      <c r="A171" s="8" t="s">
        <v>326</v>
      </c>
      <c r="B171" s="8" t="s">
        <v>629</v>
      </c>
      <c r="C171" s="121" t="str">
        <f t="shared" si="7"/>
        <v>http://www.annarbor.va.gov/contact/phone_directory.asp</v>
      </c>
    </row>
    <row r="172" ht="14.25" hidden="1" customHeight="1">
      <c r="A172" s="8" t="s">
        <v>691</v>
      </c>
      <c r="B172" s="8" t="s">
        <v>629</v>
      </c>
      <c r="C172" s="121" t="str">
        <f t="shared" si="7"/>
        <v>http://www.annarbor.va.gov/contact/phone_directory.asp</v>
      </c>
    </row>
    <row r="173" ht="14.25" hidden="1" customHeight="1">
      <c r="A173" s="8" t="s">
        <v>1678</v>
      </c>
      <c r="B173" s="8" t="s">
        <v>629</v>
      </c>
      <c r="C173" s="121" t="str">
        <f t="shared" si="7"/>
        <v>http://www.annarbor.va.gov/contact/phone_directory.asp</v>
      </c>
    </row>
    <row r="174" ht="14.25" hidden="1" customHeight="1">
      <c r="A174" s="8" t="s">
        <v>1679</v>
      </c>
      <c r="B174" s="8" t="s">
        <v>629</v>
      </c>
      <c r="C174" s="121" t="str">
        <f t="shared" si="7"/>
        <v>http://www.annarbor.va.gov/contact/phone_directory.asp</v>
      </c>
    </row>
    <row r="175" ht="14.25" hidden="1" customHeight="1">
      <c r="A175" s="8" t="s">
        <v>1680</v>
      </c>
      <c r="B175" s="8" t="s">
        <v>629</v>
      </c>
      <c r="C175" s="121" t="str">
        <f t="shared" si="7"/>
        <v>http://www.annarbor.va.gov/contact/phone_directory.asp</v>
      </c>
    </row>
    <row r="176" ht="14.25" hidden="1" customHeight="1">
      <c r="A176" s="8" t="s">
        <v>1681</v>
      </c>
      <c r="B176" s="8" t="s">
        <v>629</v>
      </c>
      <c r="C176" s="121" t="str">
        <f t="shared" si="7"/>
        <v>http://www.annarbor.va.gov/contact/phone_directory.asp</v>
      </c>
    </row>
    <row r="177" ht="14.25" hidden="1" customHeight="1">
      <c r="A177" s="8" t="s">
        <v>1682</v>
      </c>
      <c r="B177" s="8" t="s">
        <v>629</v>
      </c>
      <c r="C177" s="121" t="str">
        <f t="shared" si="7"/>
        <v>http://www.annarbor.va.gov/contact/phone_directory.asp</v>
      </c>
    </row>
    <row r="178" ht="14.25" hidden="1" customHeight="1">
      <c r="A178" s="8" t="s">
        <v>697</v>
      </c>
      <c r="B178" s="8" t="s">
        <v>629</v>
      </c>
      <c r="C178" s="121" t="str">
        <f t="shared" si="7"/>
        <v>http://www.annarbor.va.gov/contact/phone_directory.asp</v>
      </c>
    </row>
    <row r="179" ht="14.25" hidden="1" customHeight="1">
      <c r="A179" s="8" t="s">
        <v>708</v>
      </c>
      <c r="B179" s="8" t="s">
        <v>629</v>
      </c>
      <c r="C179" s="121" t="str">
        <f t="shared" si="7"/>
        <v>http://www.annarbor.va.gov/contact/phone_directory.asp</v>
      </c>
    </row>
    <row r="180" ht="14.25" hidden="1" customHeight="1">
      <c r="A180" s="8" t="s">
        <v>1054</v>
      </c>
      <c r="B180" s="8" t="s">
        <v>629</v>
      </c>
      <c r="C180" s="121" t="str">
        <f t="shared" si="7"/>
        <v>http://www.annarbor.va.gov/contact/phone_directory.asp</v>
      </c>
    </row>
    <row r="181" ht="14.25" hidden="1" customHeight="1">
      <c r="A181" s="8" t="s">
        <v>712</v>
      </c>
      <c r="B181" s="8" t="s">
        <v>629</v>
      </c>
      <c r="C181" s="121" t="str">
        <f t="shared" si="7"/>
        <v>http://www.annarbor.va.gov/contact/phone_directory.asp</v>
      </c>
    </row>
    <row r="182" ht="14.25" hidden="1" customHeight="1">
      <c r="A182" s="8" t="s">
        <v>1684</v>
      </c>
      <c r="B182" s="8" t="s">
        <v>629</v>
      </c>
      <c r="C182" s="121" t="str">
        <f t="shared" si="7"/>
        <v>http://www.annarbor.va.gov/contact/phone_directory.asp</v>
      </c>
    </row>
    <row r="183" ht="14.25" hidden="1" customHeight="1">
      <c r="A183" s="8" t="s">
        <v>1685</v>
      </c>
      <c r="B183" s="8" t="s">
        <v>629</v>
      </c>
      <c r="C183" s="121" t="str">
        <f t="shared" si="7"/>
        <v>http://www.annarbor.va.gov/contact/phone_directory.asp</v>
      </c>
    </row>
    <row r="184" ht="14.25" hidden="1" customHeight="1">
      <c r="A184" s="8" t="s">
        <v>1060</v>
      </c>
      <c r="B184" s="8" t="s">
        <v>629</v>
      </c>
      <c r="C184" s="121" t="str">
        <f t="shared" si="7"/>
        <v>http://www.annarbor.va.gov/contact/phone_directory.asp</v>
      </c>
    </row>
    <row r="185" ht="14.25" hidden="1" customHeight="1">
      <c r="A185" s="8" t="s">
        <v>1686</v>
      </c>
      <c r="B185" s="8" t="s">
        <v>629</v>
      </c>
      <c r="C185" s="121" t="str">
        <f t="shared" si="7"/>
        <v>http://www.annarbor.va.gov/contact/phone_directory.asp</v>
      </c>
    </row>
    <row r="186" ht="14.25" hidden="1" customHeight="1">
      <c r="A186" s="8" t="s">
        <v>518</v>
      </c>
      <c r="B186" s="8" t="s">
        <v>629</v>
      </c>
      <c r="C186" s="121" t="str">
        <f t="shared" si="7"/>
        <v>http://www.annarbor.va.gov/contact/phone_directory.asp</v>
      </c>
    </row>
    <row r="187" ht="14.25" hidden="1" customHeight="1">
      <c r="A187" s="8" t="s">
        <v>631</v>
      </c>
      <c r="B187" s="8" t="s">
        <v>685</v>
      </c>
      <c r="C187" s="121" t="str">
        <f t="shared" ref="C187:C198" si="8">HYPERLINK("http://www.asheville.va.gov/contact/phone_directory.asp")</f>
        <v>http://www.asheville.va.gov/contact/phone_directory.asp</v>
      </c>
    </row>
    <row r="188" ht="14.25" hidden="1" customHeight="1">
      <c r="A188" s="8" t="s">
        <v>478</v>
      </c>
      <c r="B188" s="8" t="s">
        <v>685</v>
      </c>
      <c r="C188" s="121" t="str">
        <f t="shared" si="8"/>
        <v>http://www.asheville.va.gov/contact/phone_directory.asp</v>
      </c>
    </row>
    <row r="189" ht="14.25" hidden="1" customHeight="1">
      <c r="A189" s="8" t="s">
        <v>455</v>
      </c>
      <c r="B189" s="8" t="s">
        <v>685</v>
      </c>
      <c r="C189" s="121" t="str">
        <f t="shared" si="8"/>
        <v>http://www.asheville.va.gov/contact/phone_directory.asp</v>
      </c>
    </row>
    <row r="190" ht="14.25" hidden="1" customHeight="1">
      <c r="A190" s="8" t="s">
        <v>663</v>
      </c>
      <c r="B190" s="8" t="s">
        <v>685</v>
      </c>
      <c r="C190" s="121" t="str">
        <f t="shared" si="8"/>
        <v>http://www.asheville.va.gov/contact/phone_directory.asp</v>
      </c>
    </row>
    <row r="191" ht="14.25" hidden="1" customHeight="1">
      <c r="A191" s="8" t="s">
        <v>670</v>
      </c>
      <c r="B191" s="8" t="s">
        <v>685</v>
      </c>
      <c r="C191" s="121" t="str">
        <f t="shared" si="8"/>
        <v>http://www.asheville.va.gov/contact/phone_directory.asp</v>
      </c>
    </row>
    <row r="192" ht="14.25" hidden="1" customHeight="1">
      <c r="A192" s="8" t="s">
        <v>584</v>
      </c>
      <c r="B192" s="8" t="s">
        <v>685</v>
      </c>
      <c r="C192" s="121" t="str">
        <f t="shared" si="8"/>
        <v>http://www.asheville.va.gov/contact/phone_directory.asp</v>
      </c>
    </row>
    <row r="193" ht="14.25" hidden="1" customHeight="1">
      <c r="A193" s="8" t="s">
        <v>683</v>
      </c>
      <c r="B193" s="8" t="s">
        <v>685</v>
      </c>
      <c r="C193" s="121" t="str">
        <f t="shared" si="8"/>
        <v>http://www.asheville.va.gov/contact/phone_directory.asp</v>
      </c>
    </row>
    <row r="194" ht="14.25" hidden="1" customHeight="1">
      <c r="A194" s="8" t="s">
        <v>691</v>
      </c>
      <c r="B194" s="8" t="s">
        <v>685</v>
      </c>
      <c r="C194" s="121" t="str">
        <f t="shared" si="8"/>
        <v>http://www.asheville.va.gov/contact/phone_directory.asp</v>
      </c>
    </row>
    <row r="195" ht="14.25" hidden="1" customHeight="1">
      <c r="A195" s="8" t="s">
        <v>1689</v>
      </c>
      <c r="B195" s="8" t="s">
        <v>685</v>
      </c>
      <c r="C195" s="121" t="str">
        <f t="shared" si="8"/>
        <v>http://www.asheville.va.gov/contact/phone_directory.asp</v>
      </c>
    </row>
    <row r="196" ht="14.25" hidden="1" customHeight="1">
      <c r="A196" s="8" t="s">
        <v>724</v>
      </c>
      <c r="B196" s="8" t="s">
        <v>685</v>
      </c>
      <c r="C196" s="121" t="str">
        <f t="shared" si="8"/>
        <v>http://www.asheville.va.gov/contact/phone_directory.asp</v>
      </c>
    </row>
    <row r="197" ht="14.25" hidden="1" customHeight="1">
      <c r="A197" s="8" t="s">
        <v>511</v>
      </c>
      <c r="B197" s="8" t="s">
        <v>685</v>
      </c>
      <c r="C197" s="121" t="str">
        <f t="shared" si="8"/>
        <v>http://www.asheville.va.gov/contact/phone_directory.asp</v>
      </c>
    </row>
    <row r="198" ht="14.25" hidden="1" customHeight="1">
      <c r="A198" s="8" t="s">
        <v>1690</v>
      </c>
      <c r="B198" s="8" t="s">
        <v>685</v>
      </c>
      <c r="C198" s="121" t="str">
        <f t="shared" si="8"/>
        <v>http://www.asheville.va.gov/contact/phone_directory.asp</v>
      </c>
    </row>
    <row r="199" ht="14.25" hidden="1" customHeight="1">
      <c r="A199" s="8" t="s">
        <v>627</v>
      </c>
      <c r="B199" s="8" t="s">
        <v>749</v>
      </c>
      <c r="C199" s="121" t="str">
        <f t="shared" ref="C199:C261" si="9">HYPERLINK("http://www.atlanta.va.gov/contact/phone_directory.asp")</f>
        <v>http://www.atlanta.va.gov/contact/phone_directory.asp</v>
      </c>
    </row>
    <row r="200" ht="14.25" hidden="1" customHeight="1">
      <c r="A200" s="8" t="s">
        <v>1692</v>
      </c>
      <c r="B200" s="8" t="s">
        <v>749</v>
      </c>
      <c r="C200" s="121" t="str">
        <f t="shared" si="9"/>
        <v>http://www.atlanta.va.gov/contact/phone_directory.asp</v>
      </c>
    </row>
    <row r="201" ht="14.25" hidden="1" customHeight="1">
      <c r="A201" s="8" t="s">
        <v>1693</v>
      </c>
      <c r="B201" s="8" t="s">
        <v>749</v>
      </c>
      <c r="C201" s="121" t="str">
        <f t="shared" si="9"/>
        <v>http://www.atlanta.va.gov/contact/phone_directory.asp</v>
      </c>
    </row>
    <row r="202" ht="14.25" hidden="1" customHeight="1">
      <c r="A202" s="8" t="s">
        <v>636</v>
      </c>
      <c r="B202" s="8" t="s">
        <v>749</v>
      </c>
      <c r="C202" s="121" t="str">
        <f t="shared" si="9"/>
        <v>http://www.atlanta.va.gov/contact/phone_directory.asp</v>
      </c>
    </row>
    <row r="203" ht="14.25" hidden="1" customHeight="1">
      <c r="A203" s="8" t="s">
        <v>1694</v>
      </c>
      <c r="B203" s="8" t="s">
        <v>749</v>
      </c>
      <c r="C203" s="121" t="str">
        <f t="shared" si="9"/>
        <v>http://www.atlanta.va.gov/contact/phone_directory.asp</v>
      </c>
    </row>
    <row r="204" ht="14.25" hidden="1" customHeight="1">
      <c r="A204" s="8" t="s">
        <v>414</v>
      </c>
      <c r="B204" s="8" t="s">
        <v>749</v>
      </c>
      <c r="C204" s="121" t="str">
        <f t="shared" si="9"/>
        <v>http://www.atlanta.va.gov/contact/phone_directory.asp</v>
      </c>
    </row>
    <row r="205" ht="14.25" hidden="1" customHeight="1">
      <c r="A205" s="8" t="s">
        <v>1695</v>
      </c>
      <c r="B205" s="8" t="s">
        <v>749</v>
      </c>
      <c r="C205" s="121" t="str">
        <f t="shared" si="9"/>
        <v>http://www.atlanta.va.gov/contact/phone_directory.asp</v>
      </c>
    </row>
    <row r="206" ht="14.25" hidden="1" customHeight="1">
      <c r="A206" s="8" t="s">
        <v>673</v>
      </c>
      <c r="B206" s="8" t="s">
        <v>749</v>
      </c>
      <c r="C206" s="121" t="str">
        <f t="shared" si="9"/>
        <v>http://www.atlanta.va.gov/contact/phone_directory.asp</v>
      </c>
    </row>
    <row r="207" ht="14.25" hidden="1" customHeight="1">
      <c r="A207" s="8" t="s">
        <v>517</v>
      </c>
      <c r="B207" s="8" t="s">
        <v>749</v>
      </c>
      <c r="C207" s="121" t="str">
        <f t="shared" si="9"/>
        <v>http://www.atlanta.va.gov/contact/phone_directory.asp</v>
      </c>
    </row>
    <row r="208" ht="14.25" hidden="1" customHeight="1">
      <c r="A208" s="8" t="s">
        <v>1697</v>
      </c>
      <c r="B208" s="8" t="s">
        <v>749</v>
      </c>
      <c r="C208" s="121" t="str">
        <f t="shared" si="9"/>
        <v>http://www.atlanta.va.gov/contact/phone_directory.asp</v>
      </c>
    </row>
    <row r="209" ht="14.25" hidden="1" customHeight="1">
      <c r="A209" s="8" t="s">
        <v>1698</v>
      </c>
      <c r="B209" s="8" t="s">
        <v>749</v>
      </c>
      <c r="C209" s="121" t="str">
        <f t="shared" si="9"/>
        <v>http://www.atlanta.va.gov/contact/phone_directory.asp</v>
      </c>
    </row>
    <row r="210" ht="14.25" hidden="1" customHeight="1">
      <c r="A210" s="8" t="s">
        <v>1699</v>
      </c>
      <c r="B210" s="8" t="s">
        <v>749</v>
      </c>
      <c r="C210" s="121" t="str">
        <f t="shared" si="9"/>
        <v>http://www.atlanta.va.gov/contact/phone_directory.asp</v>
      </c>
    </row>
    <row r="211" ht="14.25" hidden="1" customHeight="1">
      <c r="A211" s="8" t="s">
        <v>1193</v>
      </c>
      <c r="B211" s="8" t="s">
        <v>749</v>
      </c>
      <c r="C211" s="121" t="str">
        <f t="shared" si="9"/>
        <v>http://www.atlanta.va.gov/contact/phone_directory.asp</v>
      </c>
    </row>
    <row r="212" ht="14.25" hidden="1" customHeight="1">
      <c r="A212" s="8" t="s">
        <v>538</v>
      </c>
      <c r="B212" s="8" t="s">
        <v>749</v>
      </c>
      <c r="C212" s="121" t="str">
        <f t="shared" si="9"/>
        <v>http://www.atlanta.va.gov/contact/phone_directory.asp</v>
      </c>
    </row>
    <row r="213" ht="14.25" hidden="1" customHeight="1">
      <c r="A213" s="8" t="s">
        <v>1701</v>
      </c>
      <c r="B213" s="8" t="s">
        <v>749</v>
      </c>
      <c r="C213" s="121" t="str">
        <f t="shared" si="9"/>
        <v>http://www.atlanta.va.gov/contact/phone_directory.asp</v>
      </c>
    </row>
    <row r="214" ht="14.25" hidden="1" customHeight="1">
      <c r="A214" s="8" t="s">
        <v>1373</v>
      </c>
      <c r="B214" s="8" t="s">
        <v>749</v>
      </c>
      <c r="C214" s="121" t="str">
        <f t="shared" si="9"/>
        <v>http://www.atlanta.va.gov/contact/phone_directory.asp</v>
      </c>
    </row>
    <row r="215" ht="14.25" hidden="1" customHeight="1">
      <c r="A215" s="8" t="s">
        <v>1702</v>
      </c>
      <c r="B215" s="8" t="s">
        <v>749</v>
      </c>
      <c r="C215" s="121" t="str">
        <f t="shared" si="9"/>
        <v>http://www.atlanta.va.gov/contact/phone_directory.asp</v>
      </c>
    </row>
    <row r="216" ht="14.25" hidden="1" customHeight="1">
      <c r="A216" s="8" t="s">
        <v>1145</v>
      </c>
      <c r="B216" s="8" t="s">
        <v>749</v>
      </c>
      <c r="C216" s="121" t="str">
        <f t="shared" si="9"/>
        <v>http://www.atlanta.va.gov/contact/phone_directory.asp</v>
      </c>
    </row>
    <row r="217" ht="14.25" hidden="1" customHeight="1">
      <c r="A217" s="8" t="s">
        <v>1703</v>
      </c>
      <c r="B217" s="8" t="s">
        <v>749</v>
      </c>
      <c r="C217" s="121" t="str">
        <f t="shared" si="9"/>
        <v>http://www.atlanta.va.gov/contact/phone_directory.asp</v>
      </c>
    </row>
    <row r="218" ht="14.25" hidden="1" customHeight="1">
      <c r="A218" s="8" t="s">
        <v>560</v>
      </c>
      <c r="B218" s="8" t="s">
        <v>749</v>
      </c>
      <c r="C218" s="121" t="str">
        <f t="shared" si="9"/>
        <v>http://www.atlanta.va.gov/contact/phone_directory.asp</v>
      </c>
    </row>
    <row r="219" ht="14.25" hidden="1" customHeight="1">
      <c r="A219" s="8" t="s">
        <v>1704</v>
      </c>
      <c r="B219" s="8" t="s">
        <v>749</v>
      </c>
      <c r="C219" s="121" t="str">
        <f t="shared" si="9"/>
        <v>http://www.atlanta.va.gov/contact/phone_directory.asp</v>
      </c>
    </row>
    <row r="220" ht="14.25" hidden="1" customHeight="1">
      <c r="A220" s="8" t="s">
        <v>1059</v>
      </c>
      <c r="B220" s="8" t="s">
        <v>749</v>
      </c>
      <c r="C220" s="121" t="str">
        <f t="shared" si="9"/>
        <v>http://www.atlanta.va.gov/contact/phone_directory.asp</v>
      </c>
    </row>
    <row r="221" ht="14.25" hidden="1" customHeight="1">
      <c r="A221" s="8" t="s">
        <v>743</v>
      </c>
      <c r="B221" s="8" t="s">
        <v>749</v>
      </c>
      <c r="C221" s="121" t="str">
        <f t="shared" si="9"/>
        <v>http://www.atlanta.va.gov/contact/phone_directory.asp</v>
      </c>
    </row>
    <row r="222" ht="14.25" hidden="1" customHeight="1">
      <c r="A222" s="8" t="s">
        <v>1706</v>
      </c>
      <c r="B222" s="8" t="s">
        <v>749</v>
      </c>
      <c r="C222" s="121" t="str">
        <f t="shared" si="9"/>
        <v>http://www.atlanta.va.gov/contact/phone_directory.asp</v>
      </c>
    </row>
    <row r="223" ht="14.25" hidden="1" customHeight="1">
      <c r="A223" s="8" t="s">
        <v>1707</v>
      </c>
      <c r="B223" s="8" t="s">
        <v>749</v>
      </c>
      <c r="C223" s="121" t="str">
        <f t="shared" si="9"/>
        <v>http://www.atlanta.va.gov/contact/phone_directory.asp</v>
      </c>
    </row>
    <row r="224" ht="14.25" hidden="1" customHeight="1">
      <c r="A224" s="8" t="s">
        <v>1708</v>
      </c>
      <c r="B224" s="8" t="s">
        <v>749</v>
      </c>
      <c r="C224" s="121" t="str">
        <f t="shared" si="9"/>
        <v>http://www.atlanta.va.gov/contact/phone_directory.asp</v>
      </c>
    </row>
    <row r="225" ht="14.25" hidden="1" customHeight="1">
      <c r="A225" s="8" t="s">
        <v>1709</v>
      </c>
      <c r="B225" s="8" t="s">
        <v>749</v>
      </c>
      <c r="C225" s="121" t="str">
        <f t="shared" si="9"/>
        <v>http://www.atlanta.va.gov/contact/phone_directory.asp</v>
      </c>
    </row>
    <row r="226" ht="14.25" hidden="1" customHeight="1">
      <c r="A226" s="8" t="s">
        <v>1710</v>
      </c>
      <c r="B226" s="8" t="s">
        <v>749</v>
      </c>
      <c r="C226" s="121" t="str">
        <f t="shared" si="9"/>
        <v>http://www.atlanta.va.gov/contact/phone_directory.asp</v>
      </c>
    </row>
    <row r="227" ht="14.25" hidden="1" customHeight="1">
      <c r="A227" s="8" t="s">
        <v>1712</v>
      </c>
      <c r="B227" s="8" t="s">
        <v>749</v>
      </c>
      <c r="C227" s="121" t="str">
        <f t="shared" si="9"/>
        <v>http://www.atlanta.va.gov/contact/phone_directory.asp</v>
      </c>
    </row>
    <row r="228" ht="14.25" hidden="1" customHeight="1">
      <c r="A228" s="8" t="s">
        <v>1713</v>
      </c>
      <c r="B228" s="8" t="s">
        <v>749</v>
      </c>
      <c r="C228" s="121" t="str">
        <f t="shared" si="9"/>
        <v>http://www.atlanta.va.gov/contact/phone_directory.asp</v>
      </c>
    </row>
    <row r="229" ht="14.25" hidden="1" customHeight="1">
      <c r="A229" s="8" t="s">
        <v>1715</v>
      </c>
      <c r="B229" s="8" t="s">
        <v>749</v>
      </c>
      <c r="C229" s="121" t="str">
        <f t="shared" si="9"/>
        <v>http://www.atlanta.va.gov/contact/phone_directory.asp</v>
      </c>
    </row>
    <row r="230" ht="14.25" hidden="1" customHeight="1">
      <c r="A230" s="8" t="s">
        <v>326</v>
      </c>
      <c r="B230" s="8" t="s">
        <v>749</v>
      </c>
      <c r="C230" s="121" t="str">
        <f t="shared" si="9"/>
        <v>http://www.atlanta.va.gov/contact/phone_directory.asp</v>
      </c>
    </row>
    <row r="231" ht="14.25" hidden="1" customHeight="1">
      <c r="A231" s="8" t="s">
        <v>1716</v>
      </c>
      <c r="B231" s="8" t="s">
        <v>749</v>
      </c>
      <c r="C231" s="121" t="str">
        <f t="shared" si="9"/>
        <v>http://www.atlanta.va.gov/contact/phone_directory.asp</v>
      </c>
    </row>
    <row r="232" ht="14.25" hidden="1" customHeight="1">
      <c r="A232" s="8" t="s">
        <v>1172</v>
      </c>
      <c r="B232" s="8" t="s">
        <v>749</v>
      </c>
      <c r="C232" s="121" t="str">
        <f t="shared" si="9"/>
        <v>http://www.atlanta.va.gov/contact/phone_directory.asp</v>
      </c>
    </row>
    <row r="233" ht="14.25" hidden="1" customHeight="1">
      <c r="A233" s="8" t="s">
        <v>1717</v>
      </c>
      <c r="B233" s="8" t="s">
        <v>749</v>
      </c>
      <c r="C233" s="121" t="str">
        <f t="shared" si="9"/>
        <v>http://www.atlanta.va.gov/contact/phone_directory.asp</v>
      </c>
    </row>
    <row r="234" ht="14.25" hidden="1" customHeight="1">
      <c r="A234" s="8" t="s">
        <v>603</v>
      </c>
      <c r="B234" s="8" t="s">
        <v>749</v>
      </c>
      <c r="C234" s="121" t="str">
        <f t="shared" si="9"/>
        <v>http://www.atlanta.va.gov/contact/phone_directory.asp</v>
      </c>
    </row>
    <row r="235" ht="14.25" hidden="1" customHeight="1">
      <c r="A235" s="8" t="s">
        <v>1718</v>
      </c>
      <c r="B235" s="8" t="s">
        <v>749</v>
      </c>
      <c r="C235" s="121" t="str">
        <f t="shared" si="9"/>
        <v>http://www.atlanta.va.gov/contact/phone_directory.asp</v>
      </c>
    </row>
    <row r="236" ht="14.25" hidden="1" customHeight="1">
      <c r="A236" s="8" t="s">
        <v>1719</v>
      </c>
      <c r="B236" s="8" t="s">
        <v>749</v>
      </c>
      <c r="C236" s="121" t="str">
        <f t="shared" si="9"/>
        <v>http://www.atlanta.va.gov/contact/phone_directory.asp</v>
      </c>
    </row>
    <row r="237" ht="14.25" hidden="1" customHeight="1">
      <c r="A237" s="8" t="s">
        <v>1720</v>
      </c>
      <c r="B237" s="8" t="s">
        <v>749</v>
      </c>
      <c r="C237" s="121" t="str">
        <f t="shared" si="9"/>
        <v>http://www.atlanta.va.gov/contact/phone_directory.asp</v>
      </c>
    </row>
    <row r="238" ht="14.25" hidden="1" customHeight="1">
      <c r="A238" s="8" t="s">
        <v>900</v>
      </c>
      <c r="B238" s="8" t="s">
        <v>749</v>
      </c>
      <c r="C238" s="121" t="str">
        <f t="shared" si="9"/>
        <v>http://www.atlanta.va.gov/contact/phone_directory.asp</v>
      </c>
    </row>
    <row r="239" ht="14.25" hidden="1" customHeight="1">
      <c r="A239" s="8" t="s">
        <v>839</v>
      </c>
      <c r="B239" s="8" t="s">
        <v>749</v>
      </c>
      <c r="C239" s="121" t="str">
        <f t="shared" si="9"/>
        <v>http://www.atlanta.va.gov/contact/phone_directory.asp</v>
      </c>
    </row>
    <row r="240" ht="14.25" hidden="1" customHeight="1">
      <c r="A240" s="8" t="s">
        <v>1721</v>
      </c>
      <c r="B240" s="8" t="s">
        <v>749</v>
      </c>
      <c r="C240" s="121" t="str">
        <f t="shared" si="9"/>
        <v>http://www.atlanta.va.gov/contact/phone_directory.asp</v>
      </c>
    </row>
    <row r="241" ht="14.25" hidden="1" customHeight="1">
      <c r="A241" s="8" t="s">
        <v>338</v>
      </c>
      <c r="B241" s="8" t="s">
        <v>749</v>
      </c>
      <c r="C241" s="121" t="str">
        <f t="shared" si="9"/>
        <v>http://www.atlanta.va.gov/contact/phone_directory.asp</v>
      </c>
    </row>
    <row r="242" ht="14.25" hidden="1" customHeight="1">
      <c r="A242" s="8" t="s">
        <v>1268</v>
      </c>
      <c r="B242" s="8" t="s">
        <v>749</v>
      </c>
      <c r="C242" s="121" t="str">
        <f t="shared" si="9"/>
        <v>http://www.atlanta.va.gov/contact/phone_directory.asp</v>
      </c>
    </row>
    <row r="243" ht="14.25" hidden="1" customHeight="1">
      <c r="A243" s="8" t="s">
        <v>907</v>
      </c>
      <c r="B243" s="8" t="s">
        <v>749</v>
      </c>
      <c r="C243" s="121" t="str">
        <f t="shared" si="9"/>
        <v>http://www.atlanta.va.gov/contact/phone_directory.asp</v>
      </c>
    </row>
    <row r="244" ht="14.25" hidden="1" customHeight="1">
      <c r="A244" s="8" t="s">
        <v>608</v>
      </c>
      <c r="B244" s="8" t="s">
        <v>749</v>
      </c>
      <c r="C244" s="121" t="str">
        <f t="shared" si="9"/>
        <v>http://www.atlanta.va.gov/contact/phone_directory.asp</v>
      </c>
    </row>
    <row r="245" ht="14.25" hidden="1" customHeight="1">
      <c r="A245" s="8" t="s">
        <v>1427</v>
      </c>
      <c r="B245" s="8" t="s">
        <v>749</v>
      </c>
      <c r="C245" s="121" t="str">
        <f t="shared" si="9"/>
        <v>http://www.atlanta.va.gov/contact/phone_directory.asp</v>
      </c>
    </row>
    <row r="246" ht="14.25" hidden="1" customHeight="1">
      <c r="A246" s="8" t="s">
        <v>1725</v>
      </c>
      <c r="B246" s="8" t="s">
        <v>749</v>
      </c>
      <c r="C246" s="121" t="str">
        <f t="shared" si="9"/>
        <v>http://www.atlanta.va.gov/contact/phone_directory.asp</v>
      </c>
    </row>
    <row r="247" ht="14.25" hidden="1" customHeight="1">
      <c r="A247" s="8" t="s">
        <v>1726</v>
      </c>
      <c r="B247" s="8" t="s">
        <v>749</v>
      </c>
      <c r="C247" s="121" t="str">
        <f t="shared" si="9"/>
        <v>http://www.atlanta.va.gov/contact/phone_directory.asp</v>
      </c>
    </row>
    <row r="248" ht="14.25" hidden="1" customHeight="1">
      <c r="A248" s="8" t="s">
        <v>353</v>
      </c>
      <c r="B248" s="8" t="s">
        <v>749</v>
      </c>
      <c r="C248" s="121" t="str">
        <f t="shared" si="9"/>
        <v>http://www.atlanta.va.gov/contact/phone_directory.asp</v>
      </c>
    </row>
    <row r="249" ht="14.25" hidden="1" customHeight="1">
      <c r="A249" s="8" t="s">
        <v>1728</v>
      </c>
      <c r="B249" s="8" t="s">
        <v>749</v>
      </c>
      <c r="C249" s="121" t="str">
        <f t="shared" si="9"/>
        <v>http://www.atlanta.va.gov/contact/phone_directory.asp</v>
      </c>
    </row>
    <row r="250" ht="14.25" hidden="1" customHeight="1">
      <c r="A250" s="8" t="s">
        <v>717</v>
      </c>
      <c r="B250" s="8" t="s">
        <v>749</v>
      </c>
      <c r="C250" s="121" t="str">
        <f t="shared" si="9"/>
        <v>http://www.atlanta.va.gov/contact/phone_directory.asp</v>
      </c>
    </row>
    <row r="251" ht="14.25" hidden="1" customHeight="1">
      <c r="A251" s="8" t="s">
        <v>1730</v>
      </c>
      <c r="B251" s="8" t="s">
        <v>749</v>
      </c>
      <c r="C251" s="121" t="str">
        <f t="shared" si="9"/>
        <v>http://www.atlanta.va.gov/contact/phone_directory.asp</v>
      </c>
    </row>
    <row r="252" ht="14.25" hidden="1" customHeight="1">
      <c r="A252" s="8" t="s">
        <v>1732</v>
      </c>
      <c r="B252" s="8" t="s">
        <v>749</v>
      </c>
      <c r="C252" s="121" t="str">
        <f t="shared" si="9"/>
        <v>http://www.atlanta.va.gov/contact/phone_directory.asp</v>
      </c>
    </row>
    <row r="253" ht="14.25" hidden="1" customHeight="1">
      <c r="A253" s="8" t="s">
        <v>1171</v>
      </c>
      <c r="B253" s="8" t="s">
        <v>749</v>
      </c>
      <c r="C253" s="121" t="str">
        <f t="shared" si="9"/>
        <v>http://www.atlanta.va.gov/contact/phone_directory.asp</v>
      </c>
    </row>
    <row r="254" ht="14.25" hidden="1" customHeight="1">
      <c r="A254" s="8" t="s">
        <v>1734</v>
      </c>
      <c r="B254" s="8" t="s">
        <v>749</v>
      </c>
      <c r="C254" s="121" t="str">
        <f t="shared" si="9"/>
        <v>http://www.atlanta.va.gov/contact/phone_directory.asp</v>
      </c>
    </row>
    <row r="255" ht="14.25" hidden="1" customHeight="1">
      <c r="A255" s="8" t="s">
        <v>469</v>
      </c>
      <c r="B255" s="8" t="s">
        <v>749</v>
      </c>
      <c r="C255" s="121" t="str">
        <f t="shared" si="9"/>
        <v>http://www.atlanta.va.gov/contact/phone_directory.asp</v>
      </c>
    </row>
    <row r="256" ht="14.25" hidden="1" customHeight="1">
      <c r="A256" s="8" t="s">
        <v>1735</v>
      </c>
      <c r="B256" s="8" t="s">
        <v>749</v>
      </c>
      <c r="C256" s="121" t="str">
        <f t="shared" si="9"/>
        <v>http://www.atlanta.va.gov/contact/phone_directory.asp</v>
      </c>
    </row>
    <row r="257" ht="14.25" hidden="1" customHeight="1">
      <c r="A257" s="8" t="s">
        <v>1736</v>
      </c>
      <c r="B257" s="8" t="s">
        <v>749</v>
      </c>
      <c r="C257" s="121" t="str">
        <f t="shared" si="9"/>
        <v>http://www.atlanta.va.gov/contact/phone_directory.asp</v>
      </c>
    </row>
    <row r="258" ht="14.25" hidden="1" customHeight="1">
      <c r="A258" s="8" t="s">
        <v>1737</v>
      </c>
      <c r="B258" s="8" t="s">
        <v>749</v>
      </c>
      <c r="C258" s="121" t="str">
        <f t="shared" si="9"/>
        <v>http://www.atlanta.va.gov/contact/phone_directory.asp</v>
      </c>
    </row>
    <row r="259" ht="14.25" hidden="1" customHeight="1">
      <c r="A259" s="8" t="s">
        <v>1738</v>
      </c>
      <c r="B259" s="8" t="s">
        <v>749</v>
      </c>
      <c r="C259" s="121" t="str">
        <f t="shared" si="9"/>
        <v>http://www.atlanta.va.gov/contact/phone_directory.asp</v>
      </c>
    </row>
    <row r="260" ht="14.25" hidden="1" customHeight="1">
      <c r="A260" s="8" t="s">
        <v>1739</v>
      </c>
      <c r="B260" s="8" t="s">
        <v>749</v>
      </c>
      <c r="C260" s="121" t="str">
        <f t="shared" si="9"/>
        <v>http://www.atlanta.va.gov/contact/phone_directory.asp</v>
      </c>
    </row>
    <row r="261" ht="14.25" hidden="1" customHeight="1">
      <c r="A261" s="8" t="s">
        <v>1740</v>
      </c>
      <c r="B261" s="8" t="s">
        <v>749</v>
      </c>
      <c r="C261" s="121" t="str">
        <f t="shared" si="9"/>
        <v>http://www.atlanta.va.gov/contact/phone_directory.asp</v>
      </c>
    </row>
    <row r="262" ht="14.25" hidden="1" customHeight="1">
      <c r="A262" s="8" t="s">
        <v>624</v>
      </c>
      <c r="B262" s="8" t="s">
        <v>827</v>
      </c>
      <c r="C262" s="121" t="str">
        <f t="shared" ref="C262:C291" si="10">HYPERLINK("http://www.augusta.va.gov/contact/phone_directory.asp")</f>
        <v>http://www.augusta.va.gov/contact/phone_directory.asp</v>
      </c>
    </row>
    <row r="263" ht="14.25" hidden="1" customHeight="1">
      <c r="A263" s="8" t="s">
        <v>1741</v>
      </c>
      <c r="B263" s="8" t="s">
        <v>827</v>
      </c>
      <c r="C263" s="121" t="str">
        <f t="shared" si="10"/>
        <v>http://www.augusta.va.gov/contact/phone_directory.asp</v>
      </c>
    </row>
    <row r="264" ht="14.25" hidden="1" customHeight="1">
      <c r="A264" s="8" t="s">
        <v>1742</v>
      </c>
      <c r="B264" s="8" t="s">
        <v>827</v>
      </c>
      <c r="C264" s="121" t="str">
        <f t="shared" si="10"/>
        <v>http://www.augusta.va.gov/contact/phone_directory.asp</v>
      </c>
    </row>
    <row r="265" ht="14.25" hidden="1" customHeight="1">
      <c r="A265" s="8" t="s">
        <v>1744</v>
      </c>
      <c r="B265" s="8" t="s">
        <v>827</v>
      </c>
      <c r="C265" s="121" t="str">
        <f t="shared" si="10"/>
        <v>http://www.augusta.va.gov/contact/phone_directory.asp</v>
      </c>
    </row>
    <row r="266" ht="14.25" hidden="1" customHeight="1">
      <c r="A266" s="8" t="s">
        <v>1745</v>
      </c>
      <c r="B266" s="8" t="s">
        <v>827</v>
      </c>
      <c r="C266" s="121" t="str">
        <f t="shared" si="10"/>
        <v>http://www.augusta.va.gov/contact/phone_directory.asp</v>
      </c>
    </row>
    <row r="267" ht="14.25" hidden="1" customHeight="1">
      <c r="A267" s="8" t="s">
        <v>1746</v>
      </c>
      <c r="B267" s="8" t="s">
        <v>827</v>
      </c>
      <c r="C267" s="121" t="str">
        <f t="shared" si="10"/>
        <v>http://www.augusta.va.gov/contact/phone_directory.asp</v>
      </c>
    </row>
    <row r="268" ht="14.25" hidden="1" customHeight="1">
      <c r="A268" s="8" t="s">
        <v>946</v>
      </c>
      <c r="B268" s="8" t="s">
        <v>827</v>
      </c>
      <c r="C268" s="121" t="str">
        <f t="shared" si="10"/>
        <v>http://www.augusta.va.gov/contact/phone_directory.asp</v>
      </c>
    </row>
    <row r="269" ht="14.25" hidden="1" customHeight="1">
      <c r="A269" s="8" t="s">
        <v>638</v>
      </c>
      <c r="B269" s="8" t="s">
        <v>827</v>
      </c>
      <c r="C269" s="121" t="str">
        <f t="shared" si="10"/>
        <v>http://www.augusta.va.gov/contact/phone_directory.asp</v>
      </c>
    </row>
    <row r="270" ht="14.25" hidden="1" customHeight="1">
      <c r="A270" s="8" t="s">
        <v>1748</v>
      </c>
      <c r="B270" s="8" t="s">
        <v>827</v>
      </c>
      <c r="C270" s="121" t="str">
        <f t="shared" si="10"/>
        <v>http://www.augusta.va.gov/contact/phone_directory.asp</v>
      </c>
    </row>
    <row r="271" ht="14.25" hidden="1" customHeight="1">
      <c r="A271" s="8" t="s">
        <v>1749</v>
      </c>
      <c r="B271" s="8" t="s">
        <v>827</v>
      </c>
      <c r="C271" s="121" t="str">
        <f t="shared" si="10"/>
        <v>http://www.augusta.va.gov/contact/phone_directory.asp</v>
      </c>
    </row>
    <row r="272" ht="14.25" hidden="1" customHeight="1">
      <c r="A272" s="8" t="s">
        <v>1750</v>
      </c>
      <c r="B272" s="8" t="s">
        <v>827</v>
      </c>
      <c r="C272" s="121" t="str">
        <f t="shared" si="10"/>
        <v>http://www.augusta.va.gov/contact/phone_directory.asp</v>
      </c>
    </row>
    <row r="273" ht="14.25" hidden="1" customHeight="1">
      <c r="A273" s="8" t="s">
        <v>663</v>
      </c>
      <c r="B273" s="8" t="s">
        <v>827</v>
      </c>
      <c r="C273" s="121" t="str">
        <f t="shared" si="10"/>
        <v>http://www.augusta.va.gov/contact/phone_directory.asp</v>
      </c>
    </row>
    <row r="274" ht="14.25" hidden="1" customHeight="1">
      <c r="A274" s="8" t="s">
        <v>1752</v>
      </c>
      <c r="B274" s="8" t="s">
        <v>827</v>
      </c>
      <c r="C274" s="121" t="str">
        <f t="shared" si="10"/>
        <v>http://www.augusta.va.gov/contact/phone_directory.asp</v>
      </c>
    </row>
    <row r="275" ht="14.25" hidden="1" customHeight="1">
      <c r="A275" s="8" t="s">
        <v>1147</v>
      </c>
      <c r="B275" s="8" t="s">
        <v>827</v>
      </c>
      <c r="C275" s="121" t="str">
        <f t="shared" si="10"/>
        <v>http://www.augusta.va.gov/contact/phone_directory.asp</v>
      </c>
    </row>
    <row r="276" ht="14.25" hidden="1" customHeight="1">
      <c r="A276" s="8" t="s">
        <v>431</v>
      </c>
      <c r="B276" s="8" t="s">
        <v>827</v>
      </c>
      <c r="C276" s="121" t="str">
        <f t="shared" si="10"/>
        <v>http://www.augusta.va.gov/contact/phone_directory.asp</v>
      </c>
    </row>
    <row r="277" ht="14.25" hidden="1" customHeight="1">
      <c r="A277" s="8" t="s">
        <v>1754</v>
      </c>
      <c r="B277" s="8" t="s">
        <v>827</v>
      </c>
      <c r="C277" s="121" t="str">
        <f t="shared" si="10"/>
        <v>http://www.augusta.va.gov/contact/phone_directory.asp</v>
      </c>
    </row>
    <row r="278" ht="14.25" hidden="1" customHeight="1">
      <c r="A278" s="8" t="s">
        <v>701</v>
      </c>
      <c r="B278" s="8" t="s">
        <v>827</v>
      </c>
      <c r="C278" s="121" t="str">
        <f t="shared" si="10"/>
        <v>http://www.augusta.va.gov/contact/phone_directory.asp</v>
      </c>
    </row>
    <row r="279" ht="14.25" hidden="1" customHeight="1">
      <c r="A279" s="8" t="s">
        <v>1655</v>
      </c>
      <c r="B279" s="8" t="s">
        <v>827</v>
      </c>
      <c r="C279" s="121" t="str">
        <f t="shared" si="10"/>
        <v>http://www.augusta.va.gov/contact/phone_directory.asp</v>
      </c>
    </row>
    <row r="280" ht="14.25" hidden="1" customHeight="1">
      <c r="A280" s="8" t="s">
        <v>1756</v>
      </c>
      <c r="B280" s="8" t="s">
        <v>827</v>
      </c>
      <c r="C280" s="121" t="str">
        <f t="shared" si="10"/>
        <v>http://www.augusta.va.gov/contact/phone_directory.asp</v>
      </c>
    </row>
    <row r="281" ht="14.25" hidden="1" customHeight="1">
      <c r="A281" s="8" t="s">
        <v>1757</v>
      </c>
      <c r="B281" s="8" t="s">
        <v>827</v>
      </c>
      <c r="C281" s="121" t="str">
        <f t="shared" si="10"/>
        <v>http://www.augusta.va.gov/contact/phone_directory.asp</v>
      </c>
    </row>
    <row r="282" ht="14.25" hidden="1" customHeight="1">
      <c r="A282" s="8" t="s">
        <v>697</v>
      </c>
      <c r="B282" s="8" t="s">
        <v>827</v>
      </c>
      <c r="C282" s="121" t="str">
        <f t="shared" si="10"/>
        <v>http://www.augusta.va.gov/contact/phone_directory.asp</v>
      </c>
    </row>
    <row r="283" ht="14.25" hidden="1" customHeight="1">
      <c r="A283" s="8" t="s">
        <v>504</v>
      </c>
      <c r="B283" s="8" t="s">
        <v>827</v>
      </c>
      <c r="C283" s="121" t="str">
        <f t="shared" si="10"/>
        <v>http://www.augusta.va.gov/contact/phone_directory.asp</v>
      </c>
    </row>
    <row r="284" ht="14.25" hidden="1" customHeight="1">
      <c r="A284" s="8" t="s">
        <v>1760</v>
      </c>
      <c r="B284" s="8" t="s">
        <v>827</v>
      </c>
      <c r="C284" s="121" t="str">
        <f t="shared" si="10"/>
        <v>http://www.augusta.va.gov/contact/phone_directory.asp</v>
      </c>
    </row>
    <row r="285" ht="14.25" hidden="1" customHeight="1">
      <c r="A285" s="8" t="s">
        <v>1761</v>
      </c>
      <c r="B285" s="8" t="s">
        <v>827</v>
      </c>
      <c r="C285" s="121" t="str">
        <f t="shared" si="10"/>
        <v>http://www.augusta.va.gov/contact/phone_directory.asp</v>
      </c>
    </row>
    <row r="286" ht="14.25" hidden="1" customHeight="1">
      <c r="A286" s="8" t="s">
        <v>1762</v>
      </c>
      <c r="B286" s="8" t="s">
        <v>827</v>
      </c>
      <c r="C286" s="121" t="str">
        <f t="shared" si="10"/>
        <v>http://www.augusta.va.gov/contact/phone_directory.asp</v>
      </c>
    </row>
    <row r="287" ht="14.25" hidden="1" customHeight="1">
      <c r="A287" s="8" t="s">
        <v>1763</v>
      </c>
      <c r="B287" s="8" t="s">
        <v>827</v>
      </c>
      <c r="C287" s="121" t="str">
        <f t="shared" si="10"/>
        <v>http://www.augusta.va.gov/contact/phone_directory.asp</v>
      </c>
    </row>
    <row r="288" ht="14.25" hidden="1" customHeight="1">
      <c r="A288" s="8" t="s">
        <v>1764</v>
      </c>
      <c r="B288" s="8" t="s">
        <v>827</v>
      </c>
      <c r="C288" s="121" t="str">
        <f t="shared" si="10"/>
        <v>http://www.augusta.va.gov/contact/phone_directory.asp</v>
      </c>
    </row>
    <row r="289" ht="14.25" hidden="1" customHeight="1">
      <c r="A289" s="8" t="s">
        <v>1765</v>
      </c>
      <c r="B289" s="8" t="s">
        <v>827</v>
      </c>
      <c r="C289" s="121" t="str">
        <f t="shared" si="10"/>
        <v>http://www.augusta.va.gov/contact/phone_directory.asp</v>
      </c>
    </row>
    <row r="290" ht="14.25" hidden="1" customHeight="1">
      <c r="A290" s="8" t="s">
        <v>1766</v>
      </c>
      <c r="B290" s="8" t="s">
        <v>827</v>
      </c>
      <c r="C290" s="121" t="str">
        <f t="shared" si="10"/>
        <v>http://www.augusta.va.gov/contact/phone_directory.asp</v>
      </c>
    </row>
    <row r="291" ht="14.25" hidden="1" customHeight="1">
      <c r="A291" s="8" t="s">
        <v>1767</v>
      </c>
      <c r="B291" s="8" t="s">
        <v>827</v>
      </c>
      <c r="C291" s="121" t="str">
        <f t="shared" si="10"/>
        <v>http://www.augusta.va.gov/contact/phone_directory.asp</v>
      </c>
    </row>
    <row r="292" ht="14.25" hidden="1" customHeight="1">
      <c r="A292" s="8" t="s">
        <v>1768</v>
      </c>
      <c r="B292" s="8" t="s">
        <v>837</v>
      </c>
      <c r="C292" s="121" t="str">
        <f t="shared" ref="C292:C313" si="11">HYPERLINK("http://www.bath.va.gov/contact/phone_directory.asp")</f>
        <v>http://www.bath.va.gov/contact/phone_directory.asp</v>
      </c>
    </row>
    <row r="293" ht="14.25" hidden="1" customHeight="1">
      <c r="A293" s="8" t="s">
        <v>475</v>
      </c>
      <c r="B293" s="8" t="s">
        <v>837</v>
      </c>
      <c r="C293" s="121" t="str">
        <f t="shared" si="11"/>
        <v>http://www.bath.va.gov/contact/phone_directory.asp</v>
      </c>
    </row>
    <row r="294" ht="14.25" hidden="1" customHeight="1">
      <c r="A294" s="8" t="s">
        <v>618</v>
      </c>
      <c r="B294" s="8" t="s">
        <v>837</v>
      </c>
      <c r="C294" s="121" t="str">
        <f t="shared" si="11"/>
        <v>http://www.bath.va.gov/contact/phone_directory.asp</v>
      </c>
    </row>
    <row r="295" ht="14.25" hidden="1" customHeight="1">
      <c r="A295" s="8" t="s">
        <v>624</v>
      </c>
      <c r="B295" s="8" t="s">
        <v>837</v>
      </c>
      <c r="C295" s="121" t="str">
        <f t="shared" si="11"/>
        <v>http://www.bath.va.gov/contact/phone_directory.asp</v>
      </c>
    </row>
    <row r="296" ht="14.25" hidden="1" customHeight="1">
      <c r="A296" s="8" t="s">
        <v>1771</v>
      </c>
      <c r="B296" s="8" t="s">
        <v>837</v>
      </c>
      <c r="C296" s="121" t="str">
        <f t="shared" si="11"/>
        <v>http://www.bath.va.gov/contact/phone_directory.asp</v>
      </c>
    </row>
    <row r="297" ht="14.25" hidden="1" customHeight="1">
      <c r="A297" s="8" t="s">
        <v>864</v>
      </c>
      <c r="B297" s="8" t="s">
        <v>837</v>
      </c>
      <c r="C297" s="121" t="str">
        <f t="shared" si="11"/>
        <v>http://www.bath.va.gov/contact/phone_directory.asp</v>
      </c>
    </row>
    <row r="298" ht="14.25" hidden="1" customHeight="1">
      <c r="A298" s="8" t="s">
        <v>638</v>
      </c>
      <c r="B298" s="8" t="s">
        <v>837</v>
      </c>
      <c r="C298" s="121" t="str">
        <f t="shared" si="11"/>
        <v>http://www.bath.va.gov/contact/phone_directory.asp</v>
      </c>
    </row>
    <row r="299" ht="14.25" hidden="1" customHeight="1">
      <c r="A299" s="8" t="s">
        <v>1773</v>
      </c>
      <c r="B299" s="8" t="s">
        <v>837</v>
      </c>
      <c r="C299" s="121" t="str">
        <f t="shared" si="11"/>
        <v>http://www.bath.va.gov/contact/phone_directory.asp</v>
      </c>
    </row>
    <row r="300" ht="14.25" hidden="1" customHeight="1">
      <c r="A300" s="8" t="s">
        <v>663</v>
      </c>
      <c r="B300" s="8" t="s">
        <v>837</v>
      </c>
      <c r="C300" s="121" t="str">
        <f t="shared" si="11"/>
        <v>http://www.bath.va.gov/contact/phone_directory.asp</v>
      </c>
    </row>
    <row r="301" ht="14.25" hidden="1" customHeight="1">
      <c r="A301" s="8" t="s">
        <v>1438</v>
      </c>
      <c r="B301" s="8" t="s">
        <v>837</v>
      </c>
      <c r="C301" s="121" t="str">
        <f t="shared" si="11"/>
        <v>http://www.bath.va.gov/contact/phone_directory.asp</v>
      </c>
    </row>
    <row r="302" ht="14.25" hidden="1" customHeight="1">
      <c r="A302" s="8" t="s">
        <v>1439</v>
      </c>
      <c r="B302" s="8" t="s">
        <v>837</v>
      </c>
      <c r="C302" s="121" t="str">
        <f t="shared" si="11"/>
        <v>http://www.bath.va.gov/contact/phone_directory.asp</v>
      </c>
    </row>
    <row r="303" ht="14.25" hidden="1" customHeight="1">
      <c r="A303" s="8" t="s">
        <v>1600</v>
      </c>
      <c r="B303" s="8" t="s">
        <v>837</v>
      </c>
      <c r="C303" s="121" t="str">
        <f t="shared" si="11"/>
        <v>http://www.bath.va.gov/contact/phone_directory.asp</v>
      </c>
    </row>
    <row r="304" ht="14.25" hidden="1" customHeight="1">
      <c r="A304" s="8" t="s">
        <v>670</v>
      </c>
      <c r="B304" s="8" t="s">
        <v>837</v>
      </c>
      <c r="C304" s="121" t="str">
        <f t="shared" si="11"/>
        <v>http://www.bath.va.gov/contact/phone_directory.asp</v>
      </c>
    </row>
    <row r="305" ht="14.25" hidden="1" customHeight="1">
      <c r="A305" s="8" t="s">
        <v>1776</v>
      </c>
      <c r="B305" s="8" t="s">
        <v>837</v>
      </c>
      <c r="C305" s="121" t="str">
        <f t="shared" si="11"/>
        <v>http://www.bath.va.gov/contact/phone_directory.asp</v>
      </c>
    </row>
    <row r="306" ht="14.25" hidden="1" customHeight="1">
      <c r="A306" s="8" t="s">
        <v>1777</v>
      </c>
      <c r="B306" s="8" t="s">
        <v>837</v>
      </c>
      <c r="C306" s="121" t="str">
        <f t="shared" si="11"/>
        <v>http://www.bath.va.gov/contact/phone_directory.asp</v>
      </c>
    </row>
    <row r="307" ht="14.25" hidden="1" customHeight="1">
      <c r="A307" s="8" t="s">
        <v>694</v>
      </c>
      <c r="B307" s="8" t="s">
        <v>837</v>
      </c>
      <c r="C307" s="121" t="str">
        <f t="shared" si="11"/>
        <v>http://www.bath.va.gov/contact/phone_directory.asp</v>
      </c>
    </row>
    <row r="308" ht="14.25" hidden="1" customHeight="1">
      <c r="A308" s="8" t="s">
        <v>1778</v>
      </c>
      <c r="B308" s="8" t="s">
        <v>837</v>
      </c>
      <c r="C308" s="121" t="str">
        <f t="shared" si="11"/>
        <v>http://www.bath.va.gov/contact/phone_directory.asp</v>
      </c>
    </row>
    <row r="309" ht="14.25" hidden="1" customHeight="1">
      <c r="A309" s="8" t="s">
        <v>1779</v>
      </c>
      <c r="B309" s="8" t="s">
        <v>837</v>
      </c>
      <c r="C309" s="121" t="str">
        <f t="shared" si="11"/>
        <v>http://www.bath.va.gov/contact/phone_directory.asp</v>
      </c>
    </row>
    <row r="310" ht="14.25" hidden="1" customHeight="1">
      <c r="A310" s="8" t="s">
        <v>504</v>
      </c>
      <c r="B310" s="8" t="s">
        <v>837</v>
      </c>
      <c r="C310" s="121" t="str">
        <f t="shared" si="11"/>
        <v>http://www.bath.va.gov/contact/phone_directory.asp</v>
      </c>
    </row>
    <row r="311" ht="14.25" hidden="1" customHeight="1">
      <c r="A311" s="8" t="s">
        <v>708</v>
      </c>
      <c r="B311" s="8" t="s">
        <v>837</v>
      </c>
      <c r="C311" s="121" t="str">
        <f t="shared" si="11"/>
        <v>http://www.bath.va.gov/contact/phone_directory.asp</v>
      </c>
    </row>
    <row r="312" ht="14.25" hidden="1" customHeight="1">
      <c r="A312" s="8" t="s">
        <v>1780</v>
      </c>
      <c r="B312" s="8" t="s">
        <v>837</v>
      </c>
      <c r="C312" s="121" t="str">
        <f t="shared" si="11"/>
        <v>http://www.bath.va.gov/contact/phone_directory.asp</v>
      </c>
    </row>
    <row r="313" ht="14.25" hidden="1" customHeight="1">
      <c r="A313" s="8" t="s">
        <v>1367</v>
      </c>
      <c r="B313" s="8" t="s">
        <v>837</v>
      </c>
      <c r="C313" s="121" t="str">
        <f t="shared" si="11"/>
        <v>http://www.bath.va.gov/contact/phone_directory.asp</v>
      </c>
    </row>
    <row r="314" ht="14.25" hidden="1" customHeight="1">
      <c r="A314" s="8" t="s">
        <v>1781</v>
      </c>
      <c r="B314" s="8" t="s">
        <v>860</v>
      </c>
      <c r="C314" s="121" t="str">
        <f t="shared" ref="C314:C347" si="12">HYPERLINK("http://www.battlecreek.va.gov/contact/phone_directory.asp")</f>
        <v>http://www.battlecreek.va.gov/contact/phone_directory.asp</v>
      </c>
    </row>
    <row r="315" ht="14.25" hidden="1" customHeight="1">
      <c r="A315" s="8" t="s">
        <v>638</v>
      </c>
      <c r="B315" s="8" t="s">
        <v>860</v>
      </c>
      <c r="C315" s="121" t="str">
        <f t="shared" si="12"/>
        <v>http://www.battlecreek.va.gov/contact/phone_directory.asp</v>
      </c>
    </row>
    <row r="316" ht="14.25" hidden="1" customHeight="1">
      <c r="A316" s="8" t="s">
        <v>1782</v>
      </c>
      <c r="B316" s="8" t="s">
        <v>860</v>
      </c>
      <c r="C316" s="121" t="str">
        <f t="shared" si="12"/>
        <v>http://www.battlecreek.va.gov/contact/phone_directory.asp</v>
      </c>
    </row>
    <row r="317" ht="14.25" hidden="1" customHeight="1">
      <c r="A317" s="8" t="s">
        <v>663</v>
      </c>
      <c r="B317" s="8" t="s">
        <v>860</v>
      </c>
      <c r="C317" s="121" t="str">
        <f t="shared" si="12"/>
        <v>http://www.battlecreek.va.gov/contact/phone_directory.asp</v>
      </c>
    </row>
    <row r="318" ht="14.25" hidden="1" customHeight="1">
      <c r="A318" s="8" t="s">
        <v>309</v>
      </c>
      <c r="B318" s="8" t="s">
        <v>860</v>
      </c>
      <c r="C318" s="121" t="str">
        <f t="shared" si="12"/>
        <v>http://www.battlecreek.va.gov/contact/phone_directory.asp</v>
      </c>
    </row>
    <row r="319" ht="14.25" hidden="1" customHeight="1">
      <c r="A319" s="8" t="s">
        <v>1138</v>
      </c>
      <c r="B319" s="8" t="s">
        <v>860</v>
      </c>
      <c r="C319" s="121" t="str">
        <f t="shared" si="12"/>
        <v>http://www.battlecreek.va.gov/contact/phone_directory.asp</v>
      </c>
    </row>
    <row r="320" ht="14.25" hidden="1" customHeight="1">
      <c r="A320" s="8" t="s">
        <v>1306</v>
      </c>
      <c r="B320" s="8" t="s">
        <v>860</v>
      </c>
      <c r="C320" s="121" t="str">
        <f t="shared" si="12"/>
        <v>http://www.battlecreek.va.gov/contact/phone_directory.asp</v>
      </c>
    </row>
    <row r="321" ht="14.25" hidden="1" customHeight="1">
      <c r="A321" s="8" t="s">
        <v>1784</v>
      </c>
      <c r="B321" s="8" t="s">
        <v>860</v>
      </c>
      <c r="C321" s="121" t="str">
        <f t="shared" si="12"/>
        <v>http://www.battlecreek.va.gov/contact/phone_directory.asp</v>
      </c>
    </row>
    <row r="322" ht="14.25" hidden="1" customHeight="1">
      <c r="A322" s="8" t="s">
        <v>1785</v>
      </c>
      <c r="B322" s="8" t="s">
        <v>860</v>
      </c>
      <c r="C322" s="121" t="str">
        <f t="shared" si="12"/>
        <v>http://www.battlecreek.va.gov/contact/phone_directory.asp</v>
      </c>
    </row>
    <row r="323" ht="14.25" hidden="1" customHeight="1">
      <c r="A323" s="8" t="s">
        <v>481</v>
      </c>
      <c r="B323" s="8" t="s">
        <v>860</v>
      </c>
      <c r="C323" s="121" t="str">
        <f t="shared" si="12"/>
        <v>http://www.battlecreek.va.gov/contact/phone_directory.asp</v>
      </c>
    </row>
    <row r="324" ht="14.25" hidden="1" customHeight="1">
      <c r="A324" s="8" t="s">
        <v>683</v>
      </c>
      <c r="B324" s="8" t="s">
        <v>860</v>
      </c>
      <c r="C324" s="121" t="str">
        <f t="shared" si="12"/>
        <v>http://www.battlecreek.va.gov/contact/phone_directory.asp</v>
      </c>
    </row>
    <row r="325" ht="14.25" hidden="1" customHeight="1">
      <c r="A325" s="8" t="s">
        <v>1787</v>
      </c>
      <c r="B325" s="8" t="s">
        <v>860</v>
      </c>
      <c r="C325" s="121" t="str">
        <f t="shared" si="12"/>
        <v>http://www.battlecreek.va.gov/contact/phone_directory.asp</v>
      </c>
    </row>
    <row r="326" ht="14.25" hidden="1" customHeight="1">
      <c r="A326" s="8" t="s">
        <v>691</v>
      </c>
      <c r="B326" s="8" t="s">
        <v>860</v>
      </c>
      <c r="C326" s="121" t="str">
        <f t="shared" si="12"/>
        <v>http://www.battlecreek.va.gov/contact/phone_directory.asp</v>
      </c>
    </row>
    <row r="327" ht="14.25" hidden="1" customHeight="1">
      <c r="A327" s="8" t="s">
        <v>603</v>
      </c>
      <c r="B327" s="8" t="s">
        <v>860</v>
      </c>
      <c r="C327" s="121" t="str">
        <f t="shared" si="12"/>
        <v>http://www.battlecreek.va.gov/contact/phone_directory.asp</v>
      </c>
    </row>
    <row r="328" ht="14.25" hidden="1" customHeight="1">
      <c r="A328" s="8" t="s">
        <v>1655</v>
      </c>
      <c r="B328" s="8" t="s">
        <v>860</v>
      </c>
      <c r="C328" s="121" t="str">
        <f t="shared" si="12"/>
        <v>http://www.battlecreek.va.gov/contact/phone_directory.asp</v>
      </c>
    </row>
    <row r="329" ht="14.25" hidden="1" customHeight="1">
      <c r="A329" s="8" t="s">
        <v>1789</v>
      </c>
      <c r="B329" s="8" t="s">
        <v>860</v>
      </c>
      <c r="C329" s="121" t="str">
        <f t="shared" si="12"/>
        <v>http://www.battlecreek.va.gov/contact/phone_directory.asp</v>
      </c>
    </row>
    <row r="330" ht="14.25" hidden="1" customHeight="1">
      <c r="A330" s="8" t="s">
        <v>1790</v>
      </c>
      <c r="B330" s="8" t="s">
        <v>860</v>
      </c>
      <c r="C330" s="121" t="str">
        <f t="shared" si="12"/>
        <v>http://www.battlecreek.va.gov/contact/phone_directory.asp</v>
      </c>
    </row>
    <row r="331" ht="14.25" hidden="1" customHeight="1">
      <c r="A331" s="8" t="s">
        <v>697</v>
      </c>
      <c r="B331" s="8" t="s">
        <v>860</v>
      </c>
      <c r="C331" s="121" t="str">
        <f t="shared" si="12"/>
        <v>http://www.battlecreek.va.gov/contact/phone_directory.asp</v>
      </c>
    </row>
    <row r="332" ht="14.25" hidden="1" customHeight="1">
      <c r="A332" s="8" t="s">
        <v>344</v>
      </c>
      <c r="B332" s="8" t="s">
        <v>860</v>
      </c>
      <c r="C332" s="121" t="str">
        <f t="shared" si="12"/>
        <v>http://www.battlecreek.va.gov/contact/phone_directory.asp</v>
      </c>
    </row>
    <row r="333" ht="14.25" hidden="1" customHeight="1">
      <c r="A333" s="8" t="s">
        <v>450</v>
      </c>
      <c r="B333" s="8" t="s">
        <v>860</v>
      </c>
      <c r="C333" s="121" t="str">
        <f t="shared" si="12"/>
        <v>http://www.battlecreek.va.gov/contact/phone_directory.asp</v>
      </c>
    </row>
    <row r="334" ht="14.25" hidden="1" customHeight="1">
      <c r="A334" s="8" t="s">
        <v>1791</v>
      </c>
      <c r="B334" s="8" t="s">
        <v>860</v>
      </c>
      <c r="C334" s="121" t="str">
        <f t="shared" si="12"/>
        <v>http://www.battlecreek.va.gov/contact/phone_directory.asp</v>
      </c>
    </row>
    <row r="335" ht="14.25" hidden="1" customHeight="1">
      <c r="A335" s="8" t="s">
        <v>348</v>
      </c>
      <c r="B335" s="8" t="s">
        <v>860</v>
      </c>
      <c r="C335" s="121" t="str">
        <f t="shared" si="12"/>
        <v>http://www.battlecreek.va.gov/contact/phone_directory.asp</v>
      </c>
    </row>
    <row r="336" ht="14.25" hidden="1" customHeight="1">
      <c r="A336" s="8" t="s">
        <v>1793</v>
      </c>
      <c r="B336" s="8" t="s">
        <v>860</v>
      </c>
      <c r="C336" s="121" t="str">
        <f t="shared" si="12"/>
        <v>http://www.battlecreek.va.gov/contact/phone_directory.asp</v>
      </c>
    </row>
    <row r="337" ht="14.25" hidden="1" customHeight="1">
      <c r="A337" s="8" t="s">
        <v>708</v>
      </c>
      <c r="B337" s="8" t="s">
        <v>860</v>
      </c>
      <c r="C337" s="121" t="str">
        <f t="shared" si="12"/>
        <v>http://www.battlecreek.va.gov/contact/phone_directory.asp</v>
      </c>
    </row>
    <row r="338" ht="14.25" hidden="1" customHeight="1">
      <c r="A338" s="8" t="s">
        <v>1054</v>
      </c>
      <c r="B338" s="8" t="s">
        <v>860</v>
      </c>
      <c r="C338" s="121" t="str">
        <f t="shared" si="12"/>
        <v>http://www.battlecreek.va.gov/contact/phone_directory.asp</v>
      </c>
    </row>
    <row r="339" ht="14.25" hidden="1" customHeight="1">
      <c r="A339" s="8" t="s">
        <v>1171</v>
      </c>
      <c r="B339" s="8" t="s">
        <v>860</v>
      </c>
      <c r="C339" s="121" t="str">
        <f t="shared" si="12"/>
        <v>http://www.battlecreek.va.gov/contact/phone_directory.asp</v>
      </c>
    </row>
    <row r="340" ht="14.25" hidden="1" customHeight="1">
      <c r="A340" s="8" t="s">
        <v>1795</v>
      </c>
      <c r="B340" s="8" t="s">
        <v>860</v>
      </c>
      <c r="C340" s="121" t="str">
        <f t="shared" si="12"/>
        <v>http://www.battlecreek.va.gov/contact/phone_directory.asp</v>
      </c>
    </row>
    <row r="341" ht="14.25" hidden="1" customHeight="1">
      <c r="A341" s="8" t="s">
        <v>712</v>
      </c>
      <c r="B341" s="8" t="s">
        <v>860</v>
      </c>
      <c r="C341" s="121" t="str">
        <f t="shared" si="12"/>
        <v>http://www.battlecreek.va.gov/contact/phone_directory.asp</v>
      </c>
    </row>
    <row r="342" ht="14.25" hidden="1" customHeight="1">
      <c r="A342" s="8" t="s">
        <v>932</v>
      </c>
      <c r="B342" s="8" t="s">
        <v>860</v>
      </c>
      <c r="C342" s="121" t="str">
        <f t="shared" si="12"/>
        <v>http://www.battlecreek.va.gov/contact/phone_directory.asp</v>
      </c>
    </row>
    <row r="343" ht="14.25" hidden="1" customHeight="1">
      <c r="A343" s="8" t="s">
        <v>932</v>
      </c>
      <c r="B343" s="8" t="s">
        <v>860</v>
      </c>
      <c r="C343" s="121" t="str">
        <f t="shared" si="12"/>
        <v>http://www.battlecreek.va.gov/contact/phone_directory.asp</v>
      </c>
    </row>
    <row r="344" ht="14.25" hidden="1" customHeight="1">
      <c r="A344" s="8" t="s">
        <v>1796</v>
      </c>
      <c r="B344" s="8" t="s">
        <v>860</v>
      </c>
      <c r="C344" s="121" t="str">
        <f t="shared" si="12"/>
        <v>http://www.battlecreek.va.gov/contact/phone_directory.asp</v>
      </c>
    </row>
    <row r="345" ht="14.25" hidden="1" customHeight="1">
      <c r="A345" s="8" t="s">
        <v>469</v>
      </c>
      <c r="B345" s="8" t="s">
        <v>860</v>
      </c>
      <c r="C345" s="121" t="str">
        <f t="shared" si="12"/>
        <v>http://www.battlecreek.va.gov/contact/phone_directory.asp</v>
      </c>
    </row>
    <row r="346" ht="14.25" hidden="1" customHeight="1">
      <c r="A346" s="8" t="s">
        <v>1798</v>
      </c>
      <c r="B346" s="8" t="s">
        <v>860</v>
      </c>
      <c r="C346" s="121" t="str">
        <f t="shared" si="12"/>
        <v>http://www.battlecreek.va.gov/contact/phone_directory.asp</v>
      </c>
    </row>
    <row r="347" ht="14.25" hidden="1" customHeight="1">
      <c r="A347" s="8" t="s">
        <v>518</v>
      </c>
      <c r="B347" s="8" t="s">
        <v>860</v>
      </c>
      <c r="C347" s="121" t="str">
        <f t="shared" si="12"/>
        <v>http://www.battlecreek.va.gov/contact/phone_directory.asp</v>
      </c>
    </row>
    <row r="348" ht="14.25" hidden="1" customHeight="1">
      <c r="A348" s="8" t="s">
        <v>639</v>
      </c>
      <c r="B348" s="8" t="s">
        <v>944</v>
      </c>
      <c r="C348" s="121" t="str">
        <f t="shared" ref="C348:C354" si="13">HYPERLINK("http://www.baypines.va.gov/contact/phone_directory.asp")</f>
        <v>http://www.baypines.va.gov/contact/phone_directory.asp</v>
      </c>
    </row>
    <row r="349" ht="14.25" hidden="1" customHeight="1">
      <c r="A349" s="8" t="s">
        <v>455</v>
      </c>
      <c r="B349" s="8" t="s">
        <v>944</v>
      </c>
      <c r="C349" s="121" t="str">
        <f t="shared" si="13"/>
        <v>http://www.baypines.va.gov/contact/phone_directory.asp</v>
      </c>
    </row>
    <row r="350" ht="14.25" hidden="1" customHeight="1">
      <c r="A350" s="8" t="s">
        <v>1800</v>
      </c>
      <c r="B350" s="8" t="s">
        <v>944</v>
      </c>
      <c r="C350" s="121" t="str">
        <f t="shared" si="13"/>
        <v>http://www.baypines.va.gov/contact/phone_directory.asp</v>
      </c>
    </row>
    <row r="351" ht="14.25" hidden="1" customHeight="1">
      <c r="A351" s="8" t="s">
        <v>670</v>
      </c>
      <c r="B351" s="8" t="s">
        <v>944</v>
      </c>
      <c r="C351" s="121" t="str">
        <f t="shared" si="13"/>
        <v>http://www.baypines.va.gov/contact/phone_directory.asp</v>
      </c>
    </row>
    <row r="352" ht="14.25" hidden="1" customHeight="1">
      <c r="A352" s="8" t="s">
        <v>694</v>
      </c>
      <c r="B352" s="8" t="s">
        <v>944</v>
      </c>
      <c r="C352" s="121" t="str">
        <f t="shared" si="13"/>
        <v>http://www.baypines.va.gov/contact/phone_directory.asp</v>
      </c>
    </row>
    <row r="353" ht="14.25" hidden="1" customHeight="1">
      <c r="A353" s="8" t="s">
        <v>697</v>
      </c>
      <c r="B353" s="8" t="s">
        <v>944</v>
      </c>
      <c r="C353" s="121" t="str">
        <f t="shared" si="13"/>
        <v>http://www.baypines.va.gov/contact/phone_directory.asp</v>
      </c>
    </row>
    <row r="354" ht="14.25" hidden="1" customHeight="1">
      <c r="A354" s="8" t="s">
        <v>518</v>
      </c>
      <c r="B354" s="8" t="s">
        <v>944</v>
      </c>
      <c r="C354" s="121" t="str">
        <f t="shared" si="13"/>
        <v>http://www.baypines.va.gov/contact/phone_directory.asp</v>
      </c>
    </row>
    <row r="355" ht="14.25" hidden="1" customHeight="1">
      <c r="A355" s="8" t="s">
        <v>1801</v>
      </c>
      <c r="B355" s="8" t="s">
        <v>971</v>
      </c>
      <c r="C355" s="121" t="str">
        <f t="shared" ref="C355:C380" si="14">HYPERLINK("http://www.beckley.va.gov/contact/phone_directory.asp")</f>
        <v>http://www.beckley.va.gov/contact/phone_directory.asp</v>
      </c>
    </row>
    <row r="356" ht="14.25" hidden="1" customHeight="1">
      <c r="A356" s="8" t="s">
        <v>624</v>
      </c>
      <c r="B356" s="8" t="s">
        <v>971</v>
      </c>
      <c r="C356" s="121" t="str">
        <f t="shared" si="14"/>
        <v>http://www.beckley.va.gov/contact/phone_directory.asp</v>
      </c>
    </row>
    <row r="357" ht="14.25" hidden="1" customHeight="1">
      <c r="A357" s="8" t="s">
        <v>631</v>
      </c>
      <c r="B357" s="8" t="s">
        <v>971</v>
      </c>
      <c r="C357" s="121" t="str">
        <f t="shared" si="14"/>
        <v>http://www.beckley.va.gov/contact/phone_directory.asp</v>
      </c>
    </row>
    <row r="358" ht="14.25" hidden="1" customHeight="1">
      <c r="A358" s="8" t="s">
        <v>1802</v>
      </c>
      <c r="B358" s="8" t="s">
        <v>971</v>
      </c>
      <c r="C358" s="121" t="str">
        <f t="shared" si="14"/>
        <v>http://www.beckley.va.gov/contact/phone_directory.asp</v>
      </c>
    </row>
    <row r="359" ht="14.25" hidden="1" customHeight="1">
      <c r="A359" s="8" t="s">
        <v>638</v>
      </c>
      <c r="B359" s="8" t="s">
        <v>971</v>
      </c>
      <c r="C359" s="121" t="str">
        <f t="shared" si="14"/>
        <v>http://www.beckley.va.gov/contact/phone_directory.asp</v>
      </c>
    </row>
    <row r="360" ht="14.25" hidden="1" customHeight="1">
      <c r="A360" s="8" t="s">
        <v>478</v>
      </c>
      <c r="B360" s="8" t="s">
        <v>971</v>
      </c>
      <c r="C360" s="121" t="str">
        <f t="shared" si="14"/>
        <v>http://www.beckley.va.gov/contact/phone_directory.asp</v>
      </c>
    </row>
    <row r="361" ht="14.25" hidden="1" customHeight="1">
      <c r="A361" s="8" t="s">
        <v>455</v>
      </c>
      <c r="B361" s="8" t="s">
        <v>971</v>
      </c>
      <c r="C361" s="121" t="str">
        <f t="shared" si="14"/>
        <v>http://www.beckley.va.gov/contact/phone_directory.asp</v>
      </c>
    </row>
    <row r="362" ht="14.25" hidden="1" customHeight="1">
      <c r="A362" s="8" t="s">
        <v>304</v>
      </c>
      <c r="B362" s="8" t="s">
        <v>971</v>
      </c>
      <c r="C362" s="121" t="str">
        <f t="shared" si="14"/>
        <v>http://www.beckley.va.gov/contact/phone_directory.asp</v>
      </c>
    </row>
    <row r="363" ht="14.25" hidden="1" customHeight="1">
      <c r="A363" s="8" t="s">
        <v>1671</v>
      </c>
      <c r="B363" s="8" t="s">
        <v>971</v>
      </c>
      <c r="C363" s="121" t="str">
        <f t="shared" si="14"/>
        <v>http://www.beckley.va.gov/contact/phone_directory.asp</v>
      </c>
    </row>
    <row r="364" ht="14.25" hidden="1" customHeight="1">
      <c r="A364" s="8" t="s">
        <v>1806</v>
      </c>
      <c r="B364" s="8" t="s">
        <v>971</v>
      </c>
      <c r="C364" s="121" t="str">
        <f t="shared" si="14"/>
        <v>http://www.beckley.va.gov/contact/phone_directory.asp</v>
      </c>
    </row>
    <row r="365" ht="14.25" hidden="1" customHeight="1">
      <c r="A365" s="8" t="s">
        <v>663</v>
      </c>
      <c r="B365" s="8" t="s">
        <v>971</v>
      </c>
      <c r="C365" s="121" t="str">
        <f t="shared" si="14"/>
        <v>http://www.beckley.va.gov/contact/phone_directory.asp</v>
      </c>
    </row>
    <row r="366" ht="14.25" hidden="1" customHeight="1">
      <c r="A366" s="8" t="s">
        <v>1672</v>
      </c>
      <c r="B366" s="8" t="s">
        <v>971</v>
      </c>
      <c r="C366" s="121" t="str">
        <f t="shared" si="14"/>
        <v>http://www.beckley.va.gov/contact/phone_directory.asp</v>
      </c>
    </row>
    <row r="367" ht="14.25" hidden="1" customHeight="1">
      <c r="A367" s="8" t="s">
        <v>1147</v>
      </c>
      <c r="B367" s="8" t="s">
        <v>971</v>
      </c>
      <c r="C367" s="121" t="str">
        <f t="shared" si="14"/>
        <v>http://www.beckley.va.gov/contact/phone_directory.asp</v>
      </c>
    </row>
    <row r="368" ht="14.25" hidden="1" customHeight="1">
      <c r="A368" s="8" t="s">
        <v>1583</v>
      </c>
      <c r="B368" s="8" t="s">
        <v>971</v>
      </c>
      <c r="C368" s="121" t="str">
        <f t="shared" si="14"/>
        <v>http://www.beckley.va.gov/contact/phone_directory.asp</v>
      </c>
    </row>
    <row r="369" ht="14.25" hidden="1" customHeight="1">
      <c r="A369" s="8" t="s">
        <v>683</v>
      </c>
      <c r="B369" s="8" t="s">
        <v>971</v>
      </c>
      <c r="C369" s="121" t="str">
        <f t="shared" si="14"/>
        <v>http://www.beckley.va.gov/contact/phone_directory.asp</v>
      </c>
    </row>
    <row r="370" ht="14.25" hidden="1" customHeight="1">
      <c r="A370" s="8" t="s">
        <v>1808</v>
      </c>
      <c r="B370" s="8" t="s">
        <v>971</v>
      </c>
      <c r="C370" s="121" t="str">
        <f t="shared" si="14"/>
        <v>http://www.beckley.va.gov/contact/phone_directory.asp</v>
      </c>
    </row>
    <row r="371" ht="14.25" hidden="1" customHeight="1">
      <c r="A371" s="8" t="s">
        <v>691</v>
      </c>
      <c r="B371" s="8" t="s">
        <v>971</v>
      </c>
      <c r="C371" s="121" t="str">
        <f t="shared" si="14"/>
        <v>http://www.beckley.va.gov/contact/phone_directory.asp</v>
      </c>
    </row>
    <row r="372" ht="14.25" hidden="1" customHeight="1">
      <c r="A372" s="8" t="s">
        <v>335</v>
      </c>
      <c r="B372" s="8" t="s">
        <v>971</v>
      </c>
      <c r="C372" s="121" t="str">
        <f t="shared" si="14"/>
        <v>http://www.beckley.va.gov/contact/phone_directory.asp</v>
      </c>
    </row>
    <row r="373" ht="14.25" hidden="1" customHeight="1">
      <c r="A373" s="8" t="s">
        <v>907</v>
      </c>
      <c r="B373" s="8" t="s">
        <v>971</v>
      </c>
      <c r="C373" s="121" t="str">
        <f t="shared" si="14"/>
        <v>http://www.beckley.va.gov/contact/phone_directory.asp</v>
      </c>
    </row>
    <row r="374" ht="14.25" hidden="1" customHeight="1">
      <c r="A374" s="8" t="s">
        <v>697</v>
      </c>
      <c r="B374" s="8" t="s">
        <v>971</v>
      </c>
      <c r="C374" s="121" t="str">
        <f t="shared" si="14"/>
        <v>http://www.beckley.va.gov/contact/phone_directory.asp</v>
      </c>
    </row>
    <row r="375" ht="14.25" hidden="1" customHeight="1">
      <c r="A375" s="8" t="s">
        <v>353</v>
      </c>
      <c r="B375" s="8" t="s">
        <v>971</v>
      </c>
      <c r="C375" s="121" t="str">
        <f t="shared" si="14"/>
        <v>http://www.beckley.va.gov/contact/phone_directory.asp</v>
      </c>
    </row>
    <row r="376" ht="14.25" hidden="1" customHeight="1">
      <c r="A376" s="8" t="s">
        <v>708</v>
      </c>
      <c r="B376" s="8" t="s">
        <v>971</v>
      </c>
      <c r="C376" s="121" t="str">
        <f t="shared" si="14"/>
        <v>http://www.beckley.va.gov/contact/phone_directory.asp</v>
      </c>
    </row>
    <row r="377" ht="14.25" hidden="1" customHeight="1">
      <c r="A377" s="8" t="s">
        <v>712</v>
      </c>
      <c r="B377" s="8" t="s">
        <v>971</v>
      </c>
      <c r="C377" s="121" t="str">
        <f t="shared" si="14"/>
        <v>http://www.beckley.va.gov/contact/phone_directory.asp</v>
      </c>
    </row>
    <row r="378" ht="14.25" hidden="1" customHeight="1">
      <c r="A378" s="8" t="s">
        <v>724</v>
      </c>
      <c r="B378" s="8" t="s">
        <v>971</v>
      </c>
      <c r="C378" s="121" t="str">
        <f t="shared" si="14"/>
        <v>http://www.beckley.va.gov/contact/phone_directory.asp</v>
      </c>
    </row>
    <row r="379" ht="14.25" hidden="1" customHeight="1">
      <c r="A379" s="8" t="s">
        <v>469</v>
      </c>
      <c r="B379" s="8" t="s">
        <v>971</v>
      </c>
      <c r="C379" s="121" t="str">
        <f t="shared" si="14"/>
        <v>http://www.beckley.va.gov/contact/phone_directory.asp</v>
      </c>
    </row>
    <row r="380" ht="14.25" hidden="1" customHeight="1">
      <c r="A380" s="8" t="s">
        <v>734</v>
      </c>
      <c r="B380" s="8" t="s">
        <v>971</v>
      </c>
      <c r="C380" s="121" t="str">
        <f t="shared" si="14"/>
        <v>http://www.beckley.va.gov/contact/phone_directory.asp</v>
      </c>
    </row>
    <row r="381" ht="14.25" hidden="1" customHeight="1">
      <c r="A381" s="8" t="s">
        <v>1810</v>
      </c>
      <c r="B381" s="8" t="s">
        <v>974</v>
      </c>
      <c r="C381" s="121" t="str">
        <f t="shared" ref="C381:C397" si="15">HYPERLINK("http://www.bedford.va.gov/contact/phone_directory.asp")</f>
        <v>http://www.bedford.va.gov/contact/phone_directory.asp</v>
      </c>
    </row>
    <row r="382" ht="14.25" hidden="1" customHeight="1">
      <c r="A382" s="8" t="s">
        <v>621</v>
      </c>
      <c r="B382" s="8" t="s">
        <v>974</v>
      </c>
      <c r="C382" s="121" t="str">
        <f t="shared" si="15"/>
        <v>http://www.bedford.va.gov/contact/phone_directory.asp</v>
      </c>
    </row>
    <row r="383" ht="14.25" hidden="1" customHeight="1">
      <c r="A383" s="8" t="s">
        <v>1811</v>
      </c>
      <c r="B383" s="8" t="s">
        <v>974</v>
      </c>
      <c r="C383" s="121" t="str">
        <f t="shared" si="15"/>
        <v>http://www.bedford.va.gov/contact/phone_directory.asp</v>
      </c>
    </row>
    <row r="384" ht="14.25" hidden="1" customHeight="1">
      <c r="A384" s="8" t="s">
        <v>1812</v>
      </c>
      <c r="B384" s="8" t="s">
        <v>974</v>
      </c>
      <c r="C384" s="121" t="str">
        <f t="shared" si="15"/>
        <v>http://www.bedford.va.gov/contact/phone_directory.asp</v>
      </c>
    </row>
    <row r="385" ht="14.25" hidden="1" customHeight="1">
      <c r="A385" s="8" t="s">
        <v>875</v>
      </c>
      <c r="B385" s="8" t="s">
        <v>974</v>
      </c>
      <c r="C385" s="121" t="str">
        <f t="shared" si="15"/>
        <v>http://www.bedford.va.gov/contact/phone_directory.asp</v>
      </c>
    </row>
    <row r="386" ht="14.25" hidden="1" customHeight="1">
      <c r="A386" s="8" t="s">
        <v>1814</v>
      </c>
      <c r="B386" s="8" t="s">
        <v>974</v>
      </c>
      <c r="C386" s="121" t="str">
        <f t="shared" si="15"/>
        <v>http://www.bedford.va.gov/contact/phone_directory.asp</v>
      </c>
    </row>
    <row r="387" ht="14.25" hidden="1" customHeight="1">
      <c r="A387" s="8" t="s">
        <v>1815</v>
      </c>
      <c r="B387" s="8" t="s">
        <v>974</v>
      </c>
      <c r="C387" s="121" t="str">
        <f t="shared" si="15"/>
        <v>http://www.bedford.va.gov/contact/phone_directory.asp</v>
      </c>
    </row>
    <row r="388" ht="14.25" hidden="1" customHeight="1">
      <c r="A388" s="8" t="s">
        <v>1816</v>
      </c>
      <c r="B388" s="8" t="s">
        <v>974</v>
      </c>
      <c r="C388" s="121" t="str">
        <f t="shared" si="15"/>
        <v>http://www.bedford.va.gov/contact/phone_directory.asp</v>
      </c>
    </row>
    <row r="389" ht="14.25" hidden="1" customHeight="1">
      <c r="A389" s="8" t="s">
        <v>1817</v>
      </c>
      <c r="B389" s="8" t="s">
        <v>974</v>
      </c>
      <c r="C389" s="121" t="str">
        <f t="shared" si="15"/>
        <v>http://www.bedford.va.gov/contact/phone_directory.asp</v>
      </c>
    </row>
    <row r="390" ht="14.25" hidden="1" customHeight="1">
      <c r="A390" s="8" t="s">
        <v>467</v>
      </c>
      <c r="B390" s="8" t="s">
        <v>974</v>
      </c>
      <c r="C390" s="121" t="str">
        <f t="shared" si="15"/>
        <v>http://www.bedford.va.gov/contact/phone_directory.asp</v>
      </c>
    </row>
    <row r="391" ht="14.25" hidden="1" customHeight="1">
      <c r="A391" s="8" t="s">
        <v>670</v>
      </c>
      <c r="B391" s="8" t="s">
        <v>974</v>
      </c>
      <c r="C391" s="121" t="str">
        <f t="shared" si="15"/>
        <v>http://www.bedford.va.gov/contact/phone_directory.asp</v>
      </c>
    </row>
    <row r="392" ht="14.25" hidden="1" customHeight="1">
      <c r="A392" s="8" t="s">
        <v>1605</v>
      </c>
      <c r="B392" s="8" t="s">
        <v>974</v>
      </c>
      <c r="C392" s="121" t="str">
        <f t="shared" si="15"/>
        <v>http://www.bedford.va.gov/contact/phone_directory.asp</v>
      </c>
    </row>
    <row r="393" ht="14.25" hidden="1" customHeight="1">
      <c r="A393" s="8" t="s">
        <v>1778</v>
      </c>
      <c r="B393" s="8" t="s">
        <v>974</v>
      </c>
      <c r="C393" s="121" t="str">
        <f t="shared" si="15"/>
        <v>http://www.bedford.va.gov/contact/phone_directory.asp</v>
      </c>
    </row>
    <row r="394" ht="14.25" hidden="1" customHeight="1">
      <c r="A394" s="8" t="s">
        <v>713</v>
      </c>
      <c r="B394" s="8" t="s">
        <v>974</v>
      </c>
      <c r="C394" s="121" t="str">
        <f t="shared" si="15"/>
        <v>http://www.bedford.va.gov/contact/phone_directory.asp</v>
      </c>
    </row>
    <row r="395" ht="14.25" hidden="1" customHeight="1">
      <c r="A395" s="8" t="s">
        <v>1820</v>
      </c>
      <c r="B395" s="8" t="s">
        <v>974</v>
      </c>
      <c r="C395" s="121" t="str">
        <f t="shared" si="15"/>
        <v>http://www.bedford.va.gov/contact/phone_directory.asp</v>
      </c>
    </row>
    <row r="396" ht="14.25" hidden="1" customHeight="1">
      <c r="A396" s="8" t="s">
        <v>1821</v>
      </c>
      <c r="B396" s="8" t="s">
        <v>974</v>
      </c>
      <c r="C396" s="121" t="str">
        <f t="shared" si="15"/>
        <v>http://www.bedford.va.gov/contact/phone_directory.asp</v>
      </c>
    </row>
    <row r="397" ht="14.25" hidden="1" customHeight="1">
      <c r="A397" s="8" t="s">
        <v>1187</v>
      </c>
      <c r="B397" s="8" t="s">
        <v>974</v>
      </c>
      <c r="C397" s="121" t="str">
        <f t="shared" si="15"/>
        <v>http://www.bedford.va.gov/contact/phone_directory.asp</v>
      </c>
    </row>
    <row r="398" ht="14.25" hidden="1" customHeight="1">
      <c r="A398" s="8" t="s">
        <v>624</v>
      </c>
      <c r="B398" s="8" t="s">
        <v>1050</v>
      </c>
      <c r="C398" s="121" t="str">
        <f t="shared" ref="C398:C402" si="16">HYPERLINK("http://www.bigspring.va.gov/contact/phone_directory.asp")</f>
        <v>http://www.bigspring.va.gov/contact/phone_directory.asp</v>
      </c>
    </row>
    <row r="399" ht="14.25" hidden="1" customHeight="1">
      <c r="A399" s="8" t="s">
        <v>998</v>
      </c>
      <c r="B399" s="8" t="s">
        <v>1050</v>
      </c>
      <c r="C399" s="121" t="str">
        <f t="shared" si="16"/>
        <v>http://www.bigspring.va.gov/contact/phone_directory.asp</v>
      </c>
    </row>
    <row r="400" ht="14.25" hidden="1" customHeight="1">
      <c r="A400" s="8" t="s">
        <v>1622</v>
      </c>
      <c r="B400" s="8" t="s">
        <v>1050</v>
      </c>
      <c r="C400" s="121" t="str">
        <f t="shared" si="16"/>
        <v>http://www.bigspring.va.gov/contact/phone_directory.asp</v>
      </c>
    </row>
    <row r="401" ht="14.25" hidden="1" customHeight="1">
      <c r="A401" s="8" t="s">
        <v>504</v>
      </c>
      <c r="B401" s="8" t="s">
        <v>1050</v>
      </c>
      <c r="C401" s="121" t="str">
        <f t="shared" si="16"/>
        <v>http://www.bigspring.va.gov/contact/phone_directory.asp</v>
      </c>
    </row>
    <row r="402" ht="14.25" hidden="1" customHeight="1">
      <c r="A402" s="8" t="s">
        <v>1824</v>
      </c>
      <c r="B402" s="8" t="s">
        <v>1050</v>
      </c>
      <c r="C402" s="121" t="str">
        <f t="shared" si="16"/>
        <v>http://www.bigspring.va.gov/contact/phone_directory.asp</v>
      </c>
    </row>
    <row r="403" ht="14.25" hidden="1" customHeight="1">
      <c r="A403" s="8" t="s">
        <v>624</v>
      </c>
      <c r="B403" s="8" t="s">
        <v>1073</v>
      </c>
      <c r="C403" s="121" t="str">
        <f t="shared" ref="C403:C413" si="17">HYPERLINK("http://www.biloxi.va.gov/contact/phone_directory.asp")</f>
        <v>http://www.biloxi.va.gov/contact/phone_directory.asp</v>
      </c>
    </row>
    <row r="404" ht="14.25" hidden="1" customHeight="1">
      <c r="A404" s="8" t="s">
        <v>998</v>
      </c>
      <c r="B404" s="8" t="s">
        <v>1073</v>
      </c>
      <c r="C404" s="121" t="str">
        <f t="shared" si="17"/>
        <v>http://www.biloxi.va.gov/contact/phone_directory.asp</v>
      </c>
    </row>
    <row r="405" ht="14.25" hidden="1" customHeight="1">
      <c r="A405" s="8" t="s">
        <v>638</v>
      </c>
      <c r="B405" s="8" t="s">
        <v>1073</v>
      </c>
      <c r="C405" s="121" t="str">
        <f t="shared" si="17"/>
        <v>http://www.biloxi.va.gov/contact/phone_directory.asp</v>
      </c>
    </row>
    <row r="406" ht="14.25" hidden="1" customHeight="1">
      <c r="A406" s="8" t="s">
        <v>1827</v>
      </c>
      <c r="B406" s="8" t="s">
        <v>1073</v>
      </c>
      <c r="C406" s="121" t="str">
        <f t="shared" si="17"/>
        <v>http://www.biloxi.va.gov/contact/phone_directory.asp</v>
      </c>
    </row>
    <row r="407" ht="14.25" hidden="1" customHeight="1">
      <c r="A407" s="8" t="s">
        <v>1828</v>
      </c>
      <c r="B407" s="8" t="s">
        <v>1073</v>
      </c>
      <c r="C407" s="121" t="str">
        <f t="shared" si="17"/>
        <v>http://www.biloxi.va.gov/contact/phone_directory.asp</v>
      </c>
    </row>
    <row r="408" ht="14.25" hidden="1" customHeight="1">
      <c r="A408" s="8" t="s">
        <v>872</v>
      </c>
      <c r="B408" s="8" t="s">
        <v>1073</v>
      </c>
      <c r="C408" s="121" t="str">
        <f t="shared" si="17"/>
        <v>http://www.biloxi.va.gov/contact/phone_directory.asp</v>
      </c>
    </row>
    <row r="409" ht="14.25" hidden="1" customHeight="1">
      <c r="A409" s="8" t="s">
        <v>663</v>
      </c>
      <c r="B409" s="8" t="s">
        <v>1073</v>
      </c>
      <c r="C409" s="121" t="str">
        <f t="shared" si="17"/>
        <v>http://www.biloxi.va.gov/contact/phone_directory.asp</v>
      </c>
    </row>
    <row r="410" ht="14.25" hidden="1" customHeight="1">
      <c r="A410" s="8" t="s">
        <v>1623</v>
      </c>
      <c r="B410" s="8" t="s">
        <v>1073</v>
      </c>
      <c r="C410" s="121" t="str">
        <f t="shared" si="17"/>
        <v>http://www.biloxi.va.gov/contact/phone_directory.asp</v>
      </c>
    </row>
    <row r="411" ht="14.25" hidden="1" customHeight="1">
      <c r="A411" s="8" t="s">
        <v>1626</v>
      </c>
      <c r="B411" s="8" t="s">
        <v>1073</v>
      </c>
      <c r="C411" s="121" t="str">
        <f t="shared" si="17"/>
        <v>http://www.biloxi.va.gov/contact/phone_directory.asp</v>
      </c>
    </row>
    <row r="412" ht="14.25" hidden="1" customHeight="1">
      <c r="A412" s="8" t="s">
        <v>708</v>
      </c>
      <c r="B412" s="8" t="s">
        <v>1073</v>
      </c>
      <c r="C412" s="121" t="str">
        <f t="shared" si="17"/>
        <v>http://www.biloxi.va.gov/contact/phone_directory.asp</v>
      </c>
    </row>
    <row r="413" ht="14.25" hidden="1" customHeight="1">
      <c r="A413" s="8" t="s">
        <v>1829</v>
      </c>
      <c r="B413" s="8" t="s">
        <v>1073</v>
      </c>
      <c r="C413" s="121" t="str">
        <f t="shared" si="17"/>
        <v>http://www.biloxi.va.gov/contact/phone_directory.asp</v>
      </c>
    </row>
    <row r="414" ht="14.25" hidden="1" customHeight="1">
      <c r="A414" s="8" t="s">
        <v>624</v>
      </c>
      <c r="B414" s="8" t="s">
        <v>1081</v>
      </c>
      <c r="C414" s="121" t="str">
        <f t="shared" ref="C414:C435" si="18">HYPERLINK("http://www.birmingham.va.gov/contact/phone_directory.asp")</f>
        <v>http://www.birmingham.va.gov/contact/phone_directory.asp</v>
      </c>
    </row>
    <row r="415" ht="14.25" hidden="1" customHeight="1">
      <c r="A415" s="8" t="s">
        <v>244</v>
      </c>
      <c r="B415" s="8" t="s">
        <v>1081</v>
      </c>
      <c r="C415" s="121" t="str">
        <f t="shared" si="18"/>
        <v>http://www.birmingham.va.gov/contact/phone_directory.asp</v>
      </c>
    </row>
    <row r="416" ht="14.25" hidden="1" customHeight="1">
      <c r="A416" s="8" t="s">
        <v>1741</v>
      </c>
      <c r="B416" s="8" t="s">
        <v>1081</v>
      </c>
      <c r="C416" s="121" t="str">
        <f t="shared" si="18"/>
        <v>http://www.birmingham.va.gov/contact/phone_directory.asp</v>
      </c>
    </row>
    <row r="417" ht="14.25" hidden="1" customHeight="1">
      <c r="A417" s="8" t="s">
        <v>631</v>
      </c>
      <c r="B417" s="8" t="s">
        <v>1081</v>
      </c>
      <c r="C417" s="121" t="str">
        <f t="shared" si="18"/>
        <v>http://www.birmingham.va.gov/contact/phone_directory.asp</v>
      </c>
    </row>
    <row r="418" ht="14.25" hidden="1" customHeight="1">
      <c r="A418" s="8" t="s">
        <v>864</v>
      </c>
      <c r="B418" s="8" t="s">
        <v>1081</v>
      </c>
      <c r="C418" s="121" t="str">
        <f t="shared" si="18"/>
        <v>http://www.birmingham.va.gov/contact/phone_directory.asp</v>
      </c>
    </row>
    <row r="419" ht="14.25" hidden="1" customHeight="1">
      <c r="A419" s="8" t="s">
        <v>638</v>
      </c>
      <c r="B419" s="8" t="s">
        <v>1081</v>
      </c>
      <c r="C419" s="121" t="str">
        <f t="shared" si="18"/>
        <v>http://www.birmingham.va.gov/contact/phone_directory.asp</v>
      </c>
    </row>
    <row r="420" ht="14.25" hidden="1" customHeight="1">
      <c r="A420" s="8" t="s">
        <v>478</v>
      </c>
      <c r="B420" s="8" t="s">
        <v>1081</v>
      </c>
      <c r="C420" s="121" t="str">
        <f t="shared" si="18"/>
        <v>http://www.birmingham.va.gov/contact/phone_directory.asp</v>
      </c>
    </row>
    <row r="421" ht="14.25" hidden="1" customHeight="1">
      <c r="A421" s="8" t="s">
        <v>455</v>
      </c>
      <c r="B421" s="8" t="s">
        <v>1081</v>
      </c>
      <c r="C421" s="121" t="str">
        <f t="shared" si="18"/>
        <v>http://www.birmingham.va.gov/contact/phone_directory.asp</v>
      </c>
    </row>
    <row r="422" ht="14.25" hidden="1" customHeight="1">
      <c r="A422" s="8" t="s">
        <v>663</v>
      </c>
      <c r="B422" s="8" t="s">
        <v>1081</v>
      </c>
      <c r="C422" s="121" t="str">
        <f t="shared" si="18"/>
        <v>http://www.birmingham.va.gov/contact/phone_directory.asp</v>
      </c>
    </row>
    <row r="423" ht="14.25" hidden="1" customHeight="1">
      <c r="A423" s="8" t="s">
        <v>1147</v>
      </c>
      <c r="B423" s="8" t="s">
        <v>1081</v>
      </c>
      <c r="C423" s="121" t="str">
        <f t="shared" si="18"/>
        <v>http://www.birmingham.va.gov/contact/phone_directory.asp</v>
      </c>
    </row>
    <row r="424" ht="14.25" hidden="1" customHeight="1">
      <c r="A424" s="8" t="s">
        <v>683</v>
      </c>
      <c r="B424" s="8" t="s">
        <v>1081</v>
      </c>
      <c r="C424" s="121" t="str">
        <f t="shared" si="18"/>
        <v>http://www.birmingham.va.gov/contact/phone_directory.asp</v>
      </c>
    </row>
    <row r="425" ht="14.25" hidden="1" customHeight="1">
      <c r="A425" s="8" t="s">
        <v>691</v>
      </c>
      <c r="B425" s="8" t="s">
        <v>1081</v>
      </c>
      <c r="C425" s="121" t="str">
        <f t="shared" si="18"/>
        <v>http://www.birmingham.va.gov/contact/phone_directory.asp</v>
      </c>
    </row>
    <row r="426" ht="14.25" hidden="1" customHeight="1">
      <c r="A426" s="8" t="s">
        <v>901</v>
      </c>
      <c r="B426" s="8" t="s">
        <v>1081</v>
      </c>
      <c r="C426" s="121" t="str">
        <f t="shared" si="18"/>
        <v>http://www.birmingham.va.gov/contact/phone_directory.asp</v>
      </c>
    </row>
    <row r="427" ht="14.25" hidden="1" customHeight="1">
      <c r="A427" s="8" t="s">
        <v>907</v>
      </c>
      <c r="B427" s="8" t="s">
        <v>1081</v>
      </c>
      <c r="C427" s="121" t="str">
        <f t="shared" si="18"/>
        <v>http://www.birmingham.va.gov/contact/phone_directory.asp</v>
      </c>
    </row>
    <row r="428" ht="14.25" hidden="1" customHeight="1">
      <c r="A428" s="8" t="s">
        <v>697</v>
      </c>
      <c r="B428" s="8" t="s">
        <v>1081</v>
      </c>
      <c r="C428" s="121" t="str">
        <f t="shared" si="18"/>
        <v>http://www.birmingham.va.gov/contact/phone_directory.asp</v>
      </c>
    </row>
    <row r="429" ht="14.25" hidden="1" customHeight="1">
      <c r="A429" s="8" t="s">
        <v>708</v>
      </c>
      <c r="B429" s="8" t="s">
        <v>1081</v>
      </c>
      <c r="C429" s="121" t="str">
        <f t="shared" si="18"/>
        <v>http://www.birmingham.va.gov/contact/phone_directory.asp</v>
      </c>
    </row>
    <row r="430" ht="14.25" hidden="1" customHeight="1">
      <c r="A430" s="8" t="s">
        <v>508</v>
      </c>
      <c r="B430" s="8" t="s">
        <v>1081</v>
      </c>
      <c r="C430" s="121" t="str">
        <f t="shared" si="18"/>
        <v>http://www.birmingham.va.gov/contact/phone_directory.asp</v>
      </c>
    </row>
    <row r="431" ht="14.25" hidden="1" customHeight="1">
      <c r="A431" s="8" t="s">
        <v>1054</v>
      </c>
      <c r="B431" s="8" t="s">
        <v>1081</v>
      </c>
      <c r="C431" s="121" t="str">
        <f t="shared" si="18"/>
        <v>http://www.birmingham.va.gov/contact/phone_directory.asp</v>
      </c>
    </row>
    <row r="432" ht="14.25" hidden="1" customHeight="1">
      <c r="A432" s="8" t="s">
        <v>712</v>
      </c>
      <c r="B432" s="8" t="s">
        <v>1081</v>
      </c>
      <c r="C432" s="121" t="str">
        <f t="shared" si="18"/>
        <v>http://www.birmingham.va.gov/contact/phone_directory.asp</v>
      </c>
    </row>
    <row r="433" ht="14.25" hidden="1" customHeight="1">
      <c r="A433" s="8" t="s">
        <v>672</v>
      </c>
      <c r="B433" s="8" t="s">
        <v>1081</v>
      </c>
      <c r="C433" s="121" t="str">
        <f t="shared" si="18"/>
        <v>http://www.birmingham.va.gov/contact/phone_directory.asp</v>
      </c>
    </row>
    <row r="434" ht="14.25" hidden="1" customHeight="1">
      <c r="A434" s="8" t="s">
        <v>1833</v>
      </c>
      <c r="B434" s="8" t="s">
        <v>1081</v>
      </c>
      <c r="C434" s="121" t="str">
        <f t="shared" si="18"/>
        <v>http://www.birmingham.va.gov/contact/phone_directory.asp</v>
      </c>
    </row>
    <row r="435" ht="14.25" hidden="1" customHeight="1">
      <c r="A435" s="8" t="s">
        <v>518</v>
      </c>
      <c r="B435" s="8" t="s">
        <v>1081</v>
      </c>
      <c r="C435" s="121" t="str">
        <f t="shared" si="18"/>
        <v>http://www.birmingham.va.gov/contact/phone_directory.asp</v>
      </c>
    </row>
    <row r="436" ht="14.25" hidden="1" customHeight="1">
      <c r="A436" s="8" t="s">
        <v>624</v>
      </c>
      <c r="B436" s="8" t="s">
        <v>1091</v>
      </c>
      <c r="C436" s="121" t="str">
        <f t="shared" ref="C436:C464" si="19">HYPERLINK("http://www.blackhills.va.gov/contact/phone_directory.asp")</f>
        <v>http://www.blackhills.va.gov/contact/phone_directory.asp</v>
      </c>
    </row>
    <row r="437" ht="14.25" hidden="1" customHeight="1">
      <c r="A437" s="8" t="s">
        <v>1781</v>
      </c>
      <c r="B437" s="8" t="s">
        <v>1091</v>
      </c>
      <c r="C437" s="121" t="str">
        <f t="shared" si="19"/>
        <v>http://www.blackhills.va.gov/contact/phone_directory.asp</v>
      </c>
    </row>
    <row r="438" ht="14.25" hidden="1" customHeight="1">
      <c r="A438" s="8" t="s">
        <v>864</v>
      </c>
      <c r="B438" s="8" t="s">
        <v>1091</v>
      </c>
      <c r="C438" s="121" t="str">
        <f t="shared" si="19"/>
        <v>http://www.blackhills.va.gov/contact/phone_directory.asp</v>
      </c>
    </row>
    <row r="439" ht="14.25" hidden="1" customHeight="1">
      <c r="A439" s="8" t="s">
        <v>304</v>
      </c>
      <c r="B439" s="8" t="s">
        <v>1091</v>
      </c>
      <c r="C439" s="121" t="str">
        <f t="shared" si="19"/>
        <v>http://www.blackhills.va.gov/contact/phone_directory.asp</v>
      </c>
    </row>
    <row r="440" ht="14.25" hidden="1" customHeight="1">
      <c r="A440" s="8" t="s">
        <v>1835</v>
      </c>
      <c r="B440" s="8" t="s">
        <v>1091</v>
      </c>
      <c r="C440" s="121" t="str">
        <f t="shared" si="19"/>
        <v>http://www.blackhills.va.gov/contact/phone_directory.asp</v>
      </c>
    </row>
    <row r="441" ht="14.25" hidden="1" customHeight="1">
      <c r="A441" s="8" t="s">
        <v>1836</v>
      </c>
      <c r="B441" s="8" t="s">
        <v>1091</v>
      </c>
      <c r="C441" s="121" t="str">
        <f t="shared" si="19"/>
        <v>http://www.blackhills.va.gov/contact/phone_directory.asp</v>
      </c>
    </row>
    <row r="442" ht="14.25" hidden="1" customHeight="1">
      <c r="A442" s="8" t="s">
        <v>1837</v>
      </c>
      <c r="B442" s="8" t="s">
        <v>1091</v>
      </c>
      <c r="C442" s="121" t="str">
        <f t="shared" si="19"/>
        <v>http://www.blackhills.va.gov/contact/phone_directory.asp</v>
      </c>
    </row>
    <row r="443" ht="14.25" hidden="1" customHeight="1">
      <c r="A443" s="8" t="s">
        <v>309</v>
      </c>
      <c r="B443" s="8" t="s">
        <v>1091</v>
      </c>
      <c r="C443" s="121" t="str">
        <f t="shared" si="19"/>
        <v>http://www.blackhills.va.gov/contact/phone_directory.asp</v>
      </c>
    </row>
    <row r="444" ht="14.25" hidden="1" customHeight="1">
      <c r="A444" s="8" t="s">
        <v>674</v>
      </c>
      <c r="B444" s="8" t="s">
        <v>1091</v>
      </c>
      <c r="C444" s="121" t="str">
        <f t="shared" si="19"/>
        <v>http://www.blackhills.va.gov/contact/phone_directory.asp</v>
      </c>
    </row>
    <row r="445" ht="14.25" hidden="1" customHeight="1">
      <c r="A445" s="8" t="s">
        <v>1838</v>
      </c>
      <c r="B445" s="8" t="s">
        <v>1091</v>
      </c>
      <c r="C445" s="121" t="str">
        <f t="shared" si="19"/>
        <v>http://www.blackhills.va.gov/contact/phone_directory.asp</v>
      </c>
    </row>
    <row r="446" ht="14.25" hidden="1" customHeight="1">
      <c r="A446" s="8" t="s">
        <v>1839</v>
      </c>
      <c r="B446" s="8" t="s">
        <v>1091</v>
      </c>
      <c r="C446" s="121" t="str">
        <f t="shared" si="19"/>
        <v>http://www.blackhills.va.gov/contact/phone_directory.asp</v>
      </c>
    </row>
    <row r="447" ht="14.25" hidden="1" customHeight="1">
      <c r="A447" s="8" t="s">
        <v>1840</v>
      </c>
      <c r="B447" s="8" t="s">
        <v>1091</v>
      </c>
      <c r="C447" s="121" t="str">
        <f t="shared" si="19"/>
        <v>http://www.blackhills.va.gov/contact/phone_directory.asp</v>
      </c>
    </row>
    <row r="448" ht="14.25" hidden="1" customHeight="1">
      <c r="A448" s="8" t="s">
        <v>691</v>
      </c>
      <c r="B448" s="8" t="s">
        <v>1091</v>
      </c>
      <c r="C448" s="121" t="str">
        <f t="shared" si="19"/>
        <v>http://www.blackhills.va.gov/contact/phone_directory.asp</v>
      </c>
    </row>
    <row r="449" ht="14.25" hidden="1" customHeight="1">
      <c r="A449" s="8" t="s">
        <v>1841</v>
      </c>
      <c r="B449" s="8" t="s">
        <v>1091</v>
      </c>
      <c r="C449" s="121" t="str">
        <f t="shared" si="19"/>
        <v>http://www.blackhills.va.gov/contact/phone_directory.asp</v>
      </c>
    </row>
    <row r="450" ht="14.25" hidden="1" customHeight="1">
      <c r="A450" s="8" t="s">
        <v>907</v>
      </c>
      <c r="B450" s="8" t="s">
        <v>1091</v>
      </c>
      <c r="C450" s="121" t="str">
        <f t="shared" si="19"/>
        <v>http://www.blackhills.va.gov/contact/phone_directory.asp</v>
      </c>
    </row>
    <row r="451" ht="14.25" hidden="1" customHeight="1">
      <c r="A451" s="8" t="s">
        <v>1842</v>
      </c>
      <c r="B451" s="8" t="s">
        <v>1091</v>
      </c>
      <c r="C451" s="121" t="str">
        <f t="shared" si="19"/>
        <v>http://www.blackhills.va.gov/contact/phone_directory.asp</v>
      </c>
    </row>
    <row r="452" ht="14.25" hidden="1" customHeight="1">
      <c r="A452" s="8" t="s">
        <v>708</v>
      </c>
      <c r="B452" s="8" t="s">
        <v>1091</v>
      </c>
      <c r="C452" s="121" t="str">
        <f t="shared" si="19"/>
        <v>http://www.blackhills.va.gov/contact/phone_directory.asp</v>
      </c>
    </row>
    <row r="453" ht="14.25" hidden="1" customHeight="1">
      <c r="A453" s="8" t="s">
        <v>1843</v>
      </c>
      <c r="B453" s="8" t="s">
        <v>1091</v>
      </c>
      <c r="C453" s="121" t="str">
        <f t="shared" si="19"/>
        <v>http://www.blackhills.va.gov/contact/phone_directory.asp</v>
      </c>
    </row>
    <row r="454" ht="14.25" hidden="1" customHeight="1">
      <c r="A454" s="8" t="s">
        <v>1844</v>
      </c>
      <c r="B454" s="8" t="s">
        <v>1091</v>
      </c>
      <c r="C454" s="121" t="str">
        <f t="shared" si="19"/>
        <v>http://www.blackhills.va.gov/contact/phone_directory.asp</v>
      </c>
    </row>
    <row r="455" ht="14.25" hidden="1" customHeight="1">
      <c r="A455" s="8" t="s">
        <v>508</v>
      </c>
      <c r="B455" s="8" t="s">
        <v>1091</v>
      </c>
      <c r="C455" s="121" t="str">
        <f t="shared" si="19"/>
        <v>http://www.blackhills.va.gov/contact/phone_directory.asp</v>
      </c>
    </row>
    <row r="456" ht="14.25" hidden="1" customHeight="1">
      <c r="A456" s="8" t="s">
        <v>1846</v>
      </c>
      <c r="B456" s="8" t="s">
        <v>1091</v>
      </c>
      <c r="C456" s="121" t="str">
        <f t="shared" si="19"/>
        <v>http://www.blackhills.va.gov/contact/phone_directory.asp</v>
      </c>
    </row>
    <row r="457" ht="14.25" hidden="1" customHeight="1">
      <c r="A457" s="8" t="s">
        <v>1847</v>
      </c>
      <c r="B457" s="8" t="s">
        <v>1091</v>
      </c>
      <c r="C457" s="121" t="str">
        <f t="shared" si="19"/>
        <v>http://www.blackhills.va.gov/contact/phone_directory.asp</v>
      </c>
    </row>
    <row r="458" ht="14.25" hidden="1" customHeight="1">
      <c r="A458" s="8" t="s">
        <v>1848</v>
      </c>
      <c r="B458" s="8" t="s">
        <v>1091</v>
      </c>
      <c r="C458" s="121" t="str">
        <f t="shared" si="19"/>
        <v>http://www.blackhills.va.gov/contact/phone_directory.asp</v>
      </c>
    </row>
    <row r="459" ht="14.25" hidden="1" customHeight="1">
      <c r="A459" s="8" t="s">
        <v>1232</v>
      </c>
      <c r="B459" s="8" t="s">
        <v>1091</v>
      </c>
      <c r="C459" s="121" t="str">
        <f t="shared" si="19"/>
        <v>http://www.blackhills.va.gov/contact/phone_directory.asp</v>
      </c>
    </row>
    <row r="460" ht="14.25" hidden="1" customHeight="1">
      <c r="A460" s="8" t="s">
        <v>724</v>
      </c>
      <c r="B460" s="8" t="s">
        <v>1091</v>
      </c>
      <c r="C460" s="121" t="str">
        <f t="shared" si="19"/>
        <v>http://www.blackhills.va.gov/contact/phone_directory.asp</v>
      </c>
    </row>
    <row r="461" ht="14.25" hidden="1" customHeight="1">
      <c r="A461" s="8" t="s">
        <v>735</v>
      </c>
      <c r="B461" s="8" t="s">
        <v>1091</v>
      </c>
      <c r="C461" s="121" t="str">
        <f t="shared" si="19"/>
        <v>http://www.blackhills.va.gov/contact/phone_directory.asp</v>
      </c>
    </row>
    <row r="462" ht="14.25" hidden="1" customHeight="1">
      <c r="A462" s="8" t="s">
        <v>1851</v>
      </c>
      <c r="B462" s="8" t="s">
        <v>1091</v>
      </c>
      <c r="C462" s="121" t="str">
        <f t="shared" si="19"/>
        <v>http://www.blackhills.va.gov/contact/phone_directory.asp</v>
      </c>
    </row>
    <row r="463" ht="14.25" hidden="1" customHeight="1">
      <c r="A463" s="8" t="s">
        <v>1853</v>
      </c>
      <c r="B463" s="8" t="s">
        <v>1091</v>
      </c>
      <c r="C463" s="121" t="str">
        <f t="shared" si="19"/>
        <v>http://www.blackhills.va.gov/contact/phone_directory.asp</v>
      </c>
    </row>
    <row r="464" ht="14.25" hidden="1" customHeight="1">
      <c r="A464" s="8" t="s">
        <v>1854</v>
      </c>
      <c r="B464" s="8" t="s">
        <v>1091</v>
      </c>
      <c r="C464" s="121" t="str">
        <f t="shared" si="19"/>
        <v>http://www.blackhills.va.gov/contact/phone_directory.asp</v>
      </c>
    </row>
    <row r="465" ht="14.25" hidden="1" customHeight="1">
      <c r="A465" s="8" t="s">
        <v>1855</v>
      </c>
      <c r="B465" s="8" t="s">
        <v>1106</v>
      </c>
      <c r="C465" s="121" t="str">
        <f>HYPERLINK("http://www.boise.va.gov/contact/phone_directory.asp")</f>
        <v>http://www.boise.va.gov/contact/phone_directory.asp</v>
      </c>
    </row>
    <row r="466" ht="14.25" hidden="1" customHeight="1">
      <c r="A466" s="8" t="s">
        <v>1856</v>
      </c>
      <c r="B466" s="8" t="s">
        <v>1113</v>
      </c>
      <c r="C466" s="121" t="str">
        <f t="shared" ref="C466:C474" si="20">HYPERLINK("http://www.boston.va.gov/contact/phone_directory.asp")</f>
        <v>http://www.boston.va.gov/contact/phone_directory.asp</v>
      </c>
    </row>
    <row r="467" ht="14.25" hidden="1" customHeight="1">
      <c r="A467" s="8" t="s">
        <v>638</v>
      </c>
      <c r="B467" s="8" t="s">
        <v>1113</v>
      </c>
      <c r="C467" s="121" t="str">
        <f t="shared" si="20"/>
        <v>http://www.boston.va.gov/contact/phone_directory.asp</v>
      </c>
    </row>
    <row r="468" ht="14.25" hidden="1" customHeight="1">
      <c r="A468" s="8" t="s">
        <v>1859</v>
      </c>
      <c r="B468" s="8" t="s">
        <v>1113</v>
      </c>
      <c r="C468" s="121" t="str">
        <f t="shared" si="20"/>
        <v>http://www.boston.va.gov/contact/phone_directory.asp</v>
      </c>
    </row>
    <row r="469" ht="14.25" hidden="1" customHeight="1">
      <c r="A469" s="8" t="s">
        <v>1860</v>
      </c>
      <c r="B469" s="8" t="s">
        <v>1113</v>
      </c>
      <c r="C469" s="121" t="str">
        <f t="shared" si="20"/>
        <v>http://www.boston.va.gov/contact/phone_directory.asp</v>
      </c>
    </row>
    <row r="470" ht="14.25" hidden="1" customHeight="1">
      <c r="A470" s="8" t="s">
        <v>663</v>
      </c>
      <c r="B470" s="8" t="s">
        <v>1113</v>
      </c>
      <c r="C470" s="121" t="str">
        <f t="shared" si="20"/>
        <v>http://www.boston.va.gov/contact/phone_directory.asp</v>
      </c>
    </row>
    <row r="471" ht="14.25" hidden="1" customHeight="1">
      <c r="A471" s="8" t="s">
        <v>1862</v>
      </c>
      <c r="B471" s="8" t="s">
        <v>1113</v>
      </c>
      <c r="C471" s="121" t="str">
        <f t="shared" si="20"/>
        <v>http://www.boston.va.gov/contact/phone_directory.asp</v>
      </c>
    </row>
    <row r="472" ht="14.25" hidden="1" customHeight="1">
      <c r="A472" s="8" t="s">
        <v>694</v>
      </c>
      <c r="B472" s="8" t="s">
        <v>1113</v>
      </c>
      <c r="C472" s="121" t="str">
        <f t="shared" si="20"/>
        <v>http://www.boston.va.gov/contact/phone_directory.asp</v>
      </c>
    </row>
    <row r="473" ht="14.25" hidden="1" customHeight="1">
      <c r="A473" s="8" t="s">
        <v>708</v>
      </c>
      <c r="B473" s="8" t="s">
        <v>1113</v>
      </c>
      <c r="C473" s="121" t="str">
        <f t="shared" si="20"/>
        <v>http://www.boston.va.gov/contact/phone_directory.asp</v>
      </c>
    </row>
    <row r="474" ht="14.25" hidden="1" customHeight="1">
      <c r="A474" s="8" t="s">
        <v>1863</v>
      </c>
      <c r="B474" s="8" t="s">
        <v>1113</v>
      </c>
      <c r="C474" s="121" t="str">
        <f t="shared" si="20"/>
        <v>http://www.boston.va.gov/contact/phone_directory.asp</v>
      </c>
    </row>
    <row r="475" ht="14.25" hidden="1" customHeight="1">
      <c r="A475" s="8" t="s">
        <v>624</v>
      </c>
      <c r="B475" s="8" t="s">
        <v>1189</v>
      </c>
      <c r="C475" s="121" t="str">
        <f t="shared" ref="C475:C486" si="21">HYPERLINK("http://www.bronx.va.gov/contact/phone_directory.asp")</f>
        <v>http://www.bronx.va.gov/contact/phone_directory.asp</v>
      </c>
    </row>
    <row r="476" ht="14.25" hidden="1" customHeight="1">
      <c r="A476" s="8" t="s">
        <v>639</v>
      </c>
      <c r="B476" s="8" t="s">
        <v>1189</v>
      </c>
      <c r="C476" s="121" t="str">
        <f t="shared" si="21"/>
        <v>http://www.bronx.va.gov/contact/phone_directory.asp</v>
      </c>
    </row>
    <row r="477" ht="14.25" hidden="1" customHeight="1">
      <c r="A477" s="8" t="s">
        <v>455</v>
      </c>
      <c r="B477" s="8" t="s">
        <v>1189</v>
      </c>
      <c r="C477" s="121" t="str">
        <f t="shared" si="21"/>
        <v>http://www.bronx.va.gov/contact/phone_directory.asp</v>
      </c>
    </row>
    <row r="478" ht="14.25" hidden="1" customHeight="1">
      <c r="A478" s="8" t="s">
        <v>1865</v>
      </c>
      <c r="B478" s="8" t="s">
        <v>1189</v>
      </c>
      <c r="C478" s="121" t="str">
        <f t="shared" si="21"/>
        <v>http://www.bronx.va.gov/contact/phone_directory.asp</v>
      </c>
    </row>
    <row r="479" ht="14.25" hidden="1" customHeight="1">
      <c r="A479" s="8" t="s">
        <v>1866</v>
      </c>
      <c r="B479" s="8" t="s">
        <v>1189</v>
      </c>
      <c r="C479" s="121" t="str">
        <f t="shared" si="21"/>
        <v>http://www.bronx.va.gov/contact/phone_directory.asp</v>
      </c>
    </row>
    <row r="480" ht="14.25" hidden="1" customHeight="1">
      <c r="A480" s="8" t="s">
        <v>1867</v>
      </c>
      <c r="B480" s="8" t="s">
        <v>1189</v>
      </c>
      <c r="C480" s="121" t="str">
        <f t="shared" si="21"/>
        <v>http://www.bronx.va.gov/contact/phone_directory.asp</v>
      </c>
    </row>
    <row r="481" ht="14.25" hidden="1" customHeight="1">
      <c r="A481" s="8" t="s">
        <v>743</v>
      </c>
      <c r="B481" s="8" t="s">
        <v>1189</v>
      </c>
      <c r="C481" s="121" t="str">
        <f t="shared" si="21"/>
        <v>http://www.bronx.va.gov/contact/phone_directory.asp</v>
      </c>
    </row>
    <row r="482" ht="14.25" hidden="1" customHeight="1">
      <c r="A482" s="8" t="s">
        <v>694</v>
      </c>
      <c r="B482" s="8" t="s">
        <v>1189</v>
      </c>
      <c r="C482" s="121" t="str">
        <f t="shared" si="21"/>
        <v>http://www.bronx.va.gov/contact/phone_directory.asp</v>
      </c>
    </row>
    <row r="483" ht="14.25" hidden="1" customHeight="1">
      <c r="A483" s="8" t="s">
        <v>697</v>
      </c>
      <c r="B483" s="8" t="s">
        <v>1189</v>
      </c>
      <c r="C483" s="121" t="str">
        <f t="shared" si="21"/>
        <v>http://www.bronx.va.gov/contact/phone_directory.asp</v>
      </c>
    </row>
    <row r="484" ht="14.25" hidden="1" customHeight="1">
      <c r="A484" s="8" t="s">
        <v>504</v>
      </c>
      <c r="B484" s="8" t="s">
        <v>1189</v>
      </c>
      <c r="C484" s="121" t="str">
        <f t="shared" si="21"/>
        <v>http://www.bronx.va.gov/contact/phone_directory.asp</v>
      </c>
    </row>
    <row r="485" ht="14.25" hidden="1" customHeight="1">
      <c r="A485" s="8" t="s">
        <v>724</v>
      </c>
      <c r="B485" s="8" t="s">
        <v>1189</v>
      </c>
      <c r="C485" s="121" t="str">
        <f t="shared" si="21"/>
        <v>http://www.bronx.va.gov/contact/phone_directory.asp</v>
      </c>
    </row>
    <row r="486" ht="14.25" hidden="1" customHeight="1">
      <c r="A486" s="8" t="s">
        <v>1869</v>
      </c>
      <c r="B486" s="8" t="s">
        <v>1189</v>
      </c>
      <c r="C486" s="121" t="str">
        <f t="shared" si="21"/>
        <v>http://www.bronx.va.gov/contact/phone_directory.asp</v>
      </c>
    </row>
    <row r="487" ht="14.25" hidden="1" customHeight="1">
      <c r="A487" s="8" t="s">
        <v>1768</v>
      </c>
      <c r="B487" s="8" t="s">
        <v>1219</v>
      </c>
      <c r="C487" s="121" t="str">
        <f t="shared" ref="C487:C508" si="22">HYPERLINK("http://www.buffalo.va.gov/contact/phone_directory.asp")</f>
        <v>http://www.buffalo.va.gov/contact/phone_directory.asp</v>
      </c>
    </row>
    <row r="488" ht="14.25" hidden="1" customHeight="1">
      <c r="A488" s="8" t="s">
        <v>475</v>
      </c>
      <c r="B488" s="8" t="s">
        <v>1219</v>
      </c>
      <c r="C488" s="121" t="str">
        <f t="shared" si="22"/>
        <v>http://www.buffalo.va.gov/contact/phone_directory.asp</v>
      </c>
    </row>
    <row r="489" ht="14.25" hidden="1" customHeight="1">
      <c r="A489" s="8" t="s">
        <v>618</v>
      </c>
      <c r="B489" s="8" t="s">
        <v>1219</v>
      </c>
      <c r="C489" s="121" t="str">
        <f t="shared" si="22"/>
        <v>http://www.buffalo.va.gov/contact/phone_directory.asp</v>
      </c>
    </row>
    <row r="490" ht="14.25" hidden="1" customHeight="1">
      <c r="A490" s="8" t="s">
        <v>998</v>
      </c>
      <c r="B490" s="8" t="s">
        <v>1219</v>
      </c>
      <c r="C490" s="121" t="str">
        <f t="shared" si="22"/>
        <v>http://www.buffalo.va.gov/contact/phone_directory.asp</v>
      </c>
    </row>
    <row r="491" ht="14.25" hidden="1" customHeight="1">
      <c r="A491" s="8" t="s">
        <v>864</v>
      </c>
      <c r="B491" s="8" t="s">
        <v>1219</v>
      </c>
      <c r="C491" s="121" t="str">
        <f t="shared" si="22"/>
        <v>http://www.buffalo.va.gov/contact/phone_directory.asp</v>
      </c>
    </row>
    <row r="492" ht="14.25" hidden="1" customHeight="1">
      <c r="A492" s="8" t="s">
        <v>1871</v>
      </c>
      <c r="B492" s="8" t="s">
        <v>1219</v>
      </c>
      <c r="C492" s="121" t="str">
        <f t="shared" si="22"/>
        <v>http://www.buffalo.va.gov/contact/phone_directory.asp</v>
      </c>
    </row>
    <row r="493" ht="14.25" hidden="1" customHeight="1">
      <c r="A493" s="8" t="s">
        <v>1598</v>
      </c>
      <c r="B493" s="8" t="s">
        <v>1219</v>
      </c>
      <c r="C493" s="121" t="str">
        <f t="shared" si="22"/>
        <v>http://www.buffalo.va.gov/contact/phone_directory.asp</v>
      </c>
    </row>
    <row r="494" ht="14.25" hidden="1" customHeight="1">
      <c r="A494" s="8" t="s">
        <v>663</v>
      </c>
      <c r="B494" s="8" t="s">
        <v>1219</v>
      </c>
      <c r="C494" s="121" t="str">
        <f t="shared" si="22"/>
        <v>http://www.buffalo.va.gov/contact/phone_directory.asp</v>
      </c>
    </row>
    <row r="495" ht="14.25" hidden="1" customHeight="1">
      <c r="A495" s="8" t="s">
        <v>1438</v>
      </c>
      <c r="B495" s="8" t="s">
        <v>1219</v>
      </c>
      <c r="C495" s="121" t="str">
        <f t="shared" si="22"/>
        <v>http://www.buffalo.va.gov/contact/phone_directory.asp</v>
      </c>
    </row>
    <row r="496" ht="14.25" hidden="1" customHeight="1">
      <c r="A496" s="8" t="s">
        <v>1872</v>
      </c>
      <c r="B496" s="8" t="s">
        <v>1219</v>
      </c>
      <c r="C496" s="121" t="str">
        <f t="shared" si="22"/>
        <v>http://www.buffalo.va.gov/contact/phone_directory.asp</v>
      </c>
    </row>
    <row r="497" ht="14.25" hidden="1" customHeight="1">
      <c r="A497" s="8" t="s">
        <v>670</v>
      </c>
      <c r="B497" s="8" t="s">
        <v>1219</v>
      </c>
      <c r="C497" s="121" t="str">
        <f t="shared" si="22"/>
        <v>http://www.buffalo.va.gov/contact/phone_directory.asp</v>
      </c>
    </row>
    <row r="498" ht="14.25" hidden="1" customHeight="1">
      <c r="A498" s="8" t="s">
        <v>481</v>
      </c>
      <c r="B498" s="8" t="s">
        <v>1219</v>
      </c>
      <c r="C498" s="121" t="str">
        <f t="shared" si="22"/>
        <v>http://www.buffalo.va.gov/contact/phone_directory.asp</v>
      </c>
    </row>
    <row r="499" ht="14.25" hidden="1" customHeight="1">
      <c r="A499" s="8" t="s">
        <v>1873</v>
      </c>
      <c r="B499" s="8" t="s">
        <v>1219</v>
      </c>
      <c r="C499" s="121" t="str">
        <f t="shared" si="22"/>
        <v>http://www.buffalo.va.gov/contact/phone_directory.asp</v>
      </c>
    </row>
    <row r="500" ht="14.25" hidden="1" customHeight="1">
      <c r="A500" s="8" t="s">
        <v>713</v>
      </c>
      <c r="B500" s="8" t="s">
        <v>1219</v>
      </c>
      <c r="C500" s="121" t="str">
        <f t="shared" si="22"/>
        <v>http://www.buffalo.va.gov/contact/phone_directory.asp</v>
      </c>
    </row>
    <row r="501" ht="14.25" hidden="1" customHeight="1">
      <c r="A501" s="8" t="s">
        <v>504</v>
      </c>
      <c r="B501" s="8" t="s">
        <v>1219</v>
      </c>
      <c r="C501" s="121" t="str">
        <f t="shared" si="22"/>
        <v>http://www.buffalo.va.gov/contact/phone_directory.asp</v>
      </c>
    </row>
    <row r="502" ht="14.25" hidden="1" customHeight="1">
      <c r="A502" s="8" t="s">
        <v>708</v>
      </c>
      <c r="B502" s="8" t="s">
        <v>1219</v>
      </c>
      <c r="C502" s="121" t="str">
        <f t="shared" si="22"/>
        <v>http://www.buffalo.va.gov/contact/phone_directory.asp</v>
      </c>
    </row>
    <row r="503" ht="14.25" hidden="1" customHeight="1">
      <c r="A503" s="8" t="s">
        <v>508</v>
      </c>
      <c r="B503" s="8" t="s">
        <v>1219</v>
      </c>
      <c r="C503" s="121" t="str">
        <f t="shared" si="22"/>
        <v>http://www.buffalo.va.gov/contact/phone_directory.asp</v>
      </c>
    </row>
    <row r="504" ht="14.25" hidden="1" customHeight="1">
      <c r="A504" s="8" t="s">
        <v>1874</v>
      </c>
      <c r="B504" s="8" t="s">
        <v>1219</v>
      </c>
      <c r="C504" s="121" t="str">
        <f t="shared" si="22"/>
        <v>http://www.buffalo.va.gov/contact/phone_directory.asp</v>
      </c>
    </row>
    <row r="505" ht="14.25" hidden="1" customHeight="1">
      <c r="A505" s="8" t="s">
        <v>1619</v>
      </c>
      <c r="B505" s="8" t="s">
        <v>1219</v>
      </c>
      <c r="C505" s="121" t="str">
        <f t="shared" si="22"/>
        <v>http://www.buffalo.va.gov/contact/phone_directory.asp</v>
      </c>
    </row>
    <row r="506" ht="14.25" hidden="1" customHeight="1">
      <c r="A506" s="8" t="s">
        <v>1620</v>
      </c>
      <c r="B506" s="8" t="s">
        <v>1219</v>
      </c>
      <c r="C506" s="121" t="str">
        <f t="shared" si="22"/>
        <v>http://www.buffalo.va.gov/contact/phone_directory.asp</v>
      </c>
    </row>
    <row r="507" ht="14.25" hidden="1" customHeight="1">
      <c r="A507" s="8" t="s">
        <v>1875</v>
      </c>
      <c r="B507" s="8" t="s">
        <v>1219</v>
      </c>
      <c r="C507" s="121" t="str">
        <f t="shared" si="22"/>
        <v>http://www.buffalo.va.gov/contact/phone_directory.asp</v>
      </c>
    </row>
    <row r="508" ht="14.25" hidden="1" customHeight="1">
      <c r="A508" s="8" t="s">
        <v>518</v>
      </c>
      <c r="B508" s="8" t="s">
        <v>1219</v>
      </c>
      <c r="C508" s="121" t="str">
        <f t="shared" si="22"/>
        <v>http://www.buffalo.va.gov/contact/phone_directory.asp</v>
      </c>
    </row>
    <row r="509" ht="14.25" hidden="1" customHeight="1">
      <c r="A509" s="8" t="s">
        <v>618</v>
      </c>
      <c r="B509" s="8" t="s">
        <v>1226</v>
      </c>
      <c r="C509" s="121" t="str">
        <f t="shared" ref="C509:C534" si="23">HYPERLINK("http://www.butler.va.gov/contact/phone_directory.asp")</f>
        <v>http://www.butler.va.gov/contact/phone_directory.asp</v>
      </c>
    </row>
    <row r="510" ht="14.25" hidden="1" customHeight="1">
      <c r="A510" s="8" t="s">
        <v>624</v>
      </c>
      <c r="B510" s="8" t="s">
        <v>1226</v>
      </c>
      <c r="C510" s="121" t="str">
        <f t="shared" si="23"/>
        <v>http://www.butler.va.gov/contact/phone_directory.asp</v>
      </c>
    </row>
    <row r="511" ht="14.25" hidden="1" customHeight="1">
      <c r="A511" s="8" t="s">
        <v>633</v>
      </c>
      <c r="B511" s="8" t="s">
        <v>1226</v>
      </c>
      <c r="C511" s="121" t="str">
        <f t="shared" si="23"/>
        <v>http://www.butler.va.gov/contact/phone_directory.asp</v>
      </c>
    </row>
    <row r="512" ht="14.25" hidden="1" customHeight="1">
      <c r="A512" s="8" t="s">
        <v>244</v>
      </c>
      <c r="B512" s="8" t="s">
        <v>1226</v>
      </c>
      <c r="C512" s="121" t="str">
        <f t="shared" si="23"/>
        <v>http://www.butler.va.gov/contact/phone_directory.asp</v>
      </c>
    </row>
    <row r="513" ht="14.25" hidden="1" customHeight="1">
      <c r="A513" s="8" t="s">
        <v>639</v>
      </c>
      <c r="B513" s="8" t="s">
        <v>1226</v>
      </c>
      <c r="C513" s="121" t="str">
        <f t="shared" si="23"/>
        <v>http://www.butler.va.gov/contact/phone_directory.asp</v>
      </c>
    </row>
    <row r="514" ht="14.25" hidden="1" customHeight="1">
      <c r="A514" s="8" t="s">
        <v>645</v>
      </c>
      <c r="B514" s="8" t="s">
        <v>1226</v>
      </c>
      <c r="C514" s="121" t="str">
        <f t="shared" si="23"/>
        <v>http://www.butler.va.gov/contact/phone_directory.asp</v>
      </c>
    </row>
    <row r="515" ht="14.25" hidden="1" customHeight="1">
      <c r="A515" s="8" t="s">
        <v>431</v>
      </c>
      <c r="B515" s="8" t="s">
        <v>1226</v>
      </c>
      <c r="C515" s="121" t="str">
        <f t="shared" si="23"/>
        <v>http://www.butler.va.gov/contact/phone_directory.asp</v>
      </c>
    </row>
    <row r="516" ht="14.25" hidden="1" customHeight="1">
      <c r="A516" s="8" t="s">
        <v>670</v>
      </c>
      <c r="B516" s="8" t="s">
        <v>1226</v>
      </c>
      <c r="C516" s="121" t="str">
        <f t="shared" si="23"/>
        <v>http://www.butler.va.gov/contact/phone_directory.asp</v>
      </c>
    </row>
    <row r="517" ht="14.25" hidden="1" customHeight="1">
      <c r="A517" s="8" t="s">
        <v>658</v>
      </c>
      <c r="B517" s="8" t="s">
        <v>1226</v>
      </c>
      <c r="C517" s="121" t="str">
        <f t="shared" si="23"/>
        <v>http://www.butler.va.gov/contact/phone_directory.asp</v>
      </c>
    </row>
    <row r="518" ht="14.25" hidden="1" customHeight="1">
      <c r="A518" s="8" t="s">
        <v>494</v>
      </c>
      <c r="B518" s="8" t="s">
        <v>1226</v>
      </c>
      <c r="C518" s="121" t="str">
        <f t="shared" si="23"/>
        <v>http://www.butler.va.gov/contact/phone_directory.asp</v>
      </c>
    </row>
    <row r="519" ht="14.25" hidden="1" customHeight="1">
      <c r="A519" s="8" t="s">
        <v>671</v>
      </c>
      <c r="B519" s="8" t="s">
        <v>1226</v>
      </c>
      <c r="C519" s="121" t="str">
        <f t="shared" si="23"/>
        <v>http://www.butler.va.gov/contact/phone_directory.asp</v>
      </c>
    </row>
    <row r="520" ht="14.25" hidden="1" customHeight="1">
      <c r="A520" s="8" t="s">
        <v>1877</v>
      </c>
      <c r="B520" s="8" t="s">
        <v>1226</v>
      </c>
      <c r="C520" s="121" t="str">
        <f t="shared" si="23"/>
        <v>http://www.butler.va.gov/contact/phone_directory.asp</v>
      </c>
    </row>
    <row r="521" ht="14.25" hidden="1" customHeight="1">
      <c r="A521" s="8" t="s">
        <v>679</v>
      </c>
      <c r="B521" s="8" t="s">
        <v>1226</v>
      </c>
      <c r="C521" s="121" t="str">
        <f t="shared" si="23"/>
        <v>http://www.butler.va.gov/contact/phone_directory.asp</v>
      </c>
    </row>
    <row r="522" ht="14.25" hidden="1" customHeight="1">
      <c r="A522" s="8" t="s">
        <v>694</v>
      </c>
      <c r="B522" s="8" t="s">
        <v>1226</v>
      </c>
      <c r="C522" s="121" t="str">
        <f t="shared" si="23"/>
        <v>http://www.butler.va.gov/contact/phone_directory.asp</v>
      </c>
    </row>
    <row r="523" ht="14.25" hidden="1" customHeight="1">
      <c r="A523" s="8" t="s">
        <v>699</v>
      </c>
      <c r="B523" s="8" t="s">
        <v>1226</v>
      </c>
      <c r="C523" s="121" t="str">
        <f t="shared" si="23"/>
        <v>http://www.butler.va.gov/contact/phone_directory.asp</v>
      </c>
    </row>
    <row r="524" ht="14.25" hidden="1" customHeight="1">
      <c r="A524" s="8" t="s">
        <v>704</v>
      </c>
      <c r="B524" s="8" t="s">
        <v>1226</v>
      </c>
      <c r="C524" s="121" t="str">
        <f t="shared" si="23"/>
        <v>http://www.butler.va.gov/contact/phone_directory.asp</v>
      </c>
    </row>
    <row r="525" ht="14.25" hidden="1" customHeight="1">
      <c r="A525" s="8" t="s">
        <v>710</v>
      </c>
      <c r="B525" s="8" t="s">
        <v>1226</v>
      </c>
      <c r="C525" s="121" t="str">
        <f t="shared" si="23"/>
        <v>http://www.butler.va.gov/contact/phone_directory.asp</v>
      </c>
    </row>
    <row r="526" ht="14.25" hidden="1" customHeight="1">
      <c r="A526" s="8" t="s">
        <v>684</v>
      </c>
      <c r="B526" s="8" t="s">
        <v>1226</v>
      </c>
      <c r="C526" s="121" t="str">
        <f t="shared" si="23"/>
        <v>http://www.butler.va.gov/contact/phone_directory.asp</v>
      </c>
    </row>
    <row r="527" ht="14.25" hidden="1" customHeight="1">
      <c r="A527" s="8" t="s">
        <v>717</v>
      </c>
      <c r="B527" s="8" t="s">
        <v>1226</v>
      </c>
      <c r="C527" s="121" t="str">
        <f t="shared" si="23"/>
        <v>http://www.butler.va.gov/contact/phone_directory.asp</v>
      </c>
    </row>
    <row r="528" ht="14.25" hidden="1" customHeight="1">
      <c r="A528" s="8" t="s">
        <v>688</v>
      </c>
      <c r="B528" s="8" t="s">
        <v>1226</v>
      </c>
      <c r="C528" s="121" t="str">
        <f t="shared" si="23"/>
        <v>http://www.butler.va.gov/contact/phone_directory.asp</v>
      </c>
    </row>
    <row r="529" ht="14.25" hidden="1" customHeight="1">
      <c r="A529" s="8" t="s">
        <v>726</v>
      </c>
      <c r="B529" s="8" t="s">
        <v>1226</v>
      </c>
      <c r="C529" s="121" t="str">
        <f t="shared" si="23"/>
        <v>http://www.butler.va.gov/contact/phone_directory.asp</v>
      </c>
    </row>
    <row r="530" ht="14.25" hidden="1" customHeight="1">
      <c r="A530" s="8" t="s">
        <v>731</v>
      </c>
      <c r="B530" s="8" t="s">
        <v>1226</v>
      </c>
      <c r="C530" s="121" t="str">
        <f t="shared" si="23"/>
        <v>http://www.butler.va.gov/contact/phone_directory.asp</v>
      </c>
    </row>
    <row r="531" ht="14.25" hidden="1" customHeight="1">
      <c r="A531" s="8" t="s">
        <v>735</v>
      </c>
      <c r="B531" s="8" t="s">
        <v>1226</v>
      </c>
      <c r="C531" s="121" t="str">
        <f t="shared" si="23"/>
        <v>http://www.butler.va.gov/contact/phone_directory.asp</v>
      </c>
    </row>
    <row r="532" ht="14.25" hidden="1" customHeight="1">
      <c r="A532" s="8" t="s">
        <v>740</v>
      </c>
      <c r="B532" s="8" t="s">
        <v>1226</v>
      </c>
      <c r="C532" s="121" t="str">
        <f t="shared" si="23"/>
        <v>http://www.butler.va.gov/contact/phone_directory.asp</v>
      </c>
    </row>
    <row r="533" ht="14.25" hidden="1" customHeight="1">
      <c r="A533" s="8" t="s">
        <v>741</v>
      </c>
      <c r="B533" s="8" t="s">
        <v>1226</v>
      </c>
      <c r="C533" s="121" t="str">
        <f t="shared" si="23"/>
        <v>http://www.butler.va.gov/contact/phone_directory.asp</v>
      </c>
    </row>
    <row r="534" ht="14.25" hidden="1" customHeight="1">
      <c r="A534" s="8" t="s">
        <v>746</v>
      </c>
      <c r="B534" s="8" t="s">
        <v>1226</v>
      </c>
      <c r="C534" s="121" t="str">
        <f t="shared" si="23"/>
        <v>http://www.butler.va.gov/contact/phone_directory.asp</v>
      </c>
    </row>
    <row r="535" ht="14.25" hidden="1" customHeight="1">
      <c r="A535" s="8" t="s">
        <v>624</v>
      </c>
      <c r="B535" s="8" t="s">
        <v>1233</v>
      </c>
      <c r="C535" s="121" t="str">
        <f t="shared" ref="C535:C567" si="24">HYPERLINK("http://www.canandaigua.va.gov/contact/phone_directory.asp")</f>
        <v>http://www.canandaigua.va.gov/contact/phone_directory.asp</v>
      </c>
    </row>
    <row r="536" ht="14.25" hidden="1" customHeight="1">
      <c r="A536" s="8" t="s">
        <v>1880</v>
      </c>
      <c r="B536" s="8" t="s">
        <v>1233</v>
      </c>
      <c r="C536" s="121" t="str">
        <f t="shared" si="24"/>
        <v>http://www.canandaigua.va.gov/contact/phone_directory.asp</v>
      </c>
    </row>
    <row r="537" ht="14.25" hidden="1" customHeight="1">
      <c r="A537" s="8" t="s">
        <v>998</v>
      </c>
      <c r="B537" s="8" t="s">
        <v>1233</v>
      </c>
      <c r="C537" s="121" t="str">
        <f t="shared" si="24"/>
        <v>http://www.canandaigua.va.gov/contact/phone_directory.asp</v>
      </c>
    </row>
    <row r="538" ht="14.25" hidden="1" customHeight="1">
      <c r="A538" s="8" t="s">
        <v>864</v>
      </c>
      <c r="B538" s="8" t="s">
        <v>1233</v>
      </c>
      <c r="C538" s="121" t="str">
        <f t="shared" si="24"/>
        <v>http://www.canandaigua.va.gov/contact/phone_directory.asp</v>
      </c>
    </row>
    <row r="539" ht="14.25" hidden="1" customHeight="1">
      <c r="A539" s="8" t="s">
        <v>1881</v>
      </c>
      <c r="B539" s="8" t="s">
        <v>1233</v>
      </c>
      <c r="C539" s="121" t="str">
        <f t="shared" si="24"/>
        <v>http://www.canandaigua.va.gov/contact/phone_directory.asp</v>
      </c>
    </row>
    <row r="540" ht="14.25" hidden="1" customHeight="1">
      <c r="A540" s="8" t="s">
        <v>1882</v>
      </c>
      <c r="B540" s="8" t="s">
        <v>1233</v>
      </c>
      <c r="C540" s="121" t="str">
        <f t="shared" si="24"/>
        <v>http://www.canandaigua.va.gov/contact/phone_directory.asp</v>
      </c>
    </row>
    <row r="541" ht="14.25" hidden="1" customHeight="1">
      <c r="A541" s="8" t="s">
        <v>1883</v>
      </c>
      <c r="B541" s="8" t="s">
        <v>1233</v>
      </c>
      <c r="C541" s="121" t="str">
        <f t="shared" si="24"/>
        <v>http://www.canandaigua.va.gov/contact/phone_directory.asp</v>
      </c>
    </row>
    <row r="542" ht="14.25" hidden="1" customHeight="1">
      <c r="A542" s="8" t="s">
        <v>875</v>
      </c>
      <c r="B542" s="8" t="s">
        <v>1233</v>
      </c>
      <c r="C542" s="121" t="str">
        <f t="shared" si="24"/>
        <v>http://www.canandaigua.va.gov/contact/phone_directory.asp</v>
      </c>
    </row>
    <row r="543" ht="14.25" hidden="1" customHeight="1">
      <c r="A543" s="8" t="s">
        <v>1193</v>
      </c>
      <c r="B543" s="8" t="s">
        <v>1233</v>
      </c>
      <c r="C543" s="121" t="str">
        <f t="shared" si="24"/>
        <v>http://www.canandaigua.va.gov/contact/phone_directory.asp</v>
      </c>
    </row>
    <row r="544" ht="14.25" hidden="1" customHeight="1">
      <c r="A544" s="8" t="s">
        <v>663</v>
      </c>
      <c r="B544" s="8" t="s">
        <v>1233</v>
      </c>
      <c r="C544" s="121" t="str">
        <f t="shared" si="24"/>
        <v>http://www.canandaigua.va.gov/contact/phone_directory.asp</v>
      </c>
    </row>
    <row r="545" ht="14.25" hidden="1" customHeight="1">
      <c r="A545" s="8" t="s">
        <v>1438</v>
      </c>
      <c r="B545" s="8" t="s">
        <v>1233</v>
      </c>
      <c r="C545" s="121" t="str">
        <f t="shared" si="24"/>
        <v>http://www.canandaigua.va.gov/contact/phone_directory.asp</v>
      </c>
    </row>
    <row r="546" ht="14.25" hidden="1" customHeight="1">
      <c r="A546" s="8" t="s">
        <v>1599</v>
      </c>
      <c r="B546" s="8" t="s">
        <v>1233</v>
      </c>
      <c r="C546" s="121" t="str">
        <f t="shared" si="24"/>
        <v>http://www.canandaigua.va.gov/contact/phone_directory.asp</v>
      </c>
    </row>
    <row r="547" ht="14.25" hidden="1" customHeight="1">
      <c r="A547" s="8" t="s">
        <v>1884</v>
      </c>
      <c r="B547" s="8" t="s">
        <v>1233</v>
      </c>
      <c r="C547" s="121" t="str">
        <f t="shared" si="24"/>
        <v>http://www.canandaigua.va.gov/contact/phone_directory.asp</v>
      </c>
    </row>
    <row r="548" ht="14.25" hidden="1" customHeight="1">
      <c r="A548" s="8" t="s">
        <v>1885</v>
      </c>
      <c r="B548" s="8" t="s">
        <v>1233</v>
      </c>
      <c r="C548" s="121" t="str">
        <f t="shared" si="24"/>
        <v>http://www.canandaigua.va.gov/contact/phone_directory.asp</v>
      </c>
    </row>
    <row r="549" ht="14.25" hidden="1" customHeight="1">
      <c r="A549" s="8" t="s">
        <v>1886</v>
      </c>
      <c r="B549" s="8" t="s">
        <v>1233</v>
      </c>
      <c r="C549" s="121" t="str">
        <f t="shared" si="24"/>
        <v>http://www.canandaigua.va.gov/contact/phone_directory.asp</v>
      </c>
    </row>
    <row r="550" ht="14.25" hidden="1" customHeight="1">
      <c r="A550" s="8" t="s">
        <v>1887</v>
      </c>
      <c r="B550" s="8" t="s">
        <v>1233</v>
      </c>
      <c r="C550" s="121" t="str">
        <f t="shared" si="24"/>
        <v>http://www.canandaigua.va.gov/contact/phone_directory.asp</v>
      </c>
    </row>
    <row r="551" ht="14.25" hidden="1" customHeight="1">
      <c r="A551" s="8" t="s">
        <v>1888</v>
      </c>
      <c r="B551" s="8" t="s">
        <v>1233</v>
      </c>
      <c r="C551" s="121" t="str">
        <f t="shared" si="24"/>
        <v>http://www.canandaigua.va.gov/contact/phone_directory.asp</v>
      </c>
    </row>
    <row r="552" ht="14.25" hidden="1" customHeight="1">
      <c r="A552" s="8" t="s">
        <v>670</v>
      </c>
      <c r="B552" s="8" t="s">
        <v>1233</v>
      </c>
      <c r="C552" s="121" t="str">
        <f t="shared" si="24"/>
        <v>http://www.canandaigua.va.gov/contact/phone_directory.asp</v>
      </c>
    </row>
    <row r="553" ht="14.25" hidden="1" customHeight="1">
      <c r="A553" s="8" t="s">
        <v>481</v>
      </c>
      <c r="B553" s="8" t="s">
        <v>1233</v>
      </c>
      <c r="C553" s="121" t="str">
        <f t="shared" si="24"/>
        <v>http://www.canandaigua.va.gov/contact/phone_directory.asp</v>
      </c>
    </row>
    <row r="554" ht="14.25" hidden="1" customHeight="1">
      <c r="A554" s="8" t="s">
        <v>1777</v>
      </c>
      <c r="B554" s="8" t="s">
        <v>1233</v>
      </c>
      <c r="C554" s="121" t="str">
        <f t="shared" si="24"/>
        <v>http://www.canandaigua.va.gov/contact/phone_directory.asp</v>
      </c>
    </row>
    <row r="555" ht="14.25" hidden="1" customHeight="1">
      <c r="A555" s="8" t="s">
        <v>1889</v>
      </c>
      <c r="B555" s="8" t="s">
        <v>1233</v>
      </c>
      <c r="C555" s="121" t="str">
        <f t="shared" si="24"/>
        <v>http://www.canandaigua.va.gov/contact/phone_directory.asp</v>
      </c>
    </row>
    <row r="556" ht="14.25" hidden="1" customHeight="1">
      <c r="A556" s="8" t="s">
        <v>1890</v>
      </c>
      <c r="B556" s="8" t="s">
        <v>1233</v>
      </c>
      <c r="C556" s="121" t="str">
        <f t="shared" si="24"/>
        <v>http://www.canandaigua.va.gov/contact/phone_directory.asp</v>
      </c>
    </row>
    <row r="557" ht="14.25" hidden="1" customHeight="1">
      <c r="A557" s="8" t="s">
        <v>1891</v>
      </c>
      <c r="B557" s="8" t="s">
        <v>1233</v>
      </c>
      <c r="C557" s="121" t="str">
        <f t="shared" si="24"/>
        <v>http://www.canandaigua.va.gov/contact/phone_directory.asp</v>
      </c>
    </row>
    <row r="558" ht="14.25" hidden="1" customHeight="1">
      <c r="A558" s="8" t="s">
        <v>1892</v>
      </c>
      <c r="B558" s="8" t="s">
        <v>1233</v>
      </c>
      <c r="C558" s="121" t="str">
        <f t="shared" si="24"/>
        <v>http://www.canandaigua.va.gov/contact/phone_directory.asp</v>
      </c>
    </row>
    <row r="559" ht="14.25" hidden="1" customHeight="1">
      <c r="A559" s="8" t="s">
        <v>713</v>
      </c>
      <c r="B559" s="8" t="s">
        <v>1233</v>
      </c>
      <c r="C559" s="121" t="str">
        <f t="shared" si="24"/>
        <v>http://www.canandaigua.va.gov/contact/phone_directory.asp</v>
      </c>
    </row>
    <row r="560" ht="14.25" hidden="1" customHeight="1">
      <c r="A560" s="8" t="s">
        <v>504</v>
      </c>
      <c r="B560" s="8" t="s">
        <v>1233</v>
      </c>
      <c r="C560" s="121" t="str">
        <f t="shared" si="24"/>
        <v>http://www.canandaigua.va.gov/contact/phone_directory.asp</v>
      </c>
    </row>
    <row r="561" ht="14.25" hidden="1" customHeight="1">
      <c r="A561" s="8" t="s">
        <v>708</v>
      </c>
      <c r="B561" s="8" t="s">
        <v>1233</v>
      </c>
      <c r="C561" s="121" t="str">
        <f t="shared" si="24"/>
        <v>http://www.canandaigua.va.gov/contact/phone_directory.asp</v>
      </c>
    </row>
    <row r="562" ht="14.25" hidden="1" customHeight="1">
      <c r="A562" s="8" t="s">
        <v>1616</v>
      </c>
      <c r="B562" s="8" t="s">
        <v>1233</v>
      </c>
      <c r="C562" s="121" t="str">
        <f t="shared" si="24"/>
        <v>http://www.canandaigua.va.gov/contact/phone_directory.asp</v>
      </c>
    </row>
    <row r="563" ht="14.25" hidden="1" customHeight="1">
      <c r="A563" s="8" t="s">
        <v>1893</v>
      </c>
      <c r="B563" s="8" t="s">
        <v>1233</v>
      </c>
      <c r="C563" s="121" t="str">
        <f t="shared" si="24"/>
        <v>http://www.canandaigua.va.gov/contact/phone_directory.asp</v>
      </c>
    </row>
    <row r="564" ht="14.25" hidden="1" customHeight="1">
      <c r="A564" s="8" t="s">
        <v>1619</v>
      </c>
      <c r="B564" s="8" t="s">
        <v>1233</v>
      </c>
      <c r="C564" s="121" t="str">
        <f t="shared" si="24"/>
        <v>http://www.canandaigua.va.gov/contact/phone_directory.asp</v>
      </c>
    </row>
    <row r="565" ht="14.25" hidden="1" customHeight="1">
      <c r="A565" s="8" t="s">
        <v>1875</v>
      </c>
      <c r="B565" s="8" t="s">
        <v>1233</v>
      </c>
      <c r="C565" s="121" t="str">
        <f t="shared" si="24"/>
        <v>http://www.canandaigua.va.gov/contact/phone_directory.asp</v>
      </c>
    </row>
    <row r="566" ht="14.25" hidden="1" customHeight="1">
      <c r="A566" s="8" t="s">
        <v>518</v>
      </c>
      <c r="B566" s="8" t="s">
        <v>1233</v>
      </c>
      <c r="C566" s="121" t="str">
        <f t="shared" si="24"/>
        <v>http://www.canandaigua.va.gov/contact/phone_directory.asp</v>
      </c>
    </row>
    <row r="567" ht="14.25" hidden="1" customHeight="1">
      <c r="A567" s="8" t="s">
        <v>1894</v>
      </c>
      <c r="B567" s="8" t="s">
        <v>1233</v>
      </c>
      <c r="C567" s="121" t="str">
        <f t="shared" si="24"/>
        <v>http://www.canandaigua.va.gov/contact/phone_directory.asp</v>
      </c>
    </row>
    <row r="568" ht="14.25" hidden="1" customHeight="1">
      <c r="A568" s="8" t="s">
        <v>708</v>
      </c>
      <c r="B568" s="8" t="s">
        <v>1240</v>
      </c>
      <c r="C568" s="121" t="str">
        <f>HYPERLINK("http://www.caribbean.va.gov/contact/phone_directory.asp")</f>
        <v>http://www.caribbean.va.gov/contact/phone_directory.asp</v>
      </c>
    </row>
    <row r="569" ht="14.25" hidden="1" customHeight="1">
      <c r="A569" s="8" t="s">
        <v>624</v>
      </c>
      <c r="B569" s="8" t="s">
        <v>1255</v>
      </c>
      <c r="C569" s="121" t="str">
        <f t="shared" ref="C569:C604" si="25">HYPERLINK("http://www.centralalabama.va.gov/contact/phone_directory.asp")</f>
        <v>http://www.centralalabama.va.gov/contact/phone_directory.asp</v>
      </c>
    </row>
    <row r="570" ht="14.25" hidden="1" customHeight="1">
      <c r="A570" s="8" t="s">
        <v>1741</v>
      </c>
      <c r="B570" s="8" t="s">
        <v>1255</v>
      </c>
      <c r="C570" s="121" t="str">
        <f t="shared" si="25"/>
        <v>http://www.centralalabama.va.gov/contact/phone_directory.asp</v>
      </c>
    </row>
    <row r="571" ht="14.25" hidden="1" customHeight="1">
      <c r="A571" s="8" t="s">
        <v>631</v>
      </c>
      <c r="B571" s="8" t="s">
        <v>1255</v>
      </c>
      <c r="C571" s="121" t="str">
        <f t="shared" si="25"/>
        <v>http://www.centralalabama.va.gov/contact/phone_directory.asp</v>
      </c>
    </row>
    <row r="572" ht="14.25" hidden="1" customHeight="1">
      <c r="A572" s="8" t="s">
        <v>1895</v>
      </c>
      <c r="B572" s="8" t="s">
        <v>1255</v>
      </c>
      <c r="C572" s="121" t="str">
        <f t="shared" si="25"/>
        <v>http://www.centralalabama.va.gov/contact/phone_directory.asp</v>
      </c>
    </row>
    <row r="573" ht="14.25" hidden="1" customHeight="1">
      <c r="A573" s="8" t="s">
        <v>1896</v>
      </c>
      <c r="B573" s="8" t="s">
        <v>1255</v>
      </c>
      <c r="C573" s="121" t="str">
        <f t="shared" si="25"/>
        <v>http://www.centralalabama.va.gov/contact/phone_directory.asp</v>
      </c>
    </row>
    <row r="574" ht="14.25" hidden="1" customHeight="1">
      <c r="A574" s="8" t="s">
        <v>1897</v>
      </c>
      <c r="B574" s="8" t="s">
        <v>1255</v>
      </c>
      <c r="C574" s="121" t="str">
        <f t="shared" si="25"/>
        <v>http://www.centralalabama.va.gov/contact/phone_directory.asp</v>
      </c>
    </row>
    <row r="575" ht="14.25" hidden="1" customHeight="1">
      <c r="A575" s="8" t="s">
        <v>1898</v>
      </c>
      <c r="B575" s="8" t="s">
        <v>1255</v>
      </c>
      <c r="C575" s="121" t="str">
        <f t="shared" si="25"/>
        <v>http://www.centralalabama.va.gov/contact/phone_directory.asp</v>
      </c>
    </row>
    <row r="576" ht="14.25" hidden="1" customHeight="1">
      <c r="A576" s="8" t="s">
        <v>1899</v>
      </c>
      <c r="B576" s="8" t="s">
        <v>1255</v>
      </c>
      <c r="C576" s="121" t="str">
        <f t="shared" si="25"/>
        <v>http://www.centralalabama.va.gov/contact/phone_directory.asp</v>
      </c>
    </row>
    <row r="577" ht="14.25" hidden="1" customHeight="1">
      <c r="A577" s="8" t="s">
        <v>1900</v>
      </c>
      <c r="B577" s="8" t="s">
        <v>1255</v>
      </c>
      <c r="C577" s="121" t="str">
        <f t="shared" si="25"/>
        <v>http://www.centralalabama.va.gov/contact/phone_directory.asp</v>
      </c>
    </row>
    <row r="578" ht="14.25" hidden="1" customHeight="1">
      <c r="A578" s="8" t="s">
        <v>455</v>
      </c>
      <c r="B578" s="8" t="s">
        <v>1255</v>
      </c>
      <c r="C578" s="121" t="str">
        <f t="shared" si="25"/>
        <v>http://www.centralalabama.va.gov/contact/phone_directory.asp</v>
      </c>
    </row>
    <row r="579" ht="14.25" hidden="1" customHeight="1">
      <c r="A579" s="8" t="s">
        <v>1901</v>
      </c>
      <c r="B579" s="8" t="s">
        <v>1255</v>
      </c>
      <c r="C579" s="121" t="str">
        <f t="shared" si="25"/>
        <v>http://www.centralalabama.va.gov/contact/phone_directory.asp</v>
      </c>
    </row>
    <row r="580" ht="14.25" hidden="1" customHeight="1">
      <c r="A580" s="8" t="s">
        <v>1902</v>
      </c>
      <c r="B580" s="8" t="s">
        <v>1255</v>
      </c>
      <c r="C580" s="121" t="str">
        <f t="shared" si="25"/>
        <v>http://www.centralalabama.va.gov/contact/phone_directory.asp</v>
      </c>
    </row>
    <row r="581" ht="14.25" hidden="1" customHeight="1">
      <c r="A581" s="8" t="s">
        <v>1903</v>
      </c>
      <c r="B581" s="8" t="s">
        <v>1255</v>
      </c>
      <c r="C581" s="121" t="str">
        <f t="shared" si="25"/>
        <v>http://www.centralalabama.va.gov/contact/phone_directory.asp</v>
      </c>
    </row>
    <row r="582" ht="14.25" hidden="1" customHeight="1">
      <c r="A582" s="8" t="s">
        <v>1904</v>
      </c>
      <c r="B582" s="8" t="s">
        <v>1255</v>
      </c>
      <c r="C582" s="121" t="str">
        <f t="shared" si="25"/>
        <v>http://www.centralalabama.va.gov/contact/phone_directory.asp</v>
      </c>
    </row>
    <row r="583" ht="14.25" hidden="1" customHeight="1">
      <c r="A583" s="8" t="s">
        <v>1905</v>
      </c>
      <c r="B583" s="8" t="s">
        <v>1255</v>
      </c>
      <c r="C583" s="121" t="str">
        <f t="shared" si="25"/>
        <v>http://www.centralalabama.va.gov/contact/phone_directory.asp</v>
      </c>
    </row>
    <row r="584" ht="14.25" hidden="1" customHeight="1">
      <c r="A584" s="8" t="s">
        <v>691</v>
      </c>
      <c r="B584" s="8" t="s">
        <v>1255</v>
      </c>
      <c r="C584" s="121" t="str">
        <f t="shared" si="25"/>
        <v>http://www.centralalabama.va.gov/contact/phone_directory.asp</v>
      </c>
    </row>
    <row r="585" ht="14.25" hidden="1" customHeight="1">
      <c r="A585" s="8" t="s">
        <v>1655</v>
      </c>
      <c r="B585" s="8" t="s">
        <v>1255</v>
      </c>
      <c r="C585" s="121" t="str">
        <f t="shared" si="25"/>
        <v>http://www.centralalabama.va.gov/contact/phone_directory.asp</v>
      </c>
    </row>
    <row r="586" ht="14.25" hidden="1" customHeight="1">
      <c r="A586" s="8" t="s">
        <v>1267</v>
      </c>
      <c r="B586" s="8" t="s">
        <v>1255</v>
      </c>
      <c r="C586" s="121" t="str">
        <f t="shared" si="25"/>
        <v>http://www.centralalabama.va.gov/contact/phone_directory.asp</v>
      </c>
    </row>
    <row r="587" ht="14.25" hidden="1" customHeight="1">
      <c r="A587" s="8" t="s">
        <v>1906</v>
      </c>
      <c r="B587" s="8" t="s">
        <v>1255</v>
      </c>
      <c r="C587" s="121" t="str">
        <f t="shared" si="25"/>
        <v>http://www.centralalabama.va.gov/contact/phone_directory.asp</v>
      </c>
    </row>
    <row r="588" ht="14.25" hidden="1" customHeight="1">
      <c r="A588" s="8" t="s">
        <v>1907</v>
      </c>
      <c r="B588" s="8" t="s">
        <v>1255</v>
      </c>
      <c r="C588" s="121" t="str">
        <f t="shared" si="25"/>
        <v>http://www.centralalabama.va.gov/contact/phone_directory.asp</v>
      </c>
    </row>
    <row r="589" ht="14.25" hidden="1" customHeight="1">
      <c r="A589" s="8" t="s">
        <v>1908</v>
      </c>
      <c r="B589" s="8" t="s">
        <v>1255</v>
      </c>
      <c r="C589" s="121" t="str">
        <f t="shared" si="25"/>
        <v>http://www.centralalabama.va.gov/contact/phone_directory.asp</v>
      </c>
    </row>
    <row r="590" ht="14.25" hidden="1" customHeight="1">
      <c r="A590" s="8" t="s">
        <v>1909</v>
      </c>
      <c r="B590" s="8" t="s">
        <v>1255</v>
      </c>
      <c r="C590" s="121" t="str">
        <f t="shared" si="25"/>
        <v>http://www.centralalabama.va.gov/contact/phone_directory.asp</v>
      </c>
    </row>
    <row r="591" ht="14.25" hidden="1" customHeight="1">
      <c r="A591" s="8" t="s">
        <v>1910</v>
      </c>
      <c r="B591" s="8" t="s">
        <v>1255</v>
      </c>
      <c r="C591" s="121" t="str">
        <f t="shared" si="25"/>
        <v>http://www.centralalabama.va.gov/contact/phone_directory.asp</v>
      </c>
    </row>
    <row r="592" ht="14.25" hidden="1" customHeight="1">
      <c r="A592" s="8" t="s">
        <v>1912</v>
      </c>
      <c r="B592" s="8" t="s">
        <v>1255</v>
      </c>
      <c r="C592" s="121" t="str">
        <f t="shared" si="25"/>
        <v>http://www.centralalabama.va.gov/contact/phone_directory.asp</v>
      </c>
    </row>
    <row r="593" ht="14.25" hidden="1" customHeight="1">
      <c r="A593" s="8" t="s">
        <v>1914</v>
      </c>
      <c r="B593" s="8" t="s">
        <v>1255</v>
      </c>
      <c r="C593" s="121" t="str">
        <f t="shared" si="25"/>
        <v>http://www.centralalabama.va.gov/contact/phone_directory.asp</v>
      </c>
    </row>
    <row r="594" ht="14.25" hidden="1" customHeight="1">
      <c r="A594" s="8" t="s">
        <v>1915</v>
      </c>
      <c r="B594" s="8" t="s">
        <v>1255</v>
      </c>
      <c r="C594" s="121" t="str">
        <f t="shared" si="25"/>
        <v>http://www.centralalabama.va.gov/contact/phone_directory.asp</v>
      </c>
    </row>
    <row r="595" ht="14.25" hidden="1" customHeight="1">
      <c r="A595" s="8" t="s">
        <v>508</v>
      </c>
      <c r="B595" s="8" t="s">
        <v>1255</v>
      </c>
      <c r="C595" s="121" t="str">
        <f t="shared" si="25"/>
        <v>http://www.centralalabama.va.gov/contact/phone_directory.asp</v>
      </c>
    </row>
    <row r="596" ht="14.25" hidden="1" customHeight="1">
      <c r="A596" s="8" t="s">
        <v>1916</v>
      </c>
      <c r="B596" s="8" t="s">
        <v>1255</v>
      </c>
      <c r="C596" s="121" t="str">
        <f t="shared" si="25"/>
        <v>http://www.centralalabama.va.gov/contact/phone_directory.asp</v>
      </c>
    </row>
    <row r="597" ht="14.25" hidden="1" customHeight="1">
      <c r="A597" s="8" t="s">
        <v>1917</v>
      </c>
      <c r="B597" s="8" t="s">
        <v>1255</v>
      </c>
      <c r="C597" s="121" t="str">
        <f t="shared" si="25"/>
        <v>http://www.centralalabama.va.gov/contact/phone_directory.asp</v>
      </c>
    </row>
    <row r="598" ht="14.25" hidden="1" customHeight="1">
      <c r="A598" s="8" t="s">
        <v>1919</v>
      </c>
      <c r="B598" s="8" t="s">
        <v>1255</v>
      </c>
      <c r="C598" s="121" t="str">
        <f t="shared" si="25"/>
        <v>http://www.centralalabama.va.gov/contact/phone_directory.asp</v>
      </c>
    </row>
    <row r="599" ht="14.25" hidden="1" customHeight="1">
      <c r="A599" s="8" t="s">
        <v>1920</v>
      </c>
      <c r="B599" s="8" t="s">
        <v>1255</v>
      </c>
      <c r="C599" s="121" t="str">
        <f t="shared" si="25"/>
        <v>http://www.centralalabama.va.gov/contact/phone_directory.asp</v>
      </c>
    </row>
    <row r="600" ht="14.25" hidden="1" customHeight="1">
      <c r="A600" s="8" t="s">
        <v>672</v>
      </c>
      <c r="B600" s="8" t="s">
        <v>1255</v>
      </c>
      <c r="C600" s="121" t="str">
        <f t="shared" si="25"/>
        <v>http://www.centralalabama.va.gov/contact/phone_directory.asp</v>
      </c>
    </row>
    <row r="601" ht="14.25" hidden="1" customHeight="1">
      <c r="A601" s="8" t="s">
        <v>724</v>
      </c>
      <c r="B601" s="8" t="s">
        <v>1255</v>
      </c>
      <c r="C601" s="121" t="str">
        <f t="shared" si="25"/>
        <v>http://www.centralalabama.va.gov/contact/phone_directory.asp</v>
      </c>
    </row>
    <row r="602" ht="14.25" hidden="1" customHeight="1">
      <c r="A602" s="8" t="s">
        <v>1922</v>
      </c>
      <c r="B602" s="8" t="s">
        <v>1255</v>
      </c>
      <c r="C602" s="121" t="str">
        <f t="shared" si="25"/>
        <v>http://www.centralalabama.va.gov/contact/phone_directory.asp</v>
      </c>
    </row>
    <row r="603" ht="14.25" hidden="1" customHeight="1">
      <c r="A603" s="8" t="s">
        <v>1923</v>
      </c>
      <c r="B603" s="8" t="s">
        <v>1255</v>
      </c>
      <c r="C603" s="121" t="str">
        <f t="shared" si="25"/>
        <v>http://www.centralalabama.va.gov/contact/phone_directory.asp</v>
      </c>
    </row>
    <row r="604" ht="14.25" hidden="1" customHeight="1">
      <c r="A604" s="8" t="s">
        <v>1924</v>
      </c>
      <c r="B604" s="8" t="s">
        <v>1255</v>
      </c>
      <c r="C604" s="121" t="str">
        <f t="shared" si="25"/>
        <v>http://www.centralalabama.va.gov/contact/phone_directory.asp</v>
      </c>
    </row>
    <row r="605" ht="14.25" hidden="1" customHeight="1">
      <c r="A605" s="8" t="s">
        <v>639</v>
      </c>
      <c r="B605" s="8" t="s">
        <v>1259</v>
      </c>
      <c r="C605" s="121" t="str">
        <f t="shared" ref="C605:C619" si="26">HYPERLINK("http://www.centraliowa.va.gov/contact/phone_directory.asp")</f>
        <v>http://www.centraliowa.va.gov/contact/phone_directory.asp</v>
      </c>
    </row>
    <row r="606" ht="14.25" hidden="1" customHeight="1">
      <c r="A606" s="8" t="s">
        <v>1925</v>
      </c>
      <c r="B606" s="8" t="s">
        <v>1259</v>
      </c>
      <c r="C606" s="121" t="str">
        <f t="shared" si="26"/>
        <v>http://www.centraliowa.va.gov/contact/phone_directory.asp</v>
      </c>
    </row>
    <row r="607" ht="14.25" hidden="1" customHeight="1">
      <c r="A607" s="8" t="s">
        <v>1926</v>
      </c>
      <c r="B607" s="8" t="s">
        <v>1259</v>
      </c>
      <c r="C607" s="121" t="str">
        <f t="shared" si="26"/>
        <v>http://www.centraliowa.va.gov/contact/phone_directory.asp</v>
      </c>
    </row>
    <row r="608" ht="14.25" hidden="1" customHeight="1">
      <c r="A608" s="8" t="s">
        <v>1020</v>
      </c>
      <c r="B608" s="8" t="s">
        <v>1259</v>
      </c>
      <c r="C608" s="121" t="str">
        <f t="shared" si="26"/>
        <v>http://www.centraliowa.va.gov/contact/phone_directory.asp</v>
      </c>
    </row>
    <row r="609" ht="14.25" hidden="1" customHeight="1">
      <c r="A609" s="8" t="s">
        <v>455</v>
      </c>
      <c r="B609" s="8" t="s">
        <v>1259</v>
      </c>
      <c r="C609" s="121" t="str">
        <f t="shared" si="26"/>
        <v>http://www.centraliowa.va.gov/contact/phone_directory.asp</v>
      </c>
    </row>
    <row r="610" ht="14.25" hidden="1" customHeight="1">
      <c r="A610" s="8" t="s">
        <v>1928</v>
      </c>
      <c r="B610" s="8" t="s">
        <v>1259</v>
      </c>
      <c r="C610" s="121" t="str">
        <f t="shared" si="26"/>
        <v>http://www.centraliowa.va.gov/contact/phone_directory.asp</v>
      </c>
    </row>
    <row r="611" ht="14.25" hidden="1" customHeight="1">
      <c r="A611" s="8" t="s">
        <v>1865</v>
      </c>
      <c r="B611" s="8" t="s">
        <v>1259</v>
      </c>
      <c r="C611" s="121" t="str">
        <f t="shared" si="26"/>
        <v>http://www.centraliowa.va.gov/contact/phone_directory.asp</v>
      </c>
    </row>
    <row r="612" ht="14.25" hidden="1" customHeight="1">
      <c r="A612" s="8" t="s">
        <v>1147</v>
      </c>
      <c r="B612" s="8" t="s">
        <v>1259</v>
      </c>
      <c r="C612" s="121" t="str">
        <f t="shared" si="26"/>
        <v>http://www.centraliowa.va.gov/contact/phone_directory.asp</v>
      </c>
    </row>
    <row r="613" ht="14.25" hidden="1" customHeight="1">
      <c r="A613" s="8" t="s">
        <v>1931</v>
      </c>
      <c r="B613" s="8" t="s">
        <v>1259</v>
      </c>
      <c r="C613" s="121" t="str">
        <f t="shared" si="26"/>
        <v>http://www.centraliowa.va.gov/contact/phone_directory.asp</v>
      </c>
    </row>
    <row r="614" ht="14.25" hidden="1" customHeight="1">
      <c r="A614" s="8" t="s">
        <v>1932</v>
      </c>
      <c r="B614" s="8" t="s">
        <v>1259</v>
      </c>
      <c r="C614" s="121" t="str">
        <f t="shared" si="26"/>
        <v>http://www.centraliowa.va.gov/contact/phone_directory.asp</v>
      </c>
    </row>
    <row r="615" ht="14.25" hidden="1" customHeight="1">
      <c r="A615" s="8" t="s">
        <v>1934</v>
      </c>
      <c r="B615" s="8" t="s">
        <v>1259</v>
      </c>
      <c r="C615" s="121" t="str">
        <f t="shared" si="26"/>
        <v>http://www.centraliowa.va.gov/contact/phone_directory.asp</v>
      </c>
    </row>
    <row r="616" ht="14.25" hidden="1" customHeight="1">
      <c r="A616" s="8" t="s">
        <v>1935</v>
      </c>
      <c r="B616" s="8" t="s">
        <v>1259</v>
      </c>
      <c r="C616" s="121" t="str">
        <f t="shared" si="26"/>
        <v>http://www.centraliowa.va.gov/contact/phone_directory.asp</v>
      </c>
    </row>
    <row r="617" ht="14.25" hidden="1" customHeight="1">
      <c r="A617" s="8" t="s">
        <v>1016</v>
      </c>
      <c r="B617" s="8" t="s">
        <v>1259</v>
      </c>
      <c r="C617" s="121" t="str">
        <f t="shared" si="26"/>
        <v>http://www.centraliowa.va.gov/contact/phone_directory.asp</v>
      </c>
    </row>
    <row r="618" ht="14.25" hidden="1" customHeight="1">
      <c r="A618" s="8" t="s">
        <v>1891</v>
      </c>
      <c r="B618" s="8" t="s">
        <v>1259</v>
      </c>
      <c r="C618" s="121" t="str">
        <f t="shared" si="26"/>
        <v>http://www.centraliowa.va.gov/contact/phone_directory.asp</v>
      </c>
    </row>
    <row r="619" ht="14.25" hidden="1" customHeight="1">
      <c r="A619" s="8" t="s">
        <v>724</v>
      </c>
      <c r="B619" s="8" t="s">
        <v>1259</v>
      </c>
      <c r="C619" s="121" t="str">
        <f t="shared" si="26"/>
        <v>http://www.centraliowa.va.gov/contact/phone_directory.asp</v>
      </c>
    </row>
    <row r="620" ht="14.25" hidden="1" customHeight="1">
      <c r="A620" s="8" t="s">
        <v>621</v>
      </c>
      <c r="B620" s="8" t="s">
        <v>1274</v>
      </c>
      <c r="C620" s="121" t="str">
        <f t="shared" ref="C620:C641" si="27">HYPERLINK("http://www.centraltexas.va.gov/contact/phone_directory.asp")</f>
        <v>http://www.centraltexas.va.gov/contact/phone_directory.asp</v>
      </c>
    </row>
    <row r="621" ht="14.25" hidden="1" customHeight="1">
      <c r="A621" s="8" t="s">
        <v>1416</v>
      </c>
      <c r="B621" s="8" t="s">
        <v>1274</v>
      </c>
      <c r="C621" s="121" t="str">
        <f t="shared" si="27"/>
        <v>http://www.centraltexas.va.gov/contact/phone_directory.asp</v>
      </c>
    </row>
    <row r="622" ht="14.25" hidden="1" customHeight="1">
      <c r="A622" s="8" t="s">
        <v>624</v>
      </c>
      <c r="B622" s="8" t="s">
        <v>1274</v>
      </c>
      <c r="C622" s="121" t="str">
        <f t="shared" si="27"/>
        <v>http://www.centraltexas.va.gov/contact/phone_directory.asp</v>
      </c>
    </row>
    <row r="623" ht="14.25" hidden="1" customHeight="1">
      <c r="A623" s="8" t="s">
        <v>998</v>
      </c>
      <c r="B623" s="8" t="s">
        <v>1274</v>
      </c>
      <c r="C623" s="121" t="str">
        <f t="shared" si="27"/>
        <v>http://www.centraltexas.va.gov/contact/phone_directory.asp</v>
      </c>
    </row>
    <row r="624" ht="14.25" hidden="1" customHeight="1">
      <c r="A624" s="8" t="s">
        <v>864</v>
      </c>
      <c r="B624" s="8" t="s">
        <v>1274</v>
      </c>
      <c r="C624" s="121" t="str">
        <f t="shared" si="27"/>
        <v>http://www.centraltexas.va.gov/contact/phone_directory.asp</v>
      </c>
    </row>
    <row r="625" ht="14.25" hidden="1" customHeight="1">
      <c r="A625" s="8" t="s">
        <v>638</v>
      </c>
      <c r="B625" s="8" t="s">
        <v>1274</v>
      </c>
      <c r="C625" s="121" t="str">
        <f t="shared" si="27"/>
        <v>http://www.centraltexas.va.gov/contact/phone_directory.asp</v>
      </c>
    </row>
    <row r="626" ht="14.25" hidden="1" customHeight="1">
      <c r="A626" s="8" t="s">
        <v>1827</v>
      </c>
      <c r="B626" s="8" t="s">
        <v>1274</v>
      </c>
      <c r="C626" s="121" t="str">
        <f t="shared" si="27"/>
        <v>http://www.centraltexas.va.gov/contact/phone_directory.asp</v>
      </c>
    </row>
    <row r="627" ht="14.25" hidden="1" customHeight="1">
      <c r="A627" s="8" t="s">
        <v>872</v>
      </c>
      <c r="B627" s="8" t="s">
        <v>1274</v>
      </c>
      <c r="C627" s="121" t="str">
        <f t="shared" si="27"/>
        <v>http://www.centraltexas.va.gov/contact/phone_directory.asp</v>
      </c>
    </row>
    <row r="628" ht="14.25" hidden="1" customHeight="1">
      <c r="A628" s="8" t="s">
        <v>663</v>
      </c>
      <c r="B628" s="8" t="s">
        <v>1274</v>
      </c>
      <c r="C628" s="121" t="str">
        <f t="shared" si="27"/>
        <v>http://www.centraltexas.va.gov/contact/phone_directory.asp</v>
      </c>
    </row>
    <row r="629" ht="14.25" hidden="1" customHeight="1">
      <c r="A629" s="8" t="s">
        <v>1438</v>
      </c>
      <c r="B629" s="8" t="s">
        <v>1274</v>
      </c>
      <c r="C629" s="121" t="str">
        <f t="shared" si="27"/>
        <v>http://www.centraltexas.va.gov/contact/phone_directory.asp</v>
      </c>
    </row>
    <row r="630" ht="14.25" hidden="1" customHeight="1">
      <c r="A630" s="8" t="s">
        <v>1623</v>
      </c>
      <c r="B630" s="8" t="s">
        <v>1274</v>
      </c>
      <c r="C630" s="121" t="str">
        <f t="shared" si="27"/>
        <v>http://www.centraltexas.va.gov/contact/phone_directory.asp</v>
      </c>
    </row>
    <row r="631" ht="14.25" hidden="1" customHeight="1">
      <c r="A631" s="8" t="s">
        <v>698</v>
      </c>
      <c r="B631" s="8" t="s">
        <v>1274</v>
      </c>
      <c r="C631" s="121" t="str">
        <f t="shared" si="27"/>
        <v>http://www.centraltexas.va.gov/contact/phone_directory.asp</v>
      </c>
    </row>
    <row r="632" ht="14.25" hidden="1" customHeight="1">
      <c r="A632" s="8" t="s">
        <v>1937</v>
      </c>
      <c r="B632" s="8" t="s">
        <v>1274</v>
      </c>
      <c r="C632" s="121" t="str">
        <f t="shared" si="27"/>
        <v>http://www.centraltexas.va.gov/contact/phone_directory.asp</v>
      </c>
    </row>
    <row r="633" ht="14.25" hidden="1" customHeight="1">
      <c r="A633" s="8" t="s">
        <v>1938</v>
      </c>
      <c r="B633" s="8" t="s">
        <v>1274</v>
      </c>
      <c r="C633" s="121" t="str">
        <f t="shared" si="27"/>
        <v>http://www.centraltexas.va.gov/contact/phone_directory.asp</v>
      </c>
    </row>
    <row r="634" ht="14.25" hidden="1" customHeight="1">
      <c r="A634" s="8" t="s">
        <v>1028</v>
      </c>
      <c r="B634" s="8" t="s">
        <v>1274</v>
      </c>
      <c r="C634" s="121" t="str">
        <f t="shared" si="27"/>
        <v>http://www.centraltexas.va.gov/contact/phone_directory.asp</v>
      </c>
    </row>
    <row r="635" ht="14.25" hidden="1" customHeight="1">
      <c r="A635" s="8" t="s">
        <v>1231</v>
      </c>
      <c r="B635" s="8" t="s">
        <v>1274</v>
      </c>
      <c r="C635" s="121" t="str">
        <f t="shared" si="27"/>
        <v>http://www.centraltexas.va.gov/contact/phone_directory.asp</v>
      </c>
    </row>
    <row r="636" ht="14.25" hidden="1" customHeight="1">
      <c r="A636" s="8" t="s">
        <v>1626</v>
      </c>
      <c r="B636" s="8" t="s">
        <v>1274</v>
      </c>
      <c r="C636" s="121" t="str">
        <f t="shared" si="27"/>
        <v>http://www.centraltexas.va.gov/contact/phone_directory.asp</v>
      </c>
    </row>
    <row r="637" ht="14.25" hidden="1" customHeight="1">
      <c r="A637" s="8" t="s">
        <v>1940</v>
      </c>
      <c r="B637" s="8" t="s">
        <v>1274</v>
      </c>
      <c r="C637" s="121" t="str">
        <f t="shared" si="27"/>
        <v>http://www.centraltexas.va.gov/contact/phone_directory.asp</v>
      </c>
    </row>
    <row r="638" ht="14.25" hidden="1" customHeight="1">
      <c r="A638" s="8" t="s">
        <v>1942</v>
      </c>
      <c r="B638" s="8" t="s">
        <v>1274</v>
      </c>
      <c r="C638" s="121" t="str">
        <f t="shared" si="27"/>
        <v>http://www.centraltexas.va.gov/contact/phone_directory.asp</v>
      </c>
    </row>
    <row r="639" ht="14.25" hidden="1" customHeight="1">
      <c r="A639" s="8" t="s">
        <v>708</v>
      </c>
      <c r="B639" s="8" t="s">
        <v>1274</v>
      </c>
      <c r="C639" s="121" t="str">
        <f t="shared" si="27"/>
        <v>http://www.centraltexas.va.gov/contact/phone_directory.asp</v>
      </c>
    </row>
    <row r="640" ht="14.25" hidden="1" customHeight="1">
      <c r="A640" s="8" t="s">
        <v>363</v>
      </c>
      <c r="B640" s="8" t="s">
        <v>1274</v>
      </c>
      <c r="C640" s="121" t="str">
        <f t="shared" si="27"/>
        <v>http://www.centraltexas.va.gov/contact/phone_directory.asp</v>
      </c>
    </row>
    <row r="641" ht="14.25" hidden="1" customHeight="1">
      <c r="A641" s="8" t="s">
        <v>722</v>
      </c>
      <c r="B641" s="8" t="s">
        <v>1274</v>
      </c>
      <c r="C641" s="121" t="str">
        <f t="shared" si="27"/>
        <v>http://www.centraltexas.va.gov/contact/phone_directory.asp</v>
      </c>
    </row>
    <row r="642" ht="14.25" hidden="1" customHeight="1">
      <c r="A642" s="8" t="s">
        <v>475</v>
      </c>
      <c r="B642" s="8" t="s">
        <v>1296</v>
      </c>
      <c r="C642" s="121" t="str">
        <f t="shared" ref="C642:C661" si="28">HYPERLINK("http://www.centralwesternmass.va.gov/contact/phone_directory.asp")</f>
        <v>http://www.centralwesternmass.va.gov/contact/phone_directory.asp</v>
      </c>
    </row>
    <row r="643" ht="14.25" hidden="1" customHeight="1">
      <c r="A643" s="8" t="s">
        <v>1945</v>
      </c>
      <c r="B643" s="8" t="s">
        <v>1296</v>
      </c>
      <c r="C643" s="121" t="str">
        <f t="shared" si="28"/>
        <v>http://www.centralwesternmass.va.gov/contact/phone_directory.asp</v>
      </c>
    </row>
    <row r="644" ht="14.25" hidden="1" customHeight="1">
      <c r="A644" s="8" t="s">
        <v>640</v>
      </c>
      <c r="B644" s="8" t="s">
        <v>1296</v>
      </c>
      <c r="C644" s="121" t="str">
        <f t="shared" si="28"/>
        <v>http://www.centralwesternmass.va.gov/contact/phone_directory.asp</v>
      </c>
    </row>
    <row r="645" ht="14.25" hidden="1" customHeight="1">
      <c r="A645" s="8" t="s">
        <v>673</v>
      </c>
      <c r="B645" s="8" t="s">
        <v>1296</v>
      </c>
      <c r="C645" s="121" t="str">
        <f t="shared" si="28"/>
        <v>http://www.centralwesternmass.va.gov/contact/phone_directory.asp</v>
      </c>
    </row>
    <row r="646" ht="14.25" hidden="1" customHeight="1">
      <c r="A646" s="8" t="s">
        <v>303</v>
      </c>
      <c r="B646" s="8" t="s">
        <v>1296</v>
      </c>
      <c r="C646" s="121" t="str">
        <f t="shared" si="28"/>
        <v>http://www.centralwesternmass.va.gov/contact/phone_directory.asp</v>
      </c>
    </row>
    <row r="647" ht="14.25" hidden="1" customHeight="1">
      <c r="A647" s="8" t="s">
        <v>1947</v>
      </c>
      <c r="B647" s="8" t="s">
        <v>1296</v>
      </c>
      <c r="C647" s="121" t="str">
        <f t="shared" si="28"/>
        <v>http://www.centralwesternmass.va.gov/contact/phone_directory.asp</v>
      </c>
    </row>
    <row r="648" ht="14.25" hidden="1" customHeight="1">
      <c r="A648" s="8" t="s">
        <v>431</v>
      </c>
      <c r="B648" s="8" t="s">
        <v>1296</v>
      </c>
      <c r="C648" s="121" t="str">
        <f t="shared" si="28"/>
        <v>http://www.centralwesternmass.va.gov/contact/phone_directory.asp</v>
      </c>
    </row>
    <row r="649" ht="14.25" hidden="1" customHeight="1">
      <c r="A649" s="8" t="s">
        <v>584</v>
      </c>
      <c r="B649" s="8" t="s">
        <v>1296</v>
      </c>
      <c r="C649" s="121" t="str">
        <f t="shared" si="28"/>
        <v>http://www.centralwesternmass.va.gov/contact/phone_directory.asp</v>
      </c>
    </row>
    <row r="650" ht="14.25" hidden="1" customHeight="1">
      <c r="A650" s="8" t="s">
        <v>1948</v>
      </c>
      <c r="B650" s="8" t="s">
        <v>1296</v>
      </c>
      <c r="C650" s="121" t="str">
        <f t="shared" si="28"/>
        <v>http://www.centralwesternmass.va.gov/contact/phone_directory.asp</v>
      </c>
    </row>
    <row r="651" ht="14.25" hidden="1" customHeight="1">
      <c r="A651" s="8" t="s">
        <v>694</v>
      </c>
      <c r="B651" s="8" t="s">
        <v>1296</v>
      </c>
      <c r="C651" s="121" t="str">
        <f t="shared" si="28"/>
        <v>http://www.centralwesternmass.va.gov/contact/phone_directory.asp</v>
      </c>
    </row>
    <row r="652" ht="14.25" hidden="1" customHeight="1">
      <c r="A652" s="8" t="s">
        <v>608</v>
      </c>
      <c r="B652" s="8" t="s">
        <v>1296</v>
      </c>
      <c r="C652" s="121" t="str">
        <f t="shared" si="28"/>
        <v>http://www.centralwesternmass.va.gov/contact/phone_directory.asp</v>
      </c>
    </row>
    <row r="653" ht="14.25" hidden="1" customHeight="1">
      <c r="A653" s="8" t="s">
        <v>353</v>
      </c>
      <c r="B653" s="8" t="s">
        <v>1296</v>
      </c>
      <c r="C653" s="121" t="str">
        <f t="shared" si="28"/>
        <v>http://www.centralwesternmass.va.gov/contact/phone_directory.asp</v>
      </c>
    </row>
    <row r="654" ht="14.25" hidden="1" customHeight="1">
      <c r="A654" s="8" t="s">
        <v>684</v>
      </c>
      <c r="B654" s="8" t="s">
        <v>1296</v>
      </c>
      <c r="C654" s="121" t="str">
        <f t="shared" si="28"/>
        <v>http://www.centralwesternmass.va.gov/contact/phone_directory.asp</v>
      </c>
    </row>
    <row r="655" ht="14.25" hidden="1" customHeight="1">
      <c r="A655" s="8" t="s">
        <v>717</v>
      </c>
      <c r="B655" s="8" t="s">
        <v>1296</v>
      </c>
      <c r="C655" s="121" t="str">
        <f t="shared" si="28"/>
        <v>http://www.centralwesternmass.va.gov/contact/phone_directory.asp</v>
      </c>
    </row>
    <row r="656" ht="14.25" hidden="1" customHeight="1">
      <c r="A656" s="8" t="s">
        <v>708</v>
      </c>
      <c r="B656" s="8" t="s">
        <v>1296</v>
      </c>
      <c r="C656" s="121" t="str">
        <f t="shared" si="28"/>
        <v>http://www.centralwesternmass.va.gov/contact/phone_directory.asp</v>
      </c>
    </row>
    <row r="657" ht="14.25" hidden="1" customHeight="1">
      <c r="A657" s="8" t="s">
        <v>564</v>
      </c>
      <c r="B657" s="8" t="s">
        <v>1296</v>
      </c>
      <c r="C657" s="121" t="str">
        <f t="shared" si="28"/>
        <v>http://www.centralwesternmass.va.gov/contact/phone_directory.asp</v>
      </c>
    </row>
    <row r="658" ht="14.25" hidden="1" customHeight="1">
      <c r="A658" s="8" t="s">
        <v>724</v>
      </c>
      <c r="B658" s="8" t="s">
        <v>1296</v>
      </c>
      <c r="C658" s="121" t="str">
        <f t="shared" si="28"/>
        <v>http://www.centralwesternmass.va.gov/contact/phone_directory.asp</v>
      </c>
    </row>
    <row r="659" ht="14.25" hidden="1" customHeight="1">
      <c r="A659" s="8" t="s">
        <v>1950</v>
      </c>
      <c r="B659" s="8" t="s">
        <v>1296</v>
      </c>
      <c r="C659" s="121" t="str">
        <f t="shared" si="28"/>
        <v>http://www.centralwesternmass.va.gov/contact/phone_directory.asp</v>
      </c>
    </row>
    <row r="660" ht="14.25" hidden="1" customHeight="1">
      <c r="A660" s="8" t="s">
        <v>1952</v>
      </c>
      <c r="B660" s="8" t="s">
        <v>1296</v>
      </c>
      <c r="C660" s="121" t="str">
        <f t="shared" si="28"/>
        <v>http://www.centralwesternmass.va.gov/contact/phone_directory.asp</v>
      </c>
    </row>
    <row r="661" ht="14.25" hidden="1" customHeight="1">
      <c r="A661" s="8" t="s">
        <v>1954</v>
      </c>
      <c r="B661" s="8" t="s">
        <v>1296</v>
      </c>
      <c r="C661" s="121" t="str">
        <f t="shared" si="28"/>
        <v>http://www.centralwesternmass.va.gov/contact/phone_directory.asp</v>
      </c>
    </row>
    <row r="662" ht="14.25" hidden="1" customHeight="1">
      <c r="A662" s="8" t="s">
        <v>624</v>
      </c>
      <c r="B662" s="8" t="s">
        <v>1302</v>
      </c>
      <c r="C662" s="121" t="str">
        <f t="shared" ref="C662:C716" si="29">HYPERLINK("http://www.charleston.va.gov/contact/phone_directory.asp")</f>
        <v>http://www.charleston.va.gov/contact/phone_directory.asp</v>
      </c>
    </row>
    <row r="663" ht="14.25" hidden="1" customHeight="1">
      <c r="A663" s="8" t="s">
        <v>636</v>
      </c>
      <c r="B663" s="8" t="s">
        <v>1302</v>
      </c>
      <c r="C663" s="121" t="str">
        <f t="shared" si="29"/>
        <v>http://www.charleston.va.gov/contact/phone_directory.asp</v>
      </c>
    </row>
    <row r="664" ht="14.25" hidden="1" customHeight="1">
      <c r="A664" s="8" t="s">
        <v>631</v>
      </c>
      <c r="B664" s="8" t="s">
        <v>1302</v>
      </c>
      <c r="C664" s="121" t="str">
        <f t="shared" si="29"/>
        <v>http://www.charleston.va.gov/contact/phone_directory.asp</v>
      </c>
    </row>
    <row r="665" ht="14.25" hidden="1" customHeight="1">
      <c r="A665" s="8" t="s">
        <v>864</v>
      </c>
      <c r="B665" s="8" t="s">
        <v>1302</v>
      </c>
      <c r="C665" s="121" t="str">
        <f t="shared" si="29"/>
        <v>http://www.charleston.va.gov/contact/phone_directory.asp</v>
      </c>
    </row>
    <row r="666" ht="14.25" hidden="1" customHeight="1">
      <c r="A666" s="8" t="s">
        <v>1957</v>
      </c>
      <c r="B666" s="8" t="s">
        <v>1302</v>
      </c>
      <c r="C666" s="121" t="str">
        <f t="shared" si="29"/>
        <v>http://www.charleston.va.gov/contact/phone_directory.asp</v>
      </c>
    </row>
    <row r="667" ht="14.25" hidden="1" customHeight="1">
      <c r="A667" s="8" t="s">
        <v>638</v>
      </c>
      <c r="B667" s="8" t="s">
        <v>1302</v>
      </c>
      <c r="C667" s="121" t="str">
        <f t="shared" si="29"/>
        <v>http://www.charleston.va.gov/contact/phone_directory.asp</v>
      </c>
    </row>
    <row r="668" ht="14.25" hidden="1" customHeight="1">
      <c r="A668" s="8" t="s">
        <v>1958</v>
      </c>
      <c r="B668" s="8" t="s">
        <v>1302</v>
      </c>
      <c r="C668" s="121" t="str">
        <f t="shared" si="29"/>
        <v>http://www.charleston.va.gov/contact/phone_directory.asp</v>
      </c>
    </row>
    <row r="669" ht="14.25" hidden="1" customHeight="1">
      <c r="A669" s="8" t="s">
        <v>478</v>
      </c>
      <c r="B669" s="8" t="s">
        <v>1302</v>
      </c>
      <c r="C669" s="121" t="str">
        <f t="shared" si="29"/>
        <v>http://www.charleston.va.gov/contact/phone_directory.asp</v>
      </c>
    </row>
    <row r="670" ht="14.25" hidden="1" customHeight="1">
      <c r="A670" s="8" t="s">
        <v>1959</v>
      </c>
      <c r="B670" s="8" t="s">
        <v>1302</v>
      </c>
      <c r="C670" s="121" t="str">
        <f t="shared" si="29"/>
        <v>http://www.charleston.va.gov/contact/phone_directory.asp</v>
      </c>
    </row>
    <row r="671" ht="14.25" hidden="1" customHeight="1">
      <c r="A671" s="8" t="s">
        <v>645</v>
      </c>
      <c r="B671" s="8" t="s">
        <v>1302</v>
      </c>
      <c r="C671" s="121" t="str">
        <f t="shared" si="29"/>
        <v>http://www.charleston.va.gov/contact/phone_directory.asp</v>
      </c>
    </row>
    <row r="672" ht="14.25" hidden="1" customHeight="1">
      <c r="A672" s="8" t="s">
        <v>455</v>
      </c>
      <c r="B672" s="8" t="s">
        <v>1302</v>
      </c>
      <c r="C672" s="121" t="str">
        <f t="shared" si="29"/>
        <v>http://www.charleston.va.gov/contact/phone_directory.asp</v>
      </c>
    </row>
    <row r="673" ht="14.25" hidden="1" customHeight="1">
      <c r="A673" s="8" t="s">
        <v>1961</v>
      </c>
      <c r="B673" s="8" t="s">
        <v>1302</v>
      </c>
      <c r="C673" s="121" t="str">
        <f t="shared" si="29"/>
        <v>http://www.charleston.va.gov/contact/phone_directory.asp</v>
      </c>
    </row>
    <row r="674" ht="14.25" hidden="1" customHeight="1">
      <c r="A674" s="8" t="s">
        <v>517</v>
      </c>
      <c r="B674" s="8" t="s">
        <v>1302</v>
      </c>
      <c r="C674" s="121" t="str">
        <f t="shared" si="29"/>
        <v>http://www.charleston.va.gov/contact/phone_directory.asp</v>
      </c>
    </row>
    <row r="675" ht="14.25" hidden="1" customHeight="1">
      <c r="A675" s="8" t="s">
        <v>1671</v>
      </c>
      <c r="B675" s="8" t="s">
        <v>1302</v>
      </c>
      <c r="C675" s="121" t="str">
        <f t="shared" si="29"/>
        <v>http://www.charleston.va.gov/contact/phone_directory.asp</v>
      </c>
    </row>
    <row r="676" ht="14.25" hidden="1" customHeight="1">
      <c r="A676" s="8" t="s">
        <v>1456</v>
      </c>
      <c r="B676" s="8" t="s">
        <v>1302</v>
      </c>
      <c r="C676" s="121" t="str">
        <f t="shared" si="29"/>
        <v>http://www.charleston.va.gov/contact/phone_directory.asp</v>
      </c>
    </row>
    <row r="677" ht="14.25" hidden="1" customHeight="1">
      <c r="A677" s="8" t="s">
        <v>1962</v>
      </c>
      <c r="B677" s="8" t="s">
        <v>1302</v>
      </c>
      <c r="C677" s="121" t="str">
        <f t="shared" si="29"/>
        <v>http://www.charleston.va.gov/contact/phone_directory.asp</v>
      </c>
    </row>
    <row r="678" ht="14.25" hidden="1" customHeight="1">
      <c r="A678" s="8" t="s">
        <v>1963</v>
      </c>
      <c r="B678" s="8" t="s">
        <v>1302</v>
      </c>
      <c r="C678" s="121" t="str">
        <f t="shared" si="29"/>
        <v>http://www.charleston.va.gov/contact/phone_directory.asp</v>
      </c>
    </row>
    <row r="679" ht="14.25" hidden="1" customHeight="1">
      <c r="A679" s="8" t="s">
        <v>538</v>
      </c>
      <c r="B679" s="8" t="s">
        <v>1302</v>
      </c>
      <c r="C679" s="121" t="str">
        <f t="shared" si="29"/>
        <v>http://www.charleston.va.gov/contact/phone_directory.asp</v>
      </c>
    </row>
    <row r="680" ht="14.25" hidden="1" customHeight="1">
      <c r="A680" s="8" t="s">
        <v>719</v>
      </c>
      <c r="B680" s="8" t="s">
        <v>1302</v>
      </c>
      <c r="C680" s="121" t="str">
        <f t="shared" si="29"/>
        <v>http://www.charleston.va.gov/contact/phone_directory.asp</v>
      </c>
    </row>
    <row r="681" ht="14.25" hidden="1" customHeight="1">
      <c r="A681" s="8" t="s">
        <v>1965</v>
      </c>
      <c r="B681" s="8" t="s">
        <v>1302</v>
      </c>
      <c r="C681" s="121" t="str">
        <f t="shared" si="29"/>
        <v>http://www.charleston.va.gov/contact/phone_directory.asp</v>
      </c>
    </row>
    <row r="682" ht="14.25" hidden="1" customHeight="1">
      <c r="A682" s="8" t="s">
        <v>1138</v>
      </c>
      <c r="B682" s="8" t="s">
        <v>1302</v>
      </c>
      <c r="C682" s="121" t="str">
        <f t="shared" si="29"/>
        <v>http://www.charleston.va.gov/contact/phone_directory.asp</v>
      </c>
    </row>
    <row r="683" ht="14.25" hidden="1" customHeight="1">
      <c r="A683" s="8" t="s">
        <v>1373</v>
      </c>
      <c r="B683" s="8" t="s">
        <v>1302</v>
      </c>
      <c r="C683" s="121" t="str">
        <f t="shared" si="29"/>
        <v>http://www.charleston.va.gov/contact/phone_directory.asp</v>
      </c>
    </row>
    <row r="684" ht="14.25" hidden="1" customHeight="1">
      <c r="A684" s="8" t="s">
        <v>556</v>
      </c>
      <c r="B684" s="8" t="s">
        <v>1302</v>
      </c>
      <c r="C684" s="121" t="str">
        <f t="shared" si="29"/>
        <v>http://www.charleston.va.gov/contact/phone_directory.asp</v>
      </c>
    </row>
    <row r="685" ht="14.25" hidden="1" customHeight="1">
      <c r="A685" s="8" t="s">
        <v>696</v>
      </c>
      <c r="B685" s="8" t="s">
        <v>1302</v>
      </c>
      <c r="C685" s="121" t="str">
        <f t="shared" si="29"/>
        <v>http://www.charleston.va.gov/contact/phone_directory.asp</v>
      </c>
    </row>
    <row r="686" ht="14.25" hidden="1" customHeight="1">
      <c r="A686" s="8" t="s">
        <v>431</v>
      </c>
      <c r="B686" s="8" t="s">
        <v>1302</v>
      </c>
      <c r="C686" s="121" t="str">
        <f t="shared" si="29"/>
        <v>http://www.charleston.va.gov/contact/phone_directory.asp</v>
      </c>
    </row>
    <row r="687" ht="14.25" hidden="1" customHeight="1">
      <c r="A687" s="8" t="s">
        <v>579</v>
      </c>
      <c r="B687" s="8" t="s">
        <v>1302</v>
      </c>
      <c r="C687" s="121" t="str">
        <f t="shared" si="29"/>
        <v>http://www.charleston.va.gov/contact/phone_directory.asp</v>
      </c>
    </row>
    <row r="688" ht="14.25" hidden="1" customHeight="1">
      <c r="A688" s="8" t="s">
        <v>885</v>
      </c>
      <c r="B688" s="8" t="s">
        <v>1302</v>
      </c>
      <c r="C688" s="121" t="str">
        <f t="shared" si="29"/>
        <v>http://www.charleston.va.gov/contact/phone_directory.asp</v>
      </c>
    </row>
    <row r="689" ht="14.25" hidden="1" customHeight="1">
      <c r="A689" s="8" t="s">
        <v>1967</v>
      </c>
      <c r="B689" s="8" t="s">
        <v>1302</v>
      </c>
      <c r="C689" s="121" t="str">
        <f t="shared" si="29"/>
        <v>http://www.charleston.va.gov/contact/phone_directory.asp</v>
      </c>
    </row>
    <row r="690" ht="14.25" hidden="1" customHeight="1">
      <c r="A690" s="8" t="s">
        <v>1575</v>
      </c>
      <c r="B690" s="8" t="s">
        <v>1302</v>
      </c>
      <c r="C690" s="121" t="str">
        <f t="shared" si="29"/>
        <v>http://www.charleston.va.gov/contact/phone_directory.asp</v>
      </c>
    </row>
    <row r="691" ht="14.25" hidden="1" customHeight="1">
      <c r="A691" s="8" t="s">
        <v>1968</v>
      </c>
      <c r="B691" s="8" t="s">
        <v>1302</v>
      </c>
      <c r="C691" s="121" t="str">
        <f t="shared" si="29"/>
        <v>http://www.charleston.va.gov/contact/phone_directory.asp</v>
      </c>
    </row>
    <row r="692" ht="14.25" hidden="1" customHeight="1">
      <c r="A692" s="8" t="s">
        <v>683</v>
      </c>
      <c r="B692" s="8" t="s">
        <v>1302</v>
      </c>
      <c r="C692" s="121" t="str">
        <f t="shared" si="29"/>
        <v>http://www.charleston.va.gov/contact/phone_directory.asp</v>
      </c>
    </row>
    <row r="693" ht="14.25" hidden="1" customHeight="1">
      <c r="A693" s="8" t="s">
        <v>1969</v>
      </c>
      <c r="B693" s="8" t="s">
        <v>1302</v>
      </c>
      <c r="C693" s="121" t="str">
        <f t="shared" si="29"/>
        <v>http://www.charleston.va.gov/contact/phone_directory.asp</v>
      </c>
    </row>
    <row r="694" ht="14.25" hidden="1" customHeight="1">
      <c r="A694" s="8" t="s">
        <v>1970</v>
      </c>
      <c r="B694" s="8" t="s">
        <v>1302</v>
      </c>
      <c r="C694" s="121" t="str">
        <f t="shared" si="29"/>
        <v>http://www.charleston.va.gov/contact/phone_directory.asp</v>
      </c>
    </row>
    <row r="695" ht="14.25" hidden="1" customHeight="1">
      <c r="A695" s="8" t="s">
        <v>653</v>
      </c>
      <c r="B695" s="8" t="s">
        <v>1302</v>
      </c>
      <c r="C695" s="121" t="str">
        <f t="shared" si="29"/>
        <v>http://www.charleston.va.gov/contact/phone_directory.asp</v>
      </c>
    </row>
    <row r="696" ht="14.25" hidden="1" customHeight="1">
      <c r="A696" s="8" t="s">
        <v>1172</v>
      </c>
      <c r="B696" s="8" t="s">
        <v>1302</v>
      </c>
      <c r="C696" s="121" t="str">
        <f t="shared" si="29"/>
        <v>http://www.charleston.va.gov/contact/phone_directory.asp</v>
      </c>
    </row>
    <row r="697" ht="14.25" hidden="1" customHeight="1">
      <c r="A697" s="8" t="s">
        <v>1972</v>
      </c>
      <c r="B697" s="8" t="s">
        <v>1302</v>
      </c>
      <c r="C697" s="121" t="str">
        <f t="shared" si="29"/>
        <v>http://www.charleston.va.gov/contact/phone_directory.asp</v>
      </c>
    </row>
    <row r="698" ht="14.25" hidden="1" customHeight="1">
      <c r="A698" s="8" t="s">
        <v>1973</v>
      </c>
      <c r="B698" s="8" t="s">
        <v>1302</v>
      </c>
      <c r="C698" s="121" t="str">
        <f t="shared" si="29"/>
        <v>http://www.charleston.va.gov/contact/phone_directory.asp</v>
      </c>
    </row>
    <row r="699" ht="14.25" hidden="1" customHeight="1">
      <c r="A699" s="8" t="s">
        <v>338</v>
      </c>
      <c r="B699" s="8" t="s">
        <v>1302</v>
      </c>
      <c r="C699" s="121" t="str">
        <f t="shared" si="29"/>
        <v>http://www.charleston.va.gov/contact/phone_directory.asp</v>
      </c>
    </row>
    <row r="700" ht="14.25" hidden="1" customHeight="1">
      <c r="A700" s="8" t="s">
        <v>1974</v>
      </c>
      <c r="B700" s="8" t="s">
        <v>1302</v>
      </c>
      <c r="C700" s="121" t="str">
        <f t="shared" si="29"/>
        <v>http://www.charleston.va.gov/contact/phone_directory.asp</v>
      </c>
    </row>
    <row r="701" ht="14.25" hidden="1" customHeight="1">
      <c r="A701" s="8" t="s">
        <v>907</v>
      </c>
      <c r="B701" s="8" t="s">
        <v>1302</v>
      </c>
      <c r="C701" s="121" t="str">
        <f t="shared" si="29"/>
        <v>http://www.charleston.va.gov/contact/phone_directory.asp</v>
      </c>
    </row>
    <row r="702" ht="14.25" hidden="1" customHeight="1">
      <c r="A702" s="8" t="s">
        <v>697</v>
      </c>
      <c r="B702" s="8" t="s">
        <v>1302</v>
      </c>
      <c r="C702" s="121" t="str">
        <f t="shared" si="29"/>
        <v>http://www.charleston.va.gov/contact/phone_directory.asp</v>
      </c>
    </row>
    <row r="703" ht="14.25" hidden="1" customHeight="1">
      <c r="A703" s="8" t="s">
        <v>344</v>
      </c>
      <c r="B703" s="8" t="s">
        <v>1302</v>
      </c>
      <c r="C703" s="121" t="str">
        <f t="shared" si="29"/>
        <v>http://www.charleston.va.gov/contact/phone_directory.asp</v>
      </c>
    </row>
    <row r="704" ht="14.25" hidden="1" customHeight="1">
      <c r="A704" s="8" t="s">
        <v>450</v>
      </c>
      <c r="B704" s="8" t="s">
        <v>1302</v>
      </c>
      <c r="C704" s="121" t="str">
        <f t="shared" si="29"/>
        <v>http://www.charleston.va.gov/contact/phone_directory.asp</v>
      </c>
    </row>
    <row r="705" ht="14.25" hidden="1" customHeight="1">
      <c r="A705" s="8" t="s">
        <v>348</v>
      </c>
      <c r="B705" s="8" t="s">
        <v>1302</v>
      </c>
      <c r="C705" s="121" t="str">
        <f t="shared" si="29"/>
        <v>http://www.charleston.va.gov/contact/phone_directory.asp</v>
      </c>
    </row>
    <row r="706" ht="14.25" hidden="1" customHeight="1">
      <c r="A706" s="8" t="s">
        <v>353</v>
      </c>
      <c r="B706" s="8" t="s">
        <v>1302</v>
      </c>
      <c r="C706" s="121" t="str">
        <f t="shared" si="29"/>
        <v>http://www.charleston.va.gov/contact/phone_directory.asp</v>
      </c>
    </row>
    <row r="707" ht="14.25" hidden="1" customHeight="1">
      <c r="A707" s="8" t="s">
        <v>791</v>
      </c>
      <c r="B707" s="8" t="s">
        <v>1302</v>
      </c>
      <c r="C707" s="121" t="str">
        <f t="shared" si="29"/>
        <v>http://www.charleston.va.gov/contact/phone_directory.asp</v>
      </c>
    </row>
    <row r="708" ht="14.25" hidden="1" customHeight="1">
      <c r="A708" s="8" t="s">
        <v>708</v>
      </c>
      <c r="B708" s="8" t="s">
        <v>1302</v>
      </c>
      <c r="C708" s="121" t="str">
        <f t="shared" si="29"/>
        <v>http://www.charleston.va.gov/contact/phone_directory.asp</v>
      </c>
    </row>
    <row r="709" ht="14.25" hidden="1" customHeight="1">
      <c r="A709" s="8" t="s">
        <v>1054</v>
      </c>
      <c r="B709" s="8" t="s">
        <v>1302</v>
      </c>
      <c r="C709" s="121" t="str">
        <f t="shared" si="29"/>
        <v>http://www.charleston.va.gov/contact/phone_directory.asp</v>
      </c>
    </row>
    <row r="710" ht="14.25" hidden="1" customHeight="1">
      <c r="A710" s="8" t="s">
        <v>712</v>
      </c>
      <c r="B710" s="8" t="s">
        <v>1302</v>
      </c>
      <c r="C710" s="121" t="str">
        <f t="shared" si="29"/>
        <v>http://www.charleston.va.gov/contact/phone_directory.asp</v>
      </c>
    </row>
    <row r="711" ht="14.25" hidden="1" customHeight="1">
      <c r="A711" s="8" t="s">
        <v>724</v>
      </c>
      <c r="B711" s="8" t="s">
        <v>1302</v>
      </c>
      <c r="C711" s="121" t="str">
        <f t="shared" si="29"/>
        <v>http://www.charleston.va.gov/contact/phone_directory.asp</v>
      </c>
    </row>
    <row r="712" ht="14.25" hidden="1" customHeight="1">
      <c r="A712" s="8" t="s">
        <v>1362</v>
      </c>
      <c r="B712" s="8" t="s">
        <v>1302</v>
      </c>
      <c r="C712" s="121" t="str">
        <f t="shared" si="29"/>
        <v>http://www.charleston.va.gov/contact/phone_directory.asp</v>
      </c>
    </row>
    <row r="713" ht="14.25" hidden="1" customHeight="1">
      <c r="A713" s="8" t="s">
        <v>1619</v>
      </c>
      <c r="B713" s="8" t="s">
        <v>1302</v>
      </c>
      <c r="C713" s="121" t="str">
        <f t="shared" si="29"/>
        <v>http://www.charleston.va.gov/contact/phone_directory.asp</v>
      </c>
    </row>
    <row r="714" ht="14.25" hidden="1" customHeight="1">
      <c r="A714" s="8" t="s">
        <v>1979</v>
      </c>
      <c r="B714" s="8" t="s">
        <v>1302</v>
      </c>
      <c r="C714" s="121" t="str">
        <f t="shared" si="29"/>
        <v>http://www.charleston.va.gov/contact/phone_directory.asp</v>
      </c>
    </row>
    <row r="715" ht="14.25" hidden="1" customHeight="1">
      <c r="A715" s="8" t="s">
        <v>1090</v>
      </c>
      <c r="B715" s="8" t="s">
        <v>1302</v>
      </c>
      <c r="C715" s="121" t="str">
        <f t="shared" si="29"/>
        <v>http://www.charleston.va.gov/contact/phone_directory.asp</v>
      </c>
    </row>
    <row r="716" ht="14.25" hidden="1" customHeight="1">
      <c r="A716" s="8" t="s">
        <v>518</v>
      </c>
      <c r="B716" s="8" t="s">
        <v>1302</v>
      </c>
      <c r="C716" s="121" t="str">
        <f t="shared" si="29"/>
        <v>http://www.charleston.va.gov/contact/phone_directory.asp</v>
      </c>
    </row>
    <row r="717" ht="14.25" hidden="1" customHeight="1">
      <c r="A717" s="8" t="s">
        <v>624</v>
      </c>
      <c r="B717" s="8" t="s">
        <v>1314</v>
      </c>
      <c r="C717" s="121" t="str">
        <f t="shared" ref="C717:C726" si="30">HYPERLINK("http://www.cheyenne.va.gov/contact/phone_directory.asp")</f>
        <v>http://www.cheyenne.va.gov/contact/phone_directory.asp</v>
      </c>
    </row>
    <row r="718" ht="14.25" hidden="1" customHeight="1">
      <c r="A718" s="8" t="s">
        <v>1981</v>
      </c>
      <c r="B718" s="8" t="s">
        <v>1314</v>
      </c>
      <c r="C718" s="121" t="str">
        <f t="shared" si="30"/>
        <v>http://www.cheyenne.va.gov/contact/phone_directory.asp</v>
      </c>
    </row>
    <row r="719" ht="14.25" hidden="1" customHeight="1">
      <c r="A719" s="8" t="s">
        <v>864</v>
      </c>
      <c r="B719" s="8" t="s">
        <v>1314</v>
      </c>
      <c r="C719" s="121" t="str">
        <f t="shared" si="30"/>
        <v>http://www.cheyenne.va.gov/contact/phone_directory.asp</v>
      </c>
    </row>
    <row r="720" ht="14.25" hidden="1" customHeight="1">
      <c r="A720" s="8" t="s">
        <v>1983</v>
      </c>
      <c r="B720" s="8" t="s">
        <v>1314</v>
      </c>
      <c r="C720" s="121" t="str">
        <f t="shared" si="30"/>
        <v>http://www.cheyenne.va.gov/contact/phone_directory.asp</v>
      </c>
    </row>
    <row r="721" ht="14.25" hidden="1" customHeight="1">
      <c r="A721" s="8" t="s">
        <v>1882</v>
      </c>
      <c r="B721" s="8" t="s">
        <v>1314</v>
      </c>
      <c r="C721" s="121" t="str">
        <f t="shared" si="30"/>
        <v>http://www.cheyenne.va.gov/contact/phone_directory.asp</v>
      </c>
    </row>
    <row r="722" ht="14.25" hidden="1" customHeight="1">
      <c r="A722" s="8" t="s">
        <v>1963</v>
      </c>
      <c r="B722" s="8" t="s">
        <v>1314</v>
      </c>
      <c r="C722" s="121" t="str">
        <f t="shared" si="30"/>
        <v>http://www.cheyenne.va.gov/contact/phone_directory.asp</v>
      </c>
    </row>
    <row r="723" ht="14.25" hidden="1" customHeight="1">
      <c r="A723" s="8" t="s">
        <v>1984</v>
      </c>
      <c r="B723" s="8" t="s">
        <v>1314</v>
      </c>
      <c r="C723" s="121" t="str">
        <f t="shared" si="30"/>
        <v>http://www.cheyenne.va.gov/contact/phone_directory.asp</v>
      </c>
    </row>
    <row r="724" ht="14.25" hidden="1" customHeight="1">
      <c r="A724" s="8" t="s">
        <v>504</v>
      </c>
      <c r="B724" s="8" t="s">
        <v>1314</v>
      </c>
      <c r="C724" s="121" t="str">
        <f t="shared" si="30"/>
        <v>http://www.cheyenne.va.gov/contact/phone_directory.asp</v>
      </c>
    </row>
    <row r="725" ht="14.25" hidden="1" customHeight="1">
      <c r="A725" s="8" t="s">
        <v>708</v>
      </c>
      <c r="B725" s="8" t="s">
        <v>1314</v>
      </c>
      <c r="C725" s="121" t="str">
        <f t="shared" si="30"/>
        <v>http://www.cheyenne.va.gov/contact/phone_directory.asp</v>
      </c>
    </row>
    <row r="726" ht="14.25" hidden="1" customHeight="1">
      <c r="A726" s="8" t="s">
        <v>1985</v>
      </c>
      <c r="B726" s="8" t="s">
        <v>1314</v>
      </c>
      <c r="C726" s="121" t="str">
        <f t="shared" si="30"/>
        <v>http://www.cheyenne.va.gov/contact/phone_directory.asp</v>
      </c>
    </row>
    <row r="727" ht="14.25" hidden="1" customHeight="1">
      <c r="A727" s="8" t="s">
        <v>1986</v>
      </c>
      <c r="B727" s="8" t="s">
        <v>1328</v>
      </c>
      <c r="C727" s="121" t="str">
        <f t="shared" ref="C727:C740" si="31">HYPERLINK("http://www.chicago.va.gov/contact/phone_directory.asp")</f>
        <v>http://www.chicago.va.gov/contact/phone_directory.asp</v>
      </c>
    </row>
    <row r="728" ht="14.25" hidden="1" customHeight="1">
      <c r="A728" s="8" t="s">
        <v>624</v>
      </c>
      <c r="B728" s="8" t="s">
        <v>1328</v>
      </c>
      <c r="C728" s="121" t="str">
        <f t="shared" si="31"/>
        <v>http://www.chicago.va.gov/contact/phone_directory.asp</v>
      </c>
    </row>
    <row r="729" ht="14.25" hidden="1" customHeight="1">
      <c r="A729" s="8" t="s">
        <v>1417</v>
      </c>
      <c r="B729" s="8" t="s">
        <v>1328</v>
      </c>
      <c r="C729" s="121" t="str">
        <f t="shared" si="31"/>
        <v>http://www.chicago.va.gov/contact/phone_directory.asp</v>
      </c>
    </row>
    <row r="730" ht="14.25" hidden="1" customHeight="1">
      <c r="A730" s="8" t="s">
        <v>1989</v>
      </c>
      <c r="B730" s="8" t="s">
        <v>1328</v>
      </c>
      <c r="C730" s="121" t="str">
        <f t="shared" si="31"/>
        <v>http://www.chicago.va.gov/contact/phone_directory.asp</v>
      </c>
    </row>
    <row r="731" ht="14.25" hidden="1" customHeight="1">
      <c r="A731" s="8" t="s">
        <v>1802</v>
      </c>
      <c r="B731" s="8" t="s">
        <v>1328</v>
      </c>
      <c r="C731" s="121" t="str">
        <f t="shared" si="31"/>
        <v>http://www.chicago.va.gov/contact/phone_directory.asp</v>
      </c>
    </row>
    <row r="732" ht="14.25" hidden="1" customHeight="1">
      <c r="A732" s="8" t="s">
        <v>663</v>
      </c>
      <c r="B732" s="8" t="s">
        <v>1328</v>
      </c>
      <c r="C732" s="121" t="str">
        <f t="shared" si="31"/>
        <v>http://www.chicago.va.gov/contact/phone_directory.asp</v>
      </c>
    </row>
    <row r="733" ht="14.25" hidden="1" customHeight="1">
      <c r="A733" s="8" t="s">
        <v>696</v>
      </c>
      <c r="B733" s="8" t="s">
        <v>1328</v>
      </c>
      <c r="C733" s="121" t="str">
        <f t="shared" si="31"/>
        <v>http://www.chicago.va.gov/contact/phone_directory.asp</v>
      </c>
    </row>
    <row r="734" ht="14.25" hidden="1" customHeight="1">
      <c r="A734" s="8" t="s">
        <v>1249</v>
      </c>
      <c r="B734" s="8" t="s">
        <v>1328</v>
      </c>
      <c r="C734" s="121" t="str">
        <f t="shared" si="31"/>
        <v>http://www.chicago.va.gov/contact/phone_directory.asp</v>
      </c>
    </row>
    <row r="735" ht="14.25" hidden="1" customHeight="1">
      <c r="A735" s="8" t="s">
        <v>1172</v>
      </c>
      <c r="B735" s="8" t="s">
        <v>1328</v>
      </c>
      <c r="C735" s="121" t="str">
        <f t="shared" si="31"/>
        <v>http://www.chicago.va.gov/contact/phone_directory.asp</v>
      </c>
    </row>
    <row r="736" ht="14.25" hidden="1" customHeight="1">
      <c r="A736" s="8" t="s">
        <v>337</v>
      </c>
      <c r="B736" s="8" t="s">
        <v>1328</v>
      </c>
      <c r="C736" s="121" t="str">
        <f t="shared" si="31"/>
        <v>http://www.chicago.va.gov/contact/phone_directory.asp</v>
      </c>
    </row>
    <row r="737" ht="14.25" hidden="1" customHeight="1">
      <c r="A737" s="8" t="s">
        <v>684</v>
      </c>
      <c r="B737" s="8" t="s">
        <v>1328</v>
      </c>
      <c r="C737" s="121" t="str">
        <f t="shared" si="31"/>
        <v>http://www.chicago.va.gov/contact/phone_directory.asp</v>
      </c>
    </row>
    <row r="738" ht="14.25" hidden="1" customHeight="1">
      <c r="A738" s="8" t="s">
        <v>708</v>
      </c>
      <c r="B738" s="8" t="s">
        <v>1328</v>
      </c>
      <c r="C738" s="121" t="str">
        <f t="shared" si="31"/>
        <v>http://www.chicago.va.gov/contact/phone_directory.asp</v>
      </c>
    </row>
    <row r="739" ht="14.25" hidden="1" customHeight="1">
      <c r="A739" s="8" t="s">
        <v>724</v>
      </c>
      <c r="B739" s="8" t="s">
        <v>1328</v>
      </c>
      <c r="C739" s="121" t="str">
        <f t="shared" si="31"/>
        <v>http://www.chicago.va.gov/contact/phone_directory.asp</v>
      </c>
    </row>
    <row r="740" ht="14.25" hidden="1" customHeight="1">
      <c r="A740" s="8" t="s">
        <v>1992</v>
      </c>
      <c r="B740" s="8" t="s">
        <v>1328</v>
      </c>
      <c r="C740" s="121" t="str">
        <f t="shared" si="31"/>
        <v>http://www.chicago.va.gov/contact/phone_directory.asp</v>
      </c>
    </row>
    <row r="741" ht="14.25" hidden="1" customHeight="1">
      <c r="A741" s="8" t="s">
        <v>1993</v>
      </c>
      <c r="B741" s="8" t="s">
        <v>1340</v>
      </c>
      <c r="C741" s="121" t="str">
        <f t="shared" ref="C741:C786" si="32">HYPERLINK("http://www.chillicothe.va.gov/contact/phone_directory.asp")</f>
        <v>http://www.chillicothe.va.gov/contact/phone_directory.asp</v>
      </c>
    </row>
    <row r="742" ht="14.25" hidden="1" customHeight="1">
      <c r="A742" s="8" t="s">
        <v>1994</v>
      </c>
      <c r="B742" s="8" t="s">
        <v>1340</v>
      </c>
      <c r="C742" s="121" t="str">
        <f t="shared" si="32"/>
        <v>http://www.chillicothe.va.gov/contact/phone_directory.asp</v>
      </c>
    </row>
    <row r="743" ht="14.25" hidden="1" customHeight="1">
      <c r="A743" s="8" t="s">
        <v>621</v>
      </c>
      <c r="B743" s="8" t="s">
        <v>1340</v>
      </c>
      <c r="C743" s="121" t="str">
        <f t="shared" si="32"/>
        <v>http://www.chillicothe.va.gov/contact/phone_directory.asp</v>
      </c>
    </row>
    <row r="744" ht="14.25" hidden="1" customHeight="1">
      <c r="A744" s="8" t="s">
        <v>624</v>
      </c>
      <c r="B744" s="8" t="s">
        <v>1340</v>
      </c>
      <c r="C744" s="121" t="str">
        <f t="shared" si="32"/>
        <v>http://www.chillicothe.va.gov/contact/phone_directory.asp</v>
      </c>
    </row>
    <row r="745" ht="14.25" hidden="1" customHeight="1">
      <c r="A745" s="8" t="s">
        <v>1996</v>
      </c>
      <c r="B745" s="8" t="s">
        <v>1340</v>
      </c>
      <c r="C745" s="121" t="str">
        <f t="shared" si="32"/>
        <v>http://www.chillicothe.va.gov/contact/phone_directory.asp</v>
      </c>
    </row>
    <row r="746" ht="14.25" hidden="1" customHeight="1">
      <c r="A746" s="8" t="s">
        <v>828</v>
      </c>
      <c r="B746" s="8" t="s">
        <v>1340</v>
      </c>
      <c r="C746" s="121" t="str">
        <f t="shared" si="32"/>
        <v>http://www.chillicothe.va.gov/contact/phone_directory.asp</v>
      </c>
    </row>
    <row r="747" ht="14.25" hidden="1" customHeight="1">
      <c r="A747" s="8" t="s">
        <v>631</v>
      </c>
      <c r="B747" s="8" t="s">
        <v>1340</v>
      </c>
      <c r="C747" s="121" t="str">
        <f t="shared" si="32"/>
        <v>http://www.chillicothe.va.gov/contact/phone_directory.asp</v>
      </c>
    </row>
    <row r="748" ht="14.25" hidden="1" customHeight="1">
      <c r="A748" s="8" t="s">
        <v>1998</v>
      </c>
      <c r="B748" s="8" t="s">
        <v>1340</v>
      </c>
      <c r="C748" s="121" t="str">
        <f t="shared" si="32"/>
        <v>http://www.chillicothe.va.gov/contact/phone_directory.asp</v>
      </c>
    </row>
    <row r="749" ht="14.25" hidden="1" customHeight="1">
      <c r="A749" s="8" t="s">
        <v>1999</v>
      </c>
      <c r="B749" s="8" t="s">
        <v>1340</v>
      </c>
      <c r="C749" s="121" t="str">
        <f t="shared" si="32"/>
        <v>http://www.chillicothe.va.gov/contact/phone_directory.asp</v>
      </c>
    </row>
    <row r="750" ht="14.25" hidden="1" customHeight="1">
      <c r="A750" s="8" t="s">
        <v>414</v>
      </c>
      <c r="B750" s="8" t="s">
        <v>1340</v>
      </c>
      <c r="C750" s="121" t="str">
        <f t="shared" si="32"/>
        <v>http://www.chillicothe.va.gov/contact/phone_directory.asp</v>
      </c>
    </row>
    <row r="751" ht="14.25" hidden="1" customHeight="1">
      <c r="A751" s="8" t="s">
        <v>638</v>
      </c>
      <c r="B751" s="8" t="s">
        <v>1340</v>
      </c>
      <c r="C751" s="121" t="str">
        <f t="shared" si="32"/>
        <v>http://www.chillicothe.va.gov/contact/phone_directory.asp</v>
      </c>
    </row>
    <row r="752" ht="14.25" hidden="1" customHeight="1">
      <c r="A752" s="8" t="s">
        <v>478</v>
      </c>
      <c r="B752" s="8" t="s">
        <v>1340</v>
      </c>
      <c r="C752" s="121" t="str">
        <f t="shared" si="32"/>
        <v>http://www.chillicothe.va.gov/contact/phone_directory.asp</v>
      </c>
    </row>
    <row r="753" ht="14.25" hidden="1" customHeight="1">
      <c r="A753" s="8" t="s">
        <v>455</v>
      </c>
      <c r="B753" s="8" t="s">
        <v>1340</v>
      </c>
      <c r="C753" s="121" t="str">
        <f t="shared" si="32"/>
        <v>http://www.chillicothe.va.gov/contact/phone_directory.asp</v>
      </c>
    </row>
    <row r="754" ht="14.25" hidden="1" customHeight="1">
      <c r="A754" s="8" t="s">
        <v>1827</v>
      </c>
      <c r="B754" s="8" t="s">
        <v>1340</v>
      </c>
      <c r="C754" s="121" t="str">
        <f t="shared" si="32"/>
        <v>http://www.chillicothe.va.gov/contact/phone_directory.asp</v>
      </c>
    </row>
    <row r="755" ht="14.25" hidden="1" customHeight="1">
      <c r="A755" s="8" t="s">
        <v>304</v>
      </c>
      <c r="B755" s="8" t="s">
        <v>1340</v>
      </c>
      <c r="C755" s="121" t="str">
        <f t="shared" si="32"/>
        <v>http://www.chillicothe.va.gov/contact/phone_directory.asp</v>
      </c>
    </row>
    <row r="756" ht="14.25" hidden="1" customHeight="1">
      <c r="A756" s="8" t="s">
        <v>663</v>
      </c>
      <c r="B756" s="8" t="s">
        <v>1340</v>
      </c>
      <c r="C756" s="121" t="str">
        <f t="shared" si="32"/>
        <v>http://www.chillicothe.va.gov/contact/phone_directory.asp</v>
      </c>
    </row>
    <row r="757" ht="14.25" hidden="1" customHeight="1">
      <c r="A757" s="8" t="s">
        <v>1140</v>
      </c>
      <c r="B757" s="8" t="s">
        <v>1340</v>
      </c>
      <c r="C757" s="121" t="str">
        <f t="shared" si="32"/>
        <v>http://www.chillicothe.va.gov/contact/phone_directory.asp</v>
      </c>
    </row>
    <row r="758" ht="14.25" hidden="1" customHeight="1">
      <c r="A758" s="8" t="s">
        <v>467</v>
      </c>
      <c r="B758" s="8" t="s">
        <v>1340</v>
      </c>
      <c r="C758" s="121" t="str">
        <f t="shared" si="32"/>
        <v>http://www.chillicothe.va.gov/contact/phone_directory.asp</v>
      </c>
    </row>
    <row r="759" ht="14.25" hidden="1" customHeight="1">
      <c r="A759" s="8" t="s">
        <v>395</v>
      </c>
      <c r="B759" s="8" t="s">
        <v>1340</v>
      </c>
      <c r="C759" s="121" t="str">
        <f t="shared" si="32"/>
        <v>http://www.chillicothe.va.gov/contact/phone_directory.asp</v>
      </c>
    </row>
    <row r="760" ht="14.25" hidden="1" customHeight="1">
      <c r="A760" s="8" t="s">
        <v>886</v>
      </c>
      <c r="B760" s="8" t="s">
        <v>1340</v>
      </c>
      <c r="C760" s="121" t="str">
        <f t="shared" si="32"/>
        <v>http://www.chillicothe.va.gov/contact/phone_directory.asp</v>
      </c>
    </row>
    <row r="761" ht="14.25" hidden="1" customHeight="1">
      <c r="A761" s="8" t="s">
        <v>1583</v>
      </c>
      <c r="B761" s="8" t="s">
        <v>1340</v>
      </c>
      <c r="C761" s="121" t="str">
        <f t="shared" si="32"/>
        <v>http://www.chillicothe.va.gov/contact/phone_directory.asp</v>
      </c>
    </row>
    <row r="762" ht="14.25" hidden="1" customHeight="1">
      <c r="A762" s="8" t="s">
        <v>2003</v>
      </c>
      <c r="B762" s="8" t="s">
        <v>1340</v>
      </c>
      <c r="C762" s="121" t="str">
        <f t="shared" si="32"/>
        <v>http://www.chillicothe.va.gov/contact/phone_directory.asp</v>
      </c>
    </row>
    <row r="763" ht="14.25" hidden="1" customHeight="1">
      <c r="A763" s="8" t="s">
        <v>481</v>
      </c>
      <c r="B763" s="8" t="s">
        <v>1340</v>
      </c>
      <c r="C763" s="121" t="str">
        <f t="shared" si="32"/>
        <v>http://www.chillicothe.va.gov/contact/phone_directory.asp</v>
      </c>
    </row>
    <row r="764" ht="14.25" hidden="1" customHeight="1">
      <c r="A764" s="8" t="s">
        <v>441</v>
      </c>
      <c r="B764" s="8" t="s">
        <v>1340</v>
      </c>
      <c r="C764" s="121" t="str">
        <f t="shared" si="32"/>
        <v>http://www.chillicothe.va.gov/contact/phone_directory.asp</v>
      </c>
    </row>
    <row r="765" ht="14.25" hidden="1" customHeight="1">
      <c r="A765" s="8" t="s">
        <v>2004</v>
      </c>
      <c r="B765" s="8" t="s">
        <v>1340</v>
      </c>
      <c r="C765" s="121" t="str">
        <f t="shared" si="32"/>
        <v>http://www.chillicothe.va.gov/contact/phone_directory.asp</v>
      </c>
    </row>
    <row r="766" ht="14.25" hidden="1" customHeight="1">
      <c r="A766" s="8" t="s">
        <v>1390</v>
      </c>
      <c r="B766" s="8" t="s">
        <v>1340</v>
      </c>
      <c r="C766" s="121" t="str">
        <f t="shared" si="32"/>
        <v>http://www.chillicothe.va.gov/contact/phone_directory.asp</v>
      </c>
    </row>
    <row r="767" ht="14.25" hidden="1" customHeight="1">
      <c r="A767" s="8" t="s">
        <v>691</v>
      </c>
      <c r="B767" s="8" t="s">
        <v>1340</v>
      </c>
      <c r="C767" s="121" t="str">
        <f t="shared" si="32"/>
        <v>http://www.chillicothe.va.gov/contact/phone_directory.asp</v>
      </c>
    </row>
    <row r="768" ht="14.25" hidden="1" customHeight="1">
      <c r="A768" s="8" t="s">
        <v>900</v>
      </c>
      <c r="B768" s="8" t="s">
        <v>1340</v>
      </c>
      <c r="C768" s="121" t="str">
        <f t="shared" si="32"/>
        <v>http://www.chillicothe.va.gov/contact/phone_directory.asp</v>
      </c>
    </row>
    <row r="769" ht="14.25" hidden="1" customHeight="1">
      <c r="A769" s="8" t="s">
        <v>2005</v>
      </c>
      <c r="B769" s="8" t="s">
        <v>1340</v>
      </c>
      <c r="C769" s="121" t="str">
        <f t="shared" si="32"/>
        <v>http://www.chillicothe.va.gov/contact/phone_directory.asp</v>
      </c>
    </row>
    <row r="770" ht="14.25" hidden="1" customHeight="1">
      <c r="A770" s="8" t="s">
        <v>901</v>
      </c>
      <c r="B770" s="8" t="s">
        <v>1340</v>
      </c>
      <c r="C770" s="121" t="str">
        <f t="shared" si="32"/>
        <v>http://www.chillicothe.va.gov/contact/phone_directory.asp</v>
      </c>
    </row>
    <row r="771" ht="14.25" hidden="1" customHeight="1">
      <c r="A771" s="8" t="s">
        <v>2006</v>
      </c>
      <c r="B771" s="8" t="s">
        <v>1340</v>
      </c>
      <c r="C771" s="121" t="str">
        <f t="shared" si="32"/>
        <v>http://www.chillicothe.va.gov/contact/phone_directory.asp</v>
      </c>
    </row>
    <row r="772" ht="14.25" hidden="1" customHeight="1">
      <c r="A772" s="8" t="s">
        <v>2007</v>
      </c>
      <c r="B772" s="8" t="s">
        <v>1340</v>
      </c>
      <c r="C772" s="121" t="str">
        <f t="shared" si="32"/>
        <v>http://www.chillicothe.va.gov/contact/phone_directory.asp</v>
      </c>
    </row>
    <row r="773" ht="14.25" hidden="1" customHeight="1">
      <c r="A773" s="8" t="s">
        <v>608</v>
      </c>
      <c r="B773" s="8" t="s">
        <v>1340</v>
      </c>
      <c r="C773" s="121" t="str">
        <f t="shared" si="32"/>
        <v>http://www.chillicothe.va.gov/contact/phone_directory.asp</v>
      </c>
    </row>
    <row r="774" ht="14.25" hidden="1" customHeight="1">
      <c r="A774" s="8" t="s">
        <v>450</v>
      </c>
      <c r="B774" s="8" t="s">
        <v>1340</v>
      </c>
      <c r="C774" s="121" t="str">
        <f t="shared" si="32"/>
        <v>http://www.chillicothe.va.gov/contact/phone_directory.asp</v>
      </c>
    </row>
    <row r="775" ht="14.25" hidden="1" customHeight="1">
      <c r="A775" s="8" t="s">
        <v>2008</v>
      </c>
      <c r="B775" s="8" t="s">
        <v>1340</v>
      </c>
      <c r="C775" s="121" t="str">
        <f t="shared" si="32"/>
        <v>http://www.chillicothe.va.gov/contact/phone_directory.asp</v>
      </c>
    </row>
    <row r="776" ht="14.25" hidden="1" customHeight="1">
      <c r="A776" s="8" t="s">
        <v>2009</v>
      </c>
      <c r="B776" s="8" t="s">
        <v>1340</v>
      </c>
      <c r="C776" s="121" t="str">
        <f t="shared" si="32"/>
        <v>http://www.chillicothe.va.gov/contact/phone_directory.asp</v>
      </c>
    </row>
    <row r="777" ht="14.25" hidden="1" customHeight="1">
      <c r="A777" s="8" t="s">
        <v>353</v>
      </c>
      <c r="B777" s="8" t="s">
        <v>1340</v>
      </c>
      <c r="C777" s="121" t="str">
        <f t="shared" si="32"/>
        <v>http://www.chillicothe.va.gov/contact/phone_directory.asp</v>
      </c>
    </row>
    <row r="778" ht="14.25" hidden="1" customHeight="1">
      <c r="A778" s="8" t="s">
        <v>504</v>
      </c>
      <c r="B778" s="8" t="s">
        <v>1340</v>
      </c>
      <c r="C778" s="121" t="str">
        <f t="shared" si="32"/>
        <v>http://www.chillicothe.va.gov/contact/phone_directory.asp</v>
      </c>
    </row>
    <row r="779" ht="14.25" hidden="1" customHeight="1">
      <c r="A779" s="8" t="s">
        <v>717</v>
      </c>
      <c r="B779" s="8" t="s">
        <v>1340</v>
      </c>
      <c r="C779" s="121" t="str">
        <f t="shared" si="32"/>
        <v>http://www.chillicothe.va.gov/contact/phone_directory.asp</v>
      </c>
    </row>
    <row r="780" ht="14.25" hidden="1" customHeight="1">
      <c r="A780" s="8" t="s">
        <v>708</v>
      </c>
      <c r="B780" s="8" t="s">
        <v>1340</v>
      </c>
      <c r="C780" s="121" t="str">
        <f t="shared" si="32"/>
        <v>http://www.chillicothe.va.gov/contact/phone_directory.asp</v>
      </c>
    </row>
    <row r="781" ht="14.25" hidden="1" customHeight="1">
      <c r="A781" s="8" t="s">
        <v>1232</v>
      </c>
      <c r="B781" s="8" t="s">
        <v>1340</v>
      </c>
      <c r="C781" s="121" t="str">
        <f t="shared" si="32"/>
        <v>http://www.chillicothe.va.gov/contact/phone_directory.asp</v>
      </c>
    </row>
    <row r="782" ht="14.25" hidden="1" customHeight="1">
      <c r="A782" s="8" t="s">
        <v>724</v>
      </c>
      <c r="B782" s="8" t="s">
        <v>1340</v>
      </c>
      <c r="C782" s="121" t="str">
        <f t="shared" si="32"/>
        <v>http://www.chillicothe.va.gov/contact/phone_directory.asp</v>
      </c>
    </row>
    <row r="783" ht="14.25" hidden="1" customHeight="1">
      <c r="A783" s="8" t="s">
        <v>2010</v>
      </c>
      <c r="B783" s="8" t="s">
        <v>1340</v>
      </c>
      <c r="C783" s="121" t="str">
        <f t="shared" si="32"/>
        <v>http://www.chillicothe.va.gov/contact/phone_directory.asp</v>
      </c>
    </row>
    <row r="784" ht="14.25" hidden="1" customHeight="1">
      <c r="A784" s="8" t="s">
        <v>1452</v>
      </c>
      <c r="B784" s="8" t="s">
        <v>1340</v>
      </c>
      <c r="C784" s="121" t="str">
        <f t="shared" si="32"/>
        <v>http://www.chillicothe.va.gov/contact/phone_directory.asp</v>
      </c>
    </row>
    <row r="785" ht="14.25" hidden="1" customHeight="1">
      <c r="A785" s="8" t="s">
        <v>2011</v>
      </c>
      <c r="B785" s="8" t="s">
        <v>1340</v>
      </c>
      <c r="C785" s="121" t="str">
        <f t="shared" si="32"/>
        <v>http://www.chillicothe.va.gov/contact/phone_directory.asp</v>
      </c>
    </row>
    <row r="786" ht="14.25" hidden="1" customHeight="1">
      <c r="A786" s="8" t="s">
        <v>1690</v>
      </c>
      <c r="B786" s="8" t="s">
        <v>1340</v>
      </c>
      <c r="C786" s="121" t="str">
        <f t="shared" si="32"/>
        <v>http://www.chillicothe.va.gov/contact/phone_directory.asp</v>
      </c>
    </row>
    <row r="787" ht="14.25" hidden="1" customHeight="1">
      <c r="A787" s="8" t="s">
        <v>475</v>
      </c>
      <c r="B787" s="8" t="s">
        <v>1343</v>
      </c>
      <c r="C787" s="121" t="str">
        <f t="shared" ref="C787:C831" si="33">HYPERLINK("http://www.cincinnati.va.gov/contact/phone_directory.asp")</f>
        <v>http://www.cincinnati.va.gov/contact/phone_directory.asp</v>
      </c>
    </row>
    <row r="788" ht="14.25" hidden="1" customHeight="1">
      <c r="A788" s="8" t="s">
        <v>618</v>
      </c>
      <c r="B788" s="8" t="s">
        <v>1343</v>
      </c>
      <c r="C788" s="121" t="str">
        <f t="shared" si="33"/>
        <v>http://www.cincinnati.va.gov/contact/phone_directory.asp</v>
      </c>
    </row>
    <row r="789" ht="14.25" hidden="1" customHeight="1">
      <c r="A789" s="8" t="s">
        <v>2013</v>
      </c>
      <c r="B789" s="8" t="s">
        <v>1343</v>
      </c>
      <c r="C789" s="121" t="str">
        <f t="shared" si="33"/>
        <v>http://www.cincinnati.va.gov/contact/phone_directory.asp</v>
      </c>
    </row>
    <row r="790" ht="14.25" hidden="1" customHeight="1">
      <c r="A790" s="8" t="s">
        <v>624</v>
      </c>
      <c r="B790" s="8" t="s">
        <v>1343</v>
      </c>
      <c r="C790" s="121" t="str">
        <f t="shared" si="33"/>
        <v>http://www.cincinnati.va.gov/contact/phone_directory.asp</v>
      </c>
    </row>
    <row r="791" ht="14.25" hidden="1" customHeight="1">
      <c r="A791" s="8" t="s">
        <v>2014</v>
      </c>
      <c r="B791" s="8" t="s">
        <v>1343</v>
      </c>
      <c r="C791" s="121" t="str">
        <f t="shared" si="33"/>
        <v>http://www.cincinnati.va.gov/contact/phone_directory.asp</v>
      </c>
    </row>
    <row r="792" ht="14.25" hidden="1" customHeight="1">
      <c r="A792" s="8" t="s">
        <v>2015</v>
      </c>
      <c r="B792" s="8" t="s">
        <v>1343</v>
      </c>
      <c r="C792" s="121" t="str">
        <f t="shared" si="33"/>
        <v>http://www.cincinnati.va.gov/contact/phone_directory.asp</v>
      </c>
    </row>
    <row r="793" ht="14.25" hidden="1" customHeight="1">
      <c r="A793" s="8" t="s">
        <v>2016</v>
      </c>
      <c r="B793" s="8" t="s">
        <v>1343</v>
      </c>
      <c r="C793" s="121" t="str">
        <f t="shared" si="33"/>
        <v>http://www.cincinnati.va.gov/contact/phone_directory.asp</v>
      </c>
    </row>
    <row r="794" ht="14.25" hidden="1" customHeight="1">
      <c r="A794" s="8" t="s">
        <v>998</v>
      </c>
      <c r="B794" s="8" t="s">
        <v>1343</v>
      </c>
      <c r="C794" s="121" t="str">
        <f t="shared" si="33"/>
        <v>http://www.cincinnati.va.gov/contact/phone_directory.asp</v>
      </c>
    </row>
    <row r="795" ht="14.25" hidden="1" customHeight="1">
      <c r="A795" s="8" t="s">
        <v>864</v>
      </c>
      <c r="B795" s="8" t="s">
        <v>1343</v>
      </c>
      <c r="C795" s="121" t="str">
        <f t="shared" si="33"/>
        <v>http://www.cincinnati.va.gov/contact/phone_directory.asp</v>
      </c>
    </row>
    <row r="796" ht="14.25" hidden="1" customHeight="1">
      <c r="A796" s="8" t="s">
        <v>638</v>
      </c>
      <c r="B796" s="8" t="s">
        <v>1343</v>
      </c>
      <c r="C796" s="121" t="str">
        <f t="shared" si="33"/>
        <v>http://www.cincinnati.va.gov/contact/phone_directory.asp</v>
      </c>
    </row>
    <row r="797" ht="14.25" hidden="1" customHeight="1">
      <c r="A797" s="8" t="s">
        <v>484</v>
      </c>
      <c r="B797" s="8" t="s">
        <v>1343</v>
      </c>
      <c r="C797" s="121" t="str">
        <f t="shared" si="33"/>
        <v>http://www.cincinnati.va.gov/contact/phone_directory.asp</v>
      </c>
    </row>
    <row r="798" ht="14.25" hidden="1" customHeight="1">
      <c r="A798" s="8" t="s">
        <v>2017</v>
      </c>
      <c r="B798" s="8" t="s">
        <v>1343</v>
      </c>
      <c r="C798" s="121" t="str">
        <f t="shared" si="33"/>
        <v>http://www.cincinnati.va.gov/contact/phone_directory.asp</v>
      </c>
    </row>
    <row r="799" ht="14.25" hidden="1" customHeight="1">
      <c r="A799" s="8" t="s">
        <v>872</v>
      </c>
      <c r="B799" s="8" t="s">
        <v>1343</v>
      </c>
      <c r="C799" s="121" t="str">
        <f t="shared" si="33"/>
        <v>http://www.cincinnati.va.gov/contact/phone_directory.asp</v>
      </c>
    </row>
    <row r="800" ht="14.25" hidden="1" customHeight="1">
      <c r="A800" s="8" t="s">
        <v>2018</v>
      </c>
      <c r="B800" s="8" t="s">
        <v>1343</v>
      </c>
      <c r="C800" s="121" t="str">
        <f t="shared" si="33"/>
        <v>http://www.cincinnati.va.gov/contact/phone_directory.asp</v>
      </c>
    </row>
    <row r="801" ht="14.25" hidden="1" customHeight="1">
      <c r="A801" s="8" t="s">
        <v>663</v>
      </c>
      <c r="B801" s="8" t="s">
        <v>1343</v>
      </c>
      <c r="C801" s="121" t="str">
        <f t="shared" si="33"/>
        <v>http://www.cincinnati.va.gov/contact/phone_directory.asp</v>
      </c>
    </row>
    <row r="802" ht="14.25" hidden="1" customHeight="1">
      <c r="A802" s="8" t="s">
        <v>2020</v>
      </c>
      <c r="B802" s="8" t="s">
        <v>1343</v>
      </c>
      <c r="C802" s="121" t="str">
        <f t="shared" si="33"/>
        <v>http://www.cincinnati.va.gov/contact/phone_directory.asp</v>
      </c>
    </row>
    <row r="803" ht="14.25" hidden="1" customHeight="1">
      <c r="A803" s="8" t="s">
        <v>2021</v>
      </c>
      <c r="B803" s="8" t="s">
        <v>1343</v>
      </c>
      <c r="C803" s="121" t="str">
        <f t="shared" si="33"/>
        <v>http://www.cincinnati.va.gov/contact/phone_directory.asp</v>
      </c>
    </row>
    <row r="804" ht="14.25" hidden="1" customHeight="1">
      <c r="A804" s="8" t="s">
        <v>2022</v>
      </c>
      <c r="B804" s="8" t="s">
        <v>1343</v>
      </c>
      <c r="C804" s="121" t="str">
        <f t="shared" si="33"/>
        <v>http://www.cincinnati.va.gov/contact/phone_directory.asp</v>
      </c>
    </row>
    <row r="805" ht="14.25" hidden="1" customHeight="1">
      <c r="A805" s="8" t="s">
        <v>2024</v>
      </c>
      <c r="B805" s="8" t="s">
        <v>1343</v>
      </c>
      <c r="C805" s="121" t="str">
        <f t="shared" si="33"/>
        <v>http://www.cincinnati.va.gov/contact/phone_directory.asp</v>
      </c>
    </row>
    <row r="806" ht="14.25" hidden="1" customHeight="1">
      <c r="A806" s="8" t="s">
        <v>2025</v>
      </c>
      <c r="B806" s="8" t="s">
        <v>1343</v>
      </c>
      <c r="C806" s="121" t="str">
        <f t="shared" si="33"/>
        <v>http://www.cincinnati.va.gov/contact/phone_directory.asp</v>
      </c>
    </row>
    <row r="807" ht="14.25" hidden="1" customHeight="1">
      <c r="A807" s="8" t="s">
        <v>2026</v>
      </c>
      <c r="B807" s="8" t="s">
        <v>1343</v>
      </c>
      <c r="C807" s="121" t="str">
        <f t="shared" si="33"/>
        <v>http://www.cincinnati.va.gov/contact/phone_directory.asp</v>
      </c>
    </row>
    <row r="808" ht="14.25" hidden="1" customHeight="1">
      <c r="A808" s="8" t="s">
        <v>2028</v>
      </c>
      <c r="B808" s="8" t="s">
        <v>1343</v>
      </c>
      <c r="C808" s="121" t="str">
        <f t="shared" si="33"/>
        <v>http://www.cincinnati.va.gov/contact/phone_directory.asp</v>
      </c>
    </row>
    <row r="809" ht="14.25" hidden="1" customHeight="1">
      <c r="A809" s="8" t="s">
        <v>2029</v>
      </c>
      <c r="B809" s="8" t="s">
        <v>1343</v>
      </c>
      <c r="C809" s="121" t="str">
        <f t="shared" si="33"/>
        <v>http://www.cincinnati.va.gov/contact/phone_directory.asp</v>
      </c>
    </row>
    <row r="810" ht="14.25" hidden="1" customHeight="1">
      <c r="A810" s="8" t="s">
        <v>2031</v>
      </c>
      <c r="B810" s="8" t="s">
        <v>1343</v>
      </c>
      <c r="C810" s="121" t="str">
        <f t="shared" si="33"/>
        <v>http://www.cincinnati.va.gov/contact/phone_directory.asp</v>
      </c>
    </row>
    <row r="811" ht="14.25" hidden="1" customHeight="1">
      <c r="A811" s="8" t="s">
        <v>2032</v>
      </c>
      <c r="B811" s="8" t="s">
        <v>1343</v>
      </c>
      <c r="C811" s="121" t="str">
        <f t="shared" si="33"/>
        <v>http://www.cincinnati.va.gov/contact/phone_directory.asp</v>
      </c>
    </row>
    <row r="812" ht="14.25" hidden="1" customHeight="1">
      <c r="A812" s="8" t="s">
        <v>2033</v>
      </c>
      <c r="B812" s="8" t="s">
        <v>1343</v>
      </c>
      <c r="C812" s="121" t="str">
        <f t="shared" si="33"/>
        <v>http://www.cincinnati.va.gov/contact/phone_directory.asp</v>
      </c>
    </row>
    <row r="813" ht="14.25" hidden="1" customHeight="1">
      <c r="A813" s="8" t="s">
        <v>2034</v>
      </c>
      <c r="B813" s="8" t="s">
        <v>1343</v>
      </c>
      <c r="C813" s="121" t="str">
        <f t="shared" si="33"/>
        <v>http://www.cincinnati.va.gov/contact/phone_directory.asp</v>
      </c>
    </row>
    <row r="814" ht="14.25" hidden="1" customHeight="1">
      <c r="A814" s="8" t="s">
        <v>2035</v>
      </c>
      <c r="B814" s="8" t="s">
        <v>1343</v>
      </c>
      <c r="C814" s="121" t="str">
        <f t="shared" si="33"/>
        <v>http://www.cincinnati.va.gov/contact/phone_directory.asp</v>
      </c>
    </row>
    <row r="815" ht="14.25" hidden="1" customHeight="1">
      <c r="A815" s="8" t="s">
        <v>2036</v>
      </c>
      <c r="B815" s="8" t="s">
        <v>1343</v>
      </c>
      <c r="C815" s="121" t="str">
        <f t="shared" si="33"/>
        <v>http://www.cincinnati.va.gov/contact/phone_directory.asp</v>
      </c>
    </row>
    <row r="816" ht="14.25" hidden="1" customHeight="1">
      <c r="A816" s="8" t="s">
        <v>2037</v>
      </c>
      <c r="B816" s="8" t="s">
        <v>1343</v>
      </c>
      <c r="C816" s="121" t="str">
        <f t="shared" si="33"/>
        <v>http://www.cincinnati.va.gov/contact/phone_directory.asp</v>
      </c>
    </row>
    <row r="817" ht="14.25" hidden="1" customHeight="1">
      <c r="A817" s="8" t="s">
        <v>2038</v>
      </c>
      <c r="B817" s="8" t="s">
        <v>1343</v>
      </c>
      <c r="C817" s="121" t="str">
        <f t="shared" si="33"/>
        <v>http://www.cincinnati.va.gov/contact/phone_directory.asp</v>
      </c>
    </row>
    <row r="818" ht="14.25" hidden="1" customHeight="1">
      <c r="A818" s="8" t="s">
        <v>2040</v>
      </c>
      <c r="B818" s="8" t="s">
        <v>1343</v>
      </c>
      <c r="C818" s="121" t="str">
        <f t="shared" si="33"/>
        <v>http://www.cincinnati.va.gov/contact/phone_directory.asp</v>
      </c>
    </row>
    <row r="819" ht="14.25" hidden="1" customHeight="1">
      <c r="A819" s="8" t="s">
        <v>2041</v>
      </c>
      <c r="B819" s="8" t="s">
        <v>1343</v>
      </c>
      <c r="C819" s="121" t="str">
        <f t="shared" si="33"/>
        <v>http://www.cincinnati.va.gov/contact/phone_directory.asp</v>
      </c>
    </row>
    <row r="820" ht="14.25" hidden="1" customHeight="1">
      <c r="A820" s="8" t="s">
        <v>708</v>
      </c>
      <c r="B820" s="8" t="s">
        <v>1343</v>
      </c>
      <c r="C820" s="121" t="str">
        <f t="shared" si="33"/>
        <v>http://www.cincinnati.va.gov/contact/phone_directory.asp</v>
      </c>
    </row>
    <row r="821" ht="14.25" hidden="1" customHeight="1">
      <c r="A821" s="8" t="s">
        <v>2042</v>
      </c>
      <c r="B821" s="8" t="s">
        <v>1343</v>
      </c>
      <c r="C821" s="121" t="str">
        <f t="shared" si="33"/>
        <v>http://www.cincinnati.va.gov/contact/phone_directory.asp</v>
      </c>
    </row>
    <row r="822" ht="14.25" hidden="1" customHeight="1">
      <c r="A822" s="8" t="s">
        <v>2043</v>
      </c>
      <c r="B822" s="8" t="s">
        <v>1343</v>
      </c>
      <c r="C822" s="121" t="str">
        <f t="shared" si="33"/>
        <v>http://www.cincinnati.va.gov/contact/phone_directory.asp</v>
      </c>
    </row>
    <row r="823" ht="14.25" hidden="1" customHeight="1">
      <c r="A823" s="8" t="s">
        <v>2044</v>
      </c>
      <c r="B823" s="8" t="s">
        <v>1343</v>
      </c>
      <c r="C823" s="121" t="str">
        <f t="shared" si="33"/>
        <v>http://www.cincinnati.va.gov/contact/phone_directory.asp</v>
      </c>
    </row>
    <row r="824" ht="14.25" hidden="1" customHeight="1">
      <c r="A824" s="8" t="s">
        <v>2045</v>
      </c>
      <c r="B824" s="8" t="s">
        <v>1343</v>
      </c>
      <c r="C824" s="121" t="str">
        <f t="shared" si="33"/>
        <v>http://www.cincinnati.va.gov/contact/phone_directory.asp</v>
      </c>
    </row>
    <row r="825" ht="14.25" hidden="1" customHeight="1">
      <c r="A825" s="8" t="s">
        <v>2046</v>
      </c>
      <c r="B825" s="8" t="s">
        <v>1343</v>
      </c>
      <c r="C825" s="121" t="str">
        <f t="shared" si="33"/>
        <v>http://www.cincinnati.va.gov/contact/phone_directory.asp</v>
      </c>
    </row>
    <row r="826" ht="14.25" hidden="1" customHeight="1">
      <c r="A826" s="8" t="s">
        <v>2047</v>
      </c>
      <c r="B826" s="8" t="s">
        <v>1343</v>
      </c>
      <c r="C826" s="121" t="str">
        <f t="shared" si="33"/>
        <v>http://www.cincinnati.va.gov/contact/phone_directory.asp</v>
      </c>
    </row>
    <row r="827" ht="14.25" hidden="1" customHeight="1">
      <c r="A827" s="8" t="s">
        <v>2048</v>
      </c>
      <c r="B827" s="8" t="s">
        <v>1343</v>
      </c>
      <c r="C827" s="121" t="str">
        <f t="shared" si="33"/>
        <v>http://www.cincinnati.va.gov/contact/phone_directory.asp</v>
      </c>
    </row>
    <row r="828" ht="14.25" hidden="1" customHeight="1">
      <c r="A828" s="8" t="s">
        <v>2049</v>
      </c>
      <c r="B828" s="8" t="s">
        <v>1343</v>
      </c>
      <c r="C828" s="121" t="str">
        <f t="shared" si="33"/>
        <v>http://www.cincinnati.va.gov/contact/phone_directory.asp</v>
      </c>
    </row>
    <row r="829" ht="14.25" hidden="1" customHeight="1">
      <c r="A829" s="8" t="s">
        <v>2051</v>
      </c>
      <c r="B829" s="8" t="s">
        <v>1343</v>
      </c>
      <c r="C829" s="121" t="str">
        <f t="shared" si="33"/>
        <v>http://www.cincinnati.va.gov/contact/phone_directory.asp</v>
      </c>
    </row>
    <row r="830" ht="14.25" hidden="1" customHeight="1">
      <c r="A830" s="8" t="s">
        <v>472</v>
      </c>
      <c r="B830" s="8" t="s">
        <v>1343</v>
      </c>
      <c r="C830" s="121" t="str">
        <f t="shared" si="33"/>
        <v>http://www.cincinnati.va.gov/contact/phone_directory.asp</v>
      </c>
    </row>
    <row r="831" ht="14.25" hidden="1" customHeight="1">
      <c r="A831" s="8" t="s">
        <v>2052</v>
      </c>
      <c r="B831" s="8" t="s">
        <v>1343</v>
      </c>
      <c r="C831" s="121" t="str">
        <f t="shared" si="33"/>
        <v>http://www.cincinnati.va.gov/contact/phone_directory.asp</v>
      </c>
    </row>
    <row r="832" ht="14.25" hidden="1" customHeight="1">
      <c r="A832" s="8" t="s">
        <v>2053</v>
      </c>
      <c r="B832" s="8" t="s">
        <v>1369</v>
      </c>
      <c r="C832" s="121" t="str">
        <f t="shared" ref="C832:C868" si="34">HYPERLINK("http://www.clarksburg.va.gov/contact/phone_directory.asp")</f>
        <v>http://www.clarksburg.va.gov/contact/phone_directory.asp</v>
      </c>
    </row>
    <row r="833" ht="14.25" hidden="1" customHeight="1">
      <c r="A833" s="8" t="s">
        <v>624</v>
      </c>
      <c r="B833" s="8" t="s">
        <v>1369</v>
      </c>
      <c r="C833" s="121" t="str">
        <f t="shared" si="34"/>
        <v>http://www.clarksburg.va.gov/contact/phone_directory.asp</v>
      </c>
    </row>
    <row r="834" ht="14.25" hidden="1" customHeight="1">
      <c r="A834" s="8" t="s">
        <v>639</v>
      </c>
      <c r="B834" s="8" t="s">
        <v>1369</v>
      </c>
      <c r="C834" s="121" t="str">
        <f t="shared" si="34"/>
        <v>http://www.clarksburg.va.gov/contact/phone_directory.asp</v>
      </c>
    </row>
    <row r="835" ht="14.25" hidden="1" customHeight="1">
      <c r="A835" s="8" t="s">
        <v>2054</v>
      </c>
      <c r="B835" s="8" t="s">
        <v>1369</v>
      </c>
      <c r="C835" s="121" t="str">
        <f t="shared" si="34"/>
        <v>http://www.clarksburg.va.gov/contact/phone_directory.asp</v>
      </c>
    </row>
    <row r="836" ht="14.25" hidden="1" customHeight="1">
      <c r="A836" s="8" t="s">
        <v>2055</v>
      </c>
      <c r="B836" s="8" t="s">
        <v>1369</v>
      </c>
      <c r="C836" s="121" t="str">
        <f t="shared" si="34"/>
        <v>http://www.clarksburg.va.gov/contact/phone_directory.asp</v>
      </c>
    </row>
    <row r="837" ht="14.25" hidden="1" customHeight="1">
      <c r="A837" s="8" t="s">
        <v>300</v>
      </c>
      <c r="B837" s="8" t="s">
        <v>1369</v>
      </c>
      <c r="C837" s="121" t="str">
        <f t="shared" si="34"/>
        <v>http://www.clarksburg.va.gov/contact/phone_directory.asp</v>
      </c>
    </row>
    <row r="838" ht="14.25" hidden="1" customHeight="1">
      <c r="A838" s="8" t="s">
        <v>1053</v>
      </c>
      <c r="B838" s="8" t="s">
        <v>1369</v>
      </c>
      <c r="C838" s="121" t="str">
        <f t="shared" si="34"/>
        <v>http://www.clarksburg.va.gov/contact/phone_directory.asp</v>
      </c>
    </row>
    <row r="839" ht="14.25" hidden="1" customHeight="1">
      <c r="A839" s="8" t="s">
        <v>480</v>
      </c>
      <c r="B839" s="8" t="s">
        <v>1369</v>
      </c>
      <c r="C839" s="121" t="str">
        <f t="shared" si="34"/>
        <v>http://www.clarksburg.va.gov/contact/phone_directory.asp</v>
      </c>
    </row>
    <row r="840" ht="14.25" hidden="1" customHeight="1">
      <c r="A840" s="8" t="s">
        <v>673</v>
      </c>
      <c r="B840" s="8" t="s">
        <v>1369</v>
      </c>
      <c r="C840" s="121" t="str">
        <f t="shared" si="34"/>
        <v>http://www.clarksburg.va.gov/contact/phone_directory.asp</v>
      </c>
    </row>
    <row r="841" ht="14.25" hidden="1" customHeight="1">
      <c r="A841" s="8" t="s">
        <v>303</v>
      </c>
      <c r="B841" s="8" t="s">
        <v>1369</v>
      </c>
      <c r="C841" s="121" t="str">
        <f t="shared" si="34"/>
        <v>http://www.clarksburg.va.gov/contact/phone_directory.asp</v>
      </c>
    </row>
    <row r="842" ht="14.25" hidden="1" customHeight="1">
      <c r="A842" s="8" t="s">
        <v>2057</v>
      </c>
      <c r="B842" s="8" t="s">
        <v>1369</v>
      </c>
      <c r="C842" s="121" t="str">
        <f t="shared" si="34"/>
        <v>http://www.clarksburg.va.gov/contact/phone_directory.asp</v>
      </c>
    </row>
    <row r="843" ht="14.25" hidden="1" customHeight="1">
      <c r="A843" s="8" t="s">
        <v>2058</v>
      </c>
      <c r="B843" s="8" t="s">
        <v>1369</v>
      </c>
      <c r="C843" s="121" t="str">
        <f t="shared" si="34"/>
        <v>http://www.clarksburg.va.gov/contact/phone_directory.asp</v>
      </c>
    </row>
    <row r="844" ht="14.25" hidden="1" customHeight="1">
      <c r="A844" s="8" t="s">
        <v>2059</v>
      </c>
      <c r="B844" s="8" t="s">
        <v>1369</v>
      </c>
      <c r="C844" s="121" t="str">
        <f t="shared" si="34"/>
        <v>http://www.clarksburg.va.gov/contact/phone_directory.asp</v>
      </c>
    </row>
    <row r="845" ht="14.25" hidden="1" customHeight="1">
      <c r="A845" s="8" t="s">
        <v>2061</v>
      </c>
      <c r="B845" s="8" t="s">
        <v>1369</v>
      </c>
      <c r="C845" s="121" t="str">
        <f t="shared" si="34"/>
        <v>http://www.clarksburg.va.gov/contact/phone_directory.asp</v>
      </c>
    </row>
    <row r="846" ht="14.25" hidden="1" customHeight="1">
      <c r="A846" s="8" t="s">
        <v>2062</v>
      </c>
      <c r="B846" s="8" t="s">
        <v>1369</v>
      </c>
      <c r="C846" s="121" t="str">
        <f t="shared" si="34"/>
        <v>http://www.clarksburg.va.gov/contact/phone_directory.asp</v>
      </c>
    </row>
    <row r="847" ht="14.25" hidden="1" customHeight="1">
      <c r="A847" s="8" t="s">
        <v>312</v>
      </c>
      <c r="B847" s="8" t="s">
        <v>1369</v>
      </c>
      <c r="C847" s="121" t="str">
        <f t="shared" si="34"/>
        <v>http://www.clarksburg.va.gov/contact/phone_directory.asp</v>
      </c>
    </row>
    <row r="848" ht="14.25" hidden="1" customHeight="1">
      <c r="A848" s="8" t="s">
        <v>1650</v>
      </c>
      <c r="B848" s="8" t="s">
        <v>1369</v>
      </c>
      <c r="C848" s="121" t="str">
        <f t="shared" si="34"/>
        <v>http://www.clarksburg.va.gov/contact/phone_directory.asp</v>
      </c>
    </row>
    <row r="849" ht="14.25" hidden="1" customHeight="1">
      <c r="A849" s="8" t="s">
        <v>481</v>
      </c>
      <c r="B849" s="8" t="s">
        <v>1369</v>
      </c>
      <c r="C849" s="121" t="str">
        <f t="shared" si="34"/>
        <v>http://www.clarksburg.va.gov/contact/phone_directory.asp</v>
      </c>
    </row>
    <row r="850" ht="14.25" hidden="1" customHeight="1">
      <c r="A850" s="8" t="s">
        <v>2064</v>
      </c>
      <c r="B850" s="8" t="s">
        <v>1369</v>
      </c>
      <c r="C850" s="121" t="str">
        <f t="shared" si="34"/>
        <v>http://www.clarksburg.va.gov/contact/phone_directory.asp</v>
      </c>
    </row>
    <row r="851" ht="14.25" hidden="1" customHeight="1">
      <c r="A851" s="8" t="s">
        <v>2065</v>
      </c>
      <c r="B851" s="8" t="s">
        <v>1369</v>
      </c>
      <c r="C851" s="121" t="str">
        <f t="shared" si="34"/>
        <v>http://www.clarksburg.va.gov/contact/phone_directory.asp</v>
      </c>
    </row>
    <row r="852" ht="14.25" hidden="1" customHeight="1">
      <c r="A852" s="8" t="s">
        <v>694</v>
      </c>
      <c r="B852" s="8" t="s">
        <v>1369</v>
      </c>
      <c r="C852" s="121" t="str">
        <f t="shared" si="34"/>
        <v>http://www.clarksburg.va.gov/contact/phone_directory.asp</v>
      </c>
    </row>
    <row r="853" ht="14.25" hidden="1" customHeight="1">
      <c r="A853" s="8" t="s">
        <v>694</v>
      </c>
      <c r="B853" s="8" t="s">
        <v>1369</v>
      </c>
      <c r="C853" s="121" t="str">
        <f t="shared" si="34"/>
        <v>http://www.clarksburg.va.gov/contact/phone_directory.asp</v>
      </c>
    </row>
    <row r="854" ht="14.25" hidden="1" customHeight="1">
      <c r="A854" s="8" t="s">
        <v>2066</v>
      </c>
      <c r="B854" s="8" t="s">
        <v>1369</v>
      </c>
      <c r="C854" s="121" t="str">
        <f t="shared" si="34"/>
        <v>http://www.clarksburg.va.gov/contact/phone_directory.asp</v>
      </c>
    </row>
    <row r="855" ht="14.25" hidden="1" customHeight="1">
      <c r="A855" s="8" t="s">
        <v>775</v>
      </c>
      <c r="B855" s="8" t="s">
        <v>1369</v>
      </c>
      <c r="C855" s="121" t="str">
        <f t="shared" si="34"/>
        <v>http://www.clarksburg.va.gov/contact/phone_directory.asp</v>
      </c>
    </row>
    <row r="856" ht="14.25" hidden="1" customHeight="1">
      <c r="A856" s="8" t="s">
        <v>2067</v>
      </c>
      <c r="B856" s="8" t="s">
        <v>1369</v>
      </c>
      <c r="C856" s="121" t="str">
        <f t="shared" si="34"/>
        <v>http://www.clarksburg.va.gov/contact/phone_directory.asp</v>
      </c>
    </row>
    <row r="857" ht="14.25" hidden="1" customHeight="1">
      <c r="A857" s="8" t="s">
        <v>504</v>
      </c>
      <c r="B857" s="8" t="s">
        <v>1369</v>
      </c>
      <c r="C857" s="121" t="str">
        <f t="shared" si="34"/>
        <v>http://www.clarksburg.va.gov/contact/phone_directory.asp</v>
      </c>
    </row>
    <row r="858" ht="14.25" hidden="1" customHeight="1">
      <c r="A858" s="8" t="s">
        <v>2068</v>
      </c>
      <c r="B858" s="8" t="s">
        <v>1369</v>
      </c>
      <c r="C858" s="121" t="str">
        <f t="shared" si="34"/>
        <v>http://www.clarksburg.va.gov/contact/phone_directory.asp</v>
      </c>
    </row>
    <row r="859" ht="14.25" hidden="1" customHeight="1">
      <c r="A859" s="8" t="s">
        <v>2069</v>
      </c>
      <c r="B859" s="8" t="s">
        <v>1369</v>
      </c>
      <c r="C859" s="121" t="str">
        <f t="shared" si="34"/>
        <v>http://www.clarksburg.va.gov/contact/phone_directory.asp</v>
      </c>
    </row>
    <row r="860" ht="14.25" hidden="1" customHeight="1">
      <c r="A860" s="8" t="s">
        <v>708</v>
      </c>
      <c r="B860" s="8" t="s">
        <v>1369</v>
      </c>
      <c r="C860" s="121" t="str">
        <f t="shared" si="34"/>
        <v>http://www.clarksburg.va.gov/contact/phone_directory.asp</v>
      </c>
    </row>
    <row r="861" ht="14.25" hidden="1" customHeight="1">
      <c r="A861" s="8" t="s">
        <v>355</v>
      </c>
      <c r="B861" s="8" t="s">
        <v>1369</v>
      </c>
      <c r="C861" s="121" t="str">
        <f t="shared" si="34"/>
        <v>http://www.clarksburg.va.gov/contact/phone_directory.asp</v>
      </c>
    </row>
    <row r="862" ht="14.25" hidden="1" customHeight="1">
      <c r="A862" s="8" t="s">
        <v>2071</v>
      </c>
      <c r="B862" s="8" t="s">
        <v>1369</v>
      </c>
      <c r="C862" s="121" t="str">
        <f t="shared" si="34"/>
        <v>http://www.clarksburg.va.gov/contact/phone_directory.asp</v>
      </c>
    </row>
    <row r="863" ht="14.25" hidden="1" customHeight="1">
      <c r="A863" s="8" t="s">
        <v>2072</v>
      </c>
      <c r="B863" s="8" t="s">
        <v>1369</v>
      </c>
      <c r="C863" s="121" t="str">
        <f t="shared" si="34"/>
        <v>http://www.clarksburg.va.gov/contact/phone_directory.asp</v>
      </c>
    </row>
    <row r="864" ht="14.25" hidden="1" customHeight="1">
      <c r="A864" s="8" t="s">
        <v>2074</v>
      </c>
      <c r="B864" s="8" t="s">
        <v>1369</v>
      </c>
      <c r="C864" s="121" t="str">
        <f t="shared" si="34"/>
        <v>http://www.clarksburg.va.gov/contact/phone_directory.asp</v>
      </c>
    </row>
    <row r="865" ht="14.25" hidden="1" customHeight="1">
      <c r="A865" s="8" t="s">
        <v>1869</v>
      </c>
      <c r="B865" s="8" t="s">
        <v>1369</v>
      </c>
      <c r="C865" s="121" t="str">
        <f t="shared" si="34"/>
        <v>http://www.clarksburg.va.gov/contact/phone_directory.asp</v>
      </c>
    </row>
    <row r="866" ht="14.25" hidden="1" customHeight="1">
      <c r="A866" s="8" t="s">
        <v>375</v>
      </c>
      <c r="B866" s="8" t="s">
        <v>1369</v>
      </c>
      <c r="C866" s="121" t="str">
        <f t="shared" si="34"/>
        <v>http://www.clarksburg.va.gov/contact/phone_directory.asp</v>
      </c>
    </row>
    <row r="867" ht="14.25" hidden="1" customHeight="1">
      <c r="A867" s="8" t="s">
        <v>518</v>
      </c>
      <c r="B867" s="8" t="s">
        <v>1369</v>
      </c>
      <c r="C867" s="121" t="str">
        <f t="shared" si="34"/>
        <v>http://www.clarksburg.va.gov/contact/phone_directory.asp</v>
      </c>
    </row>
    <row r="868" ht="14.25" hidden="1" customHeight="1">
      <c r="A868" s="8" t="s">
        <v>821</v>
      </c>
      <c r="B868" s="8" t="s">
        <v>1369</v>
      </c>
      <c r="C868" s="121" t="str">
        <f t="shared" si="34"/>
        <v>http://www.clarksburg.va.gov/contact/phone_directory.asp</v>
      </c>
    </row>
    <row r="869" ht="14.25" hidden="1" customHeight="1">
      <c r="A869" s="8" t="s">
        <v>624</v>
      </c>
      <c r="B869" s="8" t="s">
        <v>1382</v>
      </c>
      <c r="C869" s="121" t="str">
        <f t="shared" ref="C869:C885" si="35">HYPERLINK("http://www.cleveland.va.gov/contact/phone_directory.asp")</f>
        <v>http://www.cleveland.va.gov/contact/phone_directory.asp</v>
      </c>
    </row>
    <row r="870" ht="14.25" hidden="1" customHeight="1">
      <c r="A870" s="8" t="s">
        <v>631</v>
      </c>
      <c r="B870" s="8" t="s">
        <v>1382</v>
      </c>
      <c r="C870" s="121" t="str">
        <f t="shared" si="35"/>
        <v>http://www.cleveland.va.gov/contact/phone_directory.asp</v>
      </c>
    </row>
    <row r="871" ht="14.25" hidden="1" customHeight="1">
      <c r="A871" s="8" t="s">
        <v>638</v>
      </c>
      <c r="B871" s="8" t="s">
        <v>1382</v>
      </c>
      <c r="C871" s="121" t="str">
        <f t="shared" si="35"/>
        <v>http://www.cleveland.va.gov/contact/phone_directory.asp</v>
      </c>
    </row>
    <row r="872" ht="14.25" hidden="1" customHeight="1">
      <c r="A872" s="8" t="s">
        <v>455</v>
      </c>
      <c r="B872" s="8" t="s">
        <v>1382</v>
      </c>
      <c r="C872" s="121" t="str">
        <f t="shared" si="35"/>
        <v>http://www.cleveland.va.gov/contact/phone_directory.asp</v>
      </c>
    </row>
    <row r="873" ht="14.25" hidden="1" customHeight="1">
      <c r="A873" s="8" t="s">
        <v>2076</v>
      </c>
      <c r="B873" s="8" t="s">
        <v>1382</v>
      </c>
      <c r="C873" s="121" t="str">
        <f t="shared" si="35"/>
        <v>http://www.cleveland.va.gov/contact/phone_directory.asp</v>
      </c>
    </row>
    <row r="874" ht="14.25" hidden="1" customHeight="1">
      <c r="A874" s="8" t="s">
        <v>663</v>
      </c>
      <c r="B874" s="8" t="s">
        <v>1382</v>
      </c>
      <c r="C874" s="121" t="str">
        <f t="shared" si="35"/>
        <v>http://www.cleveland.va.gov/contact/phone_directory.asp</v>
      </c>
    </row>
    <row r="875" ht="14.25" hidden="1" customHeight="1">
      <c r="A875" s="8" t="s">
        <v>1965</v>
      </c>
      <c r="B875" s="8" t="s">
        <v>1382</v>
      </c>
      <c r="C875" s="121" t="str">
        <f t="shared" si="35"/>
        <v>http://www.cleveland.va.gov/contact/phone_directory.asp</v>
      </c>
    </row>
    <row r="876" ht="14.25" hidden="1" customHeight="1">
      <c r="A876" s="8" t="s">
        <v>2077</v>
      </c>
      <c r="B876" s="8" t="s">
        <v>1382</v>
      </c>
      <c r="C876" s="121" t="str">
        <f t="shared" si="35"/>
        <v>http://www.cleveland.va.gov/contact/phone_directory.asp</v>
      </c>
    </row>
    <row r="877" ht="14.25" hidden="1" customHeight="1">
      <c r="A877" s="8" t="s">
        <v>1231</v>
      </c>
      <c r="B877" s="8" t="s">
        <v>1382</v>
      </c>
      <c r="C877" s="121" t="str">
        <f t="shared" si="35"/>
        <v>http://www.cleveland.va.gov/contact/phone_directory.asp</v>
      </c>
    </row>
    <row r="878" ht="14.25" hidden="1" customHeight="1">
      <c r="A878" s="8" t="s">
        <v>691</v>
      </c>
      <c r="B878" s="8" t="s">
        <v>1382</v>
      </c>
      <c r="C878" s="121" t="str">
        <f t="shared" si="35"/>
        <v>http://www.cleveland.va.gov/contact/phone_directory.asp</v>
      </c>
    </row>
    <row r="879" ht="14.25" hidden="1" customHeight="1">
      <c r="A879" s="8" t="s">
        <v>2078</v>
      </c>
      <c r="B879" s="8" t="s">
        <v>1382</v>
      </c>
      <c r="C879" s="121" t="str">
        <f t="shared" si="35"/>
        <v>http://www.cleveland.va.gov/contact/phone_directory.asp</v>
      </c>
    </row>
    <row r="880" ht="14.25" hidden="1" customHeight="1">
      <c r="A880" s="8" t="s">
        <v>1689</v>
      </c>
      <c r="B880" s="8" t="s">
        <v>1382</v>
      </c>
      <c r="C880" s="121" t="str">
        <f t="shared" si="35"/>
        <v>http://www.cleveland.va.gov/contact/phone_directory.asp</v>
      </c>
    </row>
    <row r="881" ht="14.25" hidden="1" customHeight="1">
      <c r="A881" s="8" t="s">
        <v>450</v>
      </c>
      <c r="B881" s="8" t="s">
        <v>1382</v>
      </c>
      <c r="C881" s="121" t="str">
        <f t="shared" si="35"/>
        <v>http://www.cleveland.va.gov/contact/phone_directory.asp</v>
      </c>
    </row>
    <row r="882" ht="14.25" hidden="1" customHeight="1">
      <c r="A882" s="8" t="s">
        <v>775</v>
      </c>
      <c r="B882" s="8" t="s">
        <v>1382</v>
      </c>
      <c r="C882" s="121" t="str">
        <f t="shared" si="35"/>
        <v>http://www.cleveland.va.gov/contact/phone_directory.asp</v>
      </c>
    </row>
    <row r="883" ht="14.25" hidden="1" customHeight="1">
      <c r="A883" s="8" t="s">
        <v>708</v>
      </c>
      <c r="B883" s="8" t="s">
        <v>1382</v>
      </c>
      <c r="C883" s="121" t="str">
        <f t="shared" si="35"/>
        <v>http://www.cleveland.va.gov/contact/phone_directory.asp</v>
      </c>
    </row>
    <row r="884" ht="14.25" hidden="1" customHeight="1">
      <c r="A884" s="8" t="s">
        <v>724</v>
      </c>
      <c r="B884" s="8" t="s">
        <v>1382</v>
      </c>
      <c r="C884" s="121" t="str">
        <f t="shared" si="35"/>
        <v>http://www.cleveland.va.gov/contact/phone_directory.asp</v>
      </c>
    </row>
    <row r="885" ht="14.25" hidden="1" customHeight="1">
      <c r="A885" s="8" t="s">
        <v>1690</v>
      </c>
      <c r="B885" s="8" t="s">
        <v>1382</v>
      </c>
      <c r="C885" s="121" t="str">
        <f t="shared" si="35"/>
        <v>http://www.cleveland.va.gov/contact/phone_directory.asp</v>
      </c>
    </row>
    <row r="886" ht="14.25" hidden="1" customHeight="1">
      <c r="A886" s="8" t="s">
        <v>1111</v>
      </c>
      <c r="B886" s="8" t="s">
        <v>1402</v>
      </c>
      <c r="C886" s="121" t="str">
        <f t="shared" ref="C886:C924" si="36">HYPERLINK("http://www.coatesville.va.gov/contact/phone_directory.asp")</f>
        <v>http://www.coatesville.va.gov/contact/phone_directory.asp</v>
      </c>
    </row>
    <row r="887" ht="14.25" hidden="1" customHeight="1">
      <c r="A887" s="8" t="s">
        <v>624</v>
      </c>
      <c r="B887" s="8" t="s">
        <v>1402</v>
      </c>
      <c r="C887" s="121" t="str">
        <f t="shared" si="36"/>
        <v>http://www.coatesville.va.gov/contact/phone_directory.asp</v>
      </c>
    </row>
    <row r="888" ht="14.25" hidden="1" customHeight="1">
      <c r="A888" s="8" t="s">
        <v>631</v>
      </c>
      <c r="B888" s="8" t="s">
        <v>1402</v>
      </c>
      <c r="C888" s="121" t="str">
        <f t="shared" si="36"/>
        <v>http://www.coatesville.va.gov/contact/phone_directory.asp</v>
      </c>
    </row>
    <row r="889" ht="14.25" hidden="1" customHeight="1">
      <c r="A889" s="8" t="s">
        <v>1122</v>
      </c>
      <c r="B889" s="8" t="s">
        <v>1402</v>
      </c>
      <c r="C889" s="121" t="str">
        <f t="shared" si="36"/>
        <v>http://www.coatesville.va.gov/contact/phone_directory.asp</v>
      </c>
    </row>
    <row r="890" ht="14.25" hidden="1" customHeight="1">
      <c r="A890" s="8" t="s">
        <v>1126</v>
      </c>
      <c r="B890" s="8" t="s">
        <v>1402</v>
      </c>
      <c r="C890" s="121" t="str">
        <f t="shared" si="36"/>
        <v>http://www.coatesville.va.gov/contact/phone_directory.asp</v>
      </c>
    </row>
    <row r="891" ht="14.25" hidden="1" customHeight="1">
      <c r="A891" s="8" t="s">
        <v>455</v>
      </c>
      <c r="B891" s="8" t="s">
        <v>1402</v>
      </c>
      <c r="C891" s="121" t="str">
        <f t="shared" si="36"/>
        <v>http://www.coatesville.va.gov/contact/phone_directory.asp</v>
      </c>
    </row>
    <row r="892" ht="14.25" hidden="1" customHeight="1">
      <c r="A892" s="8" t="s">
        <v>304</v>
      </c>
      <c r="B892" s="8" t="s">
        <v>1402</v>
      </c>
      <c r="C892" s="121" t="str">
        <f t="shared" si="36"/>
        <v>http://www.coatesville.va.gov/contact/phone_directory.asp</v>
      </c>
    </row>
    <row r="893" ht="14.25" hidden="1" customHeight="1">
      <c r="A893" s="8" t="s">
        <v>1131</v>
      </c>
      <c r="B893" s="8" t="s">
        <v>1402</v>
      </c>
      <c r="C893" s="121" t="str">
        <f t="shared" si="36"/>
        <v>http://www.coatesville.va.gov/contact/phone_directory.asp</v>
      </c>
    </row>
    <row r="894" ht="14.25" hidden="1" customHeight="1">
      <c r="A894" s="8" t="s">
        <v>1133</v>
      </c>
      <c r="B894" s="8" t="s">
        <v>1402</v>
      </c>
      <c r="C894" s="121" t="str">
        <f t="shared" si="36"/>
        <v>http://www.coatesville.va.gov/contact/phone_directory.asp</v>
      </c>
    </row>
    <row r="895" ht="14.25" hidden="1" customHeight="1">
      <c r="A895" s="8" t="s">
        <v>985</v>
      </c>
      <c r="B895" s="8" t="s">
        <v>1402</v>
      </c>
      <c r="C895" s="121" t="str">
        <f t="shared" si="36"/>
        <v>http://www.coatesville.va.gov/contact/phone_directory.asp</v>
      </c>
    </row>
    <row r="896" ht="14.25" hidden="1" customHeight="1">
      <c r="A896" s="8" t="s">
        <v>1136</v>
      </c>
      <c r="B896" s="8" t="s">
        <v>1402</v>
      </c>
      <c r="C896" s="121" t="str">
        <f t="shared" si="36"/>
        <v>http://www.coatesville.va.gov/contact/phone_directory.asp</v>
      </c>
    </row>
    <row r="897" ht="14.25" hidden="1" customHeight="1">
      <c r="A897" s="8" t="s">
        <v>1140</v>
      </c>
      <c r="B897" s="8" t="s">
        <v>1402</v>
      </c>
      <c r="C897" s="121" t="str">
        <f t="shared" si="36"/>
        <v>http://www.coatesville.va.gov/contact/phone_directory.asp</v>
      </c>
    </row>
    <row r="898" ht="14.25" hidden="1" customHeight="1">
      <c r="A898" s="8" t="s">
        <v>1144</v>
      </c>
      <c r="B898" s="8" t="s">
        <v>1402</v>
      </c>
      <c r="C898" s="121" t="str">
        <f t="shared" si="36"/>
        <v>http://www.coatesville.va.gov/contact/phone_directory.asp</v>
      </c>
    </row>
    <row r="899" ht="14.25" hidden="1" customHeight="1">
      <c r="A899" s="8" t="s">
        <v>1147</v>
      </c>
      <c r="B899" s="8" t="s">
        <v>1402</v>
      </c>
      <c r="C899" s="121" t="str">
        <f t="shared" si="36"/>
        <v>http://www.coatesville.va.gov/contact/phone_directory.asp</v>
      </c>
    </row>
    <row r="900" ht="14.25" hidden="1" customHeight="1">
      <c r="A900" s="8" t="s">
        <v>1150</v>
      </c>
      <c r="B900" s="8" t="s">
        <v>1402</v>
      </c>
      <c r="C900" s="121" t="str">
        <f t="shared" si="36"/>
        <v>http://www.coatesville.va.gov/contact/phone_directory.asp</v>
      </c>
    </row>
    <row r="901" ht="14.25" hidden="1" customHeight="1">
      <c r="A901" s="8" t="s">
        <v>1152</v>
      </c>
      <c r="B901" s="8" t="s">
        <v>1402</v>
      </c>
      <c r="C901" s="121" t="str">
        <f t="shared" si="36"/>
        <v>http://www.coatesville.va.gov/contact/phone_directory.asp</v>
      </c>
    </row>
    <row r="902" ht="14.25" hidden="1" customHeight="1">
      <c r="A902" s="8" t="s">
        <v>1154</v>
      </c>
      <c r="B902" s="8" t="s">
        <v>1402</v>
      </c>
      <c r="C902" s="121" t="str">
        <f t="shared" si="36"/>
        <v>http://www.coatesville.va.gov/contact/phone_directory.asp</v>
      </c>
    </row>
    <row r="903" ht="14.25" hidden="1" customHeight="1">
      <c r="A903" s="8" t="s">
        <v>1157</v>
      </c>
      <c r="B903" s="8" t="s">
        <v>1402</v>
      </c>
      <c r="C903" s="121" t="str">
        <f t="shared" si="36"/>
        <v>http://www.coatesville.va.gov/contact/phone_directory.asp</v>
      </c>
    </row>
    <row r="904" ht="14.25" hidden="1" customHeight="1">
      <c r="A904" s="8" t="s">
        <v>1159</v>
      </c>
      <c r="B904" s="8" t="s">
        <v>1402</v>
      </c>
      <c r="C904" s="121" t="str">
        <f t="shared" si="36"/>
        <v>http://www.coatesville.va.gov/contact/phone_directory.asp</v>
      </c>
    </row>
    <row r="905" ht="14.25" hidden="1" customHeight="1">
      <c r="A905" s="8" t="s">
        <v>584</v>
      </c>
      <c r="B905" s="8" t="s">
        <v>1402</v>
      </c>
      <c r="C905" s="121" t="str">
        <f t="shared" si="36"/>
        <v>http://www.coatesville.va.gov/contact/phone_directory.asp</v>
      </c>
    </row>
    <row r="906" ht="14.25" hidden="1" customHeight="1">
      <c r="A906" s="8" t="s">
        <v>683</v>
      </c>
      <c r="B906" s="8" t="s">
        <v>1402</v>
      </c>
      <c r="C906" s="121" t="str">
        <f t="shared" si="36"/>
        <v>http://www.coatesville.va.gov/contact/phone_directory.asp</v>
      </c>
    </row>
    <row r="907" ht="14.25" hidden="1" customHeight="1">
      <c r="A907" s="8" t="s">
        <v>1168</v>
      </c>
      <c r="B907" s="8" t="s">
        <v>1402</v>
      </c>
      <c r="C907" s="121" t="str">
        <f t="shared" si="36"/>
        <v>http://www.coatesville.va.gov/contact/phone_directory.asp</v>
      </c>
    </row>
    <row r="908" ht="14.25" hidden="1" customHeight="1">
      <c r="A908" s="8" t="s">
        <v>648</v>
      </c>
      <c r="B908" s="8" t="s">
        <v>1402</v>
      </c>
      <c r="C908" s="121" t="str">
        <f t="shared" si="36"/>
        <v>http://www.coatesville.va.gov/contact/phone_directory.asp</v>
      </c>
    </row>
    <row r="909" ht="14.25" hidden="1" customHeight="1">
      <c r="A909" s="8" t="s">
        <v>1172</v>
      </c>
      <c r="B909" s="8" t="s">
        <v>1402</v>
      </c>
      <c r="C909" s="121" t="str">
        <f t="shared" si="36"/>
        <v>http://www.coatesville.va.gov/contact/phone_directory.asp</v>
      </c>
    </row>
    <row r="910" ht="14.25" hidden="1" customHeight="1">
      <c r="A910" s="8" t="s">
        <v>1176</v>
      </c>
      <c r="B910" s="8" t="s">
        <v>1402</v>
      </c>
      <c r="C910" s="121" t="str">
        <f t="shared" si="36"/>
        <v>http://www.coatesville.va.gov/contact/phone_directory.asp</v>
      </c>
    </row>
    <row r="911" ht="14.25" hidden="1" customHeight="1">
      <c r="A911" s="8" t="s">
        <v>1178</v>
      </c>
      <c r="B911" s="8" t="s">
        <v>1402</v>
      </c>
      <c r="C911" s="121" t="str">
        <f t="shared" si="36"/>
        <v>http://www.coatesville.va.gov/contact/phone_directory.asp</v>
      </c>
    </row>
    <row r="912" ht="14.25" hidden="1" customHeight="1">
      <c r="A912" s="8" t="s">
        <v>901</v>
      </c>
      <c r="B912" s="8" t="s">
        <v>1402</v>
      </c>
      <c r="C912" s="121" t="str">
        <f t="shared" si="36"/>
        <v>http://www.coatesville.va.gov/contact/phone_directory.asp</v>
      </c>
    </row>
    <row r="913" ht="14.25" hidden="1" customHeight="1">
      <c r="A913" s="8" t="s">
        <v>904</v>
      </c>
      <c r="B913" s="8" t="s">
        <v>1402</v>
      </c>
      <c r="C913" s="121" t="str">
        <f t="shared" si="36"/>
        <v>http://www.coatesville.va.gov/contact/phone_directory.asp</v>
      </c>
    </row>
    <row r="914" ht="14.25" hidden="1" customHeight="1">
      <c r="A914" s="8" t="s">
        <v>694</v>
      </c>
      <c r="B914" s="8" t="s">
        <v>1402</v>
      </c>
      <c r="C914" s="121" t="str">
        <f t="shared" si="36"/>
        <v>http://www.coatesville.va.gov/contact/phone_directory.asp</v>
      </c>
    </row>
    <row r="915" ht="14.25" hidden="1" customHeight="1">
      <c r="A915" s="8" t="s">
        <v>450</v>
      </c>
      <c r="B915" s="8" t="s">
        <v>1402</v>
      </c>
      <c r="C915" s="121" t="str">
        <f t="shared" si="36"/>
        <v>http://www.coatesville.va.gov/contact/phone_directory.asp</v>
      </c>
    </row>
    <row r="916" ht="14.25" hidden="1" customHeight="1">
      <c r="A916" s="8" t="s">
        <v>1190</v>
      </c>
      <c r="B916" s="8" t="s">
        <v>1402</v>
      </c>
      <c r="C916" s="121" t="str">
        <f t="shared" si="36"/>
        <v>http://www.coatesville.va.gov/contact/phone_directory.asp</v>
      </c>
    </row>
    <row r="917" ht="14.25" hidden="1" customHeight="1">
      <c r="A917" s="8" t="s">
        <v>778</v>
      </c>
      <c r="B917" s="8" t="s">
        <v>1402</v>
      </c>
      <c r="C917" s="121" t="str">
        <f t="shared" si="36"/>
        <v>http://www.coatesville.va.gov/contact/phone_directory.asp</v>
      </c>
    </row>
    <row r="918" ht="14.25" hidden="1" customHeight="1">
      <c r="A918" s="8" t="s">
        <v>504</v>
      </c>
      <c r="B918" s="8" t="s">
        <v>1402</v>
      </c>
      <c r="C918" s="121" t="str">
        <f t="shared" si="36"/>
        <v>http://www.coatesville.va.gov/contact/phone_directory.asp</v>
      </c>
    </row>
    <row r="919" ht="14.25" hidden="1" customHeight="1">
      <c r="A919" s="8" t="s">
        <v>708</v>
      </c>
      <c r="B919" s="8" t="s">
        <v>1402</v>
      </c>
      <c r="C919" s="121" t="str">
        <f t="shared" si="36"/>
        <v>http://www.coatesville.va.gov/contact/phone_directory.asp</v>
      </c>
    </row>
    <row r="920" ht="14.25" hidden="1" customHeight="1">
      <c r="A920" s="8" t="s">
        <v>1198</v>
      </c>
      <c r="B920" s="8" t="s">
        <v>1402</v>
      </c>
      <c r="C920" s="121" t="str">
        <f t="shared" si="36"/>
        <v>http://www.coatesville.va.gov/contact/phone_directory.asp</v>
      </c>
    </row>
    <row r="921" ht="14.25" hidden="1" customHeight="1">
      <c r="A921" s="8" t="s">
        <v>712</v>
      </c>
      <c r="B921" s="8" t="s">
        <v>1402</v>
      </c>
      <c r="C921" s="121" t="str">
        <f t="shared" si="36"/>
        <v>http://www.coatesville.va.gov/contact/phone_directory.asp</v>
      </c>
    </row>
    <row r="922" ht="14.25" hidden="1" customHeight="1">
      <c r="A922" s="8" t="s">
        <v>1200</v>
      </c>
      <c r="B922" s="8" t="s">
        <v>1402</v>
      </c>
      <c r="C922" s="121" t="str">
        <f t="shared" si="36"/>
        <v>http://www.coatesville.va.gov/contact/phone_directory.asp</v>
      </c>
    </row>
    <row r="923" ht="14.25" hidden="1" customHeight="1">
      <c r="A923" s="8" t="s">
        <v>1202</v>
      </c>
      <c r="B923" s="8" t="s">
        <v>1402</v>
      </c>
      <c r="C923" s="121" t="str">
        <f t="shared" si="36"/>
        <v>http://www.coatesville.va.gov/contact/phone_directory.asp</v>
      </c>
    </row>
    <row r="924" ht="14.25" hidden="1" customHeight="1">
      <c r="A924" s="8" t="s">
        <v>518</v>
      </c>
      <c r="B924" s="8" t="s">
        <v>1402</v>
      </c>
      <c r="C924" s="121" t="str">
        <f t="shared" si="36"/>
        <v>http://www.coatesville.va.gov/contact/phone_directory.asp</v>
      </c>
    </row>
    <row r="925" ht="14.25" hidden="1" customHeight="1">
      <c r="A925" s="8" t="s">
        <v>639</v>
      </c>
      <c r="B925" s="8" t="s">
        <v>1415</v>
      </c>
      <c r="C925" s="121" t="str">
        <f t="shared" ref="C925:C932" si="37">HYPERLINK("http://www.columbiamo.va.gov/contact/phone_directory.asp")</f>
        <v>http://www.columbiamo.va.gov/contact/phone_directory.asp</v>
      </c>
    </row>
    <row r="926" ht="14.25" hidden="1" customHeight="1">
      <c r="A926" s="8" t="s">
        <v>663</v>
      </c>
      <c r="B926" s="8" t="s">
        <v>1415</v>
      </c>
      <c r="C926" s="121" t="str">
        <f t="shared" si="37"/>
        <v>http://www.columbiamo.va.gov/contact/phone_directory.asp</v>
      </c>
    </row>
    <row r="927" ht="14.25" hidden="1" customHeight="1">
      <c r="A927" s="8" t="s">
        <v>670</v>
      </c>
      <c r="B927" s="8" t="s">
        <v>1415</v>
      </c>
      <c r="C927" s="121" t="str">
        <f t="shared" si="37"/>
        <v>http://www.columbiamo.va.gov/contact/phone_directory.asp</v>
      </c>
    </row>
    <row r="928" ht="14.25" hidden="1" customHeight="1">
      <c r="A928" s="8" t="s">
        <v>694</v>
      </c>
      <c r="B928" s="8" t="s">
        <v>1415</v>
      </c>
      <c r="C928" s="121" t="str">
        <f t="shared" si="37"/>
        <v>http://www.columbiamo.va.gov/contact/phone_directory.asp</v>
      </c>
    </row>
    <row r="929" ht="14.25" hidden="1" customHeight="1">
      <c r="A929" s="8" t="s">
        <v>504</v>
      </c>
      <c r="B929" s="8" t="s">
        <v>1415</v>
      </c>
      <c r="C929" s="121" t="str">
        <f t="shared" si="37"/>
        <v>http://www.columbiamo.va.gov/contact/phone_directory.asp</v>
      </c>
    </row>
    <row r="930" ht="14.25" hidden="1" customHeight="1">
      <c r="A930" s="8" t="s">
        <v>708</v>
      </c>
      <c r="B930" s="8" t="s">
        <v>1415</v>
      </c>
      <c r="C930" s="121" t="str">
        <f t="shared" si="37"/>
        <v>http://www.columbiamo.va.gov/contact/phone_directory.asp</v>
      </c>
    </row>
    <row r="931" ht="14.25" hidden="1" customHeight="1">
      <c r="A931" s="8" t="s">
        <v>1869</v>
      </c>
      <c r="B931" s="8" t="s">
        <v>1415</v>
      </c>
      <c r="C931" s="121" t="str">
        <f t="shared" si="37"/>
        <v>http://www.columbiamo.va.gov/contact/phone_directory.asp</v>
      </c>
    </row>
    <row r="932" ht="14.25" hidden="1" customHeight="1">
      <c r="A932" s="8" t="s">
        <v>741</v>
      </c>
      <c r="B932" s="8" t="s">
        <v>1415</v>
      </c>
      <c r="C932" s="121" t="str">
        <f t="shared" si="37"/>
        <v>http://www.columbiamo.va.gov/contact/phone_directory.asp</v>
      </c>
    </row>
    <row r="933" ht="14.25" hidden="1" customHeight="1">
      <c r="A933" s="8" t="s">
        <v>624</v>
      </c>
      <c r="B933" s="8" t="s">
        <v>1433</v>
      </c>
      <c r="C933" s="121" t="str">
        <f t="shared" ref="C933:C975" si="38">HYPERLINK("http://www.columbiasc.va.gov/contact/phone_directory.asp")</f>
        <v>http://www.columbiasc.va.gov/contact/phone_directory.asp</v>
      </c>
    </row>
    <row r="934" ht="14.25" hidden="1" customHeight="1">
      <c r="A934" s="8" t="s">
        <v>2086</v>
      </c>
      <c r="B934" s="8" t="s">
        <v>1433</v>
      </c>
      <c r="C934" s="121" t="str">
        <f t="shared" si="38"/>
        <v>http://www.columbiasc.va.gov/contact/phone_directory.asp</v>
      </c>
    </row>
    <row r="935" ht="14.25" hidden="1" customHeight="1">
      <c r="A935" s="8" t="s">
        <v>864</v>
      </c>
      <c r="B935" s="8" t="s">
        <v>1433</v>
      </c>
      <c r="C935" s="121" t="str">
        <f t="shared" si="38"/>
        <v>http://www.columbiasc.va.gov/contact/phone_directory.asp</v>
      </c>
    </row>
    <row r="936" ht="14.25" hidden="1" customHeight="1">
      <c r="A936" s="8" t="s">
        <v>300</v>
      </c>
      <c r="B936" s="8" t="s">
        <v>1433</v>
      </c>
      <c r="C936" s="121" t="str">
        <f t="shared" si="38"/>
        <v>http://www.columbiasc.va.gov/contact/phone_directory.asp</v>
      </c>
    </row>
    <row r="937" ht="14.25" hidden="1" customHeight="1">
      <c r="A937" s="8" t="s">
        <v>455</v>
      </c>
      <c r="B937" s="8" t="s">
        <v>1433</v>
      </c>
      <c r="C937" s="121" t="str">
        <f t="shared" si="38"/>
        <v>http://www.columbiasc.va.gov/contact/phone_directory.asp</v>
      </c>
    </row>
    <row r="938" ht="14.25" hidden="1" customHeight="1">
      <c r="A938" s="8" t="s">
        <v>517</v>
      </c>
      <c r="B938" s="8" t="s">
        <v>1433</v>
      </c>
      <c r="C938" s="121" t="str">
        <f t="shared" si="38"/>
        <v>http://www.columbiasc.va.gov/contact/phone_directory.asp</v>
      </c>
    </row>
    <row r="939" ht="14.25" hidden="1" customHeight="1">
      <c r="A939" s="8" t="s">
        <v>2087</v>
      </c>
      <c r="B939" s="8" t="s">
        <v>1433</v>
      </c>
      <c r="C939" s="121" t="str">
        <f t="shared" si="38"/>
        <v>http://www.columbiasc.va.gov/contact/phone_directory.asp</v>
      </c>
    </row>
    <row r="940" ht="14.25" hidden="1" customHeight="1">
      <c r="A940" s="8" t="s">
        <v>663</v>
      </c>
      <c r="B940" s="8" t="s">
        <v>1433</v>
      </c>
      <c r="C940" s="121" t="str">
        <f t="shared" si="38"/>
        <v>http://www.columbiasc.va.gov/contact/phone_directory.asp</v>
      </c>
    </row>
    <row r="941" ht="14.25" hidden="1" customHeight="1">
      <c r="A941" s="8" t="s">
        <v>308</v>
      </c>
      <c r="B941" s="8" t="s">
        <v>1433</v>
      </c>
      <c r="C941" s="121" t="str">
        <f t="shared" si="38"/>
        <v>http://www.columbiasc.va.gov/contact/phone_directory.asp</v>
      </c>
    </row>
    <row r="942" ht="14.25" hidden="1" customHeight="1">
      <c r="A942" s="8" t="s">
        <v>538</v>
      </c>
      <c r="B942" s="8" t="s">
        <v>1433</v>
      </c>
      <c r="C942" s="121" t="str">
        <f t="shared" si="38"/>
        <v>http://www.columbiasc.va.gov/contact/phone_directory.asp</v>
      </c>
    </row>
    <row r="943" ht="14.25" hidden="1" customHeight="1">
      <c r="A943" s="8" t="s">
        <v>1147</v>
      </c>
      <c r="B943" s="8" t="s">
        <v>1433</v>
      </c>
      <c r="C943" s="121" t="str">
        <f t="shared" si="38"/>
        <v>http://www.columbiasc.va.gov/contact/phone_directory.asp</v>
      </c>
    </row>
    <row r="944" ht="14.25" hidden="1" customHeight="1">
      <c r="A944" s="8" t="s">
        <v>560</v>
      </c>
      <c r="B944" s="8" t="s">
        <v>1433</v>
      </c>
      <c r="C944" s="121" t="str">
        <f t="shared" si="38"/>
        <v>http://www.columbiasc.va.gov/contact/phone_directory.asp</v>
      </c>
    </row>
    <row r="945" ht="14.25" hidden="1" customHeight="1">
      <c r="A945" s="8" t="s">
        <v>2088</v>
      </c>
      <c r="B945" s="8" t="s">
        <v>1433</v>
      </c>
      <c r="C945" s="121" t="str">
        <f t="shared" si="38"/>
        <v>http://www.columbiasc.va.gov/contact/phone_directory.asp</v>
      </c>
    </row>
    <row r="946" ht="14.25" hidden="1" customHeight="1">
      <c r="A946" s="8" t="s">
        <v>2090</v>
      </c>
      <c r="B946" s="8" t="s">
        <v>1433</v>
      </c>
      <c r="C946" s="121" t="str">
        <f t="shared" si="38"/>
        <v>http://www.columbiasc.va.gov/contact/phone_directory.asp</v>
      </c>
    </row>
    <row r="947" ht="14.25" hidden="1" customHeight="1">
      <c r="A947" s="8" t="s">
        <v>571</v>
      </c>
      <c r="B947" s="8" t="s">
        <v>1433</v>
      </c>
      <c r="C947" s="121" t="str">
        <f t="shared" si="38"/>
        <v>http://www.columbiasc.va.gov/contact/phone_directory.asp</v>
      </c>
    </row>
    <row r="948" ht="14.25" hidden="1" customHeight="1">
      <c r="A948" s="8" t="s">
        <v>1249</v>
      </c>
      <c r="B948" s="8" t="s">
        <v>1433</v>
      </c>
      <c r="C948" s="121" t="str">
        <f t="shared" si="38"/>
        <v>http://www.columbiasc.va.gov/contact/phone_directory.asp</v>
      </c>
    </row>
    <row r="949" ht="14.25" hidden="1" customHeight="1">
      <c r="A949" s="8" t="s">
        <v>1676</v>
      </c>
      <c r="B949" s="8" t="s">
        <v>1433</v>
      </c>
      <c r="C949" s="121" t="str">
        <f t="shared" si="38"/>
        <v>http://www.columbiasc.va.gov/contact/phone_directory.asp</v>
      </c>
    </row>
    <row r="950" ht="14.25" hidden="1" customHeight="1">
      <c r="A950" s="8" t="s">
        <v>886</v>
      </c>
      <c r="B950" s="8" t="s">
        <v>1433</v>
      </c>
      <c r="C950" s="121" t="str">
        <f t="shared" si="38"/>
        <v>http://www.columbiasc.va.gov/contact/phone_directory.asp</v>
      </c>
    </row>
    <row r="951" ht="14.25" hidden="1" customHeight="1">
      <c r="A951" s="8" t="s">
        <v>2092</v>
      </c>
      <c r="B951" s="8" t="s">
        <v>1433</v>
      </c>
      <c r="C951" s="121" t="str">
        <f t="shared" si="38"/>
        <v>http://www.columbiasc.va.gov/contact/phone_directory.asp</v>
      </c>
    </row>
    <row r="952" ht="14.25" hidden="1" customHeight="1">
      <c r="A952" s="8" t="s">
        <v>683</v>
      </c>
      <c r="B952" s="8" t="s">
        <v>1433</v>
      </c>
      <c r="C952" s="121" t="str">
        <f t="shared" si="38"/>
        <v>http://www.columbiasc.va.gov/contact/phone_directory.asp</v>
      </c>
    </row>
    <row r="953" ht="14.25" hidden="1" customHeight="1">
      <c r="A953" s="8" t="s">
        <v>441</v>
      </c>
      <c r="B953" s="8" t="s">
        <v>1433</v>
      </c>
      <c r="C953" s="121" t="str">
        <f t="shared" si="38"/>
        <v>http://www.columbiasc.va.gov/contact/phone_directory.asp</v>
      </c>
    </row>
    <row r="954" ht="14.25" hidden="1" customHeight="1">
      <c r="A954" s="8" t="s">
        <v>2093</v>
      </c>
      <c r="B954" s="8" t="s">
        <v>1433</v>
      </c>
      <c r="C954" s="121" t="str">
        <f t="shared" si="38"/>
        <v>http://www.columbiasc.va.gov/contact/phone_directory.asp</v>
      </c>
    </row>
    <row r="955" ht="14.25" hidden="1" customHeight="1">
      <c r="A955" s="8" t="s">
        <v>743</v>
      </c>
      <c r="B955" s="8" t="s">
        <v>1433</v>
      </c>
      <c r="C955" s="121" t="str">
        <f t="shared" si="38"/>
        <v>http://www.columbiasc.va.gov/contact/phone_directory.asp</v>
      </c>
    </row>
    <row r="956" ht="14.25" hidden="1" customHeight="1">
      <c r="A956" s="8" t="s">
        <v>2094</v>
      </c>
      <c r="B956" s="8" t="s">
        <v>1433</v>
      </c>
      <c r="C956" s="121" t="str">
        <f t="shared" si="38"/>
        <v>http://www.columbiasc.va.gov/contact/phone_directory.asp</v>
      </c>
    </row>
    <row r="957" ht="14.25" hidden="1" customHeight="1">
      <c r="A957" s="8" t="s">
        <v>707</v>
      </c>
      <c r="B957" s="8" t="s">
        <v>1433</v>
      </c>
      <c r="C957" s="121" t="str">
        <f t="shared" si="38"/>
        <v>http://www.columbiasc.va.gov/contact/phone_directory.asp</v>
      </c>
    </row>
    <row r="958" ht="14.25" hidden="1" customHeight="1">
      <c r="A958" s="8" t="s">
        <v>1172</v>
      </c>
      <c r="B958" s="8" t="s">
        <v>1433</v>
      </c>
      <c r="C958" s="121" t="str">
        <f t="shared" si="38"/>
        <v>http://www.columbiasc.va.gov/contact/phone_directory.asp</v>
      </c>
    </row>
    <row r="959" ht="14.25" hidden="1" customHeight="1">
      <c r="A959" s="8" t="s">
        <v>691</v>
      </c>
      <c r="B959" s="8" t="s">
        <v>1433</v>
      </c>
      <c r="C959" s="121" t="str">
        <f t="shared" si="38"/>
        <v>http://www.columbiasc.va.gov/contact/phone_directory.asp</v>
      </c>
    </row>
    <row r="960" ht="14.25" hidden="1" customHeight="1">
      <c r="A960" s="8" t="s">
        <v>334</v>
      </c>
      <c r="B960" s="8" t="s">
        <v>1433</v>
      </c>
      <c r="C960" s="121" t="str">
        <f t="shared" si="38"/>
        <v>http://www.columbiasc.va.gov/contact/phone_directory.asp</v>
      </c>
    </row>
    <row r="961" ht="14.25" hidden="1" customHeight="1">
      <c r="A961" s="8" t="s">
        <v>900</v>
      </c>
      <c r="B961" s="8" t="s">
        <v>1433</v>
      </c>
      <c r="C961" s="121" t="str">
        <f t="shared" si="38"/>
        <v>http://www.columbiasc.va.gov/contact/phone_directory.asp</v>
      </c>
    </row>
    <row r="962" ht="14.25" hidden="1" customHeight="1">
      <c r="A962" s="8" t="s">
        <v>839</v>
      </c>
      <c r="B962" s="8" t="s">
        <v>1433</v>
      </c>
      <c r="C962" s="121" t="str">
        <f t="shared" si="38"/>
        <v>http://www.columbiasc.va.gov/contact/phone_directory.asp</v>
      </c>
    </row>
    <row r="963" ht="14.25" hidden="1" customHeight="1">
      <c r="A963" s="8" t="s">
        <v>2095</v>
      </c>
      <c r="B963" s="8" t="s">
        <v>1433</v>
      </c>
      <c r="C963" s="121" t="str">
        <f t="shared" si="38"/>
        <v>http://www.columbiasc.va.gov/contact/phone_directory.asp</v>
      </c>
    </row>
    <row r="964" ht="14.25" hidden="1" customHeight="1">
      <c r="A964" s="8" t="s">
        <v>2096</v>
      </c>
      <c r="B964" s="8" t="s">
        <v>1433</v>
      </c>
      <c r="C964" s="121" t="str">
        <f t="shared" si="38"/>
        <v>http://www.columbiasc.va.gov/contact/phone_directory.asp</v>
      </c>
    </row>
    <row r="965" ht="14.25" hidden="1" customHeight="1">
      <c r="A965" s="8" t="s">
        <v>1689</v>
      </c>
      <c r="B965" s="8" t="s">
        <v>1433</v>
      </c>
      <c r="C965" s="121" t="str">
        <f t="shared" si="38"/>
        <v>http://www.columbiasc.va.gov/contact/phone_directory.asp</v>
      </c>
    </row>
    <row r="966" ht="14.25" hidden="1" customHeight="1">
      <c r="A966" s="8" t="s">
        <v>353</v>
      </c>
      <c r="B966" s="8" t="s">
        <v>1433</v>
      </c>
      <c r="C966" s="121" t="str">
        <f t="shared" si="38"/>
        <v>http://www.columbiasc.va.gov/contact/phone_directory.asp</v>
      </c>
    </row>
    <row r="967" ht="14.25" hidden="1" customHeight="1">
      <c r="A967" s="8" t="s">
        <v>791</v>
      </c>
      <c r="B967" s="8" t="s">
        <v>1433</v>
      </c>
      <c r="C967" s="121" t="str">
        <f t="shared" si="38"/>
        <v>http://www.columbiasc.va.gov/contact/phone_directory.asp</v>
      </c>
    </row>
    <row r="968" ht="14.25" hidden="1" customHeight="1">
      <c r="A968" s="8" t="s">
        <v>505</v>
      </c>
      <c r="B968" s="8" t="s">
        <v>1433</v>
      </c>
      <c r="C968" s="121" t="str">
        <f t="shared" si="38"/>
        <v>http://www.columbiasc.va.gov/contact/phone_directory.asp</v>
      </c>
    </row>
    <row r="969" ht="14.25" hidden="1" customHeight="1">
      <c r="A969" s="8" t="s">
        <v>708</v>
      </c>
      <c r="B969" s="8" t="s">
        <v>1433</v>
      </c>
      <c r="C969" s="121" t="str">
        <f t="shared" si="38"/>
        <v>http://www.columbiasc.va.gov/contact/phone_directory.asp</v>
      </c>
    </row>
    <row r="970" ht="14.25" hidden="1" customHeight="1">
      <c r="A970" s="8" t="s">
        <v>2097</v>
      </c>
      <c r="B970" s="8" t="s">
        <v>1433</v>
      </c>
      <c r="C970" s="121" t="str">
        <f t="shared" si="38"/>
        <v>http://www.columbiasc.va.gov/contact/phone_directory.asp</v>
      </c>
    </row>
    <row r="971" ht="14.25" hidden="1" customHeight="1">
      <c r="A971" s="8" t="s">
        <v>1054</v>
      </c>
      <c r="B971" s="8" t="s">
        <v>1433</v>
      </c>
      <c r="C971" s="121" t="str">
        <f t="shared" si="38"/>
        <v>http://www.columbiasc.va.gov/contact/phone_directory.asp</v>
      </c>
    </row>
    <row r="972" ht="14.25" hidden="1" customHeight="1">
      <c r="A972" s="8" t="s">
        <v>712</v>
      </c>
      <c r="B972" s="8" t="s">
        <v>1433</v>
      </c>
      <c r="C972" s="121" t="str">
        <f t="shared" si="38"/>
        <v>http://www.columbiasc.va.gov/contact/phone_directory.asp</v>
      </c>
    </row>
    <row r="973" ht="14.25" hidden="1" customHeight="1">
      <c r="A973" s="8" t="s">
        <v>1232</v>
      </c>
      <c r="B973" s="8" t="s">
        <v>1433</v>
      </c>
      <c r="C973" s="121" t="str">
        <f t="shared" si="38"/>
        <v>http://www.columbiasc.va.gov/contact/phone_directory.asp</v>
      </c>
    </row>
    <row r="974" ht="14.25" hidden="1" customHeight="1">
      <c r="A974" s="8" t="s">
        <v>2048</v>
      </c>
      <c r="B974" s="8" t="s">
        <v>1433</v>
      </c>
      <c r="C974" s="121" t="str">
        <f t="shared" si="38"/>
        <v>http://www.columbiasc.va.gov/contact/phone_directory.asp</v>
      </c>
    </row>
    <row r="975" ht="14.25" hidden="1" customHeight="1">
      <c r="A975" s="8" t="s">
        <v>724</v>
      </c>
      <c r="B975" s="8" t="s">
        <v>1433</v>
      </c>
      <c r="C975" s="121" t="str">
        <f t="shared" si="38"/>
        <v>http://www.columbiasc.va.gov/contact/phone_directory.asp</v>
      </c>
    </row>
    <row r="976" ht="14.25" hidden="1" customHeight="1">
      <c r="A976" s="8" t="s">
        <v>624</v>
      </c>
      <c r="B976" s="8" t="s">
        <v>1455</v>
      </c>
      <c r="C976" s="121" t="str">
        <f t="shared" ref="C976:C981" si="39">HYPERLINK("http://www.columbus.va.gov/contact/phone_directory.asp")</f>
        <v>http://www.columbus.va.gov/contact/phone_directory.asp</v>
      </c>
    </row>
    <row r="977" ht="14.25" hidden="1" customHeight="1">
      <c r="A977" s="8" t="s">
        <v>998</v>
      </c>
      <c r="B977" s="8" t="s">
        <v>1455</v>
      </c>
      <c r="C977" s="121" t="str">
        <f t="shared" si="39"/>
        <v>http://www.columbus.va.gov/contact/phone_directory.asp</v>
      </c>
    </row>
    <row r="978" ht="14.25" hidden="1" customHeight="1">
      <c r="A978" s="8" t="s">
        <v>2099</v>
      </c>
      <c r="B978" s="8" t="s">
        <v>1455</v>
      </c>
      <c r="C978" s="121" t="str">
        <f t="shared" si="39"/>
        <v>http://www.columbus.va.gov/contact/phone_directory.asp</v>
      </c>
    </row>
    <row r="979" ht="14.25" hidden="1" customHeight="1">
      <c r="A979" s="8" t="s">
        <v>872</v>
      </c>
      <c r="B979" s="8" t="s">
        <v>1455</v>
      </c>
      <c r="C979" s="121" t="str">
        <f t="shared" si="39"/>
        <v>http://www.columbus.va.gov/contact/phone_directory.asp</v>
      </c>
    </row>
    <row r="980" ht="14.25" hidden="1" customHeight="1">
      <c r="A980" s="8" t="s">
        <v>1232</v>
      </c>
      <c r="B980" s="8" t="s">
        <v>1455</v>
      </c>
      <c r="C980" s="121" t="str">
        <f t="shared" si="39"/>
        <v>http://www.columbus.va.gov/contact/phone_directory.asp</v>
      </c>
    </row>
    <row r="981" ht="14.25" hidden="1" customHeight="1">
      <c r="A981" s="8" t="s">
        <v>2101</v>
      </c>
      <c r="B981" s="8" t="s">
        <v>1455</v>
      </c>
      <c r="C981" s="121" t="str">
        <f t="shared" si="39"/>
        <v>http://www.columbus.va.gov/contact/phone_directory.asp</v>
      </c>
    </row>
    <row r="982" ht="14.25" hidden="1" customHeight="1">
      <c r="A982" s="8" t="s">
        <v>2102</v>
      </c>
      <c r="B982" s="8" t="s">
        <v>1475</v>
      </c>
      <c r="C982" s="121" t="str">
        <f t="shared" ref="C982:C1022" si="40">HYPERLINK("http://www.connecticut.va.gov/contact/phone_directory.asp")</f>
        <v>http://www.connecticut.va.gov/contact/phone_directory.asp</v>
      </c>
    </row>
    <row r="983" ht="14.25" hidden="1" customHeight="1">
      <c r="A983" s="8" t="s">
        <v>1771</v>
      </c>
      <c r="B983" s="8" t="s">
        <v>1475</v>
      </c>
      <c r="C983" s="121" t="str">
        <f t="shared" si="40"/>
        <v>http://www.connecticut.va.gov/contact/phone_directory.asp</v>
      </c>
    </row>
    <row r="984" ht="14.25" hidden="1" customHeight="1">
      <c r="A984" s="8" t="s">
        <v>2104</v>
      </c>
      <c r="B984" s="8" t="s">
        <v>1475</v>
      </c>
      <c r="C984" s="121" t="str">
        <f t="shared" si="40"/>
        <v>http://www.connecticut.va.gov/contact/phone_directory.asp</v>
      </c>
    </row>
    <row r="985" ht="14.25" hidden="1" customHeight="1">
      <c r="A985" s="8" t="s">
        <v>2106</v>
      </c>
      <c r="B985" s="8" t="s">
        <v>1475</v>
      </c>
      <c r="C985" s="121" t="str">
        <f t="shared" si="40"/>
        <v>http://www.connecticut.va.gov/contact/phone_directory.asp</v>
      </c>
    </row>
    <row r="986" ht="14.25" hidden="1" customHeight="1">
      <c r="A986" s="8" t="s">
        <v>2107</v>
      </c>
      <c r="B986" s="8" t="s">
        <v>1475</v>
      </c>
      <c r="C986" s="121" t="str">
        <f t="shared" si="40"/>
        <v>http://www.connecticut.va.gov/contact/phone_directory.asp</v>
      </c>
    </row>
    <row r="987" ht="14.25" hidden="1" customHeight="1">
      <c r="A987" s="8" t="s">
        <v>2108</v>
      </c>
      <c r="B987" s="8" t="s">
        <v>1475</v>
      </c>
      <c r="C987" s="121" t="str">
        <f t="shared" si="40"/>
        <v>http://www.connecticut.va.gov/contact/phone_directory.asp</v>
      </c>
    </row>
    <row r="988" ht="14.25" hidden="1" customHeight="1">
      <c r="A988" s="8" t="s">
        <v>455</v>
      </c>
      <c r="B988" s="8" t="s">
        <v>1475</v>
      </c>
      <c r="C988" s="121" t="str">
        <f t="shared" si="40"/>
        <v>http://www.connecticut.va.gov/contact/phone_directory.asp</v>
      </c>
    </row>
    <row r="989" ht="14.25" hidden="1" customHeight="1">
      <c r="A989" s="8" t="s">
        <v>2110</v>
      </c>
      <c r="B989" s="8" t="s">
        <v>1475</v>
      </c>
      <c r="C989" s="121" t="str">
        <f t="shared" si="40"/>
        <v>http://www.connecticut.va.gov/contact/phone_directory.asp</v>
      </c>
    </row>
    <row r="990" ht="14.25" hidden="1" customHeight="1">
      <c r="A990" s="8" t="s">
        <v>2110</v>
      </c>
      <c r="B990" s="8" t="s">
        <v>1475</v>
      </c>
      <c r="C990" s="121" t="str">
        <f t="shared" si="40"/>
        <v>http://www.connecticut.va.gov/contact/phone_directory.asp</v>
      </c>
    </row>
    <row r="991" ht="14.25" hidden="1" customHeight="1">
      <c r="A991" s="8" t="s">
        <v>2112</v>
      </c>
      <c r="B991" s="8" t="s">
        <v>1475</v>
      </c>
      <c r="C991" s="121" t="str">
        <f t="shared" si="40"/>
        <v>http://www.connecticut.va.gov/contact/phone_directory.asp</v>
      </c>
    </row>
    <row r="992" ht="14.25" hidden="1" customHeight="1">
      <c r="A992" s="8" t="s">
        <v>2112</v>
      </c>
      <c r="B992" s="8" t="s">
        <v>1475</v>
      </c>
      <c r="C992" s="121" t="str">
        <f t="shared" si="40"/>
        <v>http://www.connecticut.va.gov/contact/phone_directory.asp</v>
      </c>
    </row>
    <row r="993" ht="14.25" hidden="1" customHeight="1">
      <c r="A993" s="8" t="s">
        <v>2113</v>
      </c>
      <c r="B993" s="8" t="s">
        <v>1475</v>
      </c>
      <c r="C993" s="121" t="str">
        <f t="shared" si="40"/>
        <v>http://www.connecticut.va.gov/contact/phone_directory.asp</v>
      </c>
    </row>
    <row r="994" ht="14.25" hidden="1" customHeight="1">
      <c r="A994" s="8" t="s">
        <v>1963</v>
      </c>
      <c r="B994" s="8" t="s">
        <v>1475</v>
      </c>
      <c r="C994" s="121" t="str">
        <f t="shared" si="40"/>
        <v>http://www.connecticut.va.gov/contact/phone_directory.asp</v>
      </c>
    </row>
    <row r="995" ht="14.25" hidden="1" customHeight="1">
      <c r="A995" s="8" t="s">
        <v>2115</v>
      </c>
      <c r="B995" s="8" t="s">
        <v>1475</v>
      </c>
      <c r="C995" s="121" t="str">
        <f t="shared" si="40"/>
        <v>http://www.connecticut.va.gov/contact/phone_directory.asp</v>
      </c>
    </row>
    <row r="996" ht="14.25" hidden="1" customHeight="1">
      <c r="A996" s="8" t="s">
        <v>2116</v>
      </c>
      <c r="B996" s="8" t="s">
        <v>1475</v>
      </c>
      <c r="C996" s="121" t="str">
        <f t="shared" si="40"/>
        <v>http://www.connecticut.va.gov/contact/phone_directory.asp</v>
      </c>
    </row>
    <row r="997" ht="14.25" hidden="1" customHeight="1">
      <c r="A997" s="8" t="s">
        <v>2117</v>
      </c>
      <c r="B997" s="8" t="s">
        <v>1475</v>
      </c>
      <c r="C997" s="121" t="str">
        <f t="shared" si="40"/>
        <v>http://www.connecticut.va.gov/contact/phone_directory.asp</v>
      </c>
    </row>
    <row r="998" ht="14.25" hidden="1" customHeight="1">
      <c r="A998" s="8" t="s">
        <v>1249</v>
      </c>
      <c r="B998" s="8" t="s">
        <v>1475</v>
      </c>
      <c r="C998" s="121" t="str">
        <f t="shared" si="40"/>
        <v>http://www.connecticut.va.gov/contact/phone_directory.asp</v>
      </c>
    </row>
    <row r="999" ht="14.25" hidden="1" customHeight="1">
      <c r="A999" s="8" t="s">
        <v>2118</v>
      </c>
      <c r="B999" s="8" t="s">
        <v>1475</v>
      </c>
      <c r="C999" s="121" t="str">
        <f t="shared" si="40"/>
        <v>http://www.connecticut.va.gov/contact/phone_directory.asp</v>
      </c>
    </row>
    <row r="1000" ht="14.25" hidden="1" customHeight="1">
      <c r="A1000" s="8" t="s">
        <v>2119</v>
      </c>
      <c r="B1000" s="8" t="s">
        <v>1475</v>
      </c>
      <c r="C1000" s="121" t="str">
        <f t="shared" si="40"/>
        <v>http://www.connecticut.va.gov/contact/phone_directory.asp</v>
      </c>
    </row>
    <row r="1001" ht="14.25" hidden="1" customHeight="1">
      <c r="A1001" s="8" t="s">
        <v>2121</v>
      </c>
      <c r="B1001" s="8" t="s">
        <v>1475</v>
      </c>
      <c r="C1001" s="121" t="str">
        <f t="shared" si="40"/>
        <v>http://www.connecticut.va.gov/contact/phone_directory.asp</v>
      </c>
    </row>
    <row r="1002" ht="14.25" hidden="1" customHeight="1">
      <c r="A1002" s="8" t="s">
        <v>907</v>
      </c>
      <c r="B1002" s="8" t="s">
        <v>1475</v>
      </c>
      <c r="C1002" s="121" t="str">
        <f t="shared" si="40"/>
        <v>http://www.connecticut.va.gov/contact/phone_directory.asp</v>
      </c>
    </row>
    <row r="1003" ht="14.25" hidden="1" customHeight="1">
      <c r="A1003" s="8" t="s">
        <v>2122</v>
      </c>
      <c r="B1003" s="8" t="s">
        <v>1475</v>
      </c>
      <c r="C1003" s="121" t="str">
        <f t="shared" si="40"/>
        <v>http://www.connecticut.va.gov/contact/phone_directory.asp</v>
      </c>
    </row>
    <row r="1004" ht="14.25" hidden="1" customHeight="1">
      <c r="A1004" s="8" t="s">
        <v>2123</v>
      </c>
      <c r="B1004" s="8" t="s">
        <v>1475</v>
      </c>
      <c r="C1004" s="121" t="str">
        <f t="shared" si="40"/>
        <v>http://www.connecticut.va.gov/contact/phone_directory.asp</v>
      </c>
    </row>
    <row r="1005" ht="14.25" hidden="1" customHeight="1">
      <c r="A1005" s="8" t="s">
        <v>2124</v>
      </c>
      <c r="B1005" s="8" t="s">
        <v>1475</v>
      </c>
      <c r="C1005" s="121" t="str">
        <f t="shared" si="40"/>
        <v>http://www.connecticut.va.gov/contact/phone_directory.asp</v>
      </c>
    </row>
    <row r="1006" ht="14.25" hidden="1" customHeight="1">
      <c r="A1006" s="8" t="s">
        <v>2125</v>
      </c>
      <c r="B1006" s="8" t="s">
        <v>1475</v>
      </c>
      <c r="C1006" s="121" t="str">
        <f t="shared" si="40"/>
        <v>http://www.connecticut.va.gov/contact/phone_directory.asp</v>
      </c>
    </row>
    <row r="1007" ht="14.25" hidden="1" customHeight="1">
      <c r="A1007" s="8" t="s">
        <v>2126</v>
      </c>
      <c r="B1007" s="8" t="s">
        <v>1475</v>
      </c>
      <c r="C1007" s="121" t="str">
        <f t="shared" si="40"/>
        <v>http://www.connecticut.va.gov/contact/phone_directory.asp</v>
      </c>
    </row>
    <row r="1008" ht="14.25" hidden="1" customHeight="1">
      <c r="A1008" s="8" t="s">
        <v>2127</v>
      </c>
      <c r="B1008" s="8" t="s">
        <v>1475</v>
      </c>
      <c r="C1008" s="121" t="str">
        <f t="shared" si="40"/>
        <v>http://www.connecticut.va.gov/contact/phone_directory.asp</v>
      </c>
    </row>
    <row r="1009" ht="14.25" hidden="1" customHeight="1">
      <c r="A1009" s="8" t="s">
        <v>2128</v>
      </c>
      <c r="B1009" s="8" t="s">
        <v>1475</v>
      </c>
      <c r="C1009" s="121" t="str">
        <f t="shared" si="40"/>
        <v>http://www.connecticut.va.gov/contact/phone_directory.asp</v>
      </c>
    </row>
    <row r="1010" ht="14.25" hidden="1" customHeight="1">
      <c r="A1010" s="8" t="s">
        <v>2129</v>
      </c>
      <c r="B1010" s="8" t="s">
        <v>1475</v>
      </c>
      <c r="C1010" s="121" t="str">
        <f t="shared" si="40"/>
        <v>http://www.connecticut.va.gov/contact/phone_directory.asp</v>
      </c>
    </row>
    <row r="1011" ht="14.25" hidden="1" customHeight="1">
      <c r="A1011" s="8" t="s">
        <v>963</v>
      </c>
      <c r="B1011" s="8" t="s">
        <v>1475</v>
      </c>
      <c r="C1011" s="121" t="str">
        <f t="shared" si="40"/>
        <v>http://www.connecticut.va.gov/contact/phone_directory.asp</v>
      </c>
    </row>
    <row r="1012" ht="14.25" hidden="1" customHeight="1">
      <c r="A1012" s="8" t="s">
        <v>684</v>
      </c>
      <c r="B1012" s="8" t="s">
        <v>1475</v>
      </c>
      <c r="C1012" s="121" t="str">
        <f t="shared" si="40"/>
        <v>http://www.connecticut.va.gov/contact/phone_directory.asp</v>
      </c>
    </row>
    <row r="1013" ht="14.25" hidden="1" customHeight="1">
      <c r="A1013" s="8" t="s">
        <v>1728</v>
      </c>
      <c r="B1013" s="8" t="s">
        <v>1475</v>
      </c>
      <c r="C1013" s="121" t="str">
        <f t="shared" si="40"/>
        <v>http://www.connecticut.va.gov/contact/phone_directory.asp</v>
      </c>
    </row>
    <row r="1014" ht="14.25" hidden="1" customHeight="1">
      <c r="A1014" s="8" t="s">
        <v>2131</v>
      </c>
      <c r="B1014" s="8" t="s">
        <v>1475</v>
      </c>
      <c r="C1014" s="121" t="str">
        <f t="shared" si="40"/>
        <v>http://www.connecticut.va.gov/contact/phone_directory.asp</v>
      </c>
    </row>
    <row r="1015" ht="14.25" hidden="1" customHeight="1">
      <c r="A1015" s="8" t="s">
        <v>2132</v>
      </c>
      <c r="B1015" s="8" t="s">
        <v>1475</v>
      </c>
      <c r="C1015" s="121" t="str">
        <f t="shared" si="40"/>
        <v>http://www.connecticut.va.gov/contact/phone_directory.asp</v>
      </c>
    </row>
    <row r="1016" ht="14.25" hidden="1" customHeight="1">
      <c r="A1016" s="8" t="s">
        <v>2133</v>
      </c>
      <c r="B1016" s="8" t="s">
        <v>1475</v>
      </c>
      <c r="C1016" s="121" t="str">
        <f t="shared" si="40"/>
        <v>http://www.connecticut.va.gov/contact/phone_directory.asp</v>
      </c>
    </row>
    <row r="1017" ht="14.25" hidden="1" customHeight="1">
      <c r="A1017" s="8" t="s">
        <v>2134</v>
      </c>
      <c r="B1017" s="8" t="s">
        <v>1475</v>
      </c>
      <c r="C1017" s="121" t="str">
        <f t="shared" si="40"/>
        <v>http://www.connecticut.va.gov/contact/phone_directory.asp</v>
      </c>
    </row>
    <row r="1018" ht="14.25" hidden="1" customHeight="1">
      <c r="A1018" s="8" t="s">
        <v>712</v>
      </c>
      <c r="B1018" s="8" t="s">
        <v>1475</v>
      </c>
      <c r="C1018" s="121" t="str">
        <f t="shared" si="40"/>
        <v>http://www.connecticut.va.gov/contact/phone_directory.asp</v>
      </c>
    </row>
    <row r="1019" ht="14.25" hidden="1" customHeight="1">
      <c r="A1019" s="8" t="s">
        <v>2135</v>
      </c>
      <c r="B1019" s="8" t="s">
        <v>1475</v>
      </c>
      <c r="C1019" s="121" t="str">
        <f t="shared" si="40"/>
        <v>http://www.connecticut.va.gov/contact/phone_directory.asp</v>
      </c>
    </row>
    <row r="1020" ht="14.25" hidden="1" customHeight="1">
      <c r="A1020" s="8" t="s">
        <v>2136</v>
      </c>
      <c r="B1020" s="8" t="s">
        <v>1475</v>
      </c>
      <c r="C1020" s="121" t="str">
        <f t="shared" si="40"/>
        <v>http://www.connecticut.va.gov/contact/phone_directory.asp</v>
      </c>
    </row>
    <row r="1021" ht="14.25" hidden="1" customHeight="1">
      <c r="A1021" s="8" t="s">
        <v>2137</v>
      </c>
      <c r="B1021" s="8" t="s">
        <v>1475</v>
      </c>
      <c r="C1021" s="121" t="str">
        <f t="shared" si="40"/>
        <v>http://www.connecticut.va.gov/contact/phone_directory.asp</v>
      </c>
    </row>
    <row r="1022" ht="14.25" hidden="1" customHeight="1">
      <c r="A1022" s="8" t="s">
        <v>518</v>
      </c>
      <c r="B1022" s="8" t="s">
        <v>1475</v>
      </c>
      <c r="C1022" s="121" t="str">
        <f t="shared" si="40"/>
        <v>http://www.connecticut.va.gov/contact/phone_directory.asp</v>
      </c>
    </row>
    <row r="1023" ht="14.25" hidden="1" customHeight="1">
      <c r="A1023" s="8" t="s">
        <v>864</v>
      </c>
      <c r="B1023" s="8" t="s">
        <v>1505</v>
      </c>
      <c r="C1023" s="121" t="str">
        <f t="shared" ref="C1023:C1031" si="41">HYPERLINK("http://www.danville.va.gov/contact/phone_directory.asp")</f>
        <v>http://www.danville.va.gov/contact/phone_directory.asp</v>
      </c>
    </row>
    <row r="1024" ht="14.25" hidden="1" customHeight="1">
      <c r="A1024" s="8" t="s">
        <v>638</v>
      </c>
      <c r="B1024" s="8" t="s">
        <v>1505</v>
      </c>
      <c r="C1024" s="121" t="str">
        <f t="shared" si="41"/>
        <v>http://www.danville.va.gov/contact/phone_directory.asp</v>
      </c>
    </row>
    <row r="1025" ht="14.25" hidden="1" customHeight="1">
      <c r="A1025" s="8" t="s">
        <v>1827</v>
      </c>
      <c r="B1025" s="8" t="s">
        <v>1505</v>
      </c>
      <c r="C1025" s="121" t="str">
        <f t="shared" si="41"/>
        <v>http://www.danville.va.gov/contact/phone_directory.asp</v>
      </c>
    </row>
    <row r="1026" ht="14.25" hidden="1" customHeight="1">
      <c r="A1026" s="8" t="s">
        <v>1626</v>
      </c>
      <c r="B1026" s="8" t="s">
        <v>1505</v>
      </c>
      <c r="C1026" s="121" t="str">
        <f t="shared" si="41"/>
        <v>http://www.danville.va.gov/contact/phone_directory.asp</v>
      </c>
    </row>
    <row r="1027" ht="14.25" hidden="1" customHeight="1">
      <c r="A1027" s="8" t="s">
        <v>907</v>
      </c>
      <c r="B1027" s="8" t="s">
        <v>1505</v>
      </c>
      <c r="C1027" s="121" t="str">
        <f t="shared" si="41"/>
        <v>http://www.danville.va.gov/contact/phone_directory.asp</v>
      </c>
    </row>
    <row r="1028" ht="14.25" hidden="1" customHeight="1">
      <c r="A1028" s="8" t="s">
        <v>2138</v>
      </c>
      <c r="B1028" s="8" t="s">
        <v>1505</v>
      </c>
      <c r="C1028" s="121" t="str">
        <f t="shared" si="41"/>
        <v>http://www.danville.va.gov/contact/phone_directory.asp</v>
      </c>
    </row>
    <row r="1029" ht="14.25" hidden="1" customHeight="1">
      <c r="A1029" s="8" t="s">
        <v>1079</v>
      </c>
      <c r="B1029" s="8" t="s">
        <v>1505</v>
      </c>
      <c r="C1029" s="121" t="str">
        <f t="shared" si="41"/>
        <v>http://www.danville.va.gov/contact/phone_directory.asp</v>
      </c>
    </row>
    <row r="1030" ht="14.25" hidden="1" customHeight="1">
      <c r="A1030" s="8" t="s">
        <v>708</v>
      </c>
      <c r="B1030" s="8" t="s">
        <v>1505</v>
      </c>
      <c r="C1030" s="121" t="str">
        <f t="shared" si="41"/>
        <v>http://www.danville.va.gov/contact/phone_directory.asp</v>
      </c>
    </row>
    <row r="1031" ht="14.25" hidden="1" customHeight="1">
      <c r="A1031" s="8" t="s">
        <v>2141</v>
      </c>
      <c r="B1031" s="8" t="s">
        <v>1505</v>
      </c>
      <c r="C1031" s="121" t="str">
        <f t="shared" si="41"/>
        <v>http://www.danville.va.gov/contact/phone_directory.asp</v>
      </c>
    </row>
    <row r="1032" ht="14.25" hidden="1" customHeight="1">
      <c r="A1032" s="8" t="s">
        <v>2142</v>
      </c>
      <c r="B1032" s="8" t="s">
        <v>1524</v>
      </c>
      <c r="C1032" s="121" t="str">
        <f t="shared" ref="C1032:C1035" si="42">HYPERLINK("http://www.dayton.va.gov/contact/phone_directory.asp")</f>
        <v>http://www.dayton.va.gov/contact/phone_directory.asp</v>
      </c>
    </row>
    <row r="1033" ht="14.25" hidden="1" customHeight="1">
      <c r="A1033" s="8" t="s">
        <v>2144</v>
      </c>
      <c r="B1033" s="8" t="s">
        <v>1524</v>
      </c>
      <c r="C1033" s="121" t="str">
        <f t="shared" si="42"/>
        <v>http://www.dayton.va.gov/contact/phone_directory.asp</v>
      </c>
    </row>
    <row r="1034" ht="14.25" hidden="1" customHeight="1">
      <c r="A1034" s="8" t="s">
        <v>2145</v>
      </c>
      <c r="B1034" s="8" t="s">
        <v>1524</v>
      </c>
      <c r="C1034" s="121" t="str">
        <f t="shared" si="42"/>
        <v>http://www.dayton.va.gov/contact/phone_directory.asp</v>
      </c>
    </row>
    <row r="1035" ht="14.25" hidden="1" customHeight="1">
      <c r="A1035" s="8" t="s">
        <v>2146</v>
      </c>
      <c r="B1035" s="8" t="s">
        <v>1524</v>
      </c>
      <c r="C1035" s="121" t="str">
        <f t="shared" si="42"/>
        <v>http://www.dayton.va.gov/contact/phone_directory.asp</v>
      </c>
    </row>
    <row r="1036" ht="14.25" hidden="1" customHeight="1">
      <c r="A1036" s="8" t="s">
        <v>624</v>
      </c>
      <c r="B1036" s="8" t="s">
        <v>1755</v>
      </c>
      <c r="C1036" s="121" t="str">
        <f t="shared" ref="C1036:C1061" si="43">HYPERLINK("http://www.denver.va.gov/contact/phone_directory.asp")</f>
        <v>http://www.denver.va.gov/contact/phone_directory.asp</v>
      </c>
    </row>
    <row r="1037" ht="14.25" hidden="1" customHeight="1">
      <c r="A1037" s="8" t="s">
        <v>631</v>
      </c>
      <c r="B1037" s="8" t="s">
        <v>1755</v>
      </c>
      <c r="C1037" s="121" t="str">
        <f t="shared" si="43"/>
        <v>http://www.denver.va.gov/contact/phone_directory.asp</v>
      </c>
    </row>
    <row r="1038" ht="14.25" hidden="1" customHeight="1">
      <c r="A1038" s="8" t="s">
        <v>638</v>
      </c>
      <c r="B1038" s="8" t="s">
        <v>1755</v>
      </c>
      <c r="C1038" s="121" t="str">
        <f t="shared" si="43"/>
        <v>http://www.denver.va.gov/contact/phone_directory.asp</v>
      </c>
    </row>
    <row r="1039" ht="14.25" hidden="1" customHeight="1">
      <c r="A1039" s="8" t="s">
        <v>978</v>
      </c>
      <c r="B1039" s="8" t="s">
        <v>1755</v>
      </c>
      <c r="C1039" s="121" t="str">
        <f t="shared" si="43"/>
        <v>http://www.denver.va.gov/contact/phone_directory.asp</v>
      </c>
    </row>
    <row r="1040" ht="14.25" hidden="1" customHeight="1">
      <c r="A1040" s="8" t="s">
        <v>663</v>
      </c>
      <c r="B1040" s="8" t="s">
        <v>1755</v>
      </c>
      <c r="C1040" s="121" t="str">
        <f t="shared" si="43"/>
        <v>http://www.denver.va.gov/contact/phone_directory.asp</v>
      </c>
    </row>
    <row r="1041" ht="14.25" hidden="1" customHeight="1">
      <c r="A1041" s="8" t="s">
        <v>309</v>
      </c>
      <c r="B1041" s="8" t="s">
        <v>1755</v>
      </c>
      <c r="C1041" s="121" t="str">
        <f t="shared" si="43"/>
        <v>http://www.denver.va.gov/contact/phone_directory.asp</v>
      </c>
    </row>
    <row r="1042" ht="14.25" hidden="1" customHeight="1">
      <c r="A1042" s="8" t="s">
        <v>1147</v>
      </c>
      <c r="B1042" s="8" t="s">
        <v>1755</v>
      </c>
      <c r="C1042" s="121" t="str">
        <f t="shared" si="43"/>
        <v>http://www.denver.va.gov/contact/phone_directory.asp</v>
      </c>
    </row>
    <row r="1043" ht="14.25" hidden="1" customHeight="1">
      <c r="A1043" s="8" t="s">
        <v>2149</v>
      </c>
      <c r="B1043" s="8" t="s">
        <v>1755</v>
      </c>
      <c r="C1043" s="121" t="str">
        <f t="shared" si="43"/>
        <v>http://www.denver.va.gov/contact/phone_directory.asp</v>
      </c>
    </row>
    <row r="1044" ht="14.25" hidden="1" customHeight="1">
      <c r="A1044" s="8" t="s">
        <v>2151</v>
      </c>
      <c r="B1044" s="8" t="s">
        <v>1755</v>
      </c>
      <c r="C1044" s="121" t="str">
        <f t="shared" si="43"/>
        <v>http://www.denver.va.gov/contact/phone_directory.asp</v>
      </c>
    </row>
    <row r="1045" ht="14.25" hidden="1" customHeight="1">
      <c r="A1045" s="8" t="s">
        <v>332</v>
      </c>
      <c r="B1045" s="8" t="s">
        <v>1755</v>
      </c>
      <c r="C1045" s="121" t="str">
        <f t="shared" si="43"/>
        <v>http://www.denver.va.gov/contact/phone_directory.asp</v>
      </c>
    </row>
    <row r="1046" ht="14.25" hidden="1" customHeight="1">
      <c r="A1046" s="8" t="s">
        <v>651</v>
      </c>
      <c r="B1046" s="8" t="s">
        <v>1755</v>
      </c>
      <c r="C1046" s="121" t="str">
        <f t="shared" si="43"/>
        <v>http://www.denver.va.gov/contact/phone_directory.asp</v>
      </c>
    </row>
    <row r="1047" ht="14.25" hidden="1" customHeight="1">
      <c r="A1047" s="8" t="s">
        <v>2152</v>
      </c>
      <c r="B1047" s="8" t="s">
        <v>1755</v>
      </c>
      <c r="C1047" s="121" t="str">
        <f t="shared" si="43"/>
        <v>http://www.denver.va.gov/contact/phone_directory.asp</v>
      </c>
    </row>
    <row r="1048" ht="14.25" hidden="1" customHeight="1">
      <c r="A1048" s="8" t="s">
        <v>697</v>
      </c>
      <c r="B1048" s="8" t="s">
        <v>1755</v>
      </c>
      <c r="C1048" s="121" t="str">
        <f t="shared" si="43"/>
        <v>http://www.denver.va.gov/contact/phone_directory.asp</v>
      </c>
    </row>
    <row r="1049" ht="14.25" hidden="1" customHeight="1">
      <c r="A1049" s="8" t="s">
        <v>2154</v>
      </c>
      <c r="B1049" s="8" t="s">
        <v>1755</v>
      </c>
      <c r="C1049" s="121" t="str">
        <f t="shared" si="43"/>
        <v>http://www.denver.va.gov/contact/phone_directory.asp</v>
      </c>
    </row>
    <row r="1050" ht="14.25" hidden="1" customHeight="1">
      <c r="A1050" s="8" t="s">
        <v>2155</v>
      </c>
      <c r="B1050" s="8" t="s">
        <v>1755</v>
      </c>
      <c r="C1050" s="121" t="str">
        <f t="shared" si="43"/>
        <v>http://www.denver.va.gov/contact/phone_directory.asp</v>
      </c>
    </row>
    <row r="1051" ht="14.25" hidden="1" customHeight="1">
      <c r="A1051" s="8" t="s">
        <v>348</v>
      </c>
      <c r="B1051" s="8" t="s">
        <v>1755</v>
      </c>
      <c r="C1051" s="121" t="str">
        <f t="shared" si="43"/>
        <v>http://www.denver.va.gov/contact/phone_directory.asp</v>
      </c>
    </row>
    <row r="1052" ht="14.25" hidden="1" customHeight="1">
      <c r="A1052" s="8" t="s">
        <v>353</v>
      </c>
      <c r="B1052" s="8" t="s">
        <v>1755</v>
      </c>
      <c r="C1052" s="121" t="str">
        <f t="shared" si="43"/>
        <v>http://www.denver.va.gov/contact/phone_directory.asp</v>
      </c>
    </row>
    <row r="1053" ht="14.25" hidden="1" customHeight="1">
      <c r="A1053" s="8" t="s">
        <v>505</v>
      </c>
      <c r="B1053" s="8" t="s">
        <v>1755</v>
      </c>
      <c r="C1053" s="121" t="str">
        <f t="shared" si="43"/>
        <v>http://www.denver.va.gov/contact/phone_directory.asp</v>
      </c>
    </row>
    <row r="1054" ht="14.25" hidden="1" customHeight="1">
      <c r="A1054" s="8" t="s">
        <v>708</v>
      </c>
      <c r="B1054" s="8" t="s">
        <v>1755</v>
      </c>
      <c r="C1054" s="121" t="str">
        <f t="shared" si="43"/>
        <v>http://www.denver.va.gov/contact/phone_directory.asp</v>
      </c>
    </row>
    <row r="1055" ht="14.25" hidden="1" customHeight="1">
      <c r="A1055" s="8" t="s">
        <v>712</v>
      </c>
      <c r="B1055" s="8" t="s">
        <v>1755</v>
      </c>
      <c r="C1055" s="121" t="str">
        <f t="shared" si="43"/>
        <v>http://www.denver.va.gov/contact/phone_directory.asp</v>
      </c>
    </row>
    <row r="1056" ht="14.25" hidden="1" customHeight="1">
      <c r="A1056" s="8" t="s">
        <v>360</v>
      </c>
      <c r="B1056" s="8" t="s">
        <v>1755</v>
      </c>
      <c r="C1056" s="121" t="str">
        <f t="shared" si="43"/>
        <v>http://www.denver.va.gov/contact/phone_directory.asp</v>
      </c>
    </row>
    <row r="1057" ht="14.25" hidden="1" customHeight="1">
      <c r="A1057" s="8" t="s">
        <v>363</v>
      </c>
      <c r="B1057" s="8" t="s">
        <v>1755</v>
      </c>
      <c r="C1057" s="121" t="str">
        <f t="shared" si="43"/>
        <v>http://www.denver.va.gov/contact/phone_directory.asp</v>
      </c>
    </row>
    <row r="1058" ht="14.25" hidden="1" customHeight="1">
      <c r="A1058" s="8" t="s">
        <v>724</v>
      </c>
      <c r="B1058" s="8" t="s">
        <v>1755</v>
      </c>
      <c r="C1058" s="121" t="str">
        <f t="shared" si="43"/>
        <v>http://www.denver.va.gov/contact/phone_directory.asp</v>
      </c>
    </row>
    <row r="1059" ht="14.25" hidden="1" customHeight="1">
      <c r="A1059" s="8" t="s">
        <v>2157</v>
      </c>
      <c r="B1059" s="8" t="s">
        <v>1755</v>
      </c>
      <c r="C1059" s="121" t="str">
        <f t="shared" si="43"/>
        <v>http://www.denver.va.gov/contact/phone_directory.asp</v>
      </c>
    </row>
    <row r="1060" ht="14.25" hidden="1" customHeight="1">
      <c r="A1060" s="8" t="s">
        <v>2158</v>
      </c>
      <c r="B1060" s="8" t="s">
        <v>1755</v>
      </c>
      <c r="C1060" s="121" t="str">
        <f t="shared" si="43"/>
        <v>http://www.denver.va.gov/contact/phone_directory.asp</v>
      </c>
    </row>
    <row r="1061" ht="14.25" hidden="1" customHeight="1">
      <c r="A1061" s="8" t="s">
        <v>741</v>
      </c>
      <c r="B1061" s="8" t="s">
        <v>1755</v>
      </c>
      <c r="C1061" s="121" t="str">
        <f t="shared" si="43"/>
        <v>http://www.denver.va.gov/contact/phone_directory.asp</v>
      </c>
    </row>
    <row r="1062" ht="14.25" hidden="1" customHeight="1">
      <c r="A1062" s="8" t="s">
        <v>624</v>
      </c>
      <c r="B1062" s="8" t="s">
        <v>1823</v>
      </c>
      <c r="C1062" s="121" t="str">
        <f t="shared" ref="C1062:C1101" si="44">HYPERLINK("http://www.dublin.va.gov/contact/phone_directory.asp")</f>
        <v>http://www.dublin.va.gov/contact/phone_directory.asp</v>
      </c>
    </row>
    <row r="1063" ht="14.25" hidden="1" customHeight="1">
      <c r="A1063" s="8" t="s">
        <v>631</v>
      </c>
      <c r="B1063" s="8" t="s">
        <v>1823</v>
      </c>
      <c r="C1063" s="121" t="str">
        <f t="shared" si="44"/>
        <v>http://www.dublin.va.gov/contact/phone_directory.asp</v>
      </c>
    </row>
    <row r="1064" ht="14.25" hidden="1" customHeight="1">
      <c r="A1064" s="8" t="s">
        <v>864</v>
      </c>
      <c r="B1064" s="8" t="s">
        <v>1823</v>
      </c>
      <c r="C1064" s="121" t="str">
        <f t="shared" si="44"/>
        <v>http://www.dublin.va.gov/contact/phone_directory.asp</v>
      </c>
    </row>
    <row r="1065" ht="14.25" hidden="1" customHeight="1">
      <c r="A1065" s="8" t="s">
        <v>638</v>
      </c>
      <c r="B1065" s="8" t="s">
        <v>1823</v>
      </c>
      <c r="C1065" s="121" t="str">
        <f t="shared" si="44"/>
        <v>http://www.dublin.va.gov/contact/phone_directory.asp</v>
      </c>
    </row>
    <row r="1066" ht="14.25" hidden="1" customHeight="1">
      <c r="A1066" s="8" t="s">
        <v>692</v>
      </c>
      <c r="B1066" s="8" t="s">
        <v>1823</v>
      </c>
      <c r="C1066" s="121" t="str">
        <f t="shared" si="44"/>
        <v>http://www.dublin.va.gov/contact/phone_directory.asp</v>
      </c>
    </row>
    <row r="1067" ht="14.25" hidden="1" customHeight="1">
      <c r="A1067" s="8" t="s">
        <v>455</v>
      </c>
      <c r="B1067" s="8" t="s">
        <v>1823</v>
      </c>
      <c r="C1067" s="121" t="str">
        <f t="shared" si="44"/>
        <v>http://www.dublin.va.gov/contact/phone_directory.asp</v>
      </c>
    </row>
    <row r="1068" ht="14.25" hidden="1" customHeight="1">
      <c r="A1068" s="8" t="s">
        <v>2161</v>
      </c>
      <c r="B1068" s="8" t="s">
        <v>1823</v>
      </c>
      <c r="C1068" s="121" t="str">
        <f t="shared" si="44"/>
        <v>http://www.dublin.va.gov/contact/phone_directory.asp</v>
      </c>
    </row>
    <row r="1069" ht="14.25" hidden="1" customHeight="1">
      <c r="A1069" s="8" t="s">
        <v>1963</v>
      </c>
      <c r="B1069" s="8" t="s">
        <v>1823</v>
      </c>
      <c r="C1069" s="121" t="str">
        <f t="shared" si="44"/>
        <v>http://www.dublin.va.gov/contact/phone_directory.asp</v>
      </c>
    </row>
    <row r="1070" ht="14.25" hidden="1" customHeight="1">
      <c r="A1070" s="8" t="s">
        <v>2163</v>
      </c>
      <c r="B1070" s="8" t="s">
        <v>1823</v>
      </c>
      <c r="C1070" s="121" t="str">
        <f t="shared" si="44"/>
        <v>http://www.dublin.va.gov/contact/phone_directory.asp</v>
      </c>
    </row>
    <row r="1071" ht="14.25" hidden="1" customHeight="1">
      <c r="A1071" s="8" t="s">
        <v>1147</v>
      </c>
      <c r="B1071" s="8" t="s">
        <v>1823</v>
      </c>
      <c r="C1071" s="121" t="str">
        <f t="shared" si="44"/>
        <v>http://www.dublin.va.gov/contact/phone_directory.asp</v>
      </c>
    </row>
    <row r="1072" ht="14.25" hidden="1" customHeight="1">
      <c r="A1072" s="8" t="s">
        <v>2165</v>
      </c>
      <c r="B1072" s="8" t="s">
        <v>1823</v>
      </c>
      <c r="C1072" s="121" t="str">
        <f t="shared" si="44"/>
        <v>http://www.dublin.va.gov/contact/phone_directory.asp</v>
      </c>
    </row>
    <row r="1073" ht="14.25" hidden="1" customHeight="1">
      <c r="A1073" s="8" t="s">
        <v>2166</v>
      </c>
      <c r="B1073" s="8" t="s">
        <v>1823</v>
      </c>
      <c r="C1073" s="121" t="str">
        <f t="shared" si="44"/>
        <v>http://www.dublin.va.gov/contact/phone_directory.asp</v>
      </c>
    </row>
    <row r="1074" ht="14.25" hidden="1" customHeight="1">
      <c r="A1074" s="8" t="s">
        <v>2168</v>
      </c>
      <c r="B1074" s="8" t="s">
        <v>1823</v>
      </c>
      <c r="C1074" s="121" t="str">
        <f t="shared" si="44"/>
        <v>http://www.dublin.va.gov/contact/phone_directory.asp</v>
      </c>
    </row>
    <row r="1075" ht="14.25" hidden="1" customHeight="1">
      <c r="A1075" s="8" t="s">
        <v>683</v>
      </c>
      <c r="B1075" s="8" t="s">
        <v>1823</v>
      </c>
      <c r="C1075" s="121" t="str">
        <f t="shared" si="44"/>
        <v>http://www.dublin.va.gov/contact/phone_directory.asp</v>
      </c>
    </row>
    <row r="1076" ht="14.25" hidden="1" customHeight="1">
      <c r="A1076" s="8" t="s">
        <v>2169</v>
      </c>
      <c r="B1076" s="8" t="s">
        <v>1823</v>
      </c>
      <c r="C1076" s="121" t="str">
        <f t="shared" si="44"/>
        <v>http://www.dublin.va.gov/contact/phone_directory.asp</v>
      </c>
    </row>
    <row r="1077" ht="14.25" hidden="1" customHeight="1">
      <c r="A1077" s="8" t="s">
        <v>2170</v>
      </c>
      <c r="B1077" s="8" t="s">
        <v>1823</v>
      </c>
      <c r="C1077" s="121" t="str">
        <f t="shared" si="44"/>
        <v>http://www.dublin.va.gov/contact/phone_directory.asp</v>
      </c>
    </row>
    <row r="1078" ht="14.25" hidden="1" customHeight="1">
      <c r="A1078" s="8" t="s">
        <v>2171</v>
      </c>
      <c r="B1078" s="8" t="s">
        <v>1823</v>
      </c>
      <c r="C1078" s="121" t="str">
        <f t="shared" si="44"/>
        <v>http://www.dublin.va.gov/contact/phone_directory.asp</v>
      </c>
    </row>
    <row r="1079" ht="14.25" hidden="1" customHeight="1">
      <c r="A1079" s="8" t="s">
        <v>1487</v>
      </c>
      <c r="B1079" s="8" t="s">
        <v>1823</v>
      </c>
      <c r="C1079" s="121" t="str">
        <f t="shared" si="44"/>
        <v>http://www.dublin.va.gov/contact/phone_directory.asp</v>
      </c>
    </row>
    <row r="1080" ht="14.25" hidden="1" customHeight="1">
      <c r="A1080" s="8" t="s">
        <v>691</v>
      </c>
      <c r="B1080" s="8" t="s">
        <v>1823</v>
      </c>
      <c r="C1080" s="121" t="str">
        <f t="shared" si="44"/>
        <v>http://www.dublin.va.gov/contact/phone_directory.asp</v>
      </c>
    </row>
    <row r="1081" ht="14.25" hidden="1" customHeight="1">
      <c r="A1081" s="8" t="s">
        <v>2173</v>
      </c>
      <c r="B1081" s="8" t="s">
        <v>1823</v>
      </c>
      <c r="C1081" s="121" t="str">
        <f t="shared" si="44"/>
        <v>http://www.dublin.va.gov/contact/phone_directory.asp</v>
      </c>
    </row>
    <row r="1082" ht="14.25" hidden="1" customHeight="1">
      <c r="A1082" s="8" t="s">
        <v>1655</v>
      </c>
      <c r="B1082" s="8" t="s">
        <v>1823</v>
      </c>
      <c r="C1082" s="121" t="str">
        <f t="shared" si="44"/>
        <v>http://www.dublin.va.gov/contact/phone_directory.asp</v>
      </c>
    </row>
    <row r="1083" ht="14.25" hidden="1" customHeight="1">
      <c r="A1083" s="8" t="s">
        <v>2175</v>
      </c>
      <c r="B1083" s="8" t="s">
        <v>1823</v>
      </c>
      <c r="C1083" s="121" t="str">
        <f t="shared" si="44"/>
        <v>http://www.dublin.va.gov/contact/phone_directory.asp</v>
      </c>
    </row>
    <row r="1084" ht="14.25" hidden="1" customHeight="1">
      <c r="A1084" s="8" t="s">
        <v>907</v>
      </c>
      <c r="B1084" s="8" t="s">
        <v>1823</v>
      </c>
      <c r="C1084" s="121" t="str">
        <f t="shared" si="44"/>
        <v>http://www.dublin.va.gov/contact/phone_directory.asp</v>
      </c>
    </row>
    <row r="1085" ht="14.25" hidden="1" customHeight="1">
      <c r="A1085" s="8" t="s">
        <v>697</v>
      </c>
      <c r="B1085" s="8" t="s">
        <v>1823</v>
      </c>
      <c r="C1085" s="121" t="str">
        <f t="shared" si="44"/>
        <v>http://www.dublin.va.gov/contact/phone_directory.asp</v>
      </c>
    </row>
    <row r="1086" ht="14.25" hidden="1" customHeight="1">
      <c r="A1086" s="8" t="s">
        <v>344</v>
      </c>
      <c r="B1086" s="8" t="s">
        <v>1823</v>
      </c>
      <c r="C1086" s="121" t="str">
        <f t="shared" si="44"/>
        <v>http://www.dublin.va.gov/contact/phone_directory.asp</v>
      </c>
    </row>
    <row r="1087" ht="14.25" hidden="1" customHeight="1">
      <c r="A1087" s="8" t="s">
        <v>778</v>
      </c>
      <c r="B1087" s="8" t="s">
        <v>1823</v>
      </c>
      <c r="C1087" s="121" t="str">
        <f t="shared" si="44"/>
        <v>http://www.dublin.va.gov/contact/phone_directory.asp</v>
      </c>
    </row>
    <row r="1088" ht="14.25" hidden="1" customHeight="1">
      <c r="A1088" s="8" t="s">
        <v>717</v>
      </c>
      <c r="B1088" s="8" t="s">
        <v>1823</v>
      </c>
      <c r="C1088" s="121" t="str">
        <f t="shared" si="44"/>
        <v>http://www.dublin.va.gov/contact/phone_directory.asp</v>
      </c>
    </row>
    <row r="1089" ht="14.25" hidden="1" customHeight="1">
      <c r="A1089" s="8" t="s">
        <v>708</v>
      </c>
      <c r="B1089" s="8" t="s">
        <v>1823</v>
      </c>
      <c r="C1089" s="121" t="str">
        <f t="shared" si="44"/>
        <v>http://www.dublin.va.gov/contact/phone_directory.asp</v>
      </c>
    </row>
    <row r="1090" ht="14.25" hidden="1" customHeight="1">
      <c r="A1090" s="8" t="s">
        <v>1054</v>
      </c>
      <c r="B1090" s="8" t="s">
        <v>1823</v>
      </c>
      <c r="C1090" s="121" t="str">
        <f t="shared" si="44"/>
        <v>http://www.dublin.va.gov/contact/phone_directory.asp</v>
      </c>
    </row>
    <row r="1091" ht="14.25" hidden="1" customHeight="1">
      <c r="A1091" s="8" t="s">
        <v>712</v>
      </c>
      <c r="B1091" s="8" t="s">
        <v>1823</v>
      </c>
      <c r="C1091" s="121" t="str">
        <f t="shared" si="44"/>
        <v>http://www.dublin.va.gov/contact/phone_directory.asp</v>
      </c>
    </row>
    <row r="1092" ht="14.25" hidden="1" customHeight="1">
      <c r="A1092" s="8" t="s">
        <v>2176</v>
      </c>
      <c r="B1092" s="8" t="s">
        <v>1823</v>
      </c>
      <c r="C1092" s="121" t="str">
        <f t="shared" si="44"/>
        <v>http://www.dublin.va.gov/contact/phone_directory.asp</v>
      </c>
    </row>
    <row r="1093" ht="14.25" hidden="1" customHeight="1">
      <c r="A1093" s="8" t="s">
        <v>731</v>
      </c>
      <c r="B1093" s="8" t="s">
        <v>1823</v>
      </c>
      <c r="C1093" s="121" t="str">
        <f t="shared" si="44"/>
        <v>http://www.dublin.va.gov/contact/phone_directory.asp</v>
      </c>
    </row>
    <row r="1094" ht="14.25" hidden="1" customHeight="1">
      <c r="A1094" s="8" t="s">
        <v>564</v>
      </c>
      <c r="B1094" s="8" t="s">
        <v>1823</v>
      </c>
      <c r="C1094" s="121" t="str">
        <f t="shared" si="44"/>
        <v>http://www.dublin.va.gov/contact/phone_directory.asp</v>
      </c>
    </row>
    <row r="1095" ht="14.25" hidden="1" customHeight="1">
      <c r="A1095" s="8" t="s">
        <v>722</v>
      </c>
      <c r="B1095" s="8" t="s">
        <v>1823</v>
      </c>
      <c r="C1095" s="121" t="str">
        <f t="shared" si="44"/>
        <v>http://www.dublin.va.gov/contact/phone_directory.asp</v>
      </c>
    </row>
    <row r="1096" ht="14.25" hidden="1" customHeight="1">
      <c r="A1096" s="8" t="s">
        <v>724</v>
      </c>
      <c r="B1096" s="8" t="s">
        <v>1823</v>
      </c>
      <c r="C1096" s="121" t="str">
        <f t="shared" si="44"/>
        <v>http://www.dublin.va.gov/contact/phone_directory.asp</v>
      </c>
    </row>
    <row r="1097" ht="14.25" hidden="1" customHeight="1">
      <c r="A1097" s="8" t="s">
        <v>2177</v>
      </c>
      <c r="B1097" s="8" t="s">
        <v>1823</v>
      </c>
      <c r="C1097" s="121" t="str">
        <f t="shared" si="44"/>
        <v>http://www.dublin.va.gov/contact/phone_directory.asp</v>
      </c>
    </row>
    <row r="1098" ht="14.25" hidden="1" customHeight="1">
      <c r="A1098" s="8" t="s">
        <v>2178</v>
      </c>
      <c r="B1098" s="8" t="s">
        <v>1823</v>
      </c>
      <c r="C1098" s="121" t="str">
        <f t="shared" si="44"/>
        <v>http://www.dublin.va.gov/contact/phone_directory.asp</v>
      </c>
    </row>
    <row r="1099" ht="14.25" hidden="1" customHeight="1">
      <c r="A1099" s="8" t="s">
        <v>1738</v>
      </c>
      <c r="B1099" s="8" t="s">
        <v>1823</v>
      </c>
      <c r="C1099" s="121" t="str">
        <f t="shared" si="44"/>
        <v>http://www.dublin.va.gov/contact/phone_directory.asp</v>
      </c>
    </row>
    <row r="1100" ht="14.25" hidden="1" customHeight="1">
      <c r="A1100" s="8" t="s">
        <v>518</v>
      </c>
      <c r="B1100" s="8" t="s">
        <v>1823</v>
      </c>
      <c r="C1100" s="121" t="str">
        <f t="shared" si="44"/>
        <v>http://www.dublin.va.gov/contact/phone_directory.asp</v>
      </c>
    </row>
    <row r="1101" ht="14.25" hidden="1" customHeight="1">
      <c r="A1101" s="8" t="s">
        <v>2179</v>
      </c>
      <c r="B1101" s="8" t="s">
        <v>1823</v>
      </c>
      <c r="C1101" s="121" t="str">
        <f t="shared" si="44"/>
        <v>http://www.dublin.va.gov/contact/phone_directory.asp</v>
      </c>
    </row>
    <row r="1102" ht="14.25" hidden="1" customHeight="1">
      <c r="A1102" s="8" t="s">
        <v>624</v>
      </c>
      <c r="B1102" s="8" t="s">
        <v>1831</v>
      </c>
      <c r="C1102" s="121" t="str">
        <f t="shared" ref="C1102:C1177" si="45">HYPERLINK("http://www.durham.va.gov/contact/phone_directory.asp")</f>
        <v>http://www.durham.va.gov/contact/phone_directory.asp</v>
      </c>
    </row>
    <row r="1103" ht="14.25" hidden="1" customHeight="1">
      <c r="A1103" s="8" t="s">
        <v>828</v>
      </c>
      <c r="B1103" s="8" t="s">
        <v>1831</v>
      </c>
      <c r="C1103" s="121" t="str">
        <f t="shared" si="45"/>
        <v>http://www.durham.va.gov/contact/phone_directory.asp</v>
      </c>
    </row>
    <row r="1104" ht="14.25" hidden="1" customHeight="1">
      <c r="A1104" s="8" t="s">
        <v>2182</v>
      </c>
      <c r="B1104" s="8" t="s">
        <v>1831</v>
      </c>
      <c r="C1104" s="121" t="str">
        <f t="shared" si="45"/>
        <v>http://www.durham.va.gov/contact/phone_directory.asp</v>
      </c>
    </row>
    <row r="1105" ht="14.25" hidden="1" customHeight="1">
      <c r="A1105" s="8" t="s">
        <v>2184</v>
      </c>
      <c r="B1105" s="8" t="s">
        <v>1831</v>
      </c>
      <c r="C1105" s="121" t="str">
        <f t="shared" si="45"/>
        <v>http://www.durham.va.gov/contact/phone_directory.asp</v>
      </c>
    </row>
    <row r="1106" ht="14.25" hidden="1" customHeight="1">
      <c r="A1106" s="8" t="s">
        <v>414</v>
      </c>
      <c r="B1106" s="8" t="s">
        <v>1831</v>
      </c>
      <c r="C1106" s="121" t="str">
        <f t="shared" si="45"/>
        <v>http://www.durham.va.gov/contact/phone_directory.asp</v>
      </c>
    </row>
    <row r="1107" ht="14.25" hidden="1" customHeight="1">
      <c r="A1107" s="8" t="s">
        <v>638</v>
      </c>
      <c r="B1107" s="8" t="s">
        <v>1831</v>
      </c>
      <c r="C1107" s="121" t="str">
        <f t="shared" si="45"/>
        <v>http://www.durham.va.gov/contact/phone_directory.asp</v>
      </c>
    </row>
    <row r="1108" ht="14.25" hidden="1" customHeight="1">
      <c r="A1108" s="8" t="s">
        <v>478</v>
      </c>
      <c r="B1108" s="8" t="s">
        <v>1831</v>
      </c>
      <c r="C1108" s="121" t="str">
        <f t="shared" si="45"/>
        <v>http://www.durham.va.gov/contact/phone_directory.asp</v>
      </c>
    </row>
    <row r="1109" ht="14.25" hidden="1" customHeight="1">
      <c r="A1109" s="8" t="s">
        <v>482</v>
      </c>
      <c r="B1109" s="8" t="s">
        <v>1831</v>
      </c>
      <c r="C1109" s="121" t="str">
        <f t="shared" si="45"/>
        <v>http://www.durham.va.gov/contact/phone_directory.asp</v>
      </c>
    </row>
    <row r="1110" ht="14.25" hidden="1" customHeight="1">
      <c r="A1110" s="8" t="s">
        <v>455</v>
      </c>
      <c r="B1110" s="8" t="s">
        <v>1831</v>
      </c>
      <c r="C1110" s="121" t="str">
        <f t="shared" si="45"/>
        <v>http://www.durham.va.gov/contact/phone_directory.asp</v>
      </c>
    </row>
    <row r="1111" ht="14.25" hidden="1" customHeight="1">
      <c r="A1111" s="8" t="s">
        <v>483</v>
      </c>
      <c r="B1111" s="8" t="s">
        <v>1831</v>
      </c>
      <c r="C1111" s="121" t="str">
        <f t="shared" si="45"/>
        <v>http://www.durham.va.gov/contact/phone_directory.asp</v>
      </c>
    </row>
    <row r="1112" ht="14.25" hidden="1" customHeight="1">
      <c r="A1112" s="8" t="s">
        <v>304</v>
      </c>
      <c r="B1112" s="8" t="s">
        <v>1831</v>
      </c>
      <c r="C1112" s="121" t="str">
        <f t="shared" si="45"/>
        <v>http://www.durham.va.gov/contact/phone_directory.asp</v>
      </c>
    </row>
    <row r="1113" ht="14.25" hidden="1" customHeight="1">
      <c r="A1113" s="8" t="s">
        <v>517</v>
      </c>
      <c r="B1113" s="8" t="s">
        <v>1831</v>
      </c>
      <c r="C1113" s="121" t="str">
        <f t="shared" si="45"/>
        <v>http://www.durham.va.gov/contact/phone_directory.asp</v>
      </c>
    </row>
    <row r="1114" ht="14.25" hidden="1" customHeight="1">
      <c r="A1114" s="8" t="s">
        <v>2185</v>
      </c>
      <c r="B1114" s="8" t="s">
        <v>1831</v>
      </c>
      <c r="C1114" s="121" t="str">
        <f t="shared" si="45"/>
        <v>http://www.durham.va.gov/contact/phone_directory.asp</v>
      </c>
    </row>
    <row r="1115" ht="14.25" hidden="1" customHeight="1">
      <c r="A1115" s="8" t="s">
        <v>2186</v>
      </c>
      <c r="B1115" s="8" t="s">
        <v>1831</v>
      </c>
      <c r="C1115" s="121" t="str">
        <f t="shared" si="45"/>
        <v>http://www.durham.va.gov/contact/phone_directory.asp</v>
      </c>
    </row>
    <row r="1116" ht="14.25" hidden="1" customHeight="1">
      <c r="A1116" s="8" t="s">
        <v>2188</v>
      </c>
      <c r="B1116" s="8" t="s">
        <v>1831</v>
      </c>
      <c r="C1116" s="121" t="str">
        <f t="shared" si="45"/>
        <v>http://www.durham.va.gov/contact/phone_directory.asp</v>
      </c>
    </row>
    <row r="1117" ht="14.25" hidden="1" customHeight="1">
      <c r="A1117" s="8" t="s">
        <v>2189</v>
      </c>
      <c r="B1117" s="8" t="s">
        <v>1831</v>
      </c>
      <c r="C1117" s="121" t="str">
        <f t="shared" si="45"/>
        <v>http://www.durham.va.gov/contact/phone_directory.asp</v>
      </c>
    </row>
    <row r="1118" ht="14.25" hidden="1" customHeight="1">
      <c r="A1118" s="8" t="s">
        <v>663</v>
      </c>
      <c r="B1118" s="8" t="s">
        <v>1831</v>
      </c>
      <c r="C1118" s="121" t="str">
        <f t="shared" si="45"/>
        <v>http://www.durham.va.gov/contact/phone_directory.asp</v>
      </c>
    </row>
    <row r="1119" ht="14.25" hidden="1" customHeight="1">
      <c r="A1119" s="8" t="s">
        <v>308</v>
      </c>
      <c r="B1119" s="8" t="s">
        <v>1831</v>
      </c>
      <c r="C1119" s="121" t="str">
        <f t="shared" si="45"/>
        <v>http://www.durham.va.gov/contact/phone_directory.asp</v>
      </c>
    </row>
    <row r="1120" ht="14.25" hidden="1" customHeight="1">
      <c r="A1120" s="8" t="s">
        <v>2191</v>
      </c>
      <c r="B1120" s="8" t="s">
        <v>1831</v>
      </c>
      <c r="C1120" s="121" t="str">
        <f t="shared" si="45"/>
        <v>http://www.durham.va.gov/contact/phone_directory.asp</v>
      </c>
    </row>
    <row r="1121" ht="14.25" hidden="1" customHeight="1">
      <c r="A1121" s="8" t="s">
        <v>719</v>
      </c>
      <c r="B1121" s="8" t="s">
        <v>1831</v>
      </c>
      <c r="C1121" s="121" t="str">
        <f t="shared" si="45"/>
        <v>http://www.durham.va.gov/contact/phone_directory.asp</v>
      </c>
    </row>
    <row r="1122" ht="14.25" hidden="1" customHeight="1">
      <c r="A1122" s="8" t="s">
        <v>674</v>
      </c>
      <c r="B1122" s="8" t="s">
        <v>1831</v>
      </c>
      <c r="C1122" s="121" t="str">
        <f t="shared" si="45"/>
        <v>http://www.durham.va.gov/contact/phone_directory.asp</v>
      </c>
    </row>
    <row r="1123" ht="14.25" hidden="1" customHeight="1">
      <c r="A1123" s="8" t="s">
        <v>2193</v>
      </c>
      <c r="B1123" s="8" t="s">
        <v>1831</v>
      </c>
      <c r="C1123" s="121" t="str">
        <f t="shared" si="45"/>
        <v>http://www.durham.va.gov/contact/phone_directory.asp</v>
      </c>
    </row>
    <row r="1124" ht="14.25" hidden="1" customHeight="1">
      <c r="A1124" s="8" t="s">
        <v>2194</v>
      </c>
      <c r="B1124" s="8" t="s">
        <v>1831</v>
      </c>
      <c r="C1124" s="121" t="str">
        <f t="shared" si="45"/>
        <v>http://www.durham.va.gov/contact/phone_directory.asp</v>
      </c>
    </row>
    <row r="1125" ht="14.25" hidden="1" customHeight="1">
      <c r="A1125" s="8" t="s">
        <v>2195</v>
      </c>
      <c r="B1125" s="8" t="s">
        <v>1831</v>
      </c>
      <c r="C1125" s="121" t="str">
        <f t="shared" si="45"/>
        <v>http://www.durham.va.gov/contact/phone_directory.asp</v>
      </c>
    </row>
    <row r="1126" ht="14.25" hidden="1" customHeight="1">
      <c r="A1126" s="8" t="s">
        <v>560</v>
      </c>
      <c r="B1126" s="8" t="s">
        <v>1831</v>
      </c>
      <c r="C1126" s="121" t="str">
        <f t="shared" si="45"/>
        <v>http://www.durham.va.gov/contact/phone_directory.asp</v>
      </c>
    </row>
    <row r="1127" ht="14.25" hidden="1" customHeight="1">
      <c r="A1127" s="8" t="s">
        <v>431</v>
      </c>
      <c r="B1127" s="8" t="s">
        <v>1831</v>
      </c>
      <c r="C1127" s="121" t="str">
        <f t="shared" si="45"/>
        <v>http://www.durham.va.gov/contact/phone_directory.asp</v>
      </c>
    </row>
    <row r="1128" ht="14.25" hidden="1" customHeight="1">
      <c r="A1128" s="8" t="s">
        <v>2196</v>
      </c>
      <c r="B1128" s="8" t="s">
        <v>1831</v>
      </c>
      <c r="C1128" s="121" t="str">
        <f t="shared" si="45"/>
        <v>http://www.durham.va.gov/contact/phone_directory.asp</v>
      </c>
    </row>
    <row r="1129" ht="14.25" hidden="1" customHeight="1">
      <c r="A1129" s="8" t="s">
        <v>2085</v>
      </c>
      <c r="B1129" s="8" t="s">
        <v>1831</v>
      </c>
      <c r="C1129" s="121" t="str">
        <f t="shared" si="45"/>
        <v>http://www.durham.va.gov/contact/phone_directory.asp</v>
      </c>
    </row>
    <row r="1130" ht="14.25" hidden="1" customHeight="1">
      <c r="A1130" s="8" t="s">
        <v>2197</v>
      </c>
      <c r="B1130" s="8" t="s">
        <v>1831</v>
      </c>
      <c r="C1130" s="121" t="str">
        <f t="shared" si="45"/>
        <v>http://www.durham.va.gov/contact/phone_directory.asp</v>
      </c>
    </row>
    <row r="1131" ht="14.25" hidden="1" customHeight="1">
      <c r="A1131" s="8" t="s">
        <v>2198</v>
      </c>
      <c r="B1131" s="8" t="s">
        <v>1831</v>
      </c>
      <c r="C1131" s="121" t="str">
        <f t="shared" si="45"/>
        <v>http://www.durham.va.gov/contact/phone_directory.asp</v>
      </c>
    </row>
    <row r="1132" ht="14.25" hidden="1" customHeight="1">
      <c r="A1132" s="8" t="s">
        <v>2199</v>
      </c>
      <c r="B1132" s="8" t="s">
        <v>1831</v>
      </c>
      <c r="C1132" s="121" t="str">
        <f t="shared" si="45"/>
        <v>http://www.durham.va.gov/contact/phone_directory.asp</v>
      </c>
    </row>
    <row r="1133" ht="14.25" hidden="1" customHeight="1">
      <c r="A1133" s="8" t="s">
        <v>683</v>
      </c>
      <c r="B1133" s="8" t="s">
        <v>1831</v>
      </c>
      <c r="C1133" s="121" t="str">
        <f t="shared" si="45"/>
        <v>http://www.durham.va.gov/contact/phone_directory.asp</v>
      </c>
    </row>
    <row r="1134" ht="14.25" hidden="1" customHeight="1">
      <c r="A1134" s="8" t="s">
        <v>2200</v>
      </c>
      <c r="B1134" s="8" t="s">
        <v>1831</v>
      </c>
      <c r="C1134" s="121" t="str">
        <f t="shared" si="45"/>
        <v>http://www.durham.va.gov/contact/phone_directory.asp</v>
      </c>
    </row>
    <row r="1135" ht="14.25" hidden="1" customHeight="1">
      <c r="A1135" s="8" t="s">
        <v>2201</v>
      </c>
      <c r="B1135" s="8" t="s">
        <v>1831</v>
      </c>
      <c r="C1135" s="121" t="str">
        <f t="shared" si="45"/>
        <v>http://www.durham.va.gov/contact/phone_directory.asp</v>
      </c>
    </row>
    <row r="1136" ht="14.25" hidden="1" customHeight="1">
      <c r="A1136" s="8" t="s">
        <v>2202</v>
      </c>
      <c r="B1136" s="8" t="s">
        <v>1831</v>
      </c>
      <c r="C1136" s="121" t="str">
        <f t="shared" si="45"/>
        <v>http://www.durham.va.gov/contact/phone_directory.asp</v>
      </c>
    </row>
    <row r="1137" ht="14.25" hidden="1" customHeight="1">
      <c r="A1137" s="8" t="s">
        <v>707</v>
      </c>
      <c r="B1137" s="8" t="s">
        <v>1831</v>
      </c>
      <c r="C1137" s="121" t="str">
        <f t="shared" si="45"/>
        <v>http://www.durham.va.gov/contact/phone_directory.asp</v>
      </c>
    </row>
    <row r="1138" ht="14.25" hidden="1" customHeight="1">
      <c r="A1138" s="8" t="s">
        <v>2203</v>
      </c>
      <c r="B1138" s="8" t="s">
        <v>1831</v>
      </c>
      <c r="C1138" s="121" t="str">
        <f t="shared" si="45"/>
        <v>http://www.durham.va.gov/contact/phone_directory.asp</v>
      </c>
    </row>
    <row r="1139" ht="14.25" hidden="1" customHeight="1">
      <c r="A1139" s="8" t="s">
        <v>1172</v>
      </c>
      <c r="B1139" s="8" t="s">
        <v>1831</v>
      </c>
      <c r="C1139" s="121" t="str">
        <f t="shared" si="45"/>
        <v>http://www.durham.va.gov/contact/phone_directory.asp</v>
      </c>
    </row>
    <row r="1140" ht="14.25" hidden="1" customHeight="1">
      <c r="A1140" s="8" t="s">
        <v>2205</v>
      </c>
      <c r="B1140" s="8" t="s">
        <v>1831</v>
      </c>
      <c r="C1140" s="121" t="str">
        <f t="shared" si="45"/>
        <v>http://www.durham.va.gov/contact/phone_directory.asp</v>
      </c>
    </row>
    <row r="1141" ht="14.25" hidden="1" customHeight="1">
      <c r="A1141" s="8" t="s">
        <v>691</v>
      </c>
      <c r="B1141" s="8" t="s">
        <v>1831</v>
      </c>
      <c r="C1141" s="121" t="str">
        <f t="shared" si="45"/>
        <v>http://www.durham.va.gov/contact/phone_directory.asp</v>
      </c>
    </row>
    <row r="1142" ht="14.25" hidden="1" customHeight="1">
      <c r="A1142" s="8" t="s">
        <v>2206</v>
      </c>
      <c r="B1142" s="8" t="s">
        <v>1831</v>
      </c>
      <c r="C1142" s="121" t="str">
        <f t="shared" si="45"/>
        <v>http://www.durham.va.gov/contact/phone_directory.asp</v>
      </c>
    </row>
    <row r="1143" ht="14.25" hidden="1" customHeight="1">
      <c r="A1143" s="8" t="s">
        <v>356</v>
      </c>
      <c r="B1143" s="8" t="s">
        <v>1831</v>
      </c>
      <c r="C1143" s="121" t="str">
        <f t="shared" si="45"/>
        <v>http://www.durham.va.gov/contact/phone_directory.asp</v>
      </c>
    </row>
    <row r="1144" ht="14.25" hidden="1" customHeight="1">
      <c r="A1144" s="8" t="s">
        <v>1721</v>
      </c>
      <c r="B1144" s="8" t="s">
        <v>1831</v>
      </c>
      <c r="C1144" s="121" t="str">
        <f t="shared" si="45"/>
        <v>http://www.durham.va.gov/contact/phone_directory.asp</v>
      </c>
    </row>
    <row r="1145" ht="14.25" hidden="1" customHeight="1">
      <c r="A1145" s="8" t="s">
        <v>338</v>
      </c>
      <c r="B1145" s="8" t="s">
        <v>1831</v>
      </c>
      <c r="C1145" s="121" t="str">
        <f t="shared" si="45"/>
        <v>http://www.durham.va.gov/contact/phone_directory.asp</v>
      </c>
    </row>
    <row r="1146" ht="14.25" hidden="1" customHeight="1">
      <c r="A1146" s="8" t="s">
        <v>1974</v>
      </c>
      <c r="B1146" s="8" t="s">
        <v>1831</v>
      </c>
      <c r="C1146" s="121" t="str">
        <f t="shared" si="45"/>
        <v>http://www.durham.va.gov/contact/phone_directory.asp</v>
      </c>
    </row>
    <row r="1147" ht="14.25" hidden="1" customHeight="1">
      <c r="A1147" s="8" t="s">
        <v>2065</v>
      </c>
      <c r="B1147" s="8" t="s">
        <v>1831</v>
      </c>
      <c r="C1147" s="121" t="str">
        <f t="shared" si="45"/>
        <v>http://www.durham.va.gov/contact/phone_directory.asp</v>
      </c>
    </row>
    <row r="1148" ht="14.25" hidden="1" customHeight="1">
      <c r="A1148" s="8" t="s">
        <v>697</v>
      </c>
      <c r="B1148" s="8" t="s">
        <v>1831</v>
      </c>
      <c r="C1148" s="121" t="str">
        <f t="shared" si="45"/>
        <v>http://www.durham.va.gov/contact/phone_directory.asp</v>
      </c>
    </row>
    <row r="1149" ht="14.25" hidden="1" customHeight="1">
      <c r="A1149" s="8" t="s">
        <v>1689</v>
      </c>
      <c r="B1149" s="8" t="s">
        <v>1831</v>
      </c>
      <c r="C1149" s="121" t="str">
        <f t="shared" si="45"/>
        <v>http://www.durham.va.gov/contact/phone_directory.asp</v>
      </c>
    </row>
    <row r="1150" ht="14.25" hidden="1" customHeight="1">
      <c r="A1150" s="8" t="s">
        <v>1427</v>
      </c>
      <c r="B1150" s="8" t="s">
        <v>1831</v>
      </c>
      <c r="C1150" s="121" t="str">
        <f t="shared" si="45"/>
        <v>http://www.durham.va.gov/contact/phone_directory.asp</v>
      </c>
    </row>
    <row r="1151" ht="14.25" hidden="1" customHeight="1">
      <c r="A1151" s="8" t="s">
        <v>450</v>
      </c>
      <c r="B1151" s="8" t="s">
        <v>1831</v>
      </c>
      <c r="C1151" s="121" t="str">
        <f t="shared" si="45"/>
        <v>http://www.durham.va.gov/contact/phone_directory.asp</v>
      </c>
    </row>
    <row r="1152" ht="14.25" hidden="1" customHeight="1">
      <c r="A1152" s="8" t="s">
        <v>2213</v>
      </c>
      <c r="B1152" s="8" t="s">
        <v>1831</v>
      </c>
      <c r="C1152" s="121" t="str">
        <f t="shared" si="45"/>
        <v>http://www.durham.va.gov/contact/phone_directory.asp</v>
      </c>
    </row>
    <row r="1153" ht="14.25" hidden="1" customHeight="1">
      <c r="A1153" s="8" t="s">
        <v>353</v>
      </c>
      <c r="B1153" s="8" t="s">
        <v>1831</v>
      </c>
      <c r="C1153" s="121" t="str">
        <f t="shared" si="45"/>
        <v>http://www.durham.va.gov/contact/phone_directory.asp</v>
      </c>
    </row>
    <row r="1154" ht="14.25" hidden="1" customHeight="1">
      <c r="A1154" s="8" t="s">
        <v>2215</v>
      </c>
      <c r="B1154" s="8" t="s">
        <v>1831</v>
      </c>
      <c r="C1154" s="121" t="str">
        <f t="shared" si="45"/>
        <v>http://www.durham.va.gov/contact/phone_directory.asp</v>
      </c>
    </row>
    <row r="1155" ht="14.25" hidden="1" customHeight="1">
      <c r="A1155" s="8" t="s">
        <v>2216</v>
      </c>
      <c r="B1155" s="8" t="s">
        <v>1831</v>
      </c>
      <c r="C1155" s="121" t="str">
        <f t="shared" si="45"/>
        <v>http://www.durham.va.gov/contact/phone_directory.asp</v>
      </c>
    </row>
    <row r="1156" ht="14.25" hidden="1" customHeight="1">
      <c r="A1156" s="8" t="s">
        <v>2217</v>
      </c>
      <c r="B1156" s="8" t="s">
        <v>1831</v>
      </c>
      <c r="C1156" s="121" t="str">
        <f t="shared" si="45"/>
        <v>http://www.durham.va.gov/contact/phone_directory.asp</v>
      </c>
    </row>
    <row r="1157" ht="14.25" hidden="1" customHeight="1">
      <c r="A1157" s="8" t="s">
        <v>504</v>
      </c>
      <c r="B1157" s="8" t="s">
        <v>1831</v>
      </c>
      <c r="C1157" s="121" t="str">
        <f t="shared" si="45"/>
        <v>http://www.durham.va.gov/contact/phone_directory.asp</v>
      </c>
    </row>
    <row r="1158" ht="14.25" hidden="1" customHeight="1">
      <c r="A1158" s="8" t="s">
        <v>791</v>
      </c>
      <c r="B1158" s="8" t="s">
        <v>1831</v>
      </c>
      <c r="C1158" s="121" t="str">
        <f t="shared" si="45"/>
        <v>http://www.durham.va.gov/contact/phone_directory.asp</v>
      </c>
    </row>
    <row r="1159" ht="14.25" hidden="1" customHeight="1">
      <c r="A1159" s="8" t="s">
        <v>717</v>
      </c>
      <c r="B1159" s="8" t="s">
        <v>1831</v>
      </c>
      <c r="C1159" s="121" t="str">
        <f t="shared" si="45"/>
        <v>http://www.durham.va.gov/contact/phone_directory.asp</v>
      </c>
    </row>
    <row r="1160" ht="14.25" hidden="1" customHeight="1">
      <c r="A1160" s="8" t="s">
        <v>2219</v>
      </c>
      <c r="B1160" s="8" t="s">
        <v>1831</v>
      </c>
      <c r="C1160" s="121" t="str">
        <f t="shared" si="45"/>
        <v>http://www.durham.va.gov/contact/phone_directory.asp</v>
      </c>
    </row>
    <row r="1161" ht="14.25" hidden="1" customHeight="1">
      <c r="A1161" s="8" t="s">
        <v>708</v>
      </c>
      <c r="B1161" s="8" t="s">
        <v>1831</v>
      </c>
      <c r="C1161" s="121" t="str">
        <f t="shared" si="45"/>
        <v>http://www.durham.va.gov/contact/phone_directory.asp</v>
      </c>
    </row>
    <row r="1162" ht="14.25" hidden="1" customHeight="1">
      <c r="A1162" s="8" t="s">
        <v>1730</v>
      </c>
      <c r="B1162" s="8" t="s">
        <v>1831</v>
      </c>
      <c r="C1162" s="121" t="str">
        <f t="shared" si="45"/>
        <v>http://www.durham.va.gov/contact/phone_directory.asp</v>
      </c>
    </row>
    <row r="1163" ht="14.25" hidden="1" customHeight="1">
      <c r="A1163" s="8" t="s">
        <v>1171</v>
      </c>
      <c r="B1163" s="8" t="s">
        <v>1831</v>
      </c>
      <c r="C1163" s="121" t="str">
        <f t="shared" si="45"/>
        <v>http://www.durham.va.gov/contact/phone_directory.asp</v>
      </c>
    </row>
    <row r="1164" ht="14.25" hidden="1" customHeight="1">
      <c r="A1164" s="8" t="s">
        <v>2221</v>
      </c>
      <c r="B1164" s="8" t="s">
        <v>1831</v>
      </c>
      <c r="C1164" s="121" t="str">
        <f t="shared" si="45"/>
        <v>http://www.durham.va.gov/contact/phone_directory.asp</v>
      </c>
    </row>
    <row r="1165" ht="14.25" hidden="1" customHeight="1">
      <c r="A1165" s="8" t="s">
        <v>712</v>
      </c>
      <c r="B1165" s="8" t="s">
        <v>1831</v>
      </c>
      <c r="C1165" s="121" t="str">
        <f t="shared" si="45"/>
        <v>http://www.durham.va.gov/contact/phone_directory.asp</v>
      </c>
    </row>
    <row r="1166" ht="14.25" hidden="1" customHeight="1">
      <c r="A1166" s="8" t="s">
        <v>2222</v>
      </c>
      <c r="B1166" s="8" t="s">
        <v>1831</v>
      </c>
      <c r="C1166" s="121" t="str">
        <f t="shared" si="45"/>
        <v>http://www.durham.va.gov/contact/phone_directory.asp</v>
      </c>
    </row>
    <row r="1167" ht="14.25" hidden="1" customHeight="1">
      <c r="A1167" s="8" t="s">
        <v>2224</v>
      </c>
      <c r="B1167" s="8" t="s">
        <v>1831</v>
      </c>
      <c r="C1167" s="121" t="str">
        <f t="shared" si="45"/>
        <v>http://www.durham.va.gov/contact/phone_directory.asp</v>
      </c>
    </row>
    <row r="1168" ht="14.25" hidden="1" customHeight="1">
      <c r="A1168" s="8" t="s">
        <v>360</v>
      </c>
      <c r="B1168" s="8" t="s">
        <v>1831</v>
      </c>
      <c r="C1168" s="121" t="str">
        <f t="shared" si="45"/>
        <v>http://www.durham.va.gov/contact/phone_directory.asp</v>
      </c>
    </row>
    <row r="1169" ht="14.25" hidden="1" customHeight="1">
      <c r="A1169" s="8" t="s">
        <v>1180</v>
      </c>
      <c r="B1169" s="8" t="s">
        <v>1831</v>
      </c>
      <c r="C1169" s="121" t="str">
        <f t="shared" si="45"/>
        <v>http://www.durham.va.gov/contact/phone_directory.asp</v>
      </c>
    </row>
    <row r="1170" ht="14.25" hidden="1" customHeight="1">
      <c r="A1170" s="8" t="s">
        <v>564</v>
      </c>
      <c r="B1170" s="8" t="s">
        <v>1831</v>
      </c>
      <c r="C1170" s="121" t="str">
        <f t="shared" si="45"/>
        <v>http://www.durham.va.gov/contact/phone_directory.asp</v>
      </c>
    </row>
    <row r="1171" ht="14.25" hidden="1" customHeight="1">
      <c r="A1171" s="8" t="s">
        <v>1431</v>
      </c>
      <c r="B1171" s="8" t="s">
        <v>1831</v>
      </c>
      <c r="C1171" s="121" t="str">
        <f t="shared" si="45"/>
        <v>http://www.durham.va.gov/contact/phone_directory.asp</v>
      </c>
    </row>
    <row r="1172" ht="14.25" hidden="1" customHeight="1">
      <c r="A1172" s="8" t="s">
        <v>469</v>
      </c>
      <c r="B1172" s="8" t="s">
        <v>1831</v>
      </c>
      <c r="C1172" s="121" t="str">
        <f t="shared" si="45"/>
        <v>http://www.durham.va.gov/contact/phone_directory.asp</v>
      </c>
    </row>
    <row r="1173" ht="14.25" hidden="1" customHeight="1">
      <c r="A1173" s="8" t="s">
        <v>2226</v>
      </c>
      <c r="B1173" s="8" t="s">
        <v>1831</v>
      </c>
      <c r="C1173" s="121" t="str">
        <f t="shared" si="45"/>
        <v>http://www.durham.va.gov/contact/phone_directory.asp</v>
      </c>
    </row>
    <row r="1174" ht="14.25" hidden="1" customHeight="1">
      <c r="A1174" s="8" t="s">
        <v>1362</v>
      </c>
      <c r="B1174" s="8" t="s">
        <v>1831</v>
      </c>
      <c r="C1174" s="121" t="str">
        <f t="shared" si="45"/>
        <v>http://www.durham.va.gov/contact/phone_directory.asp</v>
      </c>
    </row>
    <row r="1175" ht="14.25" hidden="1" customHeight="1">
      <c r="A1175" s="8" t="s">
        <v>734</v>
      </c>
      <c r="B1175" s="8" t="s">
        <v>1831</v>
      </c>
      <c r="C1175" s="121" t="str">
        <f t="shared" si="45"/>
        <v>http://www.durham.va.gov/contact/phone_directory.asp</v>
      </c>
    </row>
    <row r="1176" ht="14.25" hidden="1" customHeight="1">
      <c r="A1176" s="8" t="s">
        <v>2227</v>
      </c>
      <c r="B1176" s="8" t="s">
        <v>1831</v>
      </c>
      <c r="C1176" s="121" t="str">
        <f t="shared" si="45"/>
        <v>http://www.durham.va.gov/contact/phone_directory.asp</v>
      </c>
    </row>
    <row r="1177" ht="14.25" hidden="1" customHeight="1">
      <c r="A1177" s="8" t="s">
        <v>2228</v>
      </c>
      <c r="B1177" s="8" t="s">
        <v>1831</v>
      </c>
      <c r="C1177" s="121" t="str">
        <f t="shared" si="45"/>
        <v>http://www.durham.va.gov/contact/phone_directory.asp</v>
      </c>
    </row>
    <row r="1178" ht="14.25" hidden="1" customHeight="1">
      <c r="A1178" s="8" t="s">
        <v>2230</v>
      </c>
      <c r="B1178" s="8" t="s">
        <v>1868</v>
      </c>
      <c r="C1178" s="121" t="str">
        <f t="shared" ref="C1178:C1213" si="46">HYPERLINK("http://www.elpaso.va.gov/contact/phone_directory.asp")</f>
        <v>http://www.elpaso.va.gov/contact/phone_directory.asp</v>
      </c>
    </row>
    <row r="1179" ht="14.25" hidden="1" customHeight="1">
      <c r="A1179" s="8" t="s">
        <v>2231</v>
      </c>
      <c r="B1179" s="8" t="s">
        <v>1868</v>
      </c>
      <c r="C1179" s="121" t="str">
        <f t="shared" si="46"/>
        <v>http://www.elpaso.va.gov/contact/phone_directory.asp</v>
      </c>
    </row>
    <row r="1180" ht="14.25" hidden="1" customHeight="1">
      <c r="A1180" s="8" t="s">
        <v>2232</v>
      </c>
      <c r="B1180" s="8" t="s">
        <v>1868</v>
      </c>
      <c r="C1180" s="121" t="str">
        <f t="shared" si="46"/>
        <v>http://www.elpaso.va.gov/contact/phone_directory.asp</v>
      </c>
    </row>
    <row r="1181" ht="14.25" hidden="1" customHeight="1">
      <c r="A1181" s="8" t="s">
        <v>2233</v>
      </c>
      <c r="B1181" s="8" t="s">
        <v>1868</v>
      </c>
      <c r="C1181" s="121" t="str">
        <f t="shared" si="46"/>
        <v>http://www.elpaso.va.gov/contact/phone_directory.asp</v>
      </c>
    </row>
    <row r="1182" ht="14.25" hidden="1" customHeight="1">
      <c r="A1182" s="8" t="s">
        <v>2234</v>
      </c>
      <c r="B1182" s="8" t="s">
        <v>1868</v>
      </c>
      <c r="C1182" s="121" t="str">
        <f t="shared" si="46"/>
        <v>http://www.elpaso.va.gov/contact/phone_directory.asp</v>
      </c>
    </row>
    <row r="1183" ht="14.25" hidden="1" customHeight="1">
      <c r="A1183" s="8" t="s">
        <v>666</v>
      </c>
      <c r="B1183" s="8" t="s">
        <v>1868</v>
      </c>
      <c r="C1183" s="121" t="str">
        <f t="shared" si="46"/>
        <v>http://www.elpaso.va.gov/contact/phone_directory.asp</v>
      </c>
    </row>
    <row r="1184" ht="14.25" hidden="1" customHeight="1">
      <c r="A1184" s="8" t="s">
        <v>303</v>
      </c>
      <c r="B1184" s="8" t="s">
        <v>1868</v>
      </c>
      <c r="C1184" s="121" t="str">
        <f t="shared" si="46"/>
        <v>http://www.elpaso.va.gov/contact/phone_directory.asp</v>
      </c>
    </row>
    <row r="1185" ht="14.25" hidden="1" customHeight="1">
      <c r="A1185" s="8" t="s">
        <v>2236</v>
      </c>
      <c r="B1185" s="8" t="s">
        <v>1868</v>
      </c>
      <c r="C1185" s="121" t="str">
        <f t="shared" si="46"/>
        <v>http://www.elpaso.va.gov/contact/phone_directory.asp</v>
      </c>
    </row>
    <row r="1186" ht="14.25" hidden="1" customHeight="1">
      <c r="A1186" s="8" t="s">
        <v>1622</v>
      </c>
      <c r="B1186" s="8" t="s">
        <v>1868</v>
      </c>
      <c r="C1186" s="121" t="str">
        <f t="shared" si="46"/>
        <v>http://www.elpaso.va.gov/contact/phone_directory.asp</v>
      </c>
    </row>
    <row r="1187" ht="14.25" hidden="1" customHeight="1">
      <c r="A1187" s="8" t="s">
        <v>2237</v>
      </c>
      <c r="B1187" s="8" t="s">
        <v>1868</v>
      </c>
      <c r="C1187" s="121" t="str">
        <f t="shared" si="46"/>
        <v>http://www.elpaso.va.gov/contact/phone_directory.asp</v>
      </c>
    </row>
    <row r="1188" ht="14.25" hidden="1" customHeight="1">
      <c r="A1188" s="8" t="s">
        <v>719</v>
      </c>
      <c r="B1188" s="8" t="s">
        <v>1868</v>
      </c>
      <c r="C1188" s="121" t="str">
        <f t="shared" si="46"/>
        <v>http://www.elpaso.va.gov/contact/phone_directory.asp</v>
      </c>
    </row>
    <row r="1189" ht="14.25" hidden="1" customHeight="1">
      <c r="A1189" s="8" t="s">
        <v>2197</v>
      </c>
      <c r="B1189" s="8" t="s">
        <v>1868</v>
      </c>
      <c r="C1189" s="121" t="str">
        <f t="shared" si="46"/>
        <v>http://www.elpaso.va.gov/contact/phone_directory.asp</v>
      </c>
    </row>
    <row r="1190" ht="14.25" hidden="1" customHeight="1">
      <c r="A1190" s="8" t="s">
        <v>2238</v>
      </c>
      <c r="B1190" s="8" t="s">
        <v>1868</v>
      </c>
      <c r="C1190" s="121" t="str">
        <f t="shared" si="46"/>
        <v>http://www.elpaso.va.gov/contact/phone_directory.asp</v>
      </c>
    </row>
    <row r="1191" ht="14.25" hidden="1" customHeight="1">
      <c r="A1191" s="8" t="s">
        <v>2239</v>
      </c>
      <c r="B1191" s="8" t="s">
        <v>1868</v>
      </c>
      <c r="C1191" s="121" t="str">
        <f t="shared" si="46"/>
        <v>http://www.elpaso.va.gov/contact/phone_directory.asp</v>
      </c>
    </row>
    <row r="1192" ht="14.25" hidden="1" customHeight="1">
      <c r="A1192" s="8" t="s">
        <v>743</v>
      </c>
      <c r="B1192" s="8" t="s">
        <v>1868</v>
      </c>
      <c r="C1192" s="121" t="str">
        <f t="shared" si="46"/>
        <v>http://www.elpaso.va.gov/contact/phone_directory.asp</v>
      </c>
    </row>
    <row r="1193" ht="14.25" hidden="1" customHeight="1">
      <c r="A1193" s="8" t="s">
        <v>1615</v>
      </c>
      <c r="B1193" s="8" t="s">
        <v>1868</v>
      </c>
      <c r="C1193" s="121" t="str">
        <f t="shared" si="46"/>
        <v>http://www.elpaso.va.gov/contact/phone_directory.asp</v>
      </c>
    </row>
    <row r="1194" ht="14.25" hidden="1" customHeight="1">
      <c r="A1194" s="8" t="s">
        <v>2241</v>
      </c>
      <c r="B1194" s="8" t="s">
        <v>1868</v>
      </c>
      <c r="C1194" s="121" t="str">
        <f t="shared" si="46"/>
        <v>http://www.elpaso.va.gov/contact/phone_directory.asp</v>
      </c>
    </row>
    <row r="1195" ht="14.25" hidden="1" customHeight="1">
      <c r="A1195" s="8" t="s">
        <v>2242</v>
      </c>
      <c r="B1195" s="8" t="s">
        <v>1868</v>
      </c>
      <c r="C1195" s="121" t="str">
        <f t="shared" si="46"/>
        <v>http://www.elpaso.va.gov/contact/phone_directory.asp</v>
      </c>
    </row>
    <row r="1196" ht="14.25" hidden="1" customHeight="1">
      <c r="A1196" s="8" t="s">
        <v>2244</v>
      </c>
      <c r="B1196" s="8" t="s">
        <v>1868</v>
      </c>
      <c r="C1196" s="121" t="str">
        <f t="shared" si="46"/>
        <v>http://www.elpaso.va.gov/contact/phone_directory.asp</v>
      </c>
    </row>
    <row r="1197" ht="14.25" hidden="1" customHeight="1">
      <c r="A1197" s="8" t="s">
        <v>769</v>
      </c>
      <c r="B1197" s="8" t="s">
        <v>1868</v>
      </c>
      <c r="C1197" s="121" t="str">
        <f t="shared" si="46"/>
        <v>http://www.elpaso.va.gov/contact/phone_directory.asp</v>
      </c>
    </row>
    <row r="1198" ht="14.25" hidden="1" customHeight="1">
      <c r="A1198" s="8" t="s">
        <v>694</v>
      </c>
      <c r="B1198" s="8" t="s">
        <v>1868</v>
      </c>
      <c r="C1198" s="121" t="str">
        <f t="shared" si="46"/>
        <v>http://www.elpaso.va.gov/contact/phone_directory.asp</v>
      </c>
    </row>
    <row r="1199" ht="14.25" hidden="1" customHeight="1">
      <c r="A1199" s="8" t="s">
        <v>2246</v>
      </c>
      <c r="B1199" s="8" t="s">
        <v>1868</v>
      </c>
      <c r="C1199" s="121" t="str">
        <f t="shared" si="46"/>
        <v>http://www.elpaso.va.gov/contact/phone_directory.asp</v>
      </c>
    </row>
    <row r="1200" ht="14.25" hidden="1" customHeight="1">
      <c r="A1200" s="8" t="s">
        <v>2247</v>
      </c>
      <c r="B1200" s="8" t="s">
        <v>1868</v>
      </c>
      <c r="C1200" s="121" t="str">
        <f t="shared" si="46"/>
        <v>http://www.elpaso.va.gov/contact/phone_directory.asp</v>
      </c>
    </row>
    <row r="1201" ht="14.25" hidden="1" customHeight="1">
      <c r="A1201" s="8" t="s">
        <v>450</v>
      </c>
      <c r="B1201" s="8" t="s">
        <v>1868</v>
      </c>
      <c r="C1201" s="121" t="str">
        <f t="shared" si="46"/>
        <v>http://www.elpaso.va.gov/contact/phone_directory.asp</v>
      </c>
    </row>
    <row r="1202" ht="14.25" hidden="1" customHeight="1">
      <c r="A1202" s="8" t="s">
        <v>2249</v>
      </c>
      <c r="B1202" s="8" t="s">
        <v>1868</v>
      </c>
      <c r="C1202" s="121" t="str">
        <f t="shared" si="46"/>
        <v>http://www.elpaso.va.gov/contact/phone_directory.asp</v>
      </c>
    </row>
    <row r="1203" ht="14.25" hidden="1" customHeight="1">
      <c r="A1203" s="8" t="s">
        <v>348</v>
      </c>
      <c r="B1203" s="8" t="s">
        <v>1868</v>
      </c>
      <c r="C1203" s="121" t="str">
        <f t="shared" si="46"/>
        <v>http://www.elpaso.va.gov/contact/phone_directory.asp</v>
      </c>
    </row>
    <row r="1204" ht="14.25" hidden="1" customHeight="1">
      <c r="A1204" s="8" t="s">
        <v>353</v>
      </c>
      <c r="B1204" s="8" t="s">
        <v>1868</v>
      </c>
      <c r="C1204" s="121" t="str">
        <f t="shared" si="46"/>
        <v>http://www.elpaso.va.gov/contact/phone_directory.asp</v>
      </c>
    </row>
    <row r="1205" ht="14.25" hidden="1" customHeight="1">
      <c r="A1205" s="8" t="s">
        <v>791</v>
      </c>
      <c r="B1205" s="8" t="s">
        <v>1868</v>
      </c>
      <c r="C1205" s="121" t="str">
        <f t="shared" si="46"/>
        <v>http://www.elpaso.va.gov/contact/phone_directory.asp</v>
      </c>
    </row>
    <row r="1206" ht="14.25" hidden="1" customHeight="1">
      <c r="A1206" s="8" t="s">
        <v>2252</v>
      </c>
      <c r="B1206" s="8" t="s">
        <v>1868</v>
      </c>
      <c r="C1206" s="121" t="str">
        <f t="shared" si="46"/>
        <v>http://www.elpaso.va.gov/contact/phone_directory.asp</v>
      </c>
    </row>
    <row r="1207" ht="14.25" hidden="1" customHeight="1">
      <c r="A1207" s="8" t="s">
        <v>357</v>
      </c>
      <c r="B1207" s="8" t="s">
        <v>1868</v>
      </c>
      <c r="C1207" s="121" t="str">
        <f t="shared" si="46"/>
        <v>http://www.elpaso.va.gov/contact/phone_directory.asp</v>
      </c>
    </row>
    <row r="1208" ht="14.25" hidden="1" customHeight="1">
      <c r="A1208" s="8" t="s">
        <v>2253</v>
      </c>
      <c r="B1208" s="8" t="s">
        <v>1868</v>
      </c>
      <c r="C1208" s="121" t="str">
        <f t="shared" si="46"/>
        <v>http://www.elpaso.va.gov/contact/phone_directory.asp</v>
      </c>
    </row>
    <row r="1209" ht="14.25" hidden="1" customHeight="1">
      <c r="A1209" s="8" t="s">
        <v>2254</v>
      </c>
      <c r="B1209" s="8" t="s">
        <v>1868</v>
      </c>
      <c r="C1209" s="121" t="str">
        <f t="shared" si="46"/>
        <v>http://www.elpaso.va.gov/contact/phone_directory.asp</v>
      </c>
    </row>
    <row r="1210" ht="14.25" hidden="1" customHeight="1">
      <c r="A1210" s="8" t="s">
        <v>1950</v>
      </c>
      <c r="B1210" s="8" t="s">
        <v>1868</v>
      </c>
      <c r="C1210" s="121" t="str">
        <f t="shared" si="46"/>
        <v>http://www.elpaso.va.gov/contact/phone_directory.asp</v>
      </c>
    </row>
    <row r="1211" ht="14.25" hidden="1" customHeight="1">
      <c r="A1211" s="8" t="s">
        <v>2255</v>
      </c>
      <c r="B1211" s="8" t="s">
        <v>1868</v>
      </c>
      <c r="C1211" s="121" t="str">
        <f t="shared" si="46"/>
        <v>http://www.elpaso.va.gov/contact/phone_directory.asp</v>
      </c>
    </row>
    <row r="1212" ht="14.25" hidden="1" customHeight="1">
      <c r="A1212" s="8" t="s">
        <v>2256</v>
      </c>
      <c r="B1212" s="8" t="s">
        <v>1868</v>
      </c>
      <c r="C1212" s="121" t="str">
        <f t="shared" si="46"/>
        <v>http://www.elpaso.va.gov/contact/phone_directory.asp</v>
      </c>
    </row>
    <row r="1213" ht="14.25" hidden="1" customHeight="1">
      <c r="A1213" s="8" t="s">
        <v>2257</v>
      </c>
      <c r="B1213" s="8" t="s">
        <v>1868</v>
      </c>
      <c r="C1213" s="121" t="str">
        <f t="shared" si="46"/>
        <v>http://www.elpaso.va.gov/contact/phone_directory.asp</v>
      </c>
    </row>
    <row r="1214" ht="14.25" hidden="1" customHeight="1">
      <c r="A1214" s="8" t="s">
        <v>619</v>
      </c>
      <c r="B1214" s="8" t="s">
        <v>1878</v>
      </c>
      <c r="C1214" s="121" t="str">
        <f t="shared" ref="C1214:C1237" si="47">HYPERLINK("http://www.erie.va.gov/contact/phone_directory.asp")</f>
        <v>http://www.erie.va.gov/contact/phone_directory.asp</v>
      </c>
    </row>
    <row r="1215" ht="14.25" hidden="1" customHeight="1">
      <c r="A1215" s="8" t="s">
        <v>626</v>
      </c>
      <c r="B1215" s="8" t="s">
        <v>1878</v>
      </c>
      <c r="C1215" s="121" t="str">
        <f t="shared" si="47"/>
        <v>http://www.erie.va.gov/contact/phone_directory.asp</v>
      </c>
    </row>
    <row r="1216" ht="14.25" hidden="1" customHeight="1">
      <c r="A1216" s="8" t="s">
        <v>635</v>
      </c>
      <c r="B1216" s="8" t="s">
        <v>1878</v>
      </c>
      <c r="C1216" s="121" t="str">
        <f t="shared" si="47"/>
        <v>http://www.erie.va.gov/contact/phone_directory.asp</v>
      </c>
    </row>
    <row r="1217" ht="14.25" hidden="1" customHeight="1">
      <c r="A1217" s="8" t="s">
        <v>640</v>
      </c>
      <c r="B1217" s="8" t="s">
        <v>1878</v>
      </c>
      <c r="C1217" s="121" t="str">
        <f t="shared" si="47"/>
        <v>http://www.erie.va.gov/contact/phone_directory.asp</v>
      </c>
    </row>
    <row r="1218" ht="14.25" hidden="1" customHeight="1">
      <c r="A1218" s="8" t="s">
        <v>646</v>
      </c>
      <c r="B1218" s="8" t="s">
        <v>1878</v>
      </c>
      <c r="C1218" s="121" t="str">
        <f t="shared" si="47"/>
        <v>http://www.erie.va.gov/contact/phone_directory.asp</v>
      </c>
    </row>
    <row r="1219" ht="14.25" hidden="1" customHeight="1">
      <c r="A1219" s="8" t="s">
        <v>650</v>
      </c>
      <c r="B1219" s="8" t="s">
        <v>1878</v>
      </c>
      <c r="C1219" s="121" t="str">
        <f t="shared" si="47"/>
        <v>http://www.erie.va.gov/contact/phone_directory.asp</v>
      </c>
    </row>
    <row r="1220" ht="14.25" hidden="1" customHeight="1">
      <c r="A1220" s="8" t="s">
        <v>659</v>
      </c>
      <c r="B1220" s="8" t="s">
        <v>1878</v>
      </c>
      <c r="C1220" s="121" t="str">
        <f t="shared" si="47"/>
        <v>http://www.erie.va.gov/contact/phone_directory.asp</v>
      </c>
    </row>
    <row r="1221" ht="14.25" hidden="1" customHeight="1">
      <c r="A1221" s="8" t="s">
        <v>666</v>
      </c>
      <c r="B1221" s="8" t="s">
        <v>1878</v>
      </c>
      <c r="C1221" s="121" t="str">
        <f t="shared" si="47"/>
        <v>http://www.erie.va.gov/contact/phone_directory.asp</v>
      </c>
    </row>
    <row r="1222" ht="14.25" hidden="1" customHeight="1">
      <c r="A1222" s="8" t="s">
        <v>673</v>
      </c>
      <c r="B1222" s="8" t="s">
        <v>1878</v>
      </c>
      <c r="C1222" s="121" t="str">
        <f t="shared" si="47"/>
        <v>http://www.erie.va.gov/contact/phone_directory.asp</v>
      </c>
    </row>
    <row r="1223" ht="14.25" hidden="1" customHeight="1">
      <c r="A1223" s="8" t="s">
        <v>663</v>
      </c>
      <c r="B1223" s="8" t="s">
        <v>1878</v>
      </c>
      <c r="C1223" s="121" t="str">
        <f t="shared" si="47"/>
        <v>http://www.erie.va.gov/contact/phone_directory.asp</v>
      </c>
    </row>
    <row r="1224" ht="14.25" hidden="1" customHeight="1">
      <c r="A1224" s="8" t="s">
        <v>660</v>
      </c>
      <c r="B1224" s="8" t="s">
        <v>1878</v>
      </c>
      <c r="C1224" s="121" t="str">
        <f t="shared" si="47"/>
        <v>http://www.erie.va.gov/contact/phone_directory.asp</v>
      </c>
    </row>
    <row r="1225" ht="14.25" hidden="1" customHeight="1">
      <c r="A1225" s="8" t="s">
        <v>670</v>
      </c>
      <c r="B1225" s="8" t="s">
        <v>1878</v>
      </c>
      <c r="C1225" s="121" t="str">
        <f t="shared" si="47"/>
        <v>http://www.erie.va.gov/contact/phone_directory.asp</v>
      </c>
    </row>
    <row r="1226" ht="14.25" hidden="1" customHeight="1">
      <c r="A1226" s="8" t="s">
        <v>494</v>
      </c>
      <c r="B1226" s="8" t="s">
        <v>1878</v>
      </c>
      <c r="C1226" s="121" t="str">
        <f t="shared" si="47"/>
        <v>http://www.erie.va.gov/contact/phone_directory.asp</v>
      </c>
    </row>
    <row r="1227" ht="14.25" hidden="1" customHeight="1">
      <c r="A1227" s="8" t="s">
        <v>695</v>
      </c>
      <c r="B1227" s="8" t="s">
        <v>1878</v>
      </c>
      <c r="C1227" s="121" t="str">
        <f t="shared" si="47"/>
        <v>http://www.erie.va.gov/contact/phone_directory.asp</v>
      </c>
    </row>
    <row r="1228" ht="14.25" hidden="1" customHeight="1">
      <c r="A1228" s="8" t="s">
        <v>700</v>
      </c>
      <c r="B1228" s="8" t="s">
        <v>1878</v>
      </c>
      <c r="C1228" s="121" t="str">
        <f t="shared" si="47"/>
        <v>http://www.erie.va.gov/contact/phone_directory.asp</v>
      </c>
    </row>
    <row r="1229" ht="14.25" hidden="1" customHeight="1">
      <c r="A1229" s="8" t="s">
        <v>705</v>
      </c>
      <c r="B1229" s="8" t="s">
        <v>1878</v>
      </c>
      <c r="C1229" s="121" t="str">
        <f t="shared" si="47"/>
        <v>http://www.erie.va.gov/contact/phone_directory.asp</v>
      </c>
    </row>
    <row r="1230" ht="14.25" hidden="1" customHeight="1">
      <c r="A1230" s="8" t="s">
        <v>711</v>
      </c>
      <c r="B1230" s="8" t="s">
        <v>1878</v>
      </c>
      <c r="C1230" s="121" t="str">
        <f t="shared" si="47"/>
        <v>http://www.erie.va.gov/contact/phone_directory.asp</v>
      </c>
    </row>
    <row r="1231" ht="14.25" hidden="1" customHeight="1">
      <c r="A1231" s="8" t="s">
        <v>708</v>
      </c>
      <c r="B1231" s="8" t="s">
        <v>1878</v>
      </c>
      <c r="C1231" s="121" t="str">
        <f t="shared" si="47"/>
        <v>http://www.erie.va.gov/contact/phone_directory.asp</v>
      </c>
    </row>
    <row r="1232" ht="14.25" hidden="1" customHeight="1">
      <c r="A1232" s="8" t="s">
        <v>718</v>
      </c>
      <c r="B1232" s="8" t="s">
        <v>1878</v>
      </c>
      <c r="C1232" s="121" t="str">
        <f t="shared" si="47"/>
        <v>http://www.erie.va.gov/contact/phone_directory.asp</v>
      </c>
    </row>
    <row r="1233" ht="14.25" hidden="1" customHeight="1">
      <c r="A1233" s="8" t="s">
        <v>722</v>
      </c>
      <c r="B1233" s="8" t="s">
        <v>1878</v>
      </c>
      <c r="C1233" s="121" t="str">
        <f t="shared" si="47"/>
        <v>http://www.erie.va.gov/contact/phone_directory.asp</v>
      </c>
    </row>
    <row r="1234" ht="14.25" hidden="1" customHeight="1">
      <c r="A1234" s="8" t="s">
        <v>727</v>
      </c>
      <c r="B1234" s="8" t="s">
        <v>1878</v>
      </c>
      <c r="C1234" s="121" t="str">
        <f t="shared" si="47"/>
        <v>http://www.erie.va.gov/contact/phone_directory.asp</v>
      </c>
    </row>
    <row r="1235" ht="14.25" hidden="1" customHeight="1">
      <c r="A1235" s="8" t="s">
        <v>732</v>
      </c>
      <c r="B1235" s="8" t="s">
        <v>1878</v>
      </c>
      <c r="C1235" s="121" t="str">
        <f t="shared" si="47"/>
        <v>http://www.erie.va.gov/contact/phone_directory.asp</v>
      </c>
    </row>
    <row r="1236" ht="14.25" hidden="1" customHeight="1">
      <c r="A1236" s="8" t="s">
        <v>737</v>
      </c>
      <c r="B1236" s="8" t="s">
        <v>1878</v>
      </c>
      <c r="C1236" s="121" t="str">
        <f t="shared" si="47"/>
        <v>http://www.erie.va.gov/contact/phone_directory.asp</v>
      </c>
    </row>
    <row r="1237" ht="14.25" hidden="1" customHeight="1">
      <c r="A1237" s="8" t="s">
        <v>741</v>
      </c>
      <c r="B1237" s="8" t="s">
        <v>1878</v>
      </c>
      <c r="C1237" s="121" t="str">
        <f t="shared" si="47"/>
        <v>http://www.erie.va.gov/contact/phone_directory.asp</v>
      </c>
    </row>
    <row r="1238" ht="14.25" hidden="1" customHeight="1">
      <c r="A1238" s="8" t="s">
        <v>2261</v>
      </c>
      <c r="B1238" s="8" t="s">
        <v>1911</v>
      </c>
      <c r="C1238" s="121" t="str">
        <f t="shared" ref="C1238:C1258" si="48">HYPERLINK("http://www.fargo.va.gov/contact/phone_directory.asp")</f>
        <v>http://www.fargo.va.gov/contact/phone_directory.asp</v>
      </c>
    </row>
    <row r="1239" ht="14.25" hidden="1" customHeight="1">
      <c r="A1239" s="8" t="s">
        <v>624</v>
      </c>
      <c r="B1239" s="8" t="s">
        <v>1911</v>
      </c>
      <c r="C1239" s="121" t="str">
        <f t="shared" si="48"/>
        <v>http://www.fargo.va.gov/contact/phone_directory.asp</v>
      </c>
    </row>
    <row r="1240" ht="14.25" hidden="1" customHeight="1">
      <c r="A1240" s="8" t="s">
        <v>2262</v>
      </c>
      <c r="B1240" s="8" t="s">
        <v>1911</v>
      </c>
      <c r="C1240" s="121" t="str">
        <f t="shared" si="48"/>
        <v>http://www.fargo.va.gov/contact/phone_directory.asp</v>
      </c>
    </row>
    <row r="1241" ht="14.25" hidden="1" customHeight="1">
      <c r="A1241" s="8" t="s">
        <v>631</v>
      </c>
      <c r="B1241" s="8" t="s">
        <v>1911</v>
      </c>
      <c r="C1241" s="121" t="str">
        <f t="shared" si="48"/>
        <v>http://www.fargo.va.gov/contact/phone_directory.asp</v>
      </c>
    </row>
    <row r="1242" ht="14.25" hidden="1" customHeight="1">
      <c r="A1242" s="8" t="s">
        <v>2263</v>
      </c>
      <c r="B1242" s="8" t="s">
        <v>1911</v>
      </c>
      <c r="C1242" s="121" t="str">
        <f t="shared" si="48"/>
        <v>http://www.fargo.va.gov/contact/phone_directory.asp</v>
      </c>
    </row>
    <row r="1243" ht="14.25" hidden="1" customHeight="1">
      <c r="A1243" s="8" t="s">
        <v>638</v>
      </c>
      <c r="B1243" s="8" t="s">
        <v>1911</v>
      </c>
      <c r="C1243" s="121" t="str">
        <f t="shared" si="48"/>
        <v>http://www.fargo.va.gov/contact/phone_directory.asp</v>
      </c>
    </row>
    <row r="1244" ht="14.25" hidden="1" customHeight="1">
      <c r="A1244" s="8" t="s">
        <v>2264</v>
      </c>
      <c r="B1244" s="8" t="s">
        <v>1911</v>
      </c>
      <c r="C1244" s="121" t="str">
        <f t="shared" si="48"/>
        <v>http://www.fargo.va.gov/contact/phone_directory.asp</v>
      </c>
    </row>
    <row r="1245" ht="14.25" hidden="1" customHeight="1">
      <c r="A1245" s="8" t="s">
        <v>1147</v>
      </c>
      <c r="B1245" s="8" t="s">
        <v>1911</v>
      </c>
      <c r="C1245" s="121" t="str">
        <f t="shared" si="48"/>
        <v>http://www.fargo.va.gov/contact/phone_directory.asp</v>
      </c>
    </row>
    <row r="1246" ht="14.25" hidden="1" customHeight="1">
      <c r="A1246" s="8" t="s">
        <v>2265</v>
      </c>
      <c r="B1246" s="8" t="s">
        <v>1911</v>
      </c>
      <c r="C1246" s="121" t="str">
        <f t="shared" si="48"/>
        <v>http://www.fargo.va.gov/contact/phone_directory.asp</v>
      </c>
    </row>
    <row r="1247" ht="14.25" hidden="1" customHeight="1">
      <c r="A1247" s="8" t="s">
        <v>683</v>
      </c>
      <c r="B1247" s="8" t="s">
        <v>1911</v>
      </c>
      <c r="C1247" s="121" t="str">
        <f t="shared" si="48"/>
        <v>http://www.fargo.va.gov/contact/phone_directory.asp</v>
      </c>
    </row>
    <row r="1248" ht="14.25" hidden="1" customHeight="1">
      <c r="A1248" s="8" t="s">
        <v>738</v>
      </c>
      <c r="B1248" s="8" t="s">
        <v>1911</v>
      </c>
      <c r="C1248" s="121" t="str">
        <f t="shared" si="48"/>
        <v>http://www.fargo.va.gov/contact/phone_directory.asp</v>
      </c>
    </row>
    <row r="1249" ht="14.25" hidden="1" customHeight="1">
      <c r="A1249" s="8" t="s">
        <v>1655</v>
      </c>
      <c r="B1249" s="8" t="s">
        <v>1911</v>
      </c>
      <c r="C1249" s="121" t="str">
        <f t="shared" si="48"/>
        <v>http://www.fargo.va.gov/contact/phone_directory.asp</v>
      </c>
    </row>
    <row r="1250" ht="14.25" hidden="1" customHeight="1">
      <c r="A1250" s="8" t="s">
        <v>839</v>
      </c>
      <c r="B1250" s="8" t="s">
        <v>1911</v>
      </c>
      <c r="C1250" s="121" t="str">
        <f t="shared" si="48"/>
        <v>http://www.fargo.va.gov/contact/phone_directory.asp</v>
      </c>
    </row>
    <row r="1251" ht="14.25" hidden="1" customHeight="1">
      <c r="A1251" s="8" t="s">
        <v>694</v>
      </c>
      <c r="B1251" s="8" t="s">
        <v>1911</v>
      </c>
      <c r="C1251" s="121" t="str">
        <f t="shared" si="48"/>
        <v>http://www.fargo.va.gov/contact/phone_directory.asp</v>
      </c>
    </row>
    <row r="1252" ht="14.25" hidden="1" customHeight="1">
      <c r="A1252" s="8" t="s">
        <v>697</v>
      </c>
      <c r="B1252" s="8" t="s">
        <v>1911</v>
      </c>
      <c r="C1252" s="121" t="str">
        <f t="shared" si="48"/>
        <v>http://www.fargo.va.gov/contact/phone_directory.asp</v>
      </c>
    </row>
    <row r="1253" ht="14.25" hidden="1" customHeight="1">
      <c r="A1253" s="8" t="s">
        <v>2268</v>
      </c>
      <c r="B1253" s="8" t="s">
        <v>1911</v>
      </c>
      <c r="C1253" s="121" t="str">
        <f t="shared" si="48"/>
        <v>http://www.fargo.va.gov/contact/phone_directory.asp</v>
      </c>
    </row>
    <row r="1254" ht="14.25" hidden="1" customHeight="1">
      <c r="A1254" s="8" t="s">
        <v>684</v>
      </c>
      <c r="B1254" s="8" t="s">
        <v>1911</v>
      </c>
      <c r="C1254" s="121" t="str">
        <f t="shared" si="48"/>
        <v>http://www.fargo.va.gov/contact/phone_directory.asp</v>
      </c>
    </row>
    <row r="1255" ht="14.25" hidden="1" customHeight="1">
      <c r="A1255" s="8" t="s">
        <v>2269</v>
      </c>
      <c r="B1255" s="8" t="s">
        <v>1911</v>
      </c>
      <c r="C1255" s="121" t="str">
        <f t="shared" si="48"/>
        <v>http://www.fargo.va.gov/contact/phone_directory.asp</v>
      </c>
    </row>
    <row r="1256" ht="14.25" hidden="1" customHeight="1">
      <c r="A1256" s="8" t="s">
        <v>724</v>
      </c>
      <c r="B1256" s="8" t="s">
        <v>1911</v>
      </c>
      <c r="C1256" s="121" t="str">
        <f t="shared" si="48"/>
        <v>http://www.fargo.va.gov/contact/phone_directory.asp</v>
      </c>
    </row>
    <row r="1257" ht="14.25" hidden="1" customHeight="1">
      <c r="A1257" s="8" t="s">
        <v>810</v>
      </c>
      <c r="B1257" s="8" t="s">
        <v>1911</v>
      </c>
      <c r="C1257" s="121" t="str">
        <f t="shared" si="48"/>
        <v>http://www.fargo.va.gov/contact/phone_directory.asp</v>
      </c>
    </row>
    <row r="1258" ht="14.25" hidden="1" customHeight="1">
      <c r="A1258" s="8" t="s">
        <v>824</v>
      </c>
      <c r="B1258" s="8" t="s">
        <v>1911</v>
      </c>
      <c r="C1258" s="121" t="str">
        <f t="shared" si="48"/>
        <v>http://www.fargo.va.gov/contact/phone_directory.asp</v>
      </c>
    </row>
    <row r="1259" ht="14.25" hidden="1" customHeight="1">
      <c r="A1259" s="8" t="s">
        <v>624</v>
      </c>
      <c r="B1259" s="8" t="s">
        <v>1988</v>
      </c>
      <c r="C1259" s="121" t="str">
        <f t="shared" ref="C1259:C1270" si="49">HYPERLINK("http://www.fayettevillear.va.gov/contact/phone_directory.asp")</f>
        <v>http://www.fayettevillear.va.gov/contact/phone_directory.asp</v>
      </c>
    </row>
    <row r="1260" ht="14.25" hidden="1" customHeight="1">
      <c r="A1260" s="8" t="s">
        <v>998</v>
      </c>
      <c r="B1260" s="8" t="s">
        <v>1988</v>
      </c>
      <c r="C1260" s="121" t="str">
        <f t="shared" si="49"/>
        <v>http://www.fayettevillear.va.gov/contact/phone_directory.asp</v>
      </c>
    </row>
    <row r="1261" ht="14.25" hidden="1" customHeight="1">
      <c r="A1261" s="8" t="s">
        <v>2271</v>
      </c>
      <c r="B1261" s="8" t="s">
        <v>1988</v>
      </c>
      <c r="C1261" s="121" t="str">
        <f t="shared" si="49"/>
        <v>http://www.fayettevillear.va.gov/contact/phone_directory.asp</v>
      </c>
    </row>
    <row r="1262" ht="14.25" hidden="1" customHeight="1">
      <c r="A1262" s="8" t="s">
        <v>2272</v>
      </c>
      <c r="B1262" s="8" t="s">
        <v>1988</v>
      </c>
      <c r="C1262" s="121" t="str">
        <f t="shared" si="49"/>
        <v>http://www.fayettevillear.va.gov/contact/phone_directory.asp</v>
      </c>
    </row>
    <row r="1263" ht="14.25" hidden="1" customHeight="1">
      <c r="A1263" s="8" t="s">
        <v>638</v>
      </c>
      <c r="B1263" s="8" t="s">
        <v>1988</v>
      </c>
      <c r="C1263" s="121" t="str">
        <f t="shared" si="49"/>
        <v>http://www.fayettevillear.va.gov/contact/phone_directory.asp</v>
      </c>
    </row>
    <row r="1264" ht="14.25" hidden="1" customHeight="1">
      <c r="A1264" s="8" t="s">
        <v>1882</v>
      </c>
      <c r="B1264" s="8" t="s">
        <v>1988</v>
      </c>
      <c r="C1264" s="121" t="str">
        <f t="shared" si="49"/>
        <v>http://www.fayettevillear.va.gov/contact/phone_directory.asp</v>
      </c>
    </row>
    <row r="1265" ht="14.25" hidden="1" customHeight="1">
      <c r="A1265" s="8" t="s">
        <v>872</v>
      </c>
      <c r="B1265" s="8" t="s">
        <v>1988</v>
      </c>
      <c r="C1265" s="121" t="str">
        <f t="shared" si="49"/>
        <v>http://www.fayettevillear.va.gov/contact/phone_directory.asp</v>
      </c>
    </row>
    <row r="1266" ht="14.25" hidden="1" customHeight="1">
      <c r="A1266" s="8" t="s">
        <v>1136</v>
      </c>
      <c r="B1266" s="8" t="s">
        <v>1988</v>
      </c>
      <c r="C1266" s="121" t="str">
        <f t="shared" si="49"/>
        <v>http://www.fayettevillear.va.gov/contact/phone_directory.asp</v>
      </c>
    </row>
    <row r="1267" ht="14.25" hidden="1" customHeight="1">
      <c r="A1267" s="8" t="s">
        <v>2275</v>
      </c>
      <c r="B1267" s="8" t="s">
        <v>1988</v>
      </c>
      <c r="C1267" s="121" t="str">
        <f t="shared" si="49"/>
        <v>http://www.fayettevillear.va.gov/contact/phone_directory.asp</v>
      </c>
    </row>
    <row r="1268" ht="14.25" hidden="1" customHeight="1">
      <c r="A1268" s="8" t="s">
        <v>684</v>
      </c>
      <c r="B1268" s="8" t="s">
        <v>1988</v>
      </c>
      <c r="C1268" s="121" t="str">
        <f t="shared" si="49"/>
        <v>http://www.fayettevillear.va.gov/contact/phone_directory.asp</v>
      </c>
    </row>
    <row r="1269" ht="14.25" hidden="1" customHeight="1">
      <c r="A1269" s="8" t="s">
        <v>708</v>
      </c>
      <c r="B1269" s="8" t="s">
        <v>1988</v>
      </c>
      <c r="C1269" s="121" t="str">
        <f t="shared" si="49"/>
        <v>http://www.fayettevillear.va.gov/contact/phone_directory.asp</v>
      </c>
    </row>
    <row r="1270" ht="14.25" hidden="1" customHeight="1">
      <c r="A1270" s="8" t="s">
        <v>1690</v>
      </c>
      <c r="B1270" s="8" t="s">
        <v>1988</v>
      </c>
      <c r="C1270" s="121" t="str">
        <f t="shared" si="49"/>
        <v>http://www.fayettevillear.va.gov/contact/phone_directory.asp</v>
      </c>
    </row>
    <row r="1271" ht="14.25" hidden="1" customHeight="1">
      <c r="A1271" s="8" t="s">
        <v>624</v>
      </c>
      <c r="B1271" s="8" t="s">
        <v>2030</v>
      </c>
      <c r="C1271" s="121" t="str">
        <f t="shared" ref="C1271:C1299" si="50">HYPERLINK("http://www.fayettevillenc.va.gov/contact/phone_directory.asp")</f>
        <v>http://www.fayettevillenc.va.gov/contact/phone_directory.asp</v>
      </c>
    </row>
    <row r="1272" ht="14.25" hidden="1" customHeight="1">
      <c r="A1272" s="8" t="s">
        <v>244</v>
      </c>
      <c r="B1272" s="8" t="s">
        <v>2030</v>
      </c>
      <c r="C1272" s="121" t="str">
        <f t="shared" si="50"/>
        <v>http://www.fayettevillenc.va.gov/contact/phone_directory.asp</v>
      </c>
    </row>
    <row r="1273" ht="14.25" hidden="1" customHeight="1">
      <c r="A1273" s="8" t="s">
        <v>631</v>
      </c>
      <c r="B1273" s="8" t="s">
        <v>2030</v>
      </c>
      <c r="C1273" s="121" t="str">
        <f t="shared" si="50"/>
        <v>http://www.fayettevillenc.va.gov/contact/phone_directory.asp</v>
      </c>
    </row>
    <row r="1274" ht="14.25" hidden="1" customHeight="1">
      <c r="A1274" s="8" t="s">
        <v>638</v>
      </c>
      <c r="B1274" s="8" t="s">
        <v>2030</v>
      </c>
      <c r="C1274" s="121" t="str">
        <f t="shared" si="50"/>
        <v>http://www.fayettevillenc.va.gov/contact/phone_directory.asp</v>
      </c>
    </row>
    <row r="1275" ht="14.25" hidden="1" customHeight="1">
      <c r="A1275" s="8" t="s">
        <v>468</v>
      </c>
      <c r="B1275" s="8" t="s">
        <v>2030</v>
      </c>
      <c r="C1275" s="121" t="str">
        <f t="shared" si="50"/>
        <v>http://www.fayettevillenc.va.gov/contact/phone_directory.asp</v>
      </c>
    </row>
    <row r="1276" ht="14.25" hidden="1" customHeight="1">
      <c r="A1276" s="8" t="s">
        <v>303</v>
      </c>
      <c r="B1276" s="8" t="s">
        <v>2030</v>
      </c>
      <c r="C1276" s="121" t="str">
        <f t="shared" si="50"/>
        <v>http://www.fayettevillenc.va.gov/contact/phone_directory.asp</v>
      </c>
    </row>
    <row r="1277" ht="14.25" hidden="1" customHeight="1">
      <c r="A1277" s="8" t="s">
        <v>1671</v>
      </c>
      <c r="B1277" s="8" t="s">
        <v>2030</v>
      </c>
      <c r="C1277" s="121" t="str">
        <f t="shared" si="50"/>
        <v>http://www.fayettevillenc.va.gov/contact/phone_directory.asp</v>
      </c>
    </row>
    <row r="1278" ht="14.25" hidden="1" customHeight="1">
      <c r="A1278" s="8" t="s">
        <v>663</v>
      </c>
      <c r="B1278" s="8" t="s">
        <v>2030</v>
      </c>
      <c r="C1278" s="121" t="str">
        <f t="shared" si="50"/>
        <v>http://www.fayettevillenc.va.gov/contact/phone_directory.asp</v>
      </c>
    </row>
    <row r="1279" ht="14.25" hidden="1" customHeight="1">
      <c r="A1279" s="8" t="s">
        <v>719</v>
      </c>
      <c r="B1279" s="8" t="s">
        <v>2030</v>
      </c>
      <c r="C1279" s="121" t="str">
        <f t="shared" si="50"/>
        <v>http://www.fayettevillenc.va.gov/contact/phone_directory.asp</v>
      </c>
    </row>
    <row r="1280" ht="14.25" hidden="1" customHeight="1">
      <c r="A1280" s="8" t="s">
        <v>1039</v>
      </c>
      <c r="B1280" s="8" t="s">
        <v>2030</v>
      </c>
      <c r="C1280" s="121" t="str">
        <f t="shared" si="50"/>
        <v>http://www.fayettevillenc.va.gov/contact/phone_directory.asp</v>
      </c>
    </row>
    <row r="1281" ht="14.25" hidden="1" customHeight="1">
      <c r="A1281" s="8" t="s">
        <v>1584</v>
      </c>
      <c r="B1281" s="8" t="s">
        <v>2030</v>
      </c>
      <c r="C1281" s="121" t="str">
        <f t="shared" si="50"/>
        <v>http://www.fayettevillenc.va.gov/contact/phone_directory.asp</v>
      </c>
    </row>
    <row r="1282" ht="14.25" hidden="1" customHeight="1">
      <c r="A1282" s="8" t="s">
        <v>437</v>
      </c>
      <c r="B1282" s="8" t="s">
        <v>2030</v>
      </c>
      <c r="C1282" s="121" t="str">
        <f t="shared" si="50"/>
        <v>http://www.fayettevillenc.va.gov/contact/phone_directory.asp</v>
      </c>
    </row>
    <row r="1283" ht="14.25" hidden="1" customHeight="1">
      <c r="A1283" s="8" t="s">
        <v>683</v>
      </c>
      <c r="B1283" s="8" t="s">
        <v>2030</v>
      </c>
      <c r="C1283" s="121" t="str">
        <f t="shared" si="50"/>
        <v>http://www.fayettevillenc.va.gov/contact/phone_directory.asp</v>
      </c>
    </row>
    <row r="1284" ht="14.25" hidden="1" customHeight="1">
      <c r="A1284" s="8" t="s">
        <v>2279</v>
      </c>
      <c r="B1284" s="8" t="s">
        <v>2030</v>
      </c>
      <c r="C1284" s="121" t="str">
        <f t="shared" si="50"/>
        <v>http://www.fayettevillenc.va.gov/contact/phone_directory.asp</v>
      </c>
    </row>
    <row r="1285" ht="14.25" hidden="1" customHeight="1">
      <c r="A1285" s="8" t="s">
        <v>325</v>
      </c>
      <c r="B1285" s="8" t="s">
        <v>2030</v>
      </c>
      <c r="C1285" s="121" t="str">
        <f t="shared" si="50"/>
        <v>http://www.fayettevillenc.va.gov/contact/phone_directory.asp</v>
      </c>
    </row>
    <row r="1286" ht="14.25" hidden="1" customHeight="1">
      <c r="A1286" s="8" t="s">
        <v>648</v>
      </c>
      <c r="B1286" s="8" t="s">
        <v>2030</v>
      </c>
      <c r="C1286" s="121" t="str">
        <f t="shared" si="50"/>
        <v>http://www.fayettevillenc.va.gov/contact/phone_directory.asp</v>
      </c>
    </row>
    <row r="1287" ht="14.25" hidden="1" customHeight="1">
      <c r="A1287" s="8" t="s">
        <v>691</v>
      </c>
      <c r="B1287" s="8" t="s">
        <v>2030</v>
      </c>
      <c r="C1287" s="121" t="str">
        <f t="shared" si="50"/>
        <v>http://www.fayettevillenc.va.gov/contact/phone_directory.asp</v>
      </c>
    </row>
    <row r="1288" ht="14.25" hidden="1" customHeight="1">
      <c r="A1288" s="8" t="s">
        <v>1721</v>
      </c>
      <c r="B1288" s="8" t="s">
        <v>2030</v>
      </c>
      <c r="C1288" s="121" t="str">
        <f t="shared" si="50"/>
        <v>http://www.fayettevillenc.va.gov/contact/phone_directory.asp</v>
      </c>
    </row>
    <row r="1289" ht="14.25" hidden="1" customHeight="1">
      <c r="A1289" s="8" t="s">
        <v>907</v>
      </c>
      <c r="B1289" s="8" t="s">
        <v>2030</v>
      </c>
      <c r="C1289" s="121" t="str">
        <f t="shared" si="50"/>
        <v>http://www.fayettevillenc.va.gov/contact/phone_directory.asp</v>
      </c>
    </row>
    <row r="1290" ht="14.25" hidden="1" customHeight="1">
      <c r="A1290" s="8" t="s">
        <v>2007</v>
      </c>
      <c r="B1290" s="8" t="s">
        <v>2030</v>
      </c>
      <c r="C1290" s="121" t="str">
        <f t="shared" si="50"/>
        <v>http://www.fayettevillenc.va.gov/contact/phone_directory.asp</v>
      </c>
    </row>
    <row r="1291" ht="14.25" hidden="1" customHeight="1">
      <c r="A1291" s="8" t="s">
        <v>2281</v>
      </c>
      <c r="B1291" s="8" t="s">
        <v>2030</v>
      </c>
      <c r="C1291" s="121" t="str">
        <f t="shared" si="50"/>
        <v>http://www.fayettevillenc.va.gov/contact/phone_directory.asp</v>
      </c>
    </row>
    <row r="1292" ht="14.25" hidden="1" customHeight="1">
      <c r="A1292" s="8" t="s">
        <v>353</v>
      </c>
      <c r="B1292" s="8" t="s">
        <v>2030</v>
      </c>
      <c r="C1292" s="121" t="str">
        <f t="shared" si="50"/>
        <v>http://www.fayettevillenc.va.gov/contact/phone_directory.asp</v>
      </c>
    </row>
    <row r="1293" ht="14.25" hidden="1" customHeight="1">
      <c r="A1293" s="8" t="s">
        <v>708</v>
      </c>
      <c r="B1293" s="8" t="s">
        <v>2030</v>
      </c>
      <c r="C1293" s="121" t="str">
        <f t="shared" si="50"/>
        <v>http://www.fayettevillenc.va.gov/contact/phone_directory.asp</v>
      </c>
    </row>
    <row r="1294" ht="14.25" hidden="1" customHeight="1">
      <c r="A1294" s="8" t="s">
        <v>712</v>
      </c>
      <c r="B1294" s="8" t="s">
        <v>2030</v>
      </c>
      <c r="C1294" s="121" t="str">
        <f t="shared" si="50"/>
        <v>http://www.fayettevillenc.va.gov/contact/phone_directory.asp</v>
      </c>
    </row>
    <row r="1295" ht="14.25" hidden="1" customHeight="1">
      <c r="A1295" s="8" t="s">
        <v>370</v>
      </c>
      <c r="B1295" s="8" t="s">
        <v>2030</v>
      </c>
      <c r="C1295" s="121" t="str">
        <f t="shared" si="50"/>
        <v>http://www.fayettevillenc.va.gov/contact/phone_directory.asp</v>
      </c>
    </row>
    <row r="1296" ht="14.25" hidden="1" customHeight="1">
      <c r="A1296" s="8" t="s">
        <v>724</v>
      </c>
      <c r="B1296" s="8" t="s">
        <v>2030</v>
      </c>
      <c r="C1296" s="121" t="str">
        <f t="shared" si="50"/>
        <v>http://www.fayettevillenc.va.gov/contact/phone_directory.asp</v>
      </c>
    </row>
    <row r="1297" ht="14.25" hidden="1" customHeight="1">
      <c r="A1297" s="8" t="s">
        <v>2283</v>
      </c>
      <c r="B1297" s="8" t="s">
        <v>2030</v>
      </c>
      <c r="C1297" s="121" t="str">
        <f t="shared" si="50"/>
        <v>http://www.fayettevillenc.va.gov/contact/phone_directory.asp</v>
      </c>
    </row>
    <row r="1298" ht="14.25" hidden="1" customHeight="1">
      <c r="A1298" s="8" t="s">
        <v>2285</v>
      </c>
      <c r="B1298" s="8" t="s">
        <v>2030</v>
      </c>
      <c r="C1298" s="121" t="str">
        <f t="shared" si="50"/>
        <v>http://www.fayettevillenc.va.gov/contact/phone_directory.asp</v>
      </c>
    </row>
    <row r="1299" ht="14.25" hidden="1" customHeight="1">
      <c r="A1299" s="8" t="s">
        <v>1690</v>
      </c>
      <c r="B1299" s="8" t="s">
        <v>2030</v>
      </c>
      <c r="C1299" s="121" t="str">
        <f t="shared" si="50"/>
        <v>http://www.fayettevillenc.va.gov/contact/phone_directory.asp</v>
      </c>
    </row>
    <row r="1300" ht="14.25" hidden="1" customHeight="1">
      <c r="A1300" s="8" t="s">
        <v>2286</v>
      </c>
      <c r="B1300" s="8" t="s">
        <v>2060</v>
      </c>
      <c r="C1300" s="121" t="str">
        <f t="shared" ref="C1300:C1311" si="51">HYPERLINK("http://www.fresno.va.gov/contact/phone_directory.asp")</f>
        <v>http://www.fresno.va.gov/contact/phone_directory.asp</v>
      </c>
    </row>
    <row r="1301" ht="14.25" hidden="1" customHeight="1">
      <c r="A1301" s="8" t="s">
        <v>998</v>
      </c>
      <c r="B1301" s="8" t="s">
        <v>2060</v>
      </c>
      <c r="C1301" s="121" t="str">
        <f t="shared" si="51"/>
        <v>http://www.fresno.va.gov/contact/phone_directory.asp</v>
      </c>
    </row>
    <row r="1302" ht="14.25" hidden="1" customHeight="1">
      <c r="A1302" s="8" t="s">
        <v>2287</v>
      </c>
      <c r="B1302" s="8" t="s">
        <v>2060</v>
      </c>
      <c r="C1302" s="121" t="str">
        <f t="shared" si="51"/>
        <v>http://www.fresno.va.gov/contact/phone_directory.asp</v>
      </c>
    </row>
    <row r="1303" ht="14.25" hidden="1" customHeight="1">
      <c r="A1303" s="8" t="s">
        <v>2288</v>
      </c>
      <c r="B1303" s="8" t="s">
        <v>2060</v>
      </c>
      <c r="C1303" s="121" t="str">
        <f t="shared" si="51"/>
        <v>http://www.fresno.va.gov/contact/phone_directory.asp</v>
      </c>
    </row>
    <row r="1304" ht="14.25" hidden="1" customHeight="1">
      <c r="A1304" s="8" t="s">
        <v>663</v>
      </c>
      <c r="B1304" s="8" t="s">
        <v>2060</v>
      </c>
      <c r="C1304" s="121" t="str">
        <f t="shared" si="51"/>
        <v>http://www.fresno.va.gov/contact/phone_directory.asp</v>
      </c>
    </row>
    <row r="1305" ht="14.25" hidden="1" customHeight="1">
      <c r="A1305" s="8" t="s">
        <v>674</v>
      </c>
      <c r="B1305" s="8" t="s">
        <v>2060</v>
      </c>
      <c r="C1305" s="121" t="str">
        <f t="shared" si="51"/>
        <v>http://www.fresno.va.gov/contact/phone_directory.asp</v>
      </c>
    </row>
    <row r="1306" ht="14.25" hidden="1" customHeight="1">
      <c r="A1306" s="8" t="s">
        <v>670</v>
      </c>
      <c r="B1306" s="8" t="s">
        <v>2060</v>
      </c>
      <c r="C1306" s="121" t="str">
        <f t="shared" si="51"/>
        <v>http://www.fresno.va.gov/contact/phone_directory.asp</v>
      </c>
    </row>
    <row r="1307" ht="14.25" hidden="1" customHeight="1">
      <c r="A1307" s="8" t="s">
        <v>694</v>
      </c>
      <c r="B1307" s="8" t="s">
        <v>2060</v>
      </c>
      <c r="C1307" s="121" t="str">
        <f t="shared" si="51"/>
        <v>http://www.fresno.va.gov/contact/phone_directory.asp</v>
      </c>
    </row>
    <row r="1308" ht="14.25" hidden="1" customHeight="1">
      <c r="A1308" s="8" t="s">
        <v>504</v>
      </c>
      <c r="B1308" s="8" t="s">
        <v>2060</v>
      </c>
      <c r="C1308" s="121" t="str">
        <f t="shared" si="51"/>
        <v>http://www.fresno.va.gov/contact/phone_directory.asp</v>
      </c>
    </row>
    <row r="1309" ht="14.25" hidden="1" customHeight="1">
      <c r="A1309" s="8" t="s">
        <v>688</v>
      </c>
      <c r="B1309" s="8" t="s">
        <v>2060</v>
      </c>
      <c r="C1309" s="121" t="str">
        <f t="shared" si="51"/>
        <v>http://www.fresno.va.gov/contact/phone_directory.asp</v>
      </c>
    </row>
    <row r="1310" ht="14.25" hidden="1" customHeight="1">
      <c r="A1310" s="8" t="s">
        <v>724</v>
      </c>
      <c r="B1310" s="8" t="s">
        <v>2060</v>
      </c>
      <c r="C1310" s="121" t="str">
        <f t="shared" si="51"/>
        <v>http://www.fresno.va.gov/contact/phone_directory.asp</v>
      </c>
    </row>
    <row r="1311" ht="14.25" hidden="1" customHeight="1">
      <c r="A1311" s="8" t="s">
        <v>518</v>
      </c>
      <c r="B1311" s="8" t="s">
        <v>2060</v>
      </c>
      <c r="C1311" s="121" t="str">
        <f t="shared" si="51"/>
        <v>http://www.fresno.va.gov/contact/phone_directory.asp</v>
      </c>
    </row>
    <row r="1312" ht="14.25" hidden="1" customHeight="1">
      <c r="A1312" s="8" t="s">
        <v>2291</v>
      </c>
      <c r="B1312" s="8" t="s">
        <v>2080</v>
      </c>
      <c r="C1312" s="121" t="str">
        <f t="shared" ref="C1312:C1317" si="52">HYPERLINK("http://www.grandjunction.va.gov/contact/phone_directory.asp")</f>
        <v>http://www.grandjunction.va.gov/contact/phone_directory.asp</v>
      </c>
    </row>
    <row r="1313" ht="14.25" hidden="1" customHeight="1">
      <c r="A1313" s="8" t="s">
        <v>639</v>
      </c>
      <c r="B1313" s="8" t="s">
        <v>2080</v>
      </c>
      <c r="C1313" s="121" t="str">
        <f t="shared" si="52"/>
        <v>http://www.grandjunction.va.gov/contact/phone_directory.asp</v>
      </c>
    </row>
    <row r="1314" ht="14.25" hidden="1" customHeight="1">
      <c r="A1314" s="8" t="s">
        <v>2294</v>
      </c>
      <c r="B1314" s="8" t="s">
        <v>2080</v>
      </c>
      <c r="C1314" s="121" t="str">
        <f t="shared" si="52"/>
        <v>http://www.grandjunction.va.gov/contact/phone_directory.asp</v>
      </c>
    </row>
    <row r="1315" ht="14.25" hidden="1" customHeight="1">
      <c r="A1315" s="8" t="s">
        <v>2295</v>
      </c>
      <c r="B1315" s="8" t="s">
        <v>2080</v>
      </c>
      <c r="C1315" s="121" t="str">
        <f t="shared" si="52"/>
        <v>http://www.grandjunction.va.gov/contact/phone_directory.asp</v>
      </c>
    </row>
    <row r="1316" ht="14.25" hidden="1" customHeight="1">
      <c r="A1316" s="8" t="s">
        <v>697</v>
      </c>
      <c r="B1316" s="8" t="s">
        <v>2080</v>
      </c>
      <c r="C1316" s="121" t="str">
        <f t="shared" si="52"/>
        <v>http://www.grandjunction.va.gov/contact/phone_directory.asp</v>
      </c>
    </row>
    <row r="1317" ht="14.25" hidden="1" customHeight="1">
      <c r="A1317" s="8" t="s">
        <v>504</v>
      </c>
      <c r="B1317" s="8" t="s">
        <v>2080</v>
      </c>
      <c r="C1317" s="121" t="str">
        <f t="shared" si="52"/>
        <v>http://www.grandjunction.va.gov/contact/phone_directory.asp</v>
      </c>
    </row>
    <row r="1318" ht="14.25" hidden="1" customHeight="1">
      <c r="A1318" s="8" t="s">
        <v>624</v>
      </c>
      <c r="B1318" s="8" t="s">
        <v>2120</v>
      </c>
      <c r="C1318" s="121" t="str">
        <f t="shared" ref="C1318:C1333" si="53">HYPERLINK("http://www.hampton.va.gov/contact/phone_directory.asp")</f>
        <v>http://www.hampton.va.gov/contact/phone_directory.asp</v>
      </c>
    </row>
    <row r="1319" ht="14.25" hidden="1" customHeight="1">
      <c r="A1319" s="8" t="s">
        <v>631</v>
      </c>
      <c r="B1319" s="8" t="s">
        <v>2120</v>
      </c>
      <c r="C1319" s="121" t="str">
        <f t="shared" si="53"/>
        <v>http://www.hampton.va.gov/contact/phone_directory.asp</v>
      </c>
    </row>
    <row r="1320" ht="14.25" hidden="1" customHeight="1">
      <c r="A1320" s="8" t="s">
        <v>638</v>
      </c>
      <c r="B1320" s="8" t="s">
        <v>2120</v>
      </c>
      <c r="C1320" s="121" t="str">
        <f t="shared" si="53"/>
        <v>http://www.hampton.va.gov/contact/phone_directory.asp</v>
      </c>
    </row>
    <row r="1321" ht="14.25" hidden="1" customHeight="1">
      <c r="A1321" s="8" t="s">
        <v>478</v>
      </c>
      <c r="B1321" s="8" t="s">
        <v>2120</v>
      </c>
      <c r="C1321" s="121" t="str">
        <f t="shared" si="53"/>
        <v>http://www.hampton.va.gov/contact/phone_directory.asp</v>
      </c>
    </row>
    <row r="1322" ht="14.25" hidden="1" customHeight="1">
      <c r="A1322" s="8" t="s">
        <v>455</v>
      </c>
      <c r="B1322" s="8" t="s">
        <v>2120</v>
      </c>
      <c r="C1322" s="121" t="str">
        <f t="shared" si="53"/>
        <v>http://www.hampton.va.gov/contact/phone_directory.asp</v>
      </c>
    </row>
    <row r="1323" ht="14.25" hidden="1" customHeight="1">
      <c r="A1323" s="8" t="s">
        <v>1963</v>
      </c>
      <c r="B1323" s="8" t="s">
        <v>2120</v>
      </c>
      <c r="C1323" s="121" t="str">
        <f t="shared" si="53"/>
        <v>http://www.hampton.va.gov/contact/phone_directory.asp</v>
      </c>
    </row>
    <row r="1324" ht="14.25" hidden="1" customHeight="1">
      <c r="A1324" s="8" t="s">
        <v>1147</v>
      </c>
      <c r="B1324" s="8" t="s">
        <v>2120</v>
      </c>
      <c r="C1324" s="121" t="str">
        <f t="shared" si="53"/>
        <v>http://www.hampton.va.gov/contact/phone_directory.asp</v>
      </c>
    </row>
    <row r="1325" ht="14.25" hidden="1" customHeight="1">
      <c r="A1325" s="8" t="s">
        <v>2297</v>
      </c>
      <c r="B1325" s="8" t="s">
        <v>2120</v>
      </c>
      <c r="C1325" s="121" t="str">
        <f t="shared" si="53"/>
        <v>http://www.hampton.va.gov/contact/phone_directory.asp</v>
      </c>
    </row>
    <row r="1326" ht="14.25" hidden="1" customHeight="1">
      <c r="A1326" s="8" t="s">
        <v>2299</v>
      </c>
      <c r="B1326" s="8" t="s">
        <v>2120</v>
      </c>
      <c r="C1326" s="121" t="str">
        <f t="shared" si="53"/>
        <v>http://www.hampton.va.gov/contact/phone_directory.asp</v>
      </c>
    </row>
    <row r="1327" ht="14.25" hidden="1" customHeight="1">
      <c r="A1327" s="8" t="s">
        <v>1654</v>
      </c>
      <c r="B1327" s="8" t="s">
        <v>2120</v>
      </c>
      <c r="C1327" s="121" t="str">
        <f t="shared" si="53"/>
        <v>http://www.hampton.va.gov/contact/phone_directory.asp</v>
      </c>
    </row>
    <row r="1328" ht="14.25" hidden="1" customHeight="1">
      <c r="A1328" s="8" t="s">
        <v>697</v>
      </c>
      <c r="B1328" s="8" t="s">
        <v>2120</v>
      </c>
      <c r="C1328" s="121" t="str">
        <f t="shared" si="53"/>
        <v>http://www.hampton.va.gov/contact/phone_directory.asp</v>
      </c>
    </row>
    <row r="1329" ht="14.25" hidden="1" customHeight="1">
      <c r="A1329" s="8" t="s">
        <v>1689</v>
      </c>
      <c r="B1329" s="8" t="s">
        <v>2120</v>
      </c>
      <c r="C1329" s="121" t="str">
        <f t="shared" si="53"/>
        <v>http://www.hampton.va.gov/contact/phone_directory.asp</v>
      </c>
    </row>
    <row r="1330" ht="14.25" hidden="1" customHeight="1">
      <c r="A1330" s="8" t="s">
        <v>504</v>
      </c>
      <c r="B1330" s="8" t="s">
        <v>2120</v>
      </c>
      <c r="C1330" s="121" t="str">
        <f t="shared" si="53"/>
        <v>http://www.hampton.va.gov/contact/phone_directory.asp</v>
      </c>
    </row>
    <row r="1331" ht="14.25" hidden="1" customHeight="1">
      <c r="A1331" s="8" t="s">
        <v>708</v>
      </c>
      <c r="B1331" s="8" t="s">
        <v>2120</v>
      </c>
      <c r="C1331" s="121" t="str">
        <f t="shared" si="53"/>
        <v>http://www.hampton.va.gov/contact/phone_directory.asp</v>
      </c>
    </row>
    <row r="1332" ht="14.25" hidden="1" customHeight="1">
      <c r="A1332" s="8" t="s">
        <v>712</v>
      </c>
      <c r="B1332" s="8" t="s">
        <v>2120</v>
      </c>
      <c r="C1332" s="121" t="str">
        <f t="shared" si="53"/>
        <v>http://www.hampton.va.gov/contact/phone_directory.asp</v>
      </c>
    </row>
    <row r="1333" ht="14.25" hidden="1" customHeight="1">
      <c r="A1333" s="8" t="s">
        <v>1690</v>
      </c>
      <c r="B1333" s="8" t="s">
        <v>2120</v>
      </c>
      <c r="C1333" s="121" t="str">
        <f t="shared" si="53"/>
        <v>http://www.hampton.va.gov/contact/phone_directory.asp</v>
      </c>
    </row>
    <row r="1334" ht="14.25" hidden="1" customHeight="1">
      <c r="A1334" s="8" t="s">
        <v>624</v>
      </c>
      <c r="B1334" s="8" t="s">
        <v>2147</v>
      </c>
      <c r="C1334" s="121" t="str">
        <f t="shared" ref="C1334:C1342" si="54">HYPERLINK("http://www.hawaii.va.gov/contact/phone_directory.asp")</f>
        <v>http://www.hawaii.va.gov/contact/phone_directory.asp</v>
      </c>
    </row>
    <row r="1335" ht="14.25" hidden="1" customHeight="1">
      <c r="A1335" s="8" t="s">
        <v>631</v>
      </c>
      <c r="B1335" s="8" t="s">
        <v>2147</v>
      </c>
      <c r="C1335" s="121" t="str">
        <f t="shared" si="54"/>
        <v>http://www.hawaii.va.gov/contact/phone_directory.asp</v>
      </c>
    </row>
    <row r="1336" ht="14.25" hidden="1" customHeight="1">
      <c r="A1336" s="8" t="s">
        <v>455</v>
      </c>
      <c r="B1336" s="8" t="s">
        <v>2147</v>
      </c>
      <c r="C1336" s="121" t="str">
        <f t="shared" si="54"/>
        <v>http://www.hawaii.va.gov/contact/phone_directory.asp</v>
      </c>
    </row>
    <row r="1337" ht="14.25" hidden="1" customHeight="1">
      <c r="A1337" s="8" t="s">
        <v>2305</v>
      </c>
      <c r="B1337" s="8" t="s">
        <v>2147</v>
      </c>
      <c r="C1337" s="121" t="str">
        <f t="shared" si="54"/>
        <v>http://www.hawaii.va.gov/contact/phone_directory.asp</v>
      </c>
    </row>
    <row r="1338" ht="14.25" hidden="1" customHeight="1">
      <c r="A1338" s="8" t="s">
        <v>486</v>
      </c>
      <c r="B1338" s="8" t="s">
        <v>2147</v>
      </c>
      <c r="C1338" s="121" t="str">
        <f t="shared" si="54"/>
        <v>http://www.hawaii.va.gov/contact/phone_directory.asp</v>
      </c>
    </row>
    <row r="1339" ht="14.25" hidden="1" customHeight="1">
      <c r="A1339" s="8" t="s">
        <v>670</v>
      </c>
      <c r="B1339" s="8" t="s">
        <v>2147</v>
      </c>
      <c r="C1339" s="121" t="str">
        <f t="shared" si="54"/>
        <v>http://www.hawaii.va.gov/contact/phone_directory.asp</v>
      </c>
    </row>
    <row r="1340" ht="14.25" hidden="1" customHeight="1">
      <c r="A1340" s="8" t="s">
        <v>694</v>
      </c>
      <c r="B1340" s="8" t="s">
        <v>2147</v>
      </c>
      <c r="C1340" s="121" t="str">
        <f t="shared" si="54"/>
        <v>http://www.hawaii.va.gov/contact/phone_directory.asp</v>
      </c>
    </row>
    <row r="1341" ht="14.25" hidden="1" customHeight="1">
      <c r="A1341" s="8" t="s">
        <v>504</v>
      </c>
      <c r="B1341" s="8" t="s">
        <v>2147</v>
      </c>
      <c r="C1341" s="121" t="str">
        <f t="shared" si="54"/>
        <v>http://www.hawaii.va.gov/contact/phone_directory.asp</v>
      </c>
    </row>
    <row r="1342" ht="14.25" hidden="1" customHeight="1">
      <c r="A1342" s="8" t="s">
        <v>708</v>
      </c>
      <c r="B1342" s="8" t="s">
        <v>2147</v>
      </c>
      <c r="C1342" s="121" t="str">
        <f t="shared" si="54"/>
        <v>http://www.hawaii.va.gov/contact/phone_directory.asp</v>
      </c>
    </row>
    <row r="1343" ht="14.25" hidden="1" customHeight="1">
      <c r="A1343" s="8" t="s">
        <v>817</v>
      </c>
      <c r="B1343" s="8" t="s">
        <v>2159</v>
      </c>
      <c r="C1343" s="121" t="str">
        <f t="shared" ref="C1343:C1382" si="55">HYPERLINK("http://www.hines.va.gov/contact/phone_directory.asp")</f>
        <v>http://www.hines.va.gov/contact/phone_directory.asp</v>
      </c>
    </row>
    <row r="1344" ht="14.25" hidden="1" customHeight="1">
      <c r="A1344" s="8" t="s">
        <v>2310</v>
      </c>
      <c r="B1344" s="8" t="s">
        <v>2159</v>
      </c>
      <c r="C1344" s="121" t="str">
        <f t="shared" si="55"/>
        <v>http://www.hines.va.gov/contact/phone_directory.asp</v>
      </c>
    </row>
    <row r="1345" ht="14.25" hidden="1" customHeight="1">
      <c r="A1345" s="8" t="s">
        <v>407</v>
      </c>
      <c r="B1345" s="8" t="s">
        <v>2159</v>
      </c>
      <c r="C1345" s="121" t="str">
        <f t="shared" si="55"/>
        <v>http://www.hines.va.gov/contact/phone_directory.asp</v>
      </c>
    </row>
    <row r="1346" ht="14.25" hidden="1" customHeight="1">
      <c r="A1346" s="8" t="s">
        <v>624</v>
      </c>
      <c r="B1346" s="8" t="s">
        <v>2159</v>
      </c>
      <c r="C1346" s="121" t="str">
        <f t="shared" si="55"/>
        <v>http://www.hines.va.gov/contact/phone_directory.asp</v>
      </c>
    </row>
    <row r="1347" ht="14.25" hidden="1" customHeight="1">
      <c r="A1347" s="8" t="s">
        <v>1242</v>
      </c>
      <c r="B1347" s="8" t="s">
        <v>2159</v>
      </c>
      <c r="C1347" s="121" t="str">
        <f t="shared" si="55"/>
        <v>http://www.hines.va.gov/contact/phone_directory.asp</v>
      </c>
    </row>
    <row r="1348" ht="14.25" hidden="1" customHeight="1">
      <c r="A1348" s="8" t="s">
        <v>631</v>
      </c>
      <c r="B1348" s="8" t="s">
        <v>2159</v>
      </c>
      <c r="C1348" s="121" t="str">
        <f t="shared" si="55"/>
        <v>http://www.hines.va.gov/contact/phone_directory.asp</v>
      </c>
    </row>
    <row r="1349" ht="14.25" hidden="1" customHeight="1">
      <c r="A1349" s="8" t="s">
        <v>946</v>
      </c>
      <c r="B1349" s="8" t="s">
        <v>2159</v>
      </c>
      <c r="C1349" s="121" t="str">
        <f t="shared" si="55"/>
        <v>http://www.hines.va.gov/contact/phone_directory.asp</v>
      </c>
    </row>
    <row r="1350" ht="14.25" hidden="1" customHeight="1">
      <c r="A1350" s="8" t="s">
        <v>1669</v>
      </c>
      <c r="B1350" s="8" t="s">
        <v>2159</v>
      </c>
      <c r="C1350" s="121" t="str">
        <f t="shared" si="55"/>
        <v>http://www.hines.va.gov/contact/phone_directory.asp</v>
      </c>
    </row>
    <row r="1351" ht="14.25" hidden="1" customHeight="1">
      <c r="A1351" s="8" t="s">
        <v>2311</v>
      </c>
      <c r="B1351" s="8" t="s">
        <v>2159</v>
      </c>
      <c r="C1351" s="121" t="str">
        <f t="shared" si="55"/>
        <v>http://www.hines.va.gov/contact/phone_directory.asp</v>
      </c>
    </row>
    <row r="1352" ht="14.25" hidden="1" customHeight="1">
      <c r="A1352" s="8" t="s">
        <v>2312</v>
      </c>
      <c r="B1352" s="8" t="s">
        <v>2159</v>
      </c>
      <c r="C1352" s="121" t="str">
        <f t="shared" si="55"/>
        <v>http://www.hines.va.gov/contact/phone_directory.asp</v>
      </c>
    </row>
    <row r="1353" ht="14.25" hidden="1" customHeight="1">
      <c r="A1353" s="8" t="s">
        <v>497</v>
      </c>
      <c r="B1353" s="8" t="s">
        <v>2159</v>
      </c>
      <c r="C1353" s="121" t="str">
        <f t="shared" si="55"/>
        <v>http://www.hines.va.gov/contact/phone_directory.asp</v>
      </c>
    </row>
    <row r="1354" ht="14.25" hidden="1" customHeight="1">
      <c r="A1354" s="8" t="s">
        <v>663</v>
      </c>
      <c r="B1354" s="8" t="s">
        <v>2159</v>
      </c>
      <c r="C1354" s="121" t="str">
        <f t="shared" si="55"/>
        <v>http://www.hines.va.gov/contact/phone_directory.asp</v>
      </c>
    </row>
    <row r="1355" ht="14.25" hidden="1" customHeight="1">
      <c r="A1355" s="8" t="s">
        <v>2313</v>
      </c>
      <c r="B1355" s="8" t="s">
        <v>2159</v>
      </c>
      <c r="C1355" s="121" t="str">
        <f t="shared" si="55"/>
        <v>http://www.hines.va.gov/contact/phone_directory.asp</v>
      </c>
    </row>
    <row r="1356" ht="14.25" hidden="1" customHeight="1">
      <c r="A1356" s="8" t="s">
        <v>2314</v>
      </c>
      <c r="B1356" s="8" t="s">
        <v>2159</v>
      </c>
      <c r="C1356" s="121" t="str">
        <f t="shared" si="55"/>
        <v>http://www.hines.va.gov/contact/phone_directory.asp</v>
      </c>
    </row>
    <row r="1357" ht="14.25" hidden="1" customHeight="1">
      <c r="A1357" s="8" t="s">
        <v>2315</v>
      </c>
      <c r="B1357" s="8" t="s">
        <v>2159</v>
      </c>
      <c r="C1357" s="121" t="str">
        <f t="shared" si="55"/>
        <v>http://www.hines.va.gov/contact/phone_directory.asp</v>
      </c>
    </row>
    <row r="1358" ht="14.25" hidden="1" customHeight="1">
      <c r="A1358" s="8" t="s">
        <v>2316</v>
      </c>
      <c r="B1358" s="8" t="s">
        <v>2159</v>
      </c>
      <c r="C1358" s="121" t="str">
        <f t="shared" si="55"/>
        <v>http://www.hines.va.gov/contact/phone_directory.asp</v>
      </c>
    </row>
    <row r="1359" ht="14.25" hidden="1" customHeight="1">
      <c r="A1359" s="8" t="s">
        <v>431</v>
      </c>
      <c r="B1359" s="8" t="s">
        <v>2159</v>
      </c>
      <c r="C1359" s="121" t="str">
        <f t="shared" si="55"/>
        <v>http://www.hines.va.gov/contact/phone_directory.asp</v>
      </c>
    </row>
    <row r="1360" ht="14.25" hidden="1" customHeight="1">
      <c r="A1360" s="8" t="s">
        <v>2317</v>
      </c>
      <c r="B1360" s="8" t="s">
        <v>2159</v>
      </c>
      <c r="C1360" s="121" t="str">
        <f t="shared" si="55"/>
        <v>http://www.hines.va.gov/contact/phone_directory.asp</v>
      </c>
    </row>
    <row r="1361" ht="14.25" hidden="1" customHeight="1">
      <c r="A1361" s="8" t="s">
        <v>2318</v>
      </c>
      <c r="B1361" s="8" t="s">
        <v>2159</v>
      </c>
      <c r="C1361" s="121" t="str">
        <f t="shared" si="55"/>
        <v>http://www.hines.va.gov/contact/phone_directory.asp</v>
      </c>
    </row>
    <row r="1362" ht="14.25" hidden="1" customHeight="1">
      <c r="A1362" s="8" t="s">
        <v>2320</v>
      </c>
      <c r="B1362" s="8" t="s">
        <v>2159</v>
      </c>
      <c r="C1362" s="121" t="str">
        <f t="shared" si="55"/>
        <v>http://www.hines.va.gov/contact/phone_directory.asp</v>
      </c>
    </row>
    <row r="1363" ht="14.25" hidden="1" customHeight="1">
      <c r="A1363" s="8" t="s">
        <v>2321</v>
      </c>
      <c r="B1363" s="8" t="s">
        <v>2159</v>
      </c>
      <c r="C1363" s="121" t="str">
        <f t="shared" si="55"/>
        <v>http://www.hines.va.gov/contact/phone_directory.asp</v>
      </c>
    </row>
    <row r="1364" ht="14.25" hidden="1" customHeight="1">
      <c r="A1364" s="8" t="s">
        <v>2322</v>
      </c>
      <c r="B1364" s="8" t="s">
        <v>2159</v>
      </c>
      <c r="C1364" s="121" t="str">
        <f t="shared" si="55"/>
        <v>http://www.hines.va.gov/contact/phone_directory.asp</v>
      </c>
    </row>
    <row r="1365" ht="14.25" hidden="1" customHeight="1">
      <c r="A1365" s="8" t="s">
        <v>326</v>
      </c>
      <c r="B1365" s="8" t="s">
        <v>2159</v>
      </c>
      <c r="C1365" s="121" t="str">
        <f t="shared" si="55"/>
        <v>http://www.hines.va.gov/contact/phone_directory.asp</v>
      </c>
    </row>
    <row r="1366" ht="14.25" hidden="1" customHeight="1">
      <c r="A1366" s="8" t="s">
        <v>2323</v>
      </c>
      <c r="B1366" s="8" t="s">
        <v>2159</v>
      </c>
      <c r="C1366" s="121" t="str">
        <f t="shared" si="55"/>
        <v>http://www.hines.va.gov/contact/phone_directory.asp</v>
      </c>
    </row>
    <row r="1367" ht="14.25" hidden="1" customHeight="1">
      <c r="A1367" s="8" t="s">
        <v>691</v>
      </c>
      <c r="B1367" s="8" t="s">
        <v>2159</v>
      </c>
      <c r="C1367" s="121" t="str">
        <f t="shared" si="55"/>
        <v>http://www.hines.va.gov/contact/phone_directory.asp</v>
      </c>
    </row>
    <row r="1368" ht="14.25" hidden="1" customHeight="1">
      <c r="A1368" s="8" t="s">
        <v>2325</v>
      </c>
      <c r="B1368" s="8" t="s">
        <v>2159</v>
      </c>
      <c r="C1368" s="121" t="str">
        <f t="shared" si="55"/>
        <v>http://www.hines.va.gov/contact/phone_directory.asp</v>
      </c>
    </row>
    <row r="1369" ht="14.25" hidden="1" customHeight="1">
      <c r="A1369" s="8" t="s">
        <v>2326</v>
      </c>
      <c r="B1369" s="8" t="s">
        <v>2159</v>
      </c>
      <c r="C1369" s="121" t="str">
        <f t="shared" si="55"/>
        <v>http://www.hines.va.gov/contact/phone_directory.asp</v>
      </c>
    </row>
    <row r="1370" ht="14.25" hidden="1" customHeight="1">
      <c r="A1370" s="8" t="s">
        <v>1689</v>
      </c>
      <c r="B1370" s="8" t="s">
        <v>2159</v>
      </c>
      <c r="C1370" s="121" t="str">
        <f t="shared" si="55"/>
        <v>http://www.hines.va.gov/contact/phone_directory.asp</v>
      </c>
    </row>
    <row r="1371" ht="14.25" hidden="1" customHeight="1">
      <c r="A1371" s="8" t="s">
        <v>348</v>
      </c>
      <c r="B1371" s="8" t="s">
        <v>2159</v>
      </c>
      <c r="C1371" s="121" t="str">
        <f t="shared" si="55"/>
        <v>http://www.hines.va.gov/contact/phone_directory.asp</v>
      </c>
    </row>
    <row r="1372" ht="14.25" hidden="1" customHeight="1">
      <c r="A1372" s="8" t="s">
        <v>2329</v>
      </c>
      <c r="B1372" s="8" t="s">
        <v>2159</v>
      </c>
      <c r="C1372" s="121" t="str">
        <f t="shared" si="55"/>
        <v>http://www.hines.va.gov/contact/phone_directory.asp</v>
      </c>
    </row>
    <row r="1373" ht="14.25" hidden="1" customHeight="1">
      <c r="A1373" s="8" t="s">
        <v>1661</v>
      </c>
      <c r="B1373" s="8" t="s">
        <v>2159</v>
      </c>
      <c r="C1373" s="121" t="str">
        <f t="shared" si="55"/>
        <v>http://www.hines.va.gov/contact/phone_directory.asp</v>
      </c>
    </row>
    <row r="1374" ht="14.25" hidden="1" customHeight="1">
      <c r="A1374" s="8" t="s">
        <v>708</v>
      </c>
      <c r="B1374" s="8" t="s">
        <v>2159</v>
      </c>
      <c r="C1374" s="121" t="str">
        <f t="shared" si="55"/>
        <v>http://www.hines.va.gov/contact/phone_directory.asp</v>
      </c>
    </row>
    <row r="1375" ht="14.25" hidden="1" customHeight="1">
      <c r="A1375" s="8" t="s">
        <v>2330</v>
      </c>
      <c r="B1375" s="8" t="s">
        <v>2159</v>
      </c>
      <c r="C1375" s="121" t="str">
        <f t="shared" si="55"/>
        <v>http://www.hines.va.gov/contact/phone_directory.asp</v>
      </c>
    </row>
    <row r="1376" ht="14.25" hidden="1" customHeight="1">
      <c r="A1376" s="8" t="s">
        <v>1054</v>
      </c>
      <c r="B1376" s="8" t="s">
        <v>2159</v>
      </c>
      <c r="C1376" s="121" t="str">
        <f t="shared" si="55"/>
        <v>http://www.hines.va.gov/contact/phone_directory.asp</v>
      </c>
    </row>
    <row r="1377" ht="14.25" hidden="1" customHeight="1">
      <c r="A1377" s="8" t="s">
        <v>712</v>
      </c>
      <c r="B1377" s="8" t="s">
        <v>2159</v>
      </c>
      <c r="C1377" s="121" t="str">
        <f t="shared" si="55"/>
        <v>http://www.hines.va.gov/contact/phone_directory.asp</v>
      </c>
    </row>
    <row r="1378" ht="14.25" hidden="1" customHeight="1">
      <c r="A1378" s="8" t="s">
        <v>2332</v>
      </c>
      <c r="B1378" s="8" t="s">
        <v>2159</v>
      </c>
      <c r="C1378" s="121" t="str">
        <f t="shared" si="55"/>
        <v>http://www.hines.va.gov/contact/phone_directory.asp</v>
      </c>
    </row>
    <row r="1379" ht="14.25" hidden="1" customHeight="1">
      <c r="A1379" s="8" t="s">
        <v>2333</v>
      </c>
      <c r="B1379" s="8" t="s">
        <v>2159</v>
      </c>
      <c r="C1379" s="121" t="str">
        <f t="shared" si="55"/>
        <v>http://www.hines.va.gov/contact/phone_directory.asp</v>
      </c>
    </row>
    <row r="1380" ht="14.25" hidden="1" customHeight="1">
      <c r="A1380" s="8" t="s">
        <v>724</v>
      </c>
      <c r="B1380" s="8" t="s">
        <v>2159</v>
      </c>
      <c r="C1380" s="121" t="str">
        <f t="shared" si="55"/>
        <v>http://www.hines.va.gov/contact/phone_directory.asp</v>
      </c>
    </row>
    <row r="1381" ht="14.25" hidden="1" customHeight="1">
      <c r="A1381" s="8" t="s">
        <v>2334</v>
      </c>
      <c r="B1381" s="8" t="s">
        <v>2159</v>
      </c>
      <c r="C1381" s="121" t="str">
        <f t="shared" si="55"/>
        <v>http://www.hines.va.gov/contact/phone_directory.asp</v>
      </c>
    </row>
    <row r="1382" ht="14.25" hidden="1" customHeight="1">
      <c r="A1382" s="8" t="s">
        <v>518</v>
      </c>
      <c r="B1382" s="8" t="s">
        <v>2159</v>
      </c>
      <c r="C1382" s="121" t="str">
        <f t="shared" si="55"/>
        <v>http://www.hines.va.gov/contact/phone_directory.asp</v>
      </c>
    </row>
    <row r="1383" ht="14.25" hidden="1" customHeight="1">
      <c r="A1383" s="8" t="s">
        <v>2335</v>
      </c>
      <c r="B1383" s="8" t="s">
        <v>2211</v>
      </c>
      <c r="C1383" s="121" t="str">
        <f t="shared" ref="C1383:C1427" si="56">HYPERLINK("http://www.houston.va.gov/contact/phone_directory.asp")</f>
        <v>http://www.houston.va.gov/contact/phone_directory.asp</v>
      </c>
    </row>
    <row r="1384" ht="14.25" hidden="1" customHeight="1">
      <c r="A1384" s="8" t="s">
        <v>2337</v>
      </c>
      <c r="B1384" s="8" t="s">
        <v>2211</v>
      </c>
      <c r="C1384" s="121" t="str">
        <f t="shared" si="56"/>
        <v>http://www.houston.va.gov/contact/phone_directory.asp</v>
      </c>
    </row>
    <row r="1385" ht="14.25" hidden="1" customHeight="1">
      <c r="A1385" s="8" t="s">
        <v>998</v>
      </c>
      <c r="B1385" s="8" t="s">
        <v>2211</v>
      </c>
      <c r="C1385" s="121" t="str">
        <f t="shared" si="56"/>
        <v>http://www.houston.va.gov/contact/phone_directory.asp</v>
      </c>
    </row>
    <row r="1386" ht="14.25" hidden="1" customHeight="1">
      <c r="A1386" s="8" t="s">
        <v>2338</v>
      </c>
      <c r="B1386" s="8" t="s">
        <v>2211</v>
      </c>
      <c r="C1386" s="121" t="str">
        <f t="shared" si="56"/>
        <v>http://www.houston.va.gov/contact/phone_directory.asp</v>
      </c>
    </row>
    <row r="1387" ht="14.25" hidden="1" customHeight="1">
      <c r="A1387" s="8" t="s">
        <v>2271</v>
      </c>
      <c r="B1387" s="8" t="s">
        <v>2211</v>
      </c>
      <c r="C1387" s="121" t="str">
        <f t="shared" si="56"/>
        <v>http://www.houston.va.gov/contact/phone_directory.asp</v>
      </c>
    </row>
    <row r="1388" ht="14.25" hidden="1" customHeight="1">
      <c r="A1388" s="8" t="s">
        <v>2340</v>
      </c>
      <c r="B1388" s="8" t="s">
        <v>2211</v>
      </c>
      <c r="C1388" s="121" t="str">
        <f t="shared" si="56"/>
        <v>http://www.houston.va.gov/contact/phone_directory.asp</v>
      </c>
    </row>
    <row r="1389" ht="14.25" hidden="1" customHeight="1">
      <c r="A1389" s="8" t="s">
        <v>2341</v>
      </c>
      <c r="B1389" s="8" t="s">
        <v>2211</v>
      </c>
      <c r="C1389" s="121" t="str">
        <f t="shared" si="56"/>
        <v>http://www.houston.va.gov/contact/phone_directory.asp</v>
      </c>
    </row>
    <row r="1390" ht="14.25" hidden="1" customHeight="1">
      <c r="A1390" s="8" t="s">
        <v>2342</v>
      </c>
      <c r="B1390" s="8" t="s">
        <v>2211</v>
      </c>
      <c r="C1390" s="121" t="str">
        <f t="shared" si="56"/>
        <v>http://www.houston.va.gov/contact/phone_directory.asp</v>
      </c>
    </row>
    <row r="1391" ht="14.25" hidden="1" customHeight="1">
      <c r="A1391" s="8" t="s">
        <v>2344</v>
      </c>
      <c r="B1391" s="8" t="s">
        <v>2211</v>
      </c>
      <c r="C1391" s="121" t="str">
        <f t="shared" si="56"/>
        <v>http://www.houston.va.gov/contact/phone_directory.asp</v>
      </c>
    </row>
    <row r="1392" ht="14.25" hidden="1" customHeight="1">
      <c r="A1392" s="8" t="s">
        <v>2345</v>
      </c>
      <c r="B1392" s="8" t="s">
        <v>2211</v>
      </c>
      <c r="C1392" s="121" t="str">
        <f t="shared" si="56"/>
        <v>http://www.houston.va.gov/contact/phone_directory.asp</v>
      </c>
    </row>
    <row r="1393" ht="14.25" hidden="1" customHeight="1">
      <c r="A1393" s="8" t="s">
        <v>1963</v>
      </c>
      <c r="B1393" s="8" t="s">
        <v>2211</v>
      </c>
      <c r="C1393" s="121" t="str">
        <f t="shared" si="56"/>
        <v>http://www.houston.va.gov/contact/phone_directory.asp</v>
      </c>
    </row>
    <row r="1394" ht="14.25" hidden="1" customHeight="1">
      <c r="A1394" s="8" t="s">
        <v>2346</v>
      </c>
      <c r="B1394" s="8" t="s">
        <v>2211</v>
      </c>
      <c r="C1394" s="121" t="str">
        <f t="shared" si="56"/>
        <v>http://www.houston.va.gov/contact/phone_directory.asp</v>
      </c>
    </row>
    <row r="1395" ht="14.25" hidden="1" customHeight="1">
      <c r="A1395" s="8" t="s">
        <v>2347</v>
      </c>
      <c r="B1395" s="8" t="s">
        <v>2211</v>
      </c>
      <c r="C1395" s="121" t="str">
        <f t="shared" si="56"/>
        <v>http://www.houston.va.gov/contact/phone_directory.asp</v>
      </c>
    </row>
    <row r="1396" ht="14.25" hidden="1" customHeight="1">
      <c r="A1396" s="8" t="s">
        <v>2348</v>
      </c>
      <c r="B1396" s="8" t="s">
        <v>2211</v>
      </c>
      <c r="C1396" s="121" t="str">
        <f t="shared" si="56"/>
        <v>http://www.houston.va.gov/contact/phone_directory.asp</v>
      </c>
    </row>
    <row r="1397" ht="14.25" hidden="1" customHeight="1">
      <c r="A1397" s="8" t="s">
        <v>2350</v>
      </c>
      <c r="B1397" s="8" t="s">
        <v>2211</v>
      </c>
      <c r="C1397" s="121" t="str">
        <f t="shared" si="56"/>
        <v>http://www.houston.va.gov/contact/phone_directory.asp</v>
      </c>
    </row>
    <row r="1398" ht="14.25" hidden="1" customHeight="1">
      <c r="A1398" s="8" t="s">
        <v>670</v>
      </c>
      <c r="B1398" s="8" t="s">
        <v>2211</v>
      </c>
      <c r="C1398" s="121" t="str">
        <f t="shared" si="56"/>
        <v>http://www.houston.va.gov/contact/phone_directory.asp</v>
      </c>
    </row>
    <row r="1399" ht="14.25" hidden="1" customHeight="1">
      <c r="A1399" s="8" t="s">
        <v>2351</v>
      </c>
      <c r="B1399" s="8" t="s">
        <v>2211</v>
      </c>
      <c r="C1399" s="121" t="str">
        <f t="shared" si="56"/>
        <v>http://www.houston.va.gov/contact/phone_directory.asp</v>
      </c>
    </row>
    <row r="1400" ht="14.25" hidden="1" customHeight="1">
      <c r="A1400" s="8" t="s">
        <v>2352</v>
      </c>
      <c r="B1400" s="8" t="s">
        <v>2211</v>
      </c>
      <c r="C1400" s="121" t="str">
        <f t="shared" si="56"/>
        <v>http://www.houston.va.gov/contact/phone_directory.asp</v>
      </c>
    </row>
    <row r="1401" ht="14.25" hidden="1" customHeight="1">
      <c r="A1401" s="8" t="s">
        <v>2353</v>
      </c>
      <c r="B1401" s="8" t="s">
        <v>2211</v>
      </c>
      <c r="C1401" s="121" t="str">
        <f t="shared" si="56"/>
        <v>http://www.houston.va.gov/contact/phone_directory.asp</v>
      </c>
    </row>
    <row r="1402" ht="14.25" hidden="1" customHeight="1">
      <c r="A1402" s="8" t="s">
        <v>2355</v>
      </c>
      <c r="B1402" s="8" t="s">
        <v>2211</v>
      </c>
      <c r="C1402" s="121" t="str">
        <f t="shared" si="56"/>
        <v>http://www.houston.va.gov/contact/phone_directory.asp</v>
      </c>
    </row>
    <row r="1403" ht="14.25" hidden="1" customHeight="1">
      <c r="A1403" s="8" t="s">
        <v>1655</v>
      </c>
      <c r="B1403" s="8" t="s">
        <v>2211</v>
      </c>
      <c r="C1403" s="121" t="str">
        <f t="shared" si="56"/>
        <v>http://www.houston.va.gov/contact/phone_directory.asp</v>
      </c>
    </row>
    <row r="1404" ht="14.25" hidden="1" customHeight="1">
      <c r="A1404" s="8" t="s">
        <v>2356</v>
      </c>
      <c r="B1404" s="8" t="s">
        <v>2211</v>
      </c>
      <c r="C1404" s="121" t="str">
        <f t="shared" si="56"/>
        <v>http://www.houston.va.gov/contact/phone_directory.asp</v>
      </c>
    </row>
    <row r="1405" ht="14.25" hidden="1" customHeight="1">
      <c r="A1405" s="8" t="s">
        <v>2358</v>
      </c>
      <c r="B1405" s="8" t="s">
        <v>2211</v>
      </c>
      <c r="C1405" s="121" t="str">
        <f t="shared" si="56"/>
        <v>http://www.houston.va.gov/contact/phone_directory.asp</v>
      </c>
    </row>
    <row r="1406" ht="14.25" hidden="1" customHeight="1">
      <c r="A1406" s="8" t="s">
        <v>2359</v>
      </c>
      <c r="B1406" s="8" t="s">
        <v>2211</v>
      </c>
      <c r="C1406" s="121" t="str">
        <f t="shared" si="56"/>
        <v>http://www.houston.va.gov/contact/phone_directory.asp</v>
      </c>
    </row>
    <row r="1407" ht="14.25" hidden="1" customHeight="1">
      <c r="A1407" s="8" t="s">
        <v>2361</v>
      </c>
      <c r="B1407" s="8" t="s">
        <v>2211</v>
      </c>
      <c r="C1407" s="121" t="str">
        <f t="shared" si="56"/>
        <v>http://www.houston.va.gov/contact/phone_directory.asp</v>
      </c>
    </row>
    <row r="1408" ht="14.25" hidden="1" customHeight="1">
      <c r="A1408" s="8" t="s">
        <v>2363</v>
      </c>
      <c r="B1408" s="8" t="s">
        <v>2211</v>
      </c>
      <c r="C1408" s="121" t="str">
        <f t="shared" si="56"/>
        <v>http://www.houston.va.gov/contact/phone_directory.asp</v>
      </c>
    </row>
    <row r="1409" ht="14.25" hidden="1" customHeight="1">
      <c r="A1409" s="8" t="s">
        <v>2364</v>
      </c>
      <c r="B1409" s="8" t="s">
        <v>2211</v>
      </c>
      <c r="C1409" s="121" t="str">
        <f t="shared" si="56"/>
        <v>http://www.houston.va.gov/contact/phone_directory.asp</v>
      </c>
    </row>
    <row r="1410" ht="14.25" hidden="1" customHeight="1">
      <c r="A1410" s="8" t="s">
        <v>2365</v>
      </c>
      <c r="B1410" s="8" t="s">
        <v>2211</v>
      </c>
      <c r="C1410" s="121" t="str">
        <f t="shared" si="56"/>
        <v>http://www.houston.va.gov/contact/phone_directory.asp</v>
      </c>
    </row>
    <row r="1411" ht="14.25" hidden="1" customHeight="1">
      <c r="A1411" s="8" t="s">
        <v>2366</v>
      </c>
      <c r="B1411" s="8" t="s">
        <v>2211</v>
      </c>
      <c r="C1411" s="121" t="str">
        <f t="shared" si="56"/>
        <v>http://www.houston.va.gov/contact/phone_directory.asp</v>
      </c>
    </row>
    <row r="1412" ht="14.25" hidden="1" customHeight="1">
      <c r="A1412" s="8" t="s">
        <v>2368</v>
      </c>
      <c r="B1412" s="8" t="s">
        <v>2211</v>
      </c>
      <c r="C1412" s="121" t="str">
        <f t="shared" si="56"/>
        <v>http://www.houston.va.gov/contact/phone_directory.asp</v>
      </c>
    </row>
    <row r="1413" ht="14.25" hidden="1" customHeight="1">
      <c r="A1413" s="8" t="s">
        <v>2369</v>
      </c>
      <c r="B1413" s="8" t="s">
        <v>2211</v>
      </c>
      <c r="C1413" s="121" t="str">
        <f t="shared" si="56"/>
        <v>http://www.houston.va.gov/contact/phone_directory.asp</v>
      </c>
    </row>
    <row r="1414" ht="14.25" hidden="1" customHeight="1">
      <c r="A1414" s="8" t="s">
        <v>697</v>
      </c>
      <c r="B1414" s="8" t="s">
        <v>2211</v>
      </c>
      <c r="C1414" s="121" t="str">
        <f t="shared" si="56"/>
        <v>http://www.houston.va.gov/contact/phone_directory.asp</v>
      </c>
    </row>
    <row r="1415" ht="14.25" hidden="1" customHeight="1">
      <c r="A1415" s="8" t="s">
        <v>775</v>
      </c>
      <c r="B1415" s="8" t="s">
        <v>2211</v>
      </c>
      <c r="C1415" s="121" t="str">
        <f t="shared" si="56"/>
        <v>http://www.houston.va.gov/contact/phone_directory.asp</v>
      </c>
    </row>
    <row r="1416" ht="14.25" hidden="1" customHeight="1">
      <c r="A1416" s="8" t="s">
        <v>504</v>
      </c>
      <c r="B1416" s="8" t="s">
        <v>2211</v>
      </c>
      <c r="C1416" s="121" t="str">
        <f t="shared" si="56"/>
        <v>http://www.houston.va.gov/contact/phone_directory.asp</v>
      </c>
    </row>
    <row r="1417" ht="14.25" hidden="1" customHeight="1">
      <c r="A1417" s="8" t="s">
        <v>2370</v>
      </c>
      <c r="B1417" s="8" t="s">
        <v>2211</v>
      </c>
      <c r="C1417" s="121" t="str">
        <f t="shared" si="56"/>
        <v>http://www.houston.va.gov/contact/phone_directory.asp</v>
      </c>
    </row>
    <row r="1418" ht="14.25" hidden="1" customHeight="1">
      <c r="A1418" s="8" t="s">
        <v>2371</v>
      </c>
      <c r="B1418" s="8" t="s">
        <v>2211</v>
      </c>
      <c r="C1418" s="121" t="str">
        <f t="shared" si="56"/>
        <v>http://www.houston.va.gov/contact/phone_directory.asp</v>
      </c>
    </row>
    <row r="1419" ht="14.25" hidden="1" customHeight="1">
      <c r="A1419" s="8" t="s">
        <v>2372</v>
      </c>
      <c r="B1419" s="8" t="s">
        <v>2211</v>
      </c>
      <c r="C1419" s="121" t="str">
        <f t="shared" si="56"/>
        <v>http://www.houston.va.gov/contact/phone_directory.asp</v>
      </c>
    </row>
    <row r="1420" ht="14.25" hidden="1" customHeight="1">
      <c r="A1420" s="8" t="s">
        <v>2373</v>
      </c>
      <c r="B1420" s="8" t="s">
        <v>2211</v>
      </c>
      <c r="C1420" s="121" t="str">
        <f t="shared" si="56"/>
        <v>http://www.houston.va.gov/contact/phone_directory.asp</v>
      </c>
    </row>
    <row r="1421" ht="14.25" hidden="1" customHeight="1">
      <c r="A1421" s="8" t="s">
        <v>511</v>
      </c>
      <c r="B1421" s="8" t="s">
        <v>2211</v>
      </c>
      <c r="C1421" s="121" t="str">
        <f t="shared" si="56"/>
        <v>http://www.houston.va.gov/contact/phone_directory.asp</v>
      </c>
    </row>
    <row r="1422" ht="14.25" hidden="1" customHeight="1">
      <c r="A1422" s="8" t="s">
        <v>2374</v>
      </c>
      <c r="B1422" s="8" t="s">
        <v>2211</v>
      </c>
      <c r="C1422" s="121" t="str">
        <f t="shared" si="56"/>
        <v>http://www.houston.va.gov/contact/phone_directory.asp</v>
      </c>
    </row>
    <row r="1423" ht="14.25" hidden="1" customHeight="1">
      <c r="A1423" s="8" t="s">
        <v>2375</v>
      </c>
      <c r="B1423" s="8" t="s">
        <v>2211</v>
      </c>
      <c r="C1423" s="121" t="str">
        <f t="shared" si="56"/>
        <v>http://www.houston.va.gov/contact/phone_directory.asp</v>
      </c>
    </row>
    <row r="1424" ht="14.25" hidden="1" customHeight="1">
      <c r="A1424" s="8" t="s">
        <v>2376</v>
      </c>
      <c r="B1424" s="8" t="s">
        <v>2211</v>
      </c>
      <c r="C1424" s="121" t="str">
        <f t="shared" si="56"/>
        <v>http://www.houston.va.gov/contact/phone_directory.asp</v>
      </c>
    </row>
    <row r="1425" ht="14.25" hidden="1" customHeight="1">
      <c r="A1425" s="8" t="s">
        <v>2378</v>
      </c>
      <c r="B1425" s="8" t="s">
        <v>2211</v>
      </c>
      <c r="C1425" s="121" t="str">
        <f t="shared" si="56"/>
        <v>http://www.houston.va.gov/contact/phone_directory.asp</v>
      </c>
    </row>
    <row r="1426" ht="14.25" hidden="1" customHeight="1">
      <c r="A1426" s="8" t="s">
        <v>569</v>
      </c>
      <c r="B1426" s="8" t="s">
        <v>2211</v>
      </c>
      <c r="C1426" s="121" t="str">
        <f t="shared" si="56"/>
        <v>http://www.houston.va.gov/contact/phone_directory.asp</v>
      </c>
    </row>
    <row r="1427" ht="14.25" hidden="1" customHeight="1">
      <c r="A1427" s="8" t="s">
        <v>518</v>
      </c>
      <c r="B1427" s="8" t="s">
        <v>2211</v>
      </c>
      <c r="C1427" s="121" t="str">
        <f t="shared" si="56"/>
        <v>http://www.houston.va.gov/contact/phone_directory.asp</v>
      </c>
    </row>
    <row r="1428" ht="14.25" hidden="1" customHeight="1">
      <c r="A1428" s="8" t="s">
        <v>2379</v>
      </c>
      <c r="B1428" s="8" t="s">
        <v>2250</v>
      </c>
      <c r="C1428" s="121" t="str">
        <f t="shared" ref="C1428:C1505" si="57">HYPERLINK("http://www.hudsonvalley.va.gov/contact/phone_directory.asp")</f>
        <v>http://www.hudsonvalley.va.gov/contact/phone_directory.asp</v>
      </c>
    </row>
    <row r="1429" ht="14.25" hidden="1" customHeight="1">
      <c r="A1429" s="8" t="s">
        <v>2380</v>
      </c>
      <c r="B1429" s="8" t="s">
        <v>2250</v>
      </c>
      <c r="C1429" s="121" t="str">
        <f t="shared" si="57"/>
        <v>http://www.hudsonvalley.va.gov/contact/phone_directory.asp</v>
      </c>
    </row>
    <row r="1430" ht="14.25" hidden="1" customHeight="1">
      <c r="A1430" s="8" t="s">
        <v>627</v>
      </c>
      <c r="B1430" s="8" t="s">
        <v>2250</v>
      </c>
      <c r="C1430" s="121" t="str">
        <f t="shared" si="57"/>
        <v>http://www.hudsonvalley.va.gov/contact/phone_directory.asp</v>
      </c>
    </row>
    <row r="1431" ht="14.25" hidden="1" customHeight="1">
      <c r="A1431" s="8" t="s">
        <v>2381</v>
      </c>
      <c r="B1431" s="8" t="s">
        <v>2250</v>
      </c>
      <c r="C1431" s="121" t="str">
        <f t="shared" si="57"/>
        <v>http://www.hudsonvalley.va.gov/contact/phone_directory.asp</v>
      </c>
    </row>
    <row r="1432" ht="14.25" hidden="1" customHeight="1">
      <c r="A1432" s="8" t="s">
        <v>624</v>
      </c>
      <c r="B1432" s="8" t="s">
        <v>2250</v>
      </c>
      <c r="C1432" s="121" t="str">
        <f t="shared" si="57"/>
        <v>http://www.hudsonvalley.va.gov/contact/phone_directory.asp</v>
      </c>
    </row>
    <row r="1433" ht="14.25" hidden="1" customHeight="1">
      <c r="A1433" s="8" t="s">
        <v>244</v>
      </c>
      <c r="B1433" s="8" t="s">
        <v>2250</v>
      </c>
      <c r="C1433" s="121" t="str">
        <f t="shared" si="57"/>
        <v>http://www.hudsonvalley.va.gov/contact/phone_directory.asp</v>
      </c>
    </row>
    <row r="1434" ht="14.25" hidden="1" customHeight="1">
      <c r="A1434" s="8" t="s">
        <v>2383</v>
      </c>
      <c r="B1434" s="8" t="s">
        <v>2250</v>
      </c>
      <c r="C1434" s="121" t="str">
        <f t="shared" si="57"/>
        <v>http://www.hudsonvalley.va.gov/contact/phone_directory.asp</v>
      </c>
    </row>
    <row r="1435" ht="14.25" hidden="1" customHeight="1">
      <c r="A1435" s="8" t="s">
        <v>2384</v>
      </c>
      <c r="B1435" s="8" t="s">
        <v>2250</v>
      </c>
      <c r="C1435" s="121" t="str">
        <f t="shared" si="57"/>
        <v>http://www.hudsonvalley.va.gov/contact/phone_directory.asp</v>
      </c>
    </row>
    <row r="1436" ht="14.25" hidden="1" customHeight="1">
      <c r="A1436" s="8" t="s">
        <v>414</v>
      </c>
      <c r="B1436" s="8" t="s">
        <v>2250</v>
      </c>
      <c r="C1436" s="121" t="str">
        <f t="shared" si="57"/>
        <v>http://www.hudsonvalley.va.gov/contact/phone_directory.asp</v>
      </c>
    </row>
    <row r="1437" ht="14.25" hidden="1" customHeight="1">
      <c r="A1437" s="8" t="s">
        <v>2385</v>
      </c>
      <c r="B1437" s="8" t="s">
        <v>2250</v>
      </c>
      <c r="C1437" s="121" t="str">
        <f t="shared" si="57"/>
        <v>http://www.hudsonvalley.va.gov/contact/phone_directory.asp</v>
      </c>
    </row>
    <row r="1438" ht="14.25" hidden="1" customHeight="1">
      <c r="A1438" s="8" t="s">
        <v>2387</v>
      </c>
      <c r="B1438" s="8" t="s">
        <v>2250</v>
      </c>
      <c r="C1438" s="121" t="str">
        <f t="shared" si="57"/>
        <v>http://www.hudsonvalley.va.gov/contact/phone_directory.asp</v>
      </c>
    </row>
    <row r="1439" ht="14.25" hidden="1" customHeight="1">
      <c r="A1439" s="8" t="s">
        <v>978</v>
      </c>
      <c r="B1439" s="8" t="s">
        <v>2250</v>
      </c>
      <c r="C1439" s="121" t="str">
        <f t="shared" si="57"/>
        <v>http://www.hudsonvalley.va.gov/contact/phone_directory.asp</v>
      </c>
    </row>
    <row r="1440" ht="14.25" hidden="1" customHeight="1">
      <c r="A1440" s="8" t="s">
        <v>478</v>
      </c>
      <c r="B1440" s="8" t="s">
        <v>2250</v>
      </c>
      <c r="C1440" s="121" t="str">
        <f t="shared" si="57"/>
        <v>http://www.hudsonvalley.va.gov/contact/phone_directory.asp</v>
      </c>
    </row>
    <row r="1441" ht="14.25" hidden="1" customHeight="1">
      <c r="A1441" s="8" t="s">
        <v>455</v>
      </c>
      <c r="B1441" s="8" t="s">
        <v>2250</v>
      </c>
      <c r="C1441" s="121" t="str">
        <f t="shared" si="57"/>
        <v>http://www.hudsonvalley.va.gov/contact/phone_directory.asp</v>
      </c>
    </row>
    <row r="1442" ht="14.25" hidden="1" customHeight="1">
      <c r="A1442" s="8" t="s">
        <v>2389</v>
      </c>
      <c r="B1442" s="8" t="s">
        <v>2250</v>
      </c>
      <c r="C1442" s="121" t="str">
        <f t="shared" si="57"/>
        <v>http://www.hudsonvalley.va.gov/contact/phone_directory.asp</v>
      </c>
    </row>
    <row r="1443" ht="14.25" hidden="1" customHeight="1">
      <c r="A1443" s="8" t="s">
        <v>1580</v>
      </c>
      <c r="B1443" s="8" t="s">
        <v>2250</v>
      </c>
      <c r="C1443" s="121" t="str">
        <f t="shared" si="57"/>
        <v>http://www.hudsonvalley.va.gov/contact/phone_directory.asp</v>
      </c>
    </row>
    <row r="1444" ht="14.25" hidden="1" customHeight="1">
      <c r="A1444" s="8" t="s">
        <v>513</v>
      </c>
      <c r="B1444" s="8" t="s">
        <v>2250</v>
      </c>
      <c r="C1444" s="121" t="str">
        <f t="shared" si="57"/>
        <v>http://www.hudsonvalley.va.gov/contact/phone_directory.asp</v>
      </c>
    </row>
    <row r="1445" ht="14.25" hidden="1" customHeight="1">
      <c r="A1445" s="8" t="s">
        <v>517</v>
      </c>
      <c r="B1445" s="8" t="s">
        <v>2250</v>
      </c>
      <c r="C1445" s="121" t="str">
        <f t="shared" si="57"/>
        <v>http://www.hudsonvalley.va.gov/contact/phone_directory.asp</v>
      </c>
    </row>
    <row r="1446" ht="14.25" hidden="1" customHeight="1">
      <c r="A1446" s="8" t="s">
        <v>663</v>
      </c>
      <c r="B1446" s="8" t="s">
        <v>2250</v>
      </c>
      <c r="C1446" s="121" t="str">
        <f t="shared" si="57"/>
        <v>http://www.hudsonvalley.va.gov/contact/phone_directory.asp</v>
      </c>
    </row>
    <row r="1447" ht="14.25" hidden="1" customHeight="1">
      <c r="A1447" s="8" t="s">
        <v>538</v>
      </c>
      <c r="B1447" s="8" t="s">
        <v>2250</v>
      </c>
      <c r="C1447" s="121" t="str">
        <f t="shared" si="57"/>
        <v>http://www.hudsonvalley.va.gov/contact/phone_directory.asp</v>
      </c>
    </row>
    <row r="1448" ht="14.25" hidden="1" customHeight="1">
      <c r="A1448" s="8" t="s">
        <v>1147</v>
      </c>
      <c r="B1448" s="8" t="s">
        <v>2250</v>
      </c>
      <c r="C1448" s="121" t="str">
        <f t="shared" si="57"/>
        <v>http://www.hudsonvalley.va.gov/contact/phone_directory.asp</v>
      </c>
    </row>
    <row r="1449" ht="14.25" hidden="1" customHeight="1">
      <c r="A1449" s="8" t="s">
        <v>1138</v>
      </c>
      <c r="B1449" s="8" t="s">
        <v>2250</v>
      </c>
      <c r="C1449" s="121" t="str">
        <f t="shared" si="57"/>
        <v>http://www.hudsonvalley.va.gov/contact/phone_directory.asp</v>
      </c>
    </row>
    <row r="1450" ht="14.25" hidden="1" customHeight="1">
      <c r="A1450" s="8" t="s">
        <v>696</v>
      </c>
      <c r="B1450" s="8" t="s">
        <v>2250</v>
      </c>
      <c r="C1450" s="121" t="str">
        <f t="shared" si="57"/>
        <v>http://www.hudsonvalley.va.gov/contact/phone_directory.asp</v>
      </c>
    </row>
    <row r="1451" ht="14.25" hidden="1" customHeight="1">
      <c r="A1451" s="8" t="s">
        <v>2390</v>
      </c>
      <c r="B1451" s="8" t="s">
        <v>2250</v>
      </c>
      <c r="C1451" s="121" t="str">
        <f t="shared" si="57"/>
        <v>http://www.hudsonvalley.va.gov/contact/phone_directory.asp</v>
      </c>
    </row>
    <row r="1452" ht="14.25" hidden="1" customHeight="1">
      <c r="A1452" s="8" t="s">
        <v>2391</v>
      </c>
      <c r="B1452" s="8" t="s">
        <v>2250</v>
      </c>
      <c r="C1452" s="121" t="str">
        <f t="shared" si="57"/>
        <v>http://www.hudsonvalley.va.gov/contact/phone_directory.asp</v>
      </c>
    </row>
    <row r="1453" ht="14.25" hidden="1" customHeight="1">
      <c r="A1453" s="8" t="s">
        <v>841</v>
      </c>
      <c r="B1453" s="8" t="s">
        <v>2250</v>
      </c>
      <c r="C1453" s="121" t="str">
        <f t="shared" si="57"/>
        <v>http://www.hudsonvalley.va.gov/contact/phone_directory.asp</v>
      </c>
    </row>
    <row r="1454" ht="14.25" hidden="1" customHeight="1">
      <c r="A1454" s="8" t="s">
        <v>579</v>
      </c>
      <c r="B1454" s="8" t="s">
        <v>2250</v>
      </c>
      <c r="C1454" s="121" t="str">
        <f t="shared" si="57"/>
        <v>http://www.hudsonvalley.va.gov/contact/phone_directory.asp</v>
      </c>
    </row>
    <row r="1455" ht="14.25" hidden="1" customHeight="1">
      <c r="A1455" s="8" t="s">
        <v>2393</v>
      </c>
      <c r="B1455" s="8" t="s">
        <v>2250</v>
      </c>
      <c r="C1455" s="121" t="str">
        <f t="shared" si="57"/>
        <v>http://www.hudsonvalley.va.gov/contact/phone_directory.asp</v>
      </c>
    </row>
    <row r="1456" ht="14.25" hidden="1" customHeight="1">
      <c r="A1456" s="8" t="s">
        <v>886</v>
      </c>
      <c r="B1456" s="8" t="s">
        <v>2250</v>
      </c>
      <c r="C1456" s="121" t="str">
        <f t="shared" si="57"/>
        <v>http://www.hudsonvalley.va.gov/contact/phone_directory.asp</v>
      </c>
    </row>
    <row r="1457" ht="14.25" hidden="1" customHeight="1">
      <c r="A1457" s="8" t="s">
        <v>2394</v>
      </c>
      <c r="B1457" s="8" t="s">
        <v>2250</v>
      </c>
      <c r="C1457" s="121" t="str">
        <f t="shared" si="57"/>
        <v>http://www.hudsonvalley.va.gov/contact/phone_directory.asp</v>
      </c>
    </row>
    <row r="1458" ht="14.25" hidden="1" customHeight="1">
      <c r="A1458" s="8" t="s">
        <v>2395</v>
      </c>
      <c r="B1458" s="8" t="s">
        <v>2250</v>
      </c>
      <c r="C1458" s="121" t="str">
        <f t="shared" si="57"/>
        <v>http://www.hudsonvalley.va.gov/contact/phone_directory.asp</v>
      </c>
    </row>
    <row r="1459" ht="14.25" hidden="1" customHeight="1">
      <c r="A1459" s="8" t="s">
        <v>2396</v>
      </c>
      <c r="B1459" s="8" t="s">
        <v>2250</v>
      </c>
      <c r="C1459" s="121" t="str">
        <f t="shared" si="57"/>
        <v>http://www.hudsonvalley.va.gov/contact/phone_directory.asp</v>
      </c>
    </row>
    <row r="1460" ht="14.25" hidden="1" customHeight="1">
      <c r="A1460" s="8" t="s">
        <v>324</v>
      </c>
      <c r="B1460" s="8" t="s">
        <v>2250</v>
      </c>
      <c r="C1460" s="121" t="str">
        <f t="shared" si="57"/>
        <v>http://www.hudsonvalley.va.gov/contact/phone_directory.asp</v>
      </c>
    </row>
    <row r="1461" ht="14.25" hidden="1" customHeight="1">
      <c r="A1461" s="8" t="s">
        <v>326</v>
      </c>
      <c r="B1461" s="8" t="s">
        <v>2250</v>
      </c>
      <c r="C1461" s="121" t="str">
        <f t="shared" si="57"/>
        <v>http://www.hudsonvalley.va.gov/contact/phone_directory.asp</v>
      </c>
    </row>
    <row r="1462" ht="14.25" hidden="1" customHeight="1">
      <c r="A1462" s="8" t="s">
        <v>2397</v>
      </c>
      <c r="B1462" s="8" t="s">
        <v>2250</v>
      </c>
      <c r="C1462" s="121" t="str">
        <f t="shared" si="57"/>
        <v>http://www.hudsonvalley.va.gov/contact/phone_directory.asp</v>
      </c>
    </row>
    <row r="1463" ht="14.25" hidden="1" customHeight="1">
      <c r="A1463" s="8" t="s">
        <v>707</v>
      </c>
      <c r="B1463" s="8" t="s">
        <v>2250</v>
      </c>
      <c r="C1463" s="121" t="str">
        <f t="shared" si="57"/>
        <v>http://www.hudsonvalley.va.gov/contact/phone_directory.asp</v>
      </c>
    </row>
    <row r="1464" ht="14.25" hidden="1" customHeight="1">
      <c r="A1464" s="8" t="s">
        <v>2399</v>
      </c>
      <c r="B1464" s="8" t="s">
        <v>2250</v>
      </c>
      <c r="C1464" s="121" t="str">
        <f t="shared" si="57"/>
        <v>http://www.hudsonvalley.va.gov/contact/phone_directory.asp</v>
      </c>
    </row>
    <row r="1465" ht="14.25" hidden="1" customHeight="1">
      <c r="A1465" s="8" t="s">
        <v>2400</v>
      </c>
      <c r="B1465" s="8" t="s">
        <v>2250</v>
      </c>
      <c r="C1465" s="121" t="str">
        <f t="shared" si="57"/>
        <v>http://www.hudsonvalley.va.gov/contact/phone_directory.asp</v>
      </c>
    </row>
    <row r="1466" ht="14.25" hidden="1" customHeight="1">
      <c r="A1466" s="8" t="s">
        <v>1172</v>
      </c>
      <c r="B1466" s="8" t="s">
        <v>2250</v>
      </c>
      <c r="C1466" s="121" t="str">
        <f t="shared" si="57"/>
        <v>http://www.hudsonvalley.va.gov/contact/phone_directory.asp</v>
      </c>
    </row>
    <row r="1467" ht="14.25" hidden="1" customHeight="1">
      <c r="A1467" s="8" t="s">
        <v>691</v>
      </c>
      <c r="B1467" s="8" t="s">
        <v>2250</v>
      </c>
      <c r="C1467" s="121" t="str">
        <f t="shared" si="57"/>
        <v>http://www.hudsonvalley.va.gov/contact/phone_directory.asp</v>
      </c>
    </row>
    <row r="1468" ht="14.25" hidden="1" customHeight="1">
      <c r="A1468" s="8" t="s">
        <v>1108</v>
      </c>
      <c r="B1468" s="8" t="s">
        <v>2250</v>
      </c>
      <c r="C1468" s="121" t="str">
        <f t="shared" si="57"/>
        <v>http://www.hudsonvalley.va.gov/contact/phone_directory.asp</v>
      </c>
    </row>
    <row r="1469" ht="14.25" hidden="1" customHeight="1">
      <c r="A1469" s="8" t="s">
        <v>1096</v>
      </c>
      <c r="B1469" s="8" t="s">
        <v>2250</v>
      </c>
      <c r="C1469" s="121" t="str">
        <f t="shared" si="57"/>
        <v>http://www.hudsonvalley.va.gov/contact/phone_directory.asp</v>
      </c>
    </row>
    <row r="1470" ht="14.25" hidden="1" customHeight="1">
      <c r="A1470" s="8" t="s">
        <v>900</v>
      </c>
      <c r="B1470" s="8" t="s">
        <v>2250</v>
      </c>
      <c r="C1470" s="121" t="str">
        <f t="shared" si="57"/>
        <v>http://www.hudsonvalley.va.gov/contact/phone_directory.asp</v>
      </c>
    </row>
    <row r="1471" ht="14.25" hidden="1" customHeight="1">
      <c r="A1471" s="8" t="s">
        <v>901</v>
      </c>
      <c r="B1471" s="8" t="s">
        <v>2250</v>
      </c>
      <c r="C1471" s="121" t="str">
        <f t="shared" si="57"/>
        <v>http://www.hudsonvalley.va.gov/contact/phone_directory.asp</v>
      </c>
    </row>
    <row r="1472" ht="14.25" hidden="1" customHeight="1">
      <c r="A1472" s="8" t="s">
        <v>338</v>
      </c>
      <c r="B1472" s="8" t="s">
        <v>2250</v>
      </c>
      <c r="C1472" s="121" t="str">
        <f t="shared" si="57"/>
        <v>http://www.hudsonvalley.va.gov/contact/phone_directory.asp</v>
      </c>
    </row>
    <row r="1473" ht="14.25" hidden="1" customHeight="1">
      <c r="A1473" s="8" t="s">
        <v>2402</v>
      </c>
      <c r="B1473" s="8" t="s">
        <v>2250</v>
      </c>
      <c r="C1473" s="121" t="str">
        <f t="shared" si="57"/>
        <v>http://www.hudsonvalley.va.gov/contact/phone_directory.asp</v>
      </c>
    </row>
    <row r="1474" ht="14.25" hidden="1" customHeight="1">
      <c r="A1474" s="8" t="s">
        <v>2403</v>
      </c>
      <c r="B1474" s="8" t="s">
        <v>2250</v>
      </c>
      <c r="C1474" s="121" t="str">
        <f t="shared" si="57"/>
        <v>http://www.hudsonvalley.va.gov/contact/phone_directory.asp</v>
      </c>
    </row>
    <row r="1475" ht="14.25" hidden="1" customHeight="1">
      <c r="A1475" s="8" t="s">
        <v>2404</v>
      </c>
      <c r="B1475" s="8" t="s">
        <v>2250</v>
      </c>
      <c r="C1475" s="121" t="str">
        <f t="shared" si="57"/>
        <v>http://www.hudsonvalley.va.gov/contact/phone_directory.asp</v>
      </c>
    </row>
    <row r="1476" ht="14.25" hidden="1" customHeight="1">
      <c r="A1476" s="8" t="s">
        <v>694</v>
      </c>
      <c r="B1476" s="8" t="s">
        <v>2250</v>
      </c>
      <c r="C1476" s="121" t="str">
        <f t="shared" si="57"/>
        <v>http://www.hudsonvalley.va.gov/contact/phone_directory.asp</v>
      </c>
    </row>
    <row r="1477" ht="14.25" hidden="1" customHeight="1">
      <c r="A1477" s="8" t="s">
        <v>697</v>
      </c>
      <c r="B1477" s="8" t="s">
        <v>2250</v>
      </c>
      <c r="C1477" s="121" t="str">
        <f t="shared" si="57"/>
        <v>http://www.hudsonvalley.va.gov/contact/phone_directory.asp</v>
      </c>
    </row>
    <row r="1478" ht="14.25" hidden="1" customHeight="1">
      <c r="A1478" s="8" t="s">
        <v>1892</v>
      </c>
      <c r="B1478" s="8" t="s">
        <v>2250</v>
      </c>
      <c r="C1478" s="121" t="str">
        <f t="shared" si="57"/>
        <v>http://www.hudsonvalley.va.gov/contact/phone_directory.asp</v>
      </c>
    </row>
    <row r="1479" ht="14.25" hidden="1" customHeight="1">
      <c r="A1479" s="8" t="s">
        <v>2407</v>
      </c>
      <c r="B1479" s="8" t="s">
        <v>2250</v>
      </c>
      <c r="C1479" s="121" t="str">
        <f t="shared" si="57"/>
        <v>http://www.hudsonvalley.va.gov/contact/phone_directory.asp</v>
      </c>
    </row>
    <row r="1480" ht="14.25" hidden="1" customHeight="1">
      <c r="A1480" s="8" t="s">
        <v>344</v>
      </c>
      <c r="B1480" s="8" t="s">
        <v>2250</v>
      </c>
      <c r="C1480" s="121" t="str">
        <f t="shared" si="57"/>
        <v>http://www.hudsonvalley.va.gov/contact/phone_directory.asp</v>
      </c>
    </row>
    <row r="1481" ht="14.25" hidden="1" customHeight="1">
      <c r="A1481" s="8" t="s">
        <v>608</v>
      </c>
      <c r="B1481" s="8" t="s">
        <v>2250</v>
      </c>
      <c r="C1481" s="121" t="str">
        <f t="shared" si="57"/>
        <v>http://www.hudsonvalley.va.gov/contact/phone_directory.asp</v>
      </c>
    </row>
    <row r="1482" ht="14.25" hidden="1" customHeight="1">
      <c r="A1482" s="8" t="s">
        <v>450</v>
      </c>
      <c r="B1482" s="8" t="s">
        <v>2250</v>
      </c>
      <c r="C1482" s="121" t="str">
        <f t="shared" si="57"/>
        <v>http://www.hudsonvalley.va.gov/contact/phone_directory.asp</v>
      </c>
    </row>
    <row r="1483" ht="14.25" hidden="1" customHeight="1">
      <c r="A1483" s="8" t="s">
        <v>775</v>
      </c>
      <c r="B1483" s="8" t="s">
        <v>2250</v>
      </c>
      <c r="C1483" s="121" t="str">
        <f t="shared" si="57"/>
        <v>http://www.hudsonvalley.va.gov/contact/phone_directory.asp</v>
      </c>
    </row>
    <row r="1484" ht="14.25" hidden="1" customHeight="1">
      <c r="A1484" s="8" t="s">
        <v>348</v>
      </c>
      <c r="B1484" s="8" t="s">
        <v>2250</v>
      </c>
      <c r="C1484" s="121" t="str">
        <f t="shared" si="57"/>
        <v>http://www.hudsonvalley.va.gov/contact/phone_directory.asp</v>
      </c>
    </row>
    <row r="1485" ht="14.25" hidden="1" customHeight="1">
      <c r="A1485" s="8" t="s">
        <v>2408</v>
      </c>
      <c r="B1485" s="8" t="s">
        <v>2250</v>
      </c>
      <c r="C1485" s="121" t="str">
        <f t="shared" si="57"/>
        <v>http://www.hudsonvalley.va.gov/contact/phone_directory.asp</v>
      </c>
    </row>
    <row r="1486" ht="14.25" hidden="1" customHeight="1">
      <c r="A1486" s="8" t="s">
        <v>916</v>
      </c>
      <c r="B1486" s="8" t="s">
        <v>2250</v>
      </c>
      <c r="C1486" s="121" t="str">
        <f t="shared" si="57"/>
        <v>http://www.hudsonvalley.va.gov/contact/phone_directory.asp</v>
      </c>
    </row>
    <row r="1487" ht="14.25" hidden="1" customHeight="1">
      <c r="A1487" s="8" t="s">
        <v>504</v>
      </c>
      <c r="B1487" s="8" t="s">
        <v>2250</v>
      </c>
      <c r="C1487" s="121" t="str">
        <f t="shared" si="57"/>
        <v>http://www.hudsonvalley.va.gov/contact/phone_directory.asp</v>
      </c>
    </row>
    <row r="1488" ht="14.25" hidden="1" customHeight="1">
      <c r="A1488" s="8" t="s">
        <v>791</v>
      </c>
      <c r="B1488" s="8" t="s">
        <v>2250</v>
      </c>
      <c r="C1488" s="121" t="str">
        <f t="shared" si="57"/>
        <v>http://www.hudsonvalley.va.gov/contact/phone_directory.asp</v>
      </c>
    </row>
    <row r="1489" ht="14.25" hidden="1" customHeight="1">
      <c r="A1489" s="8" t="s">
        <v>505</v>
      </c>
      <c r="B1489" s="8" t="s">
        <v>2250</v>
      </c>
      <c r="C1489" s="121" t="str">
        <f t="shared" si="57"/>
        <v>http://www.hudsonvalley.va.gov/contact/phone_directory.asp</v>
      </c>
    </row>
    <row r="1490" ht="14.25" hidden="1" customHeight="1">
      <c r="A1490" s="8" t="s">
        <v>708</v>
      </c>
      <c r="B1490" s="8" t="s">
        <v>2250</v>
      </c>
      <c r="C1490" s="121" t="str">
        <f t="shared" si="57"/>
        <v>http://www.hudsonvalley.va.gov/contact/phone_directory.asp</v>
      </c>
    </row>
    <row r="1491" ht="14.25" hidden="1" customHeight="1">
      <c r="A1491" s="8" t="s">
        <v>708</v>
      </c>
      <c r="B1491" s="8" t="s">
        <v>2250</v>
      </c>
      <c r="C1491" s="121" t="str">
        <f t="shared" si="57"/>
        <v>http://www.hudsonvalley.va.gov/contact/phone_directory.asp</v>
      </c>
    </row>
    <row r="1492" ht="14.25" hidden="1" customHeight="1">
      <c r="A1492" s="8" t="s">
        <v>1171</v>
      </c>
      <c r="B1492" s="8" t="s">
        <v>2250</v>
      </c>
      <c r="C1492" s="121" t="str">
        <f t="shared" si="57"/>
        <v>http://www.hudsonvalley.va.gov/contact/phone_directory.asp</v>
      </c>
    </row>
    <row r="1493" ht="14.25" hidden="1" customHeight="1">
      <c r="A1493" s="8" t="s">
        <v>712</v>
      </c>
      <c r="B1493" s="8" t="s">
        <v>2250</v>
      </c>
      <c r="C1493" s="121" t="str">
        <f t="shared" si="57"/>
        <v>http://www.hudsonvalley.va.gov/contact/phone_directory.asp</v>
      </c>
    </row>
    <row r="1494" ht="14.25" hidden="1" customHeight="1">
      <c r="A1494" s="8" t="s">
        <v>877</v>
      </c>
      <c r="B1494" s="8" t="s">
        <v>2250</v>
      </c>
      <c r="C1494" s="121" t="str">
        <f t="shared" si="57"/>
        <v>http://www.hudsonvalley.va.gov/contact/phone_directory.asp</v>
      </c>
    </row>
    <row r="1495" ht="14.25" hidden="1" customHeight="1">
      <c r="A1495" s="8" t="s">
        <v>2410</v>
      </c>
      <c r="B1495" s="8" t="s">
        <v>2250</v>
      </c>
      <c r="C1495" s="121" t="str">
        <f t="shared" si="57"/>
        <v>http://www.hudsonvalley.va.gov/contact/phone_directory.asp</v>
      </c>
    </row>
    <row r="1496" ht="14.25" hidden="1" customHeight="1">
      <c r="A1496" s="8" t="s">
        <v>564</v>
      </c>
      <c r="B1496" s="8" t="s">
        <v>2250</v>
      </c>
      <c r="C1496" s="121" t="str">
        <f t="shared" si="57"/>
        <v>http://www.hudsonvalley.va.gov/contact/phone_directory.asp</v>
      </c>
    </row>
    <row r="1497" ht="14.25" hidden="1" customHeight="1">
      <c r="A1497" s="8" t="s">
        <v>1780</v>
      </c>
      <c r="B1497" s="8" t="s">
        <v>2250</v>
      </c>
      <c r="C1497" s="121" t="str">
        <f t="shared" si="57"/>
        <v>http://www.hudsonvalley.va.gov/contact/phone_directory.asp</v>
      </c>
    </row>
    <row r="1498" ht="14.25" hidden="1" customHeight="1">
      <c r="A1498" s="8" t="s">
        <v>724</v>
      </c>
      <c r="B1498" s="8" t="s">
        <v>2250</v>
      </c>
      <c r="C1498" s="121" t="str">
        <f t="shared" si="57"/>
        <v>http://www.hudsonvalley.va.gov/contact/phone_directory.asp</v>
      </c>
    </row>
    <row r="1499" ht="14.25" hidden="1" customHeight="1">
      <c r="A1499" s="8" t="s">
        <v>729</v>
      </c>
      <c r="B1499" s="8" t="s">
        <v>2250</v>
      </c>
      <c r="C1499" s="121" t="str">
        <f t="shared" si="57"/>
        <v>http://www.hudsonvalley.va.gov/contact/phone_directory.asp</v>
      </c>
    </row>
    <row r="1500" ht="14.25" hidden="1" customHeight="1">
      <c r="A1500" s="8" t="s">
        <v>469</v>
      </c>
      <c r="B1500" s="8" t="s">
        <v>2250</v>
      </c>
      <c r="C1500" s="121" t="str">
        <f t="shared" si="57"/>
        <v>http://www.hudsonvalley.va.gov/contact/phone_directory.asp</v>
      </c>
    </row>
    <row r="1501" ht="14.25" hidden="1" customHeight="1">
      <c r="A1501" s="8" t="s">
        <v>2413</v>
      </c>
      <c r="B1501" s="8" t="s">
        <v>2250</v>
      </c>
      <c r="C1501" s="121" t="str">
        <f t="shared" si="57"/>
        <v>http://www.hudsonvalley.va.gov/contact/phone_directory.asp</v>
      </c>
    </row>
    <row r="1502" ht="14.25" hidden="1" customHeight="1">
      <c r="A1502" s="8" t="s">
        <v>1216</v>
      </c>
      <c r="B1502" s="8" t="s">
        <v>2250</v>
      </c>
      <c r="C1502" s="121" t="str">
        <f t="shared" si="57"/>
        <v>http://www.hudsonvalley.va.gov/contact/phone_directory.asp</v>
      </c>
    </row>
    <row r="1503" ht="14.25" hidden="1" customHeight="1">
      <c r="A1503" s="8" t="s">
        <v>2415</v>
      </c>
      <c r="B1503" s="8" t="s">
        <v>2250</v>
      </c>
      <c r="C1503" s="121" t="str">
        <f t="shared" si="57"/>
        <v>http://www.hudsonvalley.va.gov/contact/phone_directory.asp</v>
      </c>
    </row>
    <row r="1504" ht="14.25" hidden="1" customHeight="1">
      <c r="A1504" s="8" t="s">
        <v>2416</v>
      </c>
      <c r="B1504" s="8" t="s">
        <v>2250</v>
      </c>
      <c r="C1504" s="121" t="str">
        <f t="shared" si="57"/>
        <v>http://www.hudsonvalley.va.gov/contact/phone_directory.asp</v>
      </c>
    </row>
    <row r="1505" ht="14.25" hidden="1" customHeight="1">
      <c r="A1505" s="8" t="s">
        <v>518</v>
      </c>
      <c r="B1505" s="8" t="s">
        <v>2250</v>
      </c>
      <c r="C1505" s="121" t="str">
        <f t="shared" si="57"/>
        <v>http://www.hudsonvalley.va.gov/contact/phone_directory.asp</v>
      </c>
    </row>
    <row r="1506" ht="14.25" hidden="1" customHeight="1">
      <c r="A1506" s="8" t="s">
        <v>575</v>
      </c>
      <c r="B1506" s="8" t="s">
        <v>2273</v>
      </c>
      <c r="C1506" s="121" t="str">
        <f t="shared" ref="C1506:C1581" si="58">HYPERLINK("http://www.huntington.va.gov/contact/phone_directory.asp")</f>
        <v>http://www.huntington.va.gov/contact/phone_directory.asp</v>
      </c>
    </row>
    <row r="1507" ht="14.25" hidden="1" customHeight="1">
      <c r="A1507" s="8" t="s">
        <v>624</v>
      </c>
      <c r="B1507" s="8" t="s">
        <v>2273</v>
      </c>
      <c r="C1507" s="121" t="str">
        <f t="shared" si="58"/>
        <v>http://www.huntington.va.gov/contact/phone_directory.asp</v>
      </c>
    </row>
    <row r="1508" ht="14.25" hidden="1" customHeight="1">
      <c r="A1508" s="8" t="s">
        <v>244</v>
      </c>
      <c r="B1508" s="8" t="s">
        <v>2273</v>
      </c>
      <c r="C1508" s="121" t="str">
        <f t="shared" si="58"/>
        <v>http://www.huntington.va.gov/contact/phone_directory.asp</v>
      </c>
    </row>
    <row r="1509" ht="14.25" hidden="1" customHeight="1">
      <c r="A1509" s="8" t="s">
        <v>1781</v>
      </c>
      <c r="B1509" s="8" t="s">
        <v>2273</v>
      </c>
      <c r="C1509" s="121" t="str">
        <f t="shared" si="58"/>
        <v>http://www.huntington.va.gov/contact/phone_directory.asp</v>
      </c>
    </row>
    <row r="1510" ht="14.25" hidden="1" customHeight="1">
      <c r="A1510" s="8" t="s">
        <v>631</v>
      </c>
      <c r="B1510" s="8" t="s">
        <v>2273</v>
      </c>
      <c r="C1510" s="121" t="str">
        <f t="shared" si="58"/>
        <v>http://www.huntington.va.gov/contact/phone_directory.asp</v>
      </c>
    </row>
    <row r="1511" ht="14.25" hidden="1" customHeight="1">
      <c r="A1511" s="8" t="s">
        <v>2287</v>
      </c>
      <c r="B1511" s="8" t="s">
        <v>2273</v>
      </c>
      <c r="C1511" s="121" t="str">
        <f t="shared" si="58"/>
        <v>http://www.huntington.va.gov/contact/phone_directory.asp</v>
      </c>
    </row>
    <row r="1512" ht="14.25" hidden="1" customHeight="1">
      <c r="A1512" s="8" t="s">
        <v>2419</v>
      </c>
      <c r="B1512" s="8" t="s">
        <v>2273</v>
      </c>
      <c r="C1512" s="121" t="str">
        <f t="shared" si="58"/>
        <v>http://www.huntington.va.gov/contact/phone_directory.asp</v>
      </c>
    </row>
    <row r="1513" ht="14.25" hidden="1" customHeight="1">
      <c r="A1513" s="8" t="s">
        <v>468</v>
      </c>
      <c r="B1513" s="8" t="s">
        <v>2273</v>
      </c>
      <c r="C1513" s="121" t="str">
        <f t="shared" si="58"/>
        <v>http://www.huntington.va.gov/contact/phone_directory.asp</v>
      </c>
    </row>
    <row r="1514" ht="14.25" hidden="1" customHeight="1">
      <c r="A1514" s="8" t="s">
        <v>2420</v>
      </c>
      <c r="B1514" s="8" t="s">
        <v>2273</v>
      </c>
      <c r="C1514" s="121" t="str">
        <f t="shared" si="58"/>
        <v>http://www.huntington.va.gov/contact/phone_directory.asp</v>
      </c>
    </row>
    <row r="1515" ht="14.25" hidden="1" customHeight="1">
      <c r="A1515" s="8" t="s">
        <v>2421</v>
      </c>
      <c r="B1515" s="8" t="s">
        <v>2273</v>
      </c>
      <c r="C1515" s="121" t="str">
        <f t="shared" si="58"/>
        <v>http://www.huntington.va.gov/contact/phone_directory.asp</v>
      </c>
    </row>
    <row r="1516" ht="14.25" hidden="1" customHeight="1">
      <c r="A1516" s="8" t="s">
        <v>2422</v>
      </c>
      <c r="B1516" s="8" t="s">
        <v>2273</v>
      </c>
      <c r="C1516" s="121" t="str">
        <f t="shared" si="58"/>
        <v>http://www.huntington.va.gov/contact/phone_directory.asp</v>
      </c>
    </row>
    <row r="1517" ht="14.25" hidden="1" customHeight="1">
      <c r="A1517" s="8" t="s">
        <v>1669</v>
      </c>
      <c r="B1517" s="8" t="s">
        <v>2273</v>
      </c>
      <c r="C1517" s="121" t="str">
        <f t="shared" si="58"/>
        <v>http://www.huntington.va.gov/contact/phone_directory.asp</v>
      </c>
    </row>
    <row r="1518" ht="14.25" hidden="1" customHeight="1">
      <c r="A1518" s="8" t="s">
        <v>1882</v>
      </c>
      <c r="B1518" s="8" t="s">
        <v>2273</v>
      </c>
      <c r="C1518" s="121" t="str">
        <f t="shared" si="58"/>
        <v>http://www.huntington.va.gov/contact/phone_directory.asp</v>
      </c>
    </row>
    <row r="1519" ht="14.25" hidden="1" customHeight="1">
      <c r="A1519" s="8" t="s">
        <v>872</v>
      </c>
      <c r="B1519" s="8" t="s">
        <v>2273</v>
      </c>
      <c r="C1519" s="121" t="str">
        <f t="shared" si="58"/>
        <v>http://www.huntington.va.gov/contact/phone_directory.asp</v>
      </c>
    </row>
    <row r="1520" ht="14.25" hidden="1" customHeight="1">
      <c r="A1520" s="8" t="s">
        <v>2423</v>
      </c>
      <c r="B1520" s="8" t="s">
        <v>2273</v>
      </c>
      <c r="C1520" s="121" t="str">
        <f t="shared" si="58"/>
        <v>http://www.huntington.va.gov/contact/phone_directory.asp</v>
      </c>
    </row>
    <row r="1521" ht="14.25" hidden="1" customHeight="1">
      <c r="A1521" s="8" t="s">
        <v>303</v>
      </c>
      <c r="B1521" s="8" t="s">
        <v>2273</v>
      </c>
      <c r="C1521" s="121" t="str">
        <f t="shared" si="58"/>
        <v>http://www.huntington.va.gov/contact/phone_directory.asp</v>
      </c>
    </row>
    <row r="1522" ht="14.25" hidden="1" customHeight="1">
      <c r="A1522" s="8" t="s">
        <v>2424</v>
      </c>
      <c r="B1522" s="8" t="s">
        <v>2273</v>
      </c>
      <c r="C1522" s="121" t="str">
        <f t="shared" si="58"/>
        <v>http://www.huntington.va.gov/contact/phone_directory.asp</v>
      </c>
    </row>
    <row r="1523" ht="14.25" hidden="1" customHeight="1">
      <c r="A1523" s="8" t="s">
        <v>663</v>
      </c>
      <c r="B1523" s="8" t="s">
        <v>2273</v>
      </c>
      <c r="C1523" s="121" t="str">
        <f t="shared" si="58"/>
        <v>http://www.huntington.va.gov/contact/phone_directory.asp</v>
      </c>
    </row>
    <row r="1524" ht="14.25" hidden="1" customHeight="1">
      <c r="A1524" s="8" t="s">
        <v>308</v>
      </c>
      <c r="B1524" s="8" t="s">
        <v>2273</v>
      </c>
      <c r="C1524" s="121" t="str">
        <f t="shared" si="58"/>
        <v>http://www.huntington.va.gov/contact/phone_directory.asp</v>
      </c>
    </row>
    <row r="1525" ht="14.25" hidden="1" customHeight="1">
      <c r="A1525" s="8" t="s">
        <v>2425</v>
      </c>
      <c r="B1525" s="8" t="s">
        <v>2273</v>
      </c>
      <c r="C1525" s="121" t="str">
        <f t="shared" si="58"/>
        <v>http://www.huntington.va.gov/contact/phone_directory.asp</v>
      </c>
    </row>
    <row r="1526" ht="14.25" hidden="1" customHeight="1">
      <c r="A1526" s="8" t="s">
        <v>2426</v>
      </c>
      <c r="B1526" s="8" t="s">
        <v>2273</v>
      </c>
      <c r="C1526" s="121" t="str">
        <f t="shared" si="58"/>
        <v>http://www.huntington.va.gov/contact/phone_directory.asp</v>
      </c>
    </row>
    <row r="1527" ht="14.25" hidden="1" customHeight="1">
      <c r="A1527" s="8" t="s">
        <v>2427</v>
      </c>
      <c r="B1527" s="8" t="s">
        <v>2273</v>
      </c>
      <c r="C1527" s="121" t="str">
        <f t="shared" si="58"/>
        <v>http://www.huntington.va.gov/contact/phone_directory.asp</v>
      </c>
    </row>
    <row r="1528" ht="14.25" hidden="1" customHeight="1">
      <c r="A1528" s="8" t="s">
        <v>2428</v>
      </c>
      <c r="B1528" s="8" t="s">
        <v>2273</v>
      </c>
      <c r="C1528" s="121" t="str">
        <f t="shared" si="58"/>
        <v>http://www.huntington.va.gov/contact/phone_directory.asp</v>
      </c>
    </row>
    <row r="1529" ht="14.25" hidden="1" customHeight="1">
      <c r="A1529" s="8" t="s">
        <v>2429</v>
      </c>
      <c r="B1529" s="8" t="s">
        <v>2273</v>
      </c>
      <c r="C1529" s="121" t="str">
        <f t="shared" si="58"/>
        <v>http://www.huntington.va.gov/contact/phone_directory.asp</v>
      </c>
    </row>
    <row r="1530" ht="14.25" hidden="1" customHeight="1">
      <c r="A1530" s="8" t="s">
        <v>2430</v>
      </c>
      <c r="B1530" s="8" t="s">
        <v>2273</v>
      </c>
      <c r="C1530" s="121" t="str">
        <f t="shared" si="58"/>
        <v>http://www.huntington.va.gov/contact/phone_directory.asp</v>
      </c>
    </row>
    <row r="1531" ht="14.25" hidden="1" customHeight="1">
      <c r="A1531" s="8" t="s">
        <v>2431</v>
      </c>
      <c r="B1531" s="8" t="s">
        <v>2273</v>
      </c>
      <c r="C1531" s="121" t="str">
        <f t="shared" si="58"/>
        <v>http://www.huntington.va.gov/contact/phone_directory.asp</v>
      </c>
    </row>
    <row r="1532" ht="14.25" hidden="1" customHeight="1">
      <c r="A1532" s="8" t="s">
        <v>2432</v>
      </c>
      <c r="B1532" s="8" t="s">
        <v>2273</v>
      </c>
      <c r="C1532" s="121" t="str">
        <f t="shared" si="58"/>
        <v>http://www.huntington.va.gov/contact/phone_directory.asp</v>
      </c>
    </row>
    <row r="1533" ht="14.25" hidden="1" customHeight="1">
      <c r="A1533" s="8" t="s">
        <v>431</v>
      </c>
      <c r="B1533" s="8" t="s">
        <v>2273</v>
      </c>
      <c r="C1533" s="121" t="str">
        <f t="shared" si="58"/>
        <v>http://www.huntington.va.gov/contact/phone_directory.asp</v>
      </c>
    </row>
    <row r="1534" ht="14.25" hidden="1" customHeight="1">
      <c r="A1534" s="8" t="s">
        <v>2433</v>
      </c>
      <c r="B1534" s="8" t="s">
        <v>2273</v>
      </c>
      <c r="C1534" s="121" t="str">
        <f t="shared" si="58"/>
        <v>http://www.huntington.va.gov/contact/phone_directory.asp</v>
      </c>
    </row>
    <row r="1535" ht="14.25" hidden="1" customHeight="1">
      <c r="A1535" s="8" t="s">
        <v>670</v>
      </c>
      <c r="B1535" s="8" t="s">
        <v>2273</v>
      </c>
      <c r="C1535" s="121" t="str">
        <f t="shared" si="58"/>
        <v>http://www.huntington.va.gov/contact/phone_directory.asp</v>
      </c>
    </row>
    <row r="1536" ht="14.25" hidden="1" customHeight="1">
      <c r="A1536" s="8" t="s">
        <v>579</v>
      </c>
      <c r="B1536" s="8" t="s">
        <v>2273</v>
      </c>
      <c r="C1536" s="121" t="str">
        <f t="shared" si="58"/>
        <v>http://www.huntington.va.gov/contact/phone_directory.asp</v>
      </c>
    </row>
    <row r="1537" ht="14.25" hidden="1" customHeight="1">
      <c r="A1537" s="8" t="s">
        <v>1650</v>
      </c>
      <c r="B1537" s="8" t="s">
        <v>2273</v>
      </c>
      <c r="C1537" s="121" t="str">
        <f t="shared" si="58"/>
        <v>http://www.huntington.va.gov/contact/phone_directory.asp</v>
      </c>
    </row>
    <row r="1538" ht="14.25" hidden="1" customHeight="1">
      <c r="A1538" s="8" t="s">
        <v>2434</v>
      </c>
      <c r="B1538" s="8" t="s">
        <v>2273</v>
      </c>
      <c r="C1538" s="121" t="str">
        <f t="shared" si="58"/>
        <v>http://www.huntington.va.gov/contact/phone_directory.asp</v>
      </c>
    </row>
    <row r="1539" ht="14.25" hidden="1" customHeight="1">
      <c r="A1539" s="8" t="s">
        <v>2436</v>
      </c>
      <c r="B1539" s="8" t="s">
        <v>2273</v>
      </c>
      <c r="C1539" s="121" t="str">
        <f t="shared" si="58"/>
        <v>http://www.huntington.va.gov/contact/phone_directory.asp</v>
      </c>
    </row>
    <row r="1540" ht="14.25" hidden="1" customHeight="1">
      <c r="A1540" s="8" t="s">
        <v>2437</v>
      </c>
      <c r="B1540" s="8" t="s">
        <v>2273</v>
      </c>
      <c r="C1540" s="121" t="str">
        <f t="shared" si="58"/>
        <v>http://www.huntington.va.gov/contact/phone_directory.asp</v>
      </c>
    </row>
    <row r="1541" ht="14.25" hidden="1" customHeight="1">
      <c r="A1541" s="8" t="s">
        <v>2438</v>
      </c>
      <c r="B1541" s="8" t="s">
        <v>2273</v>
      </c>
      <c r="C1541" s="121" t="str">
        <f t="shared" si="58"/>
        <v>http://www.huntington.va.gov/contact/phone_directory.asp</v>
      </c>
    </row>
    <row r="1542" ht="14.25" hidden="1" customHeight="1">
      <c r="A1542" s="8" t="s">
        <v>683</v>
      </c>
      <c r="B1542" s="8" t="s">
        <v>2273</v>
      </c>
      <c r="C1542" s="121" t="str">
        <f t="shared" si="58"/>
        <v>http://www.huntington.va.gov/contact/phone_directory.asp</v>
      </c>
    </row>
    <row r="1543" ht="14.25" hidden="1" customHeight="1">
      <c r="A1543" s="8" t="s">
        <v>743</v>
      </c>
      <c r="B1543" s="8" t="s">
        <v>2273</v>
      </c>
      <c r="C1543" s="121" t="str">
        <f t="shared" si="58"/>
        <v>http://www.huntington.va.gov/contact/phone_directory.asp</v>
      </c>
    </row>
    <row r="1544" ht="14.25" hidden="1" customHeight="1">
      <c r="A1544" s="8" t="s">
        <v>2439</v>
      </c>
      <c r="B1544" s="8" t="s">
        <v>2273</v>
      </c>
      <c r="C1544" s="121" t="str">
        <f t="shared" si="58"/>
        <v>http://www.huntington.va.gov/contact/phone_directory.asp</v>
      </c>
    </row>
    <row r="1545" ht="14.25" hidden="1" customHeight="1">
      <c r="A1545" s="8" t="s">
        <v>2440</v>
      </c>
      <c r="B1545" s="8" t="s">
        <v>2273</v>
      </c>
      <c r="C1545" s="121" t="str">
        <f t="shared" si="58"/>
        <v>http://www.huntington.va.gov/contact/phone_directory.asp</v>
      </c>
    </row>
    <row r="1546" ht="14.25" hidden="1" customHeight="1">
      <c r="A1546" s="8" t="s">
        <v>707</v>
      </c>
      <c r="B1546" s="8" t="s">
        <v>2273</v>
      </c>
      <c r="C1546" s="121" t="str">
        <f t="shared" si="58"/>
        <v>http://www.huntington.va.gov/contact/phone_directory.asp</v>
      </c>
    </row>
    <row r="1547" ht="14.25" hidden="1" customHeight="1">
      <c r="A1547" s="8" t="s">
        <v>1172</v>
      </c>
      <c r="B1547" s="8" t="s">
        <v>2273</v>
      </c>
      <c r="C1547" s="121" t="str">
        <f t="shared" si="58"/>
        <v>http://www.huntington.va.gov/contact/phone_directory.asp</v>
      </c>
    </row>
    <row r="1548" ht="14.25" hidden="1" customHeight="1">
      <c r="A1548" s="8" t="s">
        <v>2441</v>
      </c>
      <c r="B1548" s="8" t="s">
        <v>2273</v>
      </c>
      <c r="C1548" s="121" t="str">
        <f t="shared" si="58"/>
        <v>http://www.huntington.va.gov/contact/phone_directory.asp</v>
      </c>
    </row>
    <row r="1549" ht="14.25" hidden="1" customHeight="1">
      <c r="A1549" s="8" t="s">
        <v>1655</v>
      </c>
      <c r="B1549" s="8" t="s">
        <v>2273</v>
      </c>
      <c r="C1549" s="121" t="str">
        <f t="shared" si="58"/>
        <v>http://www.huntington.va.gov/contact/phone_directory.asp</v>
      </c>
    </row>
    <row r="1550" ht="14.25" hidden="1" customHeight="1">
      <c r="A1550" s="8" t="s">
        <v>2442</v>
      </c>
      <c r="B1550" s="8" t="s">
        <v>2273</v>
      </c>
      <c r="C1550" s="121" t="str">
        <f t="shared" si="58"/>
        <v>http://www.huntington.va.gov/contact/phone_directory.asp</v>
      </c>
    </row>
    <row r="1551" ht="14.25" hidden="1" customHeight="1">
      <c r="A1551" s="8" t="s">
        <v>2443</v>
      </c>
      <c r="B1551" s="8" t="s">
        <v>2273</v>
      </c>
      <c r="C1551" s="121" t="str">
        <f t="shared" si="58"/>
        <v>http://www.huntington.va.gov/contact/phone_directory.asp</v>
      </c>
    </row>
    <row r="1552" ht="14.25" hidden="1" customHeight="1">
      <c r="A1552" s="8" t="s">
        <v>2444</v>
      </c>
      <c r="B1552" s="8" t="s">
        <v>2273</v>
      </c>
      <c r="C1552" s="121" t="str">
        <f t="shared" si="58"/>
        <v>http://www.huntington.va.gov/contact/phone_directory.asp</v>
      </c>
    </row>
    <row r="1553" ht="14.25" hidden="1" customHeight="1">
      <c r="A1553" s="8" t="s">
        <v>839</v>
      </c>
      <c r="B1553" s="8" t="s">
        <v>2273</v>
      </c>
      <c r="C1553" s="121" t="str">
        <f t="shared" si="58"/>
        <v>http://www.huntington.va.gov/contact/phone_directory.asp</v>
      </c>
    </row>
    <row r="1554" ht="14.25" hidden="1" customHeight="1">
      <c r="A1554" s="8" t="s">
        <v>2445</v>
      </c>
      <c r="B1554" s="8" t="s">
        <v>2273</v>
      </c>
      <c r="C1554" s="121" t="str">
        <f t="shared" si="58"/>
        <v>http://www.huntington.va.gov/contact/phone_directory.asp</v>
      </c>
    </row>
    <row r="1555" ht="14.25" hidden="1" customHeight="1">
      <c r="A1555" s="8" t="s">
        <v>901</v>
      </c>
      <c r="B1555" s="8" t="s">
        <v>2273</v>
      </c>
      <c r="C1555" s="121" t="str">
        <f t="shared" si="58"/>
        <v>http://www.huntington.va.gov/contact/phone_directory.asp</v>
      </c>
    </row>
    <row r="1556" ht="14.25" hidden="1" customHeight="1">
      <c r="A1556" s="8" t="s">
        <v>338</v>
      </c>
      <c r="B1556" s="8" t="s">
        <v>2273</v>
      </c>
      <c r="C1556" s="121" t="str">
        <f t="shared" si="58"/>
        <v>http://www.huntington.va.gov/contact/phone_directory.asp</v>
      </c>
    </row>
    <row r="1557" ht="14.25" hidden="1" customHeight="1">
      <c r="A1557" s="8" t="s">
        <v>2446</v>
      </c>
      <c r="B1557" s="8" t="s">
        <v>2273</v>
      </c>
      <c r="C1557" s="121" t="str">
        <f t="shared" si="58"/>
        <v>http://www.huntington.va.gov/contact/phone_directory.asp</v>
      </c>
    </row>
    <row r="1558" ht="14.25" hidden="1" customHeight="1">
      <c r="A1558" s="8" t="s">
        <v>2447</v>
      </c>
      <c r="B1558" s="8" t="s">
        <v>2273</v>
      </c>
      <c r="C1558" s="121" t="str">
        <f t="shared" si="58"/>
        <v>http://www.huntington.va.gov/contact/phone_directory.asp</v>
      </c>
    </row>
    <row r="1559" ht="14.25" hidden="1" customHeight="1">
      <c r="A1559" s="8" t="s">
        <v>2065</v>
      </c>
      <c r="B1559" s="8" t="s">
        <v>2273</v>
      </c>
      <c r="C1559" s="121" t="str">
        <f t="shared" si="58"/>
        <v>http://www.huntington.va.gov/contact/phone_directory.asp</v>
      </c>
    </row>
    <row r="1560" ht="14.25" hidden="1" customHeight="1">
      <c r="A1560" s="8" t="s">
        <v>1427</v>
      </c>
      <c r="B1560" s="8" t="s">
        <v>2273</v>
      </c>
      <c r="C1560" s="121" t="str">
        <f t="shared" si="58"/>
        <v>http://www.huntington.va.gov/contact/phone_directory.asp</v>
      </c>
    </row>
    <row r="1561" ht="14.25" hidden="1" customHeight="1">
      <c r="A1561" s="8" t="s">
        <v>1446</v>
      </c>
      <c r="B1561" s="8" t="s">
        <v>2273</v>
      </c>
      <c r="C1561" s="121" t="str">
        <f t="shared" si="58"/>
        <v>http://www.huntington.va.gov/contact/phone_directory.asp</v>
      </c>
    </row>
    <row r="1562" ht="14.25" hidden="1" customHeight="1">
      <c r="A1562" s="8" t="s">
        <v>699</v>
      </c>
      <c r="B1562" s="8" t="s">
        <v>2273</v>
      </c>
      <c r="C1562" s="121" t="str">
        <f t="shared" si="58"/>
        <v>http://www.huntington.va.gov/contact/phone_directory.asp</v>
      </c>
    </row>
    <row r="1563" ht="14.25" hidden="1" customHeight="1">
      <c r="A1563" s="8" t="s">
        <v>2449</v>
      </c>
      <c r="B1563" s="8" t="s">
        <v>2273</v>
      </c>
      <c r="C1563" s="121" t="str">
        <f t="shared" si="58"/>
        <v>http://www.huntington.va.gov/contact/phone_directory.asp</v>
      </c>
    </row>
    <row r="1564" ht="14.25" hidden="1" customHeight="1">
      <c r="A1564" s="8" t="s">
        <v>353</v>
      </c>
      <c r="B1564" s="8" t="s">
        <v>2273</v>
      </c>
      <c r="C1564" s="121" t="str">
        <f t="shared" si="58"/>
        <v>http://www.huntington.va.gov/contact/phone_directory.asp</v>
      </c>
    </row>
    <row r="1565" ht="14.25" hidden="1" customHeight="1">
      <c r="A1565" s="8" t="s">
        <v>708</v>
      </c>
      <c r="B1565" s="8" t="s">
        <v>2273</v>
      </c>
      <c r="C1565" s="121" t="str">
        <f t="shared" si="58"/>
        <v>http://www.huntington.va.gov/contact/phone_directory.asp</v>
      </c>
    </row>
    <row r="1566" ht="14.25" hidden="1" customHeight="1">
      <c r="A1566" s="8" t="s">
        <v>1198</v>
      </c>
      <c r="B1566" s="8" t="s">
        <v>2273</v>
      </c>
      <c r="C1566" s="121" t="str">
        <f t="shared" si="58"/>
        <v>http://www.huntington.va.gov/contact/phone_directory.asp</v>
      </c>
    </row>
    <row r="1567" ht="14.25" hidden="1" customHeight="1">
      <c r="A1567" s="8" t="s">
        <v>2450</v>
      </c>
      <c r="B1567" s="8" t="s">
        <v>2273</v>
      </c>
      <c r="C1567" s="121" t="str">
        <f t="shared" si="58"/>
        <v>http://www.huntington.va.gov/contact/phone_directory.asp</v>
      </c>
    </row>
    <row r="1568" ht="14.25" hidden="1" customHeight="1">
      <c r="A1568" s="8" t="s">
        <v>2451</v>
      </c>
      <c r="B1568" s="8" t="s">
        <v>2273</v>
      </c>
      <c r="C1568" s="121" t="str">
        <f t="shared" si="58"/>
        <v>http://www.huntington.va.gov/contact/phone_directory.asp</v>
      </c>
    </row>
    <row r="1569" ht="14.25" hidden="1" customHeight="1">
      <c r="A1569" s="8" t="s">
        <v>2452</v>
      </c>
      <c r="B1569" s="8" t="s">
        <v>2273</v>
      </c>
      <c r="C1569" s="121" t="str">
        <f t="shared" si="58"/>
        <v>http://www.huntington.va.gov/contact/phone_directory.asp</v>
      </c>
    </row>
    <row r="1570" ht="14.25" hidden="1" customHeight="1">
      <c r="A1570" s="8" t="s">
        <v>2453</v>
      </c>
      <c r="B1570" s="8" t="s">
        <v>2273</v>
      </c>
      <c r="C1570" s="121" t="str">
        <f t="shared" si="58"/>
        <v>http://www.huntington.va.gov/contact/phone_directory.asp</v>
      </c>
    </row>
    <row r="1571" ht="14.25" hidden="1" customHeight="1">
      <c r="A1571" s="8" t="s">
        <v>932</v>
      </c>
      <c r="B1571" s="8" t="s">
        <v>2273</v>
      </c>
      <c r="C1571" s="121" t="str">
        <f t="shared" si="58"/>
        <v>http://www.huntington.va.gov/contact/phone_directory.asp</v>
      </c>
    </row>
    <row r="1572" ht="14.25" hidden="1" customHeight="1">
      <c r="A1572" s="8" t="s">
        <v>935</v>
      </c>
      <c r="B1572" s="8" t="s">
        <v>2273</v>
      </c>
      <c r="C1572" s="121" t="str">
        <f t="shared" si="58"/>
        <v>http://www.huntington.va.gov/contact/phone_directory.asp</v>
      </c>
    </row>
    <row r="1573" ht="14.25" hidden="1" customHeight="1">
      <c r="A1573" s="8" t="s">
        <v>2454</v>
      </c>
      <c r="B1573" s="8" t="s">
        <v>2273</v>
      </c>
      <c r="C1573" s="121" t="str">
        <f t="shared" si="58"/>
        <v>http://www.huntington.va.gov/contact/phone_directory.asp</v>
      </c>
    </row>
    <row r="1574" ht="14.25" hidden="1" customHeight="1">
      <c r="A1574" s="8" t="s">
        <v>2455</v>
      </c>
      <c r="B1574" s="8" t="s">
        <v>2273</v>
      </c>
      <c r="C1574" s="121" t="str">
        <f t="shared" si="58"/>
        <v>http://www.huntington.va.gov/contact/phone_directory.asp</v>
      </c>
    </row>
    <row r="1575" ht="14.25" hidden="1" customHeight="1">
      <c r="A1575" s="8" t="s">
        <v>2456</v>
      </c>
      <c r="B1575" s="8" t="s">
        <v>2273</v>
      </c>
      <c r="C1575" s="121" t="str">
        <f t="shared" si="58"/>
        <v>http://www.huntington.va.gov/contact/phone_directory.asp</v>
      </c>
    </row>
    <row r="1576" ht="14.25" hidden="1" customHeight="1">
      <c r="A1576" s="8" t="s">
        <v>1452</v>
      </c>
      <c r="B1576" s="8" t="s">
        <v>2273</v>
      </c>
      <c r="C1576" s="121" t="str">
        <f t="shared" si="58"/>
        <v>http://www.huntington.va.gov/contact/phone_directory.asp</v>
      </c>
    </row>
    <row r="1577" ht="14.25" hidden="1" customHeight="1">
      <c r="A1577" s="8" t="s">
        <v>511</v>
      </c>
      <c r="B1577" s="8" t="s">
        <v>2273</v>
      </c>
      <c r="C1577" s="121" t="str">
        <f t="shared" si="58"/>
        <v>http://www.huntington.va.gov/contact/phone_directory.asp</v>
      </c>
    </row>
    <row r="1578" ht="14.25" hidden="1" customHeight="1">
      <c r="A1578" s="8" t="s">
        <v>1362</v>
      </c>
      <c r="B1578" s="8" t="s">
        <v>2273</v>
      </c>
      <c r="C1578" s="121" t="str">
        <f t="shared" si="58"/>
        <v>http://www.huntington.va.gov/contact/phone_directory.asp</v>
      </c>
    </row>
    <row r="1579" ht="14.25" hidden="1" customHeight="1">
      <c r="A1579" s="8" t="s">
        <v>1690</v>
      </c>
      <c r="B1579" s="8" t="s">
        <v>2273</v>
      </c>
      <c r="C1579" s="121" t="str">
        <f t="shared" si="58"/>
        <v>http://www.huntington.va.gov/contact/phone_directory.asp</v>
      </c>
    </row>
    <row r="1580" ht="14.25" hidden="1" customHeight="1">
      <c r="A1580" s="8" t="s">
        <v>2457</v>
      </c>
      <c r="B1580" s="8" t="s">
        <v>2273</v>
      </c>
      <c r="C1580" s="121" t="str">
        <f t="shared" si="58"/>
        <v>http://www.huntington.va.gov/contact/phone_directory.asp</v>
      </c>
    </row>
    <row r="1581" ht="14.25" hidden="1" customHeight="1">
      <c r="A1581" s="8" t="s">
        <v>379</v>
      </c>
      <c r="B1581" s="8" t="s">
        <v>2273</v>
      </c>
      <c r="C1581" s="121" t="str">
        <f t="shared" si="58"/>
        <v>http://www.huntington.va.gov/contact/phone_directory.asp</v>
      </c>
    </row>
    <row r="1582" ht="14.25" hidden="1" customHeight="1">
      <c r="A1582" s="8" t="s">
        <v>2013</v>
      </c>
      <c r="B1582" s="8" t="s">
        <v>2284</v>
      </c>
      <c r="C1582" s="121" t="str">
        <f t="shared" ref="C1582:C1599" si="59">HYPERLINK("http://www.indianapolis.va.gov/contact/phone_directory.asp")</f>
        <v>http://www.indianapolis.va.gov/contact/phone_directory.asp</v>
      </c>
    </row>
    <row r="1583" ht="14.25" hidden="1" customHeight="1">
      <c r="A1583" s="8" t="s">
        <v>244</v>
      </c>
      <c r="B1583" s="8" t="s">
        <v>2284</v>
      </c>
      <c r="C1583" s="121" t="str">
        <f t="shared" si="59"/>
        <v>http://www.indianapolis.va.gov/contact/phone_directory.asp</v>
      </c>
    </row>
    <row r="1584" ht="14.25" hidden="1" customHeight="1">
      <c r="A1584" s="8" t="s">
        <v>872</v>
      </c>
      <c r="B1584" s="8" t="s">
        <v>2284</v>
      </c>
      <c r="C1584" s="121" t="str">
        <f t="shared" si="59"/>
        <v>http://www.indianapolis.va.gov/contact/phone_directory.asp</v>
      </c>
    </row>
    <row r="1585" ht="14.25" hidden="1" customHeight="1">
      <c r="A1585" s="8" t="s">
        <v>517</v>
      </c>
      <c r="B1585" s="8" t="s">
        <v>2284</v>
      </c>
      <c r="C1585" s="121" t="str">
        <f t="shared" si="59"/>
        <v>http://www.indianapolis.va.gov/contact/phone_directory.asp</v>
      </c>
    </row>
    <row r="1586" ht="14.25" hidden="1" customHeight="1">
      <c r="A1586" s="8" t="s">
        <v>2459</v>
      </c>
      <c r="B1586" s="8" t="s">
        <v>2284</v>
      </c>
      <c r="C1586" s="121" t="str">
        <f t="shared" si="59"/>
        <v>http://www.indianapolis.va.gov/contact/phone_directory.asp</v>
      </c>
    </row>
    <row r="1587" ht="14.25" hidden="1" customHeight="1">
      <c r="A1587" s="8" t="s">
        <v>2460</v>
      </c>
      <c r="B1587" s="8" t="s">
        <v>2284</v>
      </c>
      <c r="C1587" s="121" t="str">
        <f t="shared" si="59"/>
        <v>http://www.indianapolis.va.gov/contact/phone_directory.asp</v>
      </c>
    </row>
    <row r="1588" ht="14.25" hidden="1" customHeight="1">
      <c r="A1588" s="8" t="s">
        <v>1172</v>
      </c>
      <c r="B1588" s="8" t="s">
        <v>2284</v>
      </c>
      <c r="C1588" s="121" t="str">
        <f t="shared" si="59"/>
        <v>http://www.indianapolis.va.gov/contact/phone_directory.asp</v>
      </c>
    </row>
    <row r="1589" ht="14.25" hidden="1" customHeight="1">
      <c r="A1589" s="8" t="s">
        <v>2461</v>
      </c>
      <c r="B1589" s="8" t="s">
        <v>2284</v>
      </c>
      <c r="C1589" s="121" t="str">
        <f t="shared" si="59"/>
        <v>http://www.indianapolis.va.gov/contact/phone_directory.asp</v>
      </c>
    </row>
    <row r="1590" ht="14.25" hidden="1" customHeight="1">
      <c r="A1590" s="8" t="s">
        <v>2462</v>
      </c>
      <c r="B1590" s="8" t="s">
        <v>2284</v>
      </c>
      <c r="C1590" s="121" t="str">
        <f t="shared" si="59"/>
        <v>http://www.indianapolis.va.gov/contact/phone_directory.asp</v>
      </c>
    </row>
    <row r="1591" ht="14.25" hidden="1" customHeight="1">
      <c r="A1591" s="8" t="s">
        <v>2463</v>
      </c>
      <c r="B1591" s="8" t="s">
        <v>2284</v>
      </c>
      <c r="C1591" s="121" t="str">
        <f t="shared" si="59"/>
        <v>http://www.indianapolis.va.gov/contact/phone_directory.asp</v>
      </c>
    </row>
    <row r="1592" ht="14.25" hidden="1" customHeight="1">
      <c r="A1592" s="8" t="s">
        <v>2464</v>
      </c>
      <c r="B1592" s="8" t="s">
        <v>2284</v>
      </c>
      <c r="C1592" s="121" t="str">
        <f t="shared" si="59"/>
        <v>http://www.indianapolis.va.gov/contact/phone_directory.asp</v>
      </c>
    </row>
    <row r="1593" ht="14.25" hidden="1" customHeight="1">
      <c r="A1593" s="8" t="s">
        <v>450</v>
      </c>
      <c r="B1593" s="8" t="s">
        <v>2284</v>
      </c>
      <c r="C1593" s="121" t="str">
        <f t="shared" si="59"/>
        <v>http://www.indianapolis.va.gov/contact/phone_directory.asp</v>
      </c>
    </row>
    <row r="1594" ht="14.25" hidden="1" customHeight="1">
      <c r="A1594" s="8" t="s">
        <v>353</v>
      </c>
      <c r="B1594" s="8" t="s">
        <v>2284</v>
      </c>
      <c r="C1594" s="121" t="str">
        <f t="shared" si="59"/>
        <v>http://www.indianapolis.va.gov/contact/phone_directory.asp</v>
      </c>
    </row>
    <row r="1595" ht="14.25" hidden="1" customHeight="1">
      <c r="A1595" s="8" t="s">
        <v>708</v>
      </c>
      <c r="B1595" s="8" t="s">
        <v>2284</v>
      </c>
      <c r="C1595" s="121" t="str">
        <f t="shared" si="59"/>
        <v>http://www.indianapolis.va.gov/contact/phone_directory.asp</v>
      </c>
    </row>
    <row r="1596" ht="14.25" hidden="1" customHeight="1">
      <c r="A1596" s="8" t="s">
        <v>2465</v>
      </c>
      <c r="B1596" s="8" t="s">
        <v>2284</v>
      </c>
      <c r="C1596" s="121" t="str">
        <f t="shared" si="59"/>
        <v>http://www.indianapolis.va.gov/contact/phone_directory.asp</v>
      </c>
    </row>
    <row r="1597" ht="14.25" hidden="1" customHeight="1">
      <c r="A1597" s="8" t="s">
        <v>569</v>
      </c>
      <c r="B1597" s="8" t="s">
        <v>2284</v>
      </c>
      <c r="C1597" s="121" t="str">
        <f t="shared" si="59"/>
        <v>http://www.indianapolis.va.gov/contact/phone_directory.asp</v>
      </c>
    </row>
    <row r="1598" ht="14.25" hidden="1" customHeight="1">
      <c r="A1598" s="8" t="s">
        <v>1367</v>
      </c>
      <c r="B1598" s="8" t="s">
        <v>2284</v>
      </c>
      <c r="C1598" s="121" t="str">
        <f t="shared" si="59"/>
        <v>http://www.indianapolis.va.gov/contact/phone_directory.asp</v>
      </c>
    </row>
    <row r="1599" ht="14.25" hidden="1" customHeight="1">
      <c r="A1599" s="8" t="s">
        <v>2467</v>
      </c>
      <c r="B1599" s="8" t="s">
        <v>2284</v>
      </c>
      <c r="C1599" s="121" t="str">
        <f t="shared" si="59"/>
        <v>http://www.indianapolis.va.gov/contact/phone_directory.asp</v>
      </c>
    </row>
    <row r="1600" ht="14.25" hidden="1" customHeight="1">
      <c r="A1600" s="8" t="s">
        <v>2468</v>
      </c>
      <c r="B1600" s="8" t="s">
        <v>2357</v>
      </c>
      <c r="C1600" s="121" t="str">
        <f t="shared" ref="C1600:C1623" si="60">HYPERLINK("http://www.iowacity.va.gov/contact/phone_directory.asp")</f>
        <v>http://www.iowacity.va.gov/contact/phone_directory.asp</v>
      </c>
    </row>
    <row r="1601" ht="14.25" hidden="1" customHeight="1">
      <c r="A1601" s="8" t="s">
        <v>631</v>
      </c>
      <c r="B1601" s="8" t="s">
        <v>2357</v>
      </c>
      <c r="C1601" s="121" t="str">
        <f t="shared" si="60"/>
        <v>http://www.iowacity.va.gov/contact/phone_directory.asp</v>
      </c>
    </row>
    <row r="1602" ht="14.25" hidden="1" customHeight="1">
      <c r="A1602" s="8" t="s">
        <v>2054</v>
      </c>
      <c r="B1602" s="8" t="s">
        <v>2357</v>
      </c>
      <c r="C1602" s="121" t="str">
        <f t="shared" si="60"/>
        <v>http://www.iowacity.va.gov/contact/phone_directory.asp</v>
      </c>
    </row>
    <row r="1603" ht="14.25" hidden="1" customHeight="1">
      <c r="A1603" s="8" t="s">
        <v>2470</v>
      </c>
      <c r="B1603" s="8" t="s">
        <v>2357</v>
      </c>
      <c r="C1603" s="121" t="str">
        <f t="shared" si="60"/>
        <v>http://www.iowacity.va.gov/contact/phone_directory.asp</v>
      </c>
    </row>
    <row r="1604" ht="14.25" hidden="1" customHeight="1">
      <c r="A1604" s="8" t="s">
        <v>2471</v>
      </c>
      <c r="B1604" s="8" t="s">
        <v>2357</v>
      </c>
      <c r="C1604" s="121" t="str">
        <f t="shared" si="60"/>
        <v>http://www.iowacity.va.gov/contact/phone_directory.asp</v>
      </c>
    </row>
    <row r="1605" ht="14.25" hidden="1" customHeight="1">
      <c r="A1605" s="8" t="s">
        <v>2472</v>
      </c>
      <c r="B1605" s="8" t="s">
        <v>2357</v>
      </c>
      <c r="C1605" s="121" t="str">
        <f t="shared" si="60"/>
        <v>http://www.iowacity.va.gov/contact/phone_directory.asp</v>
      </c>
    </row>
    <row r="1606" ht="14.25" hidden="1" customHeight="1">
      <c r="A1606" s="8" t="s">
        <v>304</v>
      </c>
      <c r="B1606" s="8" t="s">
        <v>2357</v>
      </c>
      <c r="C1606" s="121" t="str">
        <f t="shared" si="60"/>
        <v>http://www.iowacity.va.gov/contact/phone_directory.asp</v>
      </c>
    </row>
    <row r="1607" ht="14.25" hidden="1" customHeight="1">
      <c r="A1607" s="8" t="s">
        <v>2473</v>
      </c>
      <c r="B1607" s="8" t="s">
        <v>2357</v>
      </c>
      <c r="C1607" s="121" t="str">
        <f t="shared" si="60"/>
        <v>http://www.iowacity.va.gov/contact/phone_directory.asp</v>
      </c>
    </row>
    <row r="1608" ht="14.25" hidden="1" customHeight="1">
      <c r="A1608" s="8" t="s">
        <v>663</v>
      </c>
      <c r="B1608" s="8" t="s">
        <v>2357</v>
      </c>
      <c r="C1608" s="121" t="str">
        <f t="shared" si="60"/>
        <v>http://www.iowacity.va.gov/contact/phone_directory.asp</v>
      </c>
    </row>
    <row r="1609" ht="14.25" hidden="1" customHeight="1">
      <c r="A1609" s="8" t="s">
        <v>486</v>
      </c>
      <c r="B1609" s="8" t="s">
        <v>2357</v>
      </c>
      <c r="C1609" s="121" t="str">
        <f t="shared" si="60"/>
        <v>http://www.iowacity.va.gov/contact/phone_directory.asp</v>
      </c>
    </row>
    <row r="1610" ht="14.25" hidden="1" customHeight="1">
      <c r="A1610" s="8" t="s">
        <v>2474</v>
      </c>
      <c r="B1610" s="8" t="s">
        <v>2357</v>
      </c>
      <c r="C1610" s="121" t="str">
        <f t="shared" si="60"/>
        <v>http://www.iowacity.va.gov/contact/phone_directory.asp</v>
      </c>
    </row>
    <row r="1611" ht="14.25" hidden="1" customHeight="1">
      <c r="A1611" s="8" t="s">
        <v>1564</v>
      </c>
      <c r="B1611" s="8" t="s">
        <v>2357</v>
      </c>
      <c r="C1611" s="121" t="str">
        <f t="shared" si="60"/>
        <v>http://www.iowacity.va.gov/contact/phone_directory.asp</v>
      </c>
    </row>
    <row r="1612" ht="14.25" hidden="1" customHeight="1">
      <c r="A1612" s="8" t="s">
        <v>2476</v>
      </c>
      <c r="B1612" s="8" t="s">
        <v>2357</v>
      </c>
      <c r="C1612" s="121" t="str">
        <f t="shared" si="60"/>
        <v>http://www.iowacity.va.gov/contact/phone_directory.asp</v>
      </c>
    </row>
    <row r="1613" ht="14.25" hidden="1" customHeight="1">
      <c r="A1613" s="8" t="s">
        <v>684</v>
      </c>
      <c r="B1613" s="8" t="s">
        <v>2357</v>
      </c>
      <c r="C1613" s="121" t="str">
        <f t="shared" si="60"/>
        <v>http://www.iowacity.va.gov/contact/phone_directory.asp</v>
      </c>
    </row>
    <row r="1614" ht="14.25" hidden="1" customHeight="1">
      <c r="A1614" s="8" t="s">
        <v>2477</v>
      </c>
      <c r="B1614" s="8" t="s">
        <v>2357</v>
      </c>
      <c r="C1614" s="121" t="str">
        <f t="shared" si="60"/>
        <v>http://www.iowacity.va.gov/contact/phone_directory.asp</v>
      </c>
    </row>
    <row r="1615" ht="14.25" hidden="1" customHeight="1">
      <c r="A1615" s="8" t="s">
        <v>2479</v>
      </c>
      <c r="B1615" s="8" t="s">
        <v>2357</v>
      </c>
      <c r="C1615" s="121" t="str">
        <f t="shared" si="60"/>
        <v>http://www.iowacity.va.gov/contact/phone_directory.asp</v>
      </c>
    </row>
    <row r="1616" ht="14.25" hidden="1" customHeight="1">
      <c r="A1616" s="8" t="s">
        <v>2480</v>
      </c>
      <c r="B1616" s="8" t="s">
        <v>2357</v>
      </c>
      <c r="C1616" s="121" t="str">
        <f t="shared" si="60"/>
        <v>http://www.iowacity.va.gov/contact/phone_directory.asp</v>
      </c>
    </row>
    <row r="1617" ht="14.25" hidden="1" customHeight="1">
      <c r="A1617" s="8" t="s">
        <v>2481</v>
      </c>
      <c r="B1617" s="8" t="s">
        <v>2357</v>
      </c>
      <c r="C1617" s="121" t="str">
        <f t="shared" si="60"/>
        <v>http://www.iowacity.va.gov/contact/phone_directory.asp</v>
      </c>
    </row>
    <row r="1618" ht="14.25" hidden="1" customHeight="1">
      <c r="A1618" s="8" t="s">
        <v>1202</v>
      </c>
      <c r="B1618" s="8" t="s">
        <v>2357</v>
      </c>
      <c r="C1618" s="121" t="str">
        <f t="shared" si="60"/>
        <v>http://www.iowacity.va.gov/contact/phone_directory.asp</v>
      </c>
    </row>
    <row r="1619" ht="14.25" hidden="1" customHeight="1">
      <c r="A1619" s="8" t="s">
        <v>1851</v>
      </c>
      <c r="B1619" s="8" t="s">
        <v>2357</v>
      </c>
      <c r="C1619" s="121" t="str">
        <f t="shared" si="60"/>
        <v>http://www.iowacity.va.gov/contact/phone_directory.asp</v>
      </c>
    </row>
    <row r="1620" ht="14.25" hidden="1" customHeight="1">
      <c r="A1620" s="8" t="s">
        <v>2483</v>
      </c>
      <c r="B1620" s="8" t="s">
        <v>2357</v>
      </c>
      <c r="C1620" s="121" t="str">
        <f t="shared" si="60"/>
        <v>http://www.iowacity.va.gov/contact/phone_directory.asp</v>
      </c>
    </row>
    <row r="1621" ht="14.25" hidden="1" customHeight="1">
      <c r="A1621" s="8" t="s">
        <v>2484</v>
      </c>
      <c r="B1621" s="8" t="s">
        <v>2357</v>
      </c>
      <c r="C1621" s="121" t="str">
        <f t="shared" si="60"/>
        <v>http://www.iowacity.va.gov/contact/phone_directory.asp</v>
      </c>
    </row>
    <row r="1622" ht="14.25" hidden="1" customHeight="1">
      <c r="A1622" s="8" t="s">
        <v>2485</v>
      </c>
      <c r="B1622" s="8" t="s">
        <v>2357</v>
      </c>
      <c r="C1622" s="121" t="str">
        <f t="shared" si="60"/>
        <v>http://www.iowacity.va.gov/contact/phone_directory.asp</v>
      </c>
    </row>
    <row r="1623" ht="14.25" hidden="1" customHeight="1">
      <c r="A1623" s="8" t="s">
        <v>2486</v>
      </c>
      <c r="B1623" s="8" t="s">
        <v>2357</v>
      </c>
      <c r="C1623" s="121" t="str">
        <f t="shared" si="60"/>
        <v>http://www.iowacity.va.gov/contact/phone_directory.asp</v>
      </c>
    </row>
    <row r="1624" ht="14.25" hidden="1" customHeight="1">
      <c r="A1624" s="8" t="s">
        <v>2487</v>
      </c>
      <c r="B1624" s="8" t="s">
        <v>2386</v>
      </c>
      <c r="C1624" s="121" t="str">
        <f t="shared" ref="C1624:C1630" si="61">HYPERLINK("http://www.ironmountain.va.gov/contact/phone_directory.asp")</f>
        <v>http://www.ironmountain.va.gov/contact/phone_directory.asp</v>
      </c>
    </row>
    <row r="1625" ht="14.25" hidden="1" customHeight="1">
      <c r="A1625" s="8" t="s">
        <v>639</v>
      </c>
      <c r="B1625" s="8" t="s">
        <v>2386</v>
      </c>
      <c r="C1625" s="121" t="str">
        <f t="shared" si="61"/>
        <v>http://www.ironmountain.va.gov/contact/phone_directory.asp</v>
      </c>
    </row>
    <row r="1626" ht="14.25" hidden="1" customHeight="1">
      <c r="A1626" s="8" t="s">
        <v>455</v>
      </c>
      <c r="B1626" s="8" t="s">
        <v>2386</v>
      </c>
      <c r="C1626" s="121" t="str">
        <f t="shared" si="61"/>
        <v>http://www.ironmountain.va.gov/contact/phone_directory.asp</v>
      </c>
    </row>
    <row r="1627" ht="14.25" hidden="1" customHeight="1">
      <c r="A1627" s="8" t="s">
        <v>513</v>
      </c>
      <c r="B1627" s="8" t="s">
        <v>2386</v>
      </c>
      <c r="C1627" s="121" t="str">
        <f t="shared" si="61"/>
        <v>http://www.ironmountain.va.gov/contact/phone_directory.asp</v>
      </c>
    </row>
    <row r="1628" ht="14.25" hidden="1" customHeight="1">
      <c r="A1628" s="8" t="s">
        <v>1865</v>
      </c>
      <c r="B1628" s="8" t="s">
        <v>2386</v>
      </c>
      <c r="C1628" s="121" t="str">
        <f t="shared" si="61"/>
        <v>http://www.ironmountain.va.gov/contact/phone_directory.asp</v>
      </c>
    </row>
    <row r="1629" ht="14.25" hidden="1" customHeight="1">
      <c r="A1629" s="8" t="s">
        <v>670</v>
      </c>
      <c r="B1629" s="8" t="s">
        <v>2386</v>
      </c>
      <c r="C1629" s="121" t="str">
        <f t="shared" si="61"/>
        <v>http://www.ironmountain.va.gov/contact/phone_directory.asp</v>
      </c>
    </row>
    <row r="1630" ht="14.25" hidden="1" customHeight="1">
      <c r="A1630" s="8" t="s">
        <v>504</v>
      </c>
      <c r="B1630" s="8" t="s">
        <v>2386</v>
      </c>
      <c r="C1630" s="121" t="str">
        <f t="shared" si="61"/>
        <v>http://www.ironmountain.va.gov/contact/phone_directory.asp</v>
      </c>
    </row>
    <row r="1631" ht="14.25" hidden="1" customHeight="1">
      <c r="A1631" s="8" t="s">
        <v>455</v>
      </c>
      <c r="B1631" s="8" t="s">
        <v>2435</v>
      </c>
      <c r="C1631" s="121" t="str">
        <f t="shared" ref="C1631:C1650" si="62">HYPERLINK("http://www.kansascity.va.gov/contact/phone_directory.asp")</f>
        <v>http://www.kansascity.va.gov/contact/phone_directory.asp</v>
      </c>
    </row>
    <row r="1632" ht="14.25" hidden="1" customHeight="1">
      <c r="A1632" s="8" t="s">
        <v>517</v>
      </c>
      <c r="B1632" s="8" t="s">
        <v>2435</v>
      </c>
      <c r="C1632" s="121" t="str">
        <f t="shared" si="62"/>
        <v>http://www.kansascity.va.gov/contact/phone_directory.asp</v>
      </c>
    </row>
    <row r="1633" ht="14.25" hidden="1" customHeight="1">
      <c r="A1633" s="8" t="s">
        <v>2490</v>
      </c>
      <c r="B1633" s="8" t="s">
        <v>2435</v>
      </c>
      <c r="C1633" s="121" t="str">
        <f t="shared" si="62"/>
        <v>http://www.kansascity.va.gov/contact/phone_directory.asp</v>
      </c>
    </row>
    <row r="1634" ht="14.25" hidden="1" customHeight="1">
      <c r="A1634" s="8" t="s">
        <v>538</v>
      </c>
      <c r="B1634" s="8" t="s">
        <v>2435</v>
      </c>
      <c r="C1634" s="121" t="str">
        <f t="shared" si="62"/>
        <v>http://www.kansascity.va.gov/contact/phone_directory.asp</v>
      </c>
    </row>
    <row r="1635" ht="14.25" hidden="1" customHeight="1">
      <c r="A1635" s="8" t="s">
        <v>1372</v>
      </c>
      <c r="B1635" s="8" t="s">
        <v>2435</v>
      </c>
      <c r="C1635" s="121" t="str">
        <f t="shared" si="62"/>
        <v>http://www.kansascity.va.gov/contact/phone_directory.asp</v>
      </c>
    </row>
    <row r="1636" ht="14.25" hidden="1" customHeight="1">
      <c r="A1636" s="8" t="s">
        <v>1138</v>
      </c>
      <c r="B1636" s="8" t="s">
        <v>2435</v>
      </c>
      <c r="C1636" s="121" t="str">
        <f t="shared" si="62"/>
        <v>http://www.kansascity.va.gov/contact/phone_directory.asp</v>
      </c>
    </row>
    <row r="1637" ht="14.25" hidden="1" customHeight="1">
      <c r="A1637" s="8" t="s">
        <v>696</v>
      </c>
      <c r="B1637" s="8" t="s">
        <v>2435</v>
      </c>
      <c r="C1637" s="121" t="str">
        <f t="shared" si="62"/>
        <v>http://www.kansascity.va.gov/contact/phone_directory.asp</v>
      </c>
    </row>
    <row r="1638" ht="14.25" hidden="1" customHeight="1">
      <c r="A1638" s="8" t="s">
        <v>670</v>
      </c>
      <c r="B1638" s="8" t="s">
        <v>2435</v>
      </c>
      <c r="C1638" s="121" t="str">
        <f t="shared" si="62"/>
        <v>http://www.kansascity.va.gov/contact/phone_directory.asp</v>
      </c>
    </row>
    <row r="1639" ht="14.25" hidden="1" customHeight="1">
      <c r="A1639" s="8" t="s">
        <v>579</v>
      </c>
      <c r="B1639" s="8" t="s">
        <v>2435</v>
      </c>
      <c r="C1639" s="121" t="str">
        <f t="shared" si="62"/>
        <v>http://www.kansascity.va.gov/contact/phone_directory.asp</v>
      </c>
    </row>
    <row r="1640" ht="14.25" hidden="1" customHeight="1">
      <c r="A1640" s="8" t="s">
        <v>653</v>
      </c>
      <c r="B1640" s="8" t="s">
        <v>2435</v>
      </c>
      <c r="C1640" s="121" t="str">
        <f t="shared" si="62"/>
        <v>http://www.kansascity.va.gov/contact/phone_directory.asp</v>
      </c>
    </row>
    <row r="1641" ht="14.25" hidden="1" customHeight="1">
      <c r="A1641" s="8" t="s">
        <v>2493</v>
      </c>
      <c r="B1641" s="8" t="s">
        <v>2435</v>
      </c>
      <c r="C1641" s="121" t="str">
        <f t="shared" si="62"/>
        <v>http://www.kansascity.va.gov/contact/phone_directory.asp</v>
      </c>
    </row>
    <row r="1642" ht="14.25" hidden="1" customHeight="1">
      <c r="A1642" s="8" t="s">
        <v>900</v>
      </c>
      <c r="B1642" s="8" t="s">
        <v>2435</v>
      </c>
      <c r="C1642" s="121" t="str">
        <f t="shared" si="62"/>
        <v>http://www.kansascity.va.gov/contact/phone_directory.asp</v>
      </c>
    </row>
    <row r="1643" ht="14.25" hidden="1" customHeight="1">
      <c r="A1643" s="8" t="s">
        <v>2065</v>
      </c>
      <c r="B1643" s="8" t="s">
        <v>2435</v>
      </c>
      <c r="C1643" s="121" t="str">
        <f t="shared" si="62"/>
        <v>http://www.kansascity.va.gov/contact/phone_directory.asp</v>
      </c>
    </row>
    <row r="1644" ht="14.25" hidden="1" customHeight="1">
      <c r="A1644" s="8" t="s">
        <v>907</v>
      </c>
      <c r="B1644" s="8" t="s">
        <v>2435</v>
      </c>
      <c r="C1644" s="121" t="str">
        <f t="shared" si="62"/>
        <v>http://www.kansascity.va.gov/contact/phone_directory.asp</v>
      </c>
    </row>
    <row r="1645" ht="14.25" hidden="1" customHeight="1">
      <c r="A1645" s="8" t="s">
        <v>353</v>
      </c>
      <c r="B1645" s="8" t="s">
        <v>2435</v>
      </c>
      <c r="C1645" s="121" t="str">
        <f t="shared" si="62"/>
        <v>http://www.kansascity.va.gov/contact/phone_directory.asp</v>
      </c>
    </row>
    <row r="1646" ht="14.25" hidden="1" customHeight="1">
      <c r="A1646" s="8" t="s">
        <v>791</v>
      </c>
      <c r="B1646" s="8" t="s">
        <v>2435</v>
      </c>
      <c r="C1646" s="121" t="str">
        <f t="shared" si="62"/>
        <v>http://www.kansascity.va.gov/contact/phone_directory.asp</v>
      </c>
    </row>
    <row r="1647" ht="14.25" hidden="1" customHeight="1">
      <c r="A1647" s="8" t="s">
        <v>2219</v>
      </c>
      <c r="B1647" s="8" t="s">
        <v>2435</v>
      </c>
      <c r="C1647" s="121" t="str">
        <f t="shared" si="62"/>
        <v>http://www.kansascity.va.gov/contact/phone_directory.asp</v>
      </c>
    </row>
    <row r="1648" ht="14.25" hidden="1" customHeight="1">
      <c r="A1648" s="8" t="s">
        <v>1171</v>
      </c>
      <c r="B1648" s="8" t="s">
        <v>2435</v>
      </c>
      <c r="C1648" s="121" t="str">
        <f t="shared" si="62"/>
        <v>http://www.kansascity.va.gov/contact/phone_directory.asp</v>
      </c>
    </row>
    <row r="1649" ht="14.25" hidden="1" customHeight="1">
      <c r="A1649" s="8" t="s">
        <v>804</v>
      </c>
      <c r="B1649" s="8" t="s">
        <v>2435</v>
      </c>
      <c r="C1649" s="121" t="str">
        <f t="shared" si="62"/>
        <v>http://www.kansascity.va.gov/contact/phone_directory.asp</v>
      </c>
    </row>
    <row r="1650" ht="14.25" hidden="1" customHeight="1">
      <c r="A1650" s="8" t="s">
        <v>1869</v>
      </c>
      <c r="B1650" s="8" t="s">
        <v>2435</v>
      </c>
      <c r="C1650" s="121" t="str">
        <f t="shared" si="62"/>
        <v>http://www.kansascity.va.gov/contact/phone_directory.asp</v>
      </c>
    </row>
    <row r="1651" ht="14.25" hidden="1" customHeight="1">
      <c r="A1651" s="8" t="s">
        <v>698</v>
      </c>
      <c r="B1651" s="8" t="s">
        <v>2469</v>
      </c>
      <c r="C1651" s="121" t="str">
        <f t="shared" ref="C1651:C1653" si="63">HYPERLINK("http://www.lasvegas.va.gov/contact/phone_directory.asp")</f>
        <v>http://www.lasvegas.va.gov/contact/phone_directory.asp</v>
      </c>
    </row>
    <row r="1652" ht="14.25" hidden="1" customHeight="1">
      <c r="A1652" s="8" t="s">
        <v>584</v>
      </c>
      <c r="B1652" s="8" t="s">
        <v>2469</v>
      </c>
      <c r="C1652" s="121" t="str">
        <f t="shared" si="63"/>
        <v>http://www.lasvegas.va.gov/contact/phone_directory.asp</v>
      </c>
    </row>
    <row r="1653" ht="14.25" hidden="1" customHeight="1">
      <c r="A1653" s="8" t="s">
        <v>2497</v>
      </c>
      <c r="B1653" s="8" t="s">
        <v>2469</v>
      </c>
      <c r="C1653" s="121" t="str">
        <f t="shared" si="63"/>
        <v>http://www.lasvegas.va.gov/contact/phone_directory.asp</v>
      </c>
    </row>
    <row r="1654" ht="14.25" hidden="1" customHeight="1">
      <c r="A1654" s="8" t="s">
        <v>2498</v>
      </c>
      <c r="B1654" s="8" t="s">
        <v>2499</v>
      </c>
      <c r="C1654" s="121" t="str">
        <f t="shared" ref="C1654:C1665" si="64">HYPERLINK("http://www.leavenworth.va.gov/contact/phone_directory.asp")</f>
        <v>http://www.leavenworth.va.gov/contact/phone_directory.asp</v>
      </c>
    </row>
    <row r="1655" ht="14.25" hidden="1" customHeight="1">
      <c r="A1655" s="8" t="s">
        <v>624</v>
      </c>
      <c r="B1655" s="8" t="s">
        <v>2499</v>
      </c>
      <c r="C1655" s="121" t="str">
        <f t="shared" si="64"/>
        <v>http://www.leavenworth.va.gov/contact/phone_directory.asp</v>
      </c>
    </row>
    <row r="1656" ht="14.25" hidden="1" customHeight="1">
      <c r="A1656" s="8" t="s">
        <v>446</v>
      </c>
      <c r="B1656" s="8" t="s">
        <v>2499</v>
      </c>
      <c r="C1656" s="121" t="str">
        <f t="shared" si="64"/>
        <v>http://www.leavenworth.va.gov/contact/phone_directory.asp</v>
      </c>
    </row>
    <row r="1657" ht="14.25" hidden="1" customHeight="1">
      <c r="A1657" s="8" t="s">
        <v>998</v>
      </c>
      <c r="B1657" s="8" t="s">
        <v>2499</v>
      </c>
      <c r="C1657" s="121" t="str">
        <f t="shared" si="64"/>
        <v>http://www.leavenworth.va.gov/contact/phone_directory.asp</v>
      </c>
    </row>
    <row r="1658" ht="14.25" hidden="1" customHeight="1">
      <c r="A1658" s="8" t="s">
        <v>864</v>
      </c>
      <c r="B1658" s="8" t="s">
        <v>2499</v>
      </c>
      <c r="C1658" s="121" t="str">
        <f t="shared" si="64"/>
        <v>http://www.leavenworth.va.gov/contact/phone_directory.asp</v>
      </c>
    </row>
    <row r="1659" ht="14.25" hidden="1" customHeight="1">
      <c r="A1659" s="8" t="s">
        <v>663</v>
      </c>
      <c r="B1659" s="8" t="s">
        <v>2499</v>
      </c>
      <c r="C1659" s="121" t="str">
        <f t="shared" si="64"/>
        <v>http://www.leavenworth.va.gov/contact/phone_directory.asp</v>
      </c>
    </row>
    <row r="1660" ht="14.25" hidden="1" customHeight="1">
      <c r="A1660" s="8" t="s">
        <v>2503</v>
      </c>
      <c r="B1660" s="8" t="s">
        <v>2499</v>
      </c>
      <c r="C1660" s="121" t="str">
        <f t="shared" si="64"/>
        <v>http://www.leavenworth.va.gov/contact/phone_directory.asp</v>
      </c>
    </row>
    <row r="1661" ht="14.25" hidden="1" customHeight="1">
      <c r="A1661" s="8" t="s">
        <v>670</v>
      </c>
      <c r="B1661" s="8" t="s">
        <v>2499</v>
      </c>
      <c r="C1661" s="121" t="str">
        <f t="shared" si="64"/>
        <v>http://www.leavenworth.va.gov/contact/phone_directory.asp</v>
      </c>
    </row>
    <row r="1662" ht="14.25" hidden="1" customHeight="1">
      <c r="A1662" s="8" t="s">
        <v>691</v>
      </c>
      <c r="B1662" s="8" t="s">
        <v>2499</v>
      </c>
      <c r="C1662" s="121" t="str">
        <f t="shared" si="64"/>
        <v>http://www.leavenworth.va.gov/contact/phone_directory.asp</v>
      </c>
    </row>
    <row r="1663" ht="14.25" hidden="1" customHeight="1">
      <c r="A1663" s="8" t="s">
        <v>1891</v>
      </c>
      <c r="B1663" s="8" t="s">
        <v>2499</v>
      </c>
      <c r="C1663" s="121" t="str">
        <f t="shared" si="64"/>
        <v>http://www.leavenworth.va.gov/contact/phone_directory.asp</v>
      </c>
    </row>
    <row r="1664" ht="14.25" hidden="1" customHeight="1">
      <c r="A1664" s="8" t="s">
        <v>708</v>
      </c>
      <c r="B1664" s="8" t="s">
        <v>2499</v>
      </c>
      <c r="C1664" s="121" t="str">
        <f t="shared" si="64"/>
        <v>http://www.leavenworth.va.gov/contact/phone_directory.asp</v>
      </c>
    </row>
    <row r="1665" ht="14.25" hidden="1" customHeight="1">
      <c r="A1665" s="8" t="s">
        <v>2504</v>
      </c>
      <c r="B1665" s="8" t="s">
        <v>2499</v>
      </c>
      <c r="C1665" s="121" t="str">
        <f t="shared" si="64"/>
        <v>http://www.leavenworth.va.gov/contact/phone_directory.asp</v>
      </c>
    </row>
    <row r="1666" ht="14.25" hidden="1" customHeight="1">
      <c r="A1666" s="8" t="s">
        <v>663</v>
      </c>
      <c r="B1666" s="8" t="s">
        <v>2505</v>
      </c>
      <c r="C1666" s="121" t="str">
        <f t="shared" ref="C1666:C1675" si="65">HYPERLINK("http://www.lexington.va.gov/contact/phone_directory.asp")</f>
        <v>http://www.lexington.va.gov/contact/phone_directory.asp</v>
      </c>
    </row>
    <row r="1667" ht="14.25" hidden="1" customHeight="1">
      <c r="A1667" s="8" t="s">
        <v>2506</v>
      </c>
      <c r="B1667" s="8" t="s">
        <v>2505</v>
      </c>
      <c r="C1667" s="121" t="str">
        <f t="shared" si="65"/>
        <v>http://www.lexington.va.gov/contact/phone_directory.asp</v>
      </c>
    </row>
    <row r="1668" ht="14.25" hidden="1" customHeight="1">
      <c r="A1668" s="8" t="s">
        <v>2508</v>
      </c>
      <c r="B1668" s="8" t="s">
        <v>2505</v>
      </c>
      <c r="C1668" s="121" t="str">
        <f t="shared" si="65"/>
        <v>http://www.lexington.va.gov/contact/phone_directory.asp</v>
      </c>
    </row>
    <row r="1669" ht="14.25" hidden="1" customHeight="1">
      <c r="A1669" s="8" t="s">
        <v>2509</v>
      </c>
      <c r="B1669" s="8" t="s">
        <v>2505</v>
      </c>
      <c r="C1669" s="121" t="str">
        <f t="shared" si="65"/>
        <v>http://www.lexington.va.gov/contact/phone_directory.asp</v>
      </c>
    </row>
    <row r="1670" ht="14.25" hidden="1" customHeight="1">
      <c r="A1670" s="8" t="s">
        <v>1267</v>
      </c>
      <c r="B1670" s="8" t="s">
        <v>2505</v>
      </c>
      <c r="C1670" s="121" t="str">
        <f t="shared" si="65"/>
        <v>http://www.lexington.va.gov/contact/phone_directory.asp</v>
      </c>
    </row>
    <row r="1671" ht="14.25" hidden="1" customHeight="1">
      <c r="A1671" s="8" t="s">
        <v>694</v>
      </c>
      <c r="B1671" s="8" t="s">
        <v>2505</v>
      </c>
      <c r="C1671" s="121" t="str">
        <f t="shared" si="65"/>
        <v>http://www.lexington.va.gov/contact/phone_directory.asp</v>
      </c>
    </row>
    <row r="1672" ht="14.25" hidden="1" customHeight="1">
      <c r="A1672" s="8" t="s">
        <v>684</v>
      </c>
      <c r="B1672" s="8" t="s">
        <v>2505</v>
      </c>
      <c r="C1672" s="121" t="str">
        <f t="shared" si="65"/>
        <v>http://www.lexington.va.gov/contact/phone_directory.asp</v>
      </c>
    </row>
    <row r="1673" ht="14.25" hidden="1" customHeight="1">
      <c r="A1673" s="8" t="s">
        <v>2512</v>
      </c>
      <c r="B1673" s="8" t="s">
        <v>2505</v>
      </c>
      <c r="C1673" s="121" t="str">
        <f t="shared" si="65"/>
        <v>http://www.lexington.va.gov/contact/phone_directory.asp</v>
      </c>
    </row>
    <row r="1674" ht="14.25" hidden="1" customHeight="1">
      <c r="A1674" s="8" t="s">
        <v>2514</v>
      </c>
      <c r="B1674" s="8" t="s">
        <v>2505</v>
      </c>
      <c r="C1674" s="121" t="str">
        <f t="shared" si="65"/>
        <v>http://www.lexington.va.gov/contact/phone_directory.asp</v>
      </c>
    </row>
    <row r="1675" ht="14.25" hidden="1" customHeight="1">
      <c r="A1675" s="8" t="s">
        <v>518</v>
      </c>
      <c r="B1675" s="8" t="s">
        <v>2505</v>
      </c>
      <c r="C1675" s="121" t="str">
        <f t="shared" si="65"/>
        <v>http://www.lexington.va.gov/contact/phone_directory.asp</v>
      </c>
    </row>
    <row r="1676" ht="14.25" hidden="1" customHeight="1">
      <c r="A1676" s="8" t="s">
        <v>1251</v>
      </c>
      <c r="B1676" s="8" t="s">
        <v>2515</v>
      </c>
      <c r="C1676" s="121" t="str">
        <f t="shared" ref="C1676:C1677" si="66">HYPERLINK("http://www.littlerock.va.gov/contact/phone_directory.asp")</f>
        <v>http://www.littlerock.va.gov/contact/phone_directory.asp</v>
      </c>
    </row>
    <row r="1677" ht="14.25" hidden="1" customHeight="1">
      <c r="A1677" s="8" t="s">
        <v>348</v>
      </c>
      <c r="B1677" s="8" t="s">
        <v>2515</v>
      </c>
      <c r="C1677" s="121" t="str">
        <f t="shared" si="66"/>
        <v>http://www.littlerock.va.gov/contact/phone_directory.asp</v>
      </c>
    </row>
    <row r="1678" ht="14.25" hidden="1" customHeight="1">
      <c r="A1678" s="8" t="s">
        <v>624</v>
      </c>
      <c r="B1678" s="8" t="s">
        <v>2518</v>
      </c>
      <c r="C1678" s="121" t="str">
        <f t="shared" ref="C1678:C1694" si="67">HYPERLINK("http://www.lomalinda.va.gov/contact/phone_directory.asp")</f>
        <v>http://www.lomalinda.va.gov/contact/phone_directory.asp</v>
      </c>
    </row>
    <row r="1679" ht="14.25" hidden="1" customHeight="1">
      <c r="A1679" s="8" t="s">
        <v>998</v>
      </c>
      <c r="B1679" s="8" t="s">
        <v>2518</v>
      </c>
      <c r="C1679" s="121" t="str">
        <f t="shared" si="67"/>
        <v>http://www.lomalinda.va.gov/contact/phone_directory.asp</v>
      </c>
    </row>
    <row r="1680" ht="14.25" hidden="1" customHeight="1">
      <c r="A1680" s="8" t="s">
        <v>864</v>
      </c>
      <c r="B1680" s="8" t="s">
        <v>2518</v>
      </c>
      <c r="C1680" s="121" t="str">
        <f t="shared" si="67"/>
        <v>http://www.lomalinda.va.gov/contact/phone_directory.asp</v>
      </c>
    </row>
    <row r="1681" ht="14.25" hidden="1" customHeight="1">
      <c r="A1681" s="8" t="s">
        <v>1827</v>
      </c>
      <c r="B1681" s="8" t="s">
        <v>2518</v>
      </c>
      <c r="C1681" s="121" t="str">
        <f t="shared" si="67"/>
        <v>http://www.lomalinda.va.gov/contact/phone_directory.asp</v>
      </c>
    </row>
    <row r="1682" ht="14.25" hidden="1" customHeight="1">
      <c r="A1682" s="8" t="s">
        <v>872</v>
      </c>
      <c r="B1682" s="8" t="s">
        <v>2518</v>
      </c>
      <c r="C1682" s="121" t="str">
        <f t="shared" si="67"/>
        <v>http://www.lomalinda.va.gov/contact/phone_directory.asp</v>
      </c>
    </row>
    <row r="1683" ht="14.25" hidden="1" customHeight="1">
      <c r="A1683" s="8" t="s">
        <v>663</v>
      </c>
      <c r="B1683" s="8" t="s">
        <v>2518</v>
      </c>
      <c r="C1683" s="121" t="str">
        <f t="shared" si="67"/>
        <v>http://www.lomalinda.va.gov/contact/phone_directory.asp</v>
      </c>
    </row>
    <row r="1684" ht="14.25" hidden="1" customHeight="1">
      <c r="A1684" s="8" t="s">
        <v>670</v>
      </c>
      <c r="B1684" s="8" t="s">
        <v>2518</v>
      </c>
      <c r="C1684" s="121" t="str">
        <f t="shared" si="67"/>
        <v>http://www.lomalinda.va.gov/contact/phone_directory.asp</v>
      </c>
    </row>
    <row r="1685" ht="14.25" hidden="1" customHeight="1">
      <c r="A1685" s="8" t="s">
        <v>2092</v>
      </c>
      <c r="B1685" s="8" t="s">
        <v>2518</v>
      </c>
      <c r="C1685" s="121" t="str">
        <f t="shared" si="67"/>
        <v>http://www.lomalinda.va.gov/contact/phone_directory.asp</v>
      </c>
    </row>
    <row r="1686" ht="14.25" hidden="1" customHeight="1">
      <c r="A1686" s="8" t="s">
        <v>494</v>
      </c>
      <c r="B1686" s="8" t="s">
        <v>2518</v>
      </c>
      <c r="C1686" s="121" t="str">
        <f t="shared" si="67"/>
        <v>http://www.lomalinda.va.gov/contact/phone_directory.asp</v>
      </c>
    </row>
    <row r="1687" ht="14.25" hidden="1" customHeight="1">
      <c r="A1687" s="8" t="s">
        <v>1446</v>
      </c>
      <c r="B1687" s="8" t="s">
        <v>2518</v>
      </c>
      <c r="C1687" s="121" t="str">
        <f t="shared" si="67"/>
        <v>http://www.lomalinda.va.gov/contact/phone_directory.asp</v>
      </c>
    </row>
    <row r="1688" ht="14.25" hidden="1" customHeight="1">
      <c r="A1688" s="8" t="s">
        <v>713</v>
      </c>
      <c r="B1688" s="8" t="s">
        <v>2518</v>
      </c>
      <c r="C1688" s="121" t="str">
        <f t="shared" si="67"/>
        <v>http://www.lomalinda.va.gov/contact/phone_directory.asp</v>
      </c>
    </row>
    <row r="1689" ht="14.25" hidden="1" customHeight="1">
      <c r="A1689" s="8" t="s">
        <v>963</v>
      </c>
      <c r="B1689" s="8" t="s">
        <v>2518</v>
      </c>
      <c r="C1689" s="121" t="str">
        <f t="shared" si="67"/>
        <v>http://www.lomalinda.va.gov/contact/phone_directory.asp</v>
      </c>
    </row>
    <row r="1690" ht="14.25" hidden="1" customHeight="1">
      <c r="A1690" s="8" t="s">
        <v>504</v>
      </c>
      <c r="B1690" s="8" t="s">
        <v>2518</v>
      </c>
      <c r="C1690" s="121" t="str">
        <f t="shared" si="67"/>
        <v>http://www.lomalinda.va.gov/contact/phone_directory.asp</v>
      </c>
    </row>
    <row r="1691" ht="14.25" hidden="1" customHeight="1">
      <c r="A1691" s="8" t="s">
        <v>791</v>
      </c>
      <c r="B1691" s="8" t="s">
        <v>2518</v>
      </c>
      <c r="C1691" s="121" t="str">
        <f t="shared" si="67"/>
        <v>http://www.lomalinda.va.gov/contact/phone_directory.asp</v>
      </c>
    </row>
    <row r="1692" ht="14.25" hidden="1" customHeight="1">
      <c r="A1692" s="8" t="s">
        <v>708</v>
      </c>
      <c r="B1692" s="8" t="s">
        <v>2518</v>
      </c>
      <c r="C1692" s="121" t="str">
        <f t="shared" si="67"/>
        <v>http://www.lomalinda.va.gov/contact/phone_directory.asp</v>
      </c>
    </row>
    <row r="1693" ht="14.25" hidden="1" customHeight="1">
      <c r="A1693" s="8" t="s">
        <v>2523</v>
      </c>
      <c r="B1693" s="8" t="s">
        <v>2518</v>
      </c>
      <c r="C1693" s="121" t="str">
        <f t="shared" si="67"/>
        <v>http://www.lomalinda.va.gov/contact/phone_directory.asp</v>
      </c>
    </row>
    <row r="1694" ht="14.25" hidden="1" customHeight="1">
      <c r="A1694" s="8" t="s">
        <v>357</v>
      </c>
      <c r="B1694" s="8" t="s">
        <v>2518</v>
      </c>
      <c r="C1694" s="121" t="str">
        <f t="shared" si="67"/>
        <v>http://www.lomalinda.va.gov/contact/phone_directory.asp</v>
      </c>
    </row>
    <row r="1695" ht="14.25" hidden="1" customHeight="1">
      <c r="A1695" s="8" t="s">
        <v>624</v>
      </c>
      <c r="B1695" s="8" t="s">
        <v>2525</v>
      </c>
      <c r="C1695" s="121" t="str">
        <f t="shared" ref="C1695:C1700" si="68">HYPERLINK("http://www.losangeles.va.gov/contact/phone_directory.asp")</f>
        <v>http://www.losangeles.va.gov/contact/phone_directory.asp</v>
      </c>
    </row>
    <row r="1696" ht="14.25" hidden="1" customHeight="1">
      <c r="A1696" s="8" t="s">
        <v>998</v>
      </c>
      <c r="B1696" s="8" t="s">
        <v>2525</v>
      </c>
      <c r="C1696" s="121" t="str">
        <f t="shared" si="68"/>
        <v>http://www.losangeles.va.gov/contact/phone_directory.asp</v>
      </c>
    </row>
    <row r="1697" ht="14.25" hidden="1" customHeight="1">
      <c r="A1697" s="8" t="s">
        <v>663</v>
      </c>
      <c r="B1697" s="8" t="s">
        <v>2525</v>
      </c>
      <c r="C1697" s="121" t="str">
        <f t="shared" si="68"/>
        <v>http://www.losangeles.va.gov/contact/phone_directory.asp</v>
      </c>
    </row>
    <row r="1698" ht="14.25" hidden="1" customHeight="1">
      <c r="A1698" s="8" t="s">
        <v>674</v>
      </c>
      <c r="B1698" s="8" t="s">
        <v>2525</v>
      </c>
      <c r="C1698" s="121" t="str">
        <f t="shared" si="68"/>
        <v>http://www.losangeles.va.gov/contact/phone_directory.asp</v>
      </c>
    </row>
    <row r="1699" ht="14.25" hidden="1" customHeight="1">
      <c r="A1699" s="8" t="s">
        <v>670</v>
      </c>
      <c r="B1699" s="8" t="s">
        <v>2525</v>
      </c>
      <c r="C1699" s="121" t="str">
        <f t="shared" si="68"/>
        <v>http://www.losangeles.va.gov/contact/phone_directory.asp</v>
      </c>
    </row>
    <row r="1700" ht="14.25" hidden="1" customHeight="1">
      <c r="A1700" s="8" t="s">
        <v>2527</v>
      </c>
      <c r="B1700" s="8" t="s">
        <v>2525</v>
      </c>
      <c r="C1700" s="121" t="str">
        <f t="shared" si="68"/>
        <v>http://www.losangeles.va.gov/contact/phone_directory.asp</v>
      </c>
    </row>
    <row r="1701" ht="14.25" hidden="1" customHeight="1">
      <c r="A1701" s="8" t="s">
        <v>624</v>
      </c>
      <c r="B1701" s="8" t="s">
        <v>2528</v>
      </c>
      <c r="C1701" s="121" t="str">
        <f t="shared" ref="C1701:C1714" si="69">HYPERLINK("http://www.louisville.va.gov/contact/phone_directory.asp")</f>
        <v>http://www.louisville.va.gov/contact/phone_directory.asp</v>
      </c>
    </row>
    <row r="1702" ht="14.25" hidden="1" customHeight="1">
      <c r="A1702" s="8" t="s">
        <v>631</v>
      </c>
      <c r="B1702" s="8" t="s">
        <v>2528</v>
      </c>
      <c r="C1702" s="121" t="str">
        <f t="shared" si="69"/>
        <v>http://www.louisville.va.gov/contact/phone_directory.asp</v>
      </c>
    </row>
    <row r="1703" ht="14.25" hidden="1" customHeight="1">
      <c r="A1703" s="8" t="s">
        <v>864</v>
      </c>
      <c r="B1703" s="8" t="s">
        <v>2528</v>
      </c>
      <c r="C1703" s="121" t="str">
        <f t="shared" si="69"/>
        <v>http://www.louisville.va.gov/contact/phone_directory.asp</v>
      </c>
    </row>
    <row r="1704" ht="14.25" hidden="1" customHeight="1">
      <c r="A1704" s="8" t="s">
        <v>638</v>
      </c>
      <c r="B1704" s="8" t="s">
        <v>2528</v>
      </c>
      <c r="C1704" s="121" t="str">
        <f t="shared" si="69"/>
        <v>http://www.louisville.va.gov/contact/phone_directory.asp</v>
      </c>
    </row>
    <row r="1705" ht="14.25" hidden="1" customHeight="1">
      <c r="A1705" s="8" t="s">
        <v>1669</v>
      </c>
      <c r="B1705" s="8" t="s">
        <v>2528</v>
      </c>
      <c r="C1705" s="121" t="str">
        <f t="shared" si="69"/>
        <v>http://www.louisville.va.gov/contact/phone_directory.asp</v>
      </c>
    </row>
    <row r="1706" ht="14.25" hidden="1" customHeight="1">
      <c r="A1706" s="8" t="s">
        <v>1882</v>
      </c>
      <c r="B1706" s="8" t="s">
        <v>2528</v>
      </c>
      <c r="C1706" s="121" t="str">
        <f t="shared" si="69"/>
        <v>http://www.louisville.va.gov/contact/phone_directory.asp</v>
      </c>
    </row>
    <row r="1707" ht="14.25" hidden="1" customHeight="1">
      <c r="A1707" s="8" t="s">
        <v>872</v>
      </c>
      <c r="B1707" s="8" t="s">
        <v>2528</v>
      </c>
      <c r="C1707" s="121" t="str">
        <f t="shared" si="69"/>
        <v>http://www.louisville.va.gov/contact/phone_directory.asp</v>
      </c>
    </row>
    <row r="1708" ht="14.25" hidden="1" customHeight="1">
      <c r="A1708" s="8" t="s">
        <v>2531</v>
      </c>
      <c r="B1708" s="8" t="s">
        <v>2528</v>
      </c>
      <c r="C1708" s="121" t="str">
        <f t="shared" si="69"/>
        <v>http://www.louisville.va.gov/contact/phone_directory.asp</v>
      </c>
    </row>
    <row r="1709" ht="14.25" hidden="1" customHeight="1">
      <c r="A1709" s="8" t="s">
        <v>2533</v>
      </c>
      <c r="B1709" s="8" t="s">
        <v>2528</v>
      </c>
      <c r="C1709" s="121" t="str">
        <f t="shared" si="69"/>
        <v>http://www.louisville.va.gov/contact/phone_directory.asp</v>
      </c>
    </row>
    <row r="1710" ht="14.25" hidden="1" customHeight="1">
      <c r="A1710" s="8" t="s">
        <v>2535</v>
      </c>
      <c r="B1710" s="8" t="s">
        <v>2528</v>
      </c>
      <c r="C1710" s="121" t="str">
        <f t="shared" si="69"/>
        <v>http://www.louisville.va.gov/contact/phone_directory.asp</v>
      </c>
    </row>
    <row r="1711" ht="14.25" hidden="1" customHeight="1">
      <c r="A1711" s="8" t="s">
        <v>708</v>
      </c>
      <c r="B1711" s="8" t="s">
        <v>2528</v>
      </c>
      <c r="C1711" s="121" t="str">
        <f t="shared" si="69"/>
        <v>http://www.louisville.va.gov/contact/phone_directory.asp</v>
      </c>
    </row>
    <row r="1712" ht="14.25" hidden="1" customHeight="1">
      <c r="A1712" s="8" t="s">
        <v>1054</v>
      </c>
      <c r="B1712" s="8" t="s">
        <v>2528</v>
      </c>
      <c r="C1712" s="121" t="str">
        <f t="shared" si="69"/>
        <v>http://www.louisville.va.gov/contact/phone_directory.asp</v>
      </c>
    </row>
    <row r="1713" ht="14.25" hidden="1" customHeight="1">
      <c r="A1713" s="8" t="s">
        <v>734</v>
      </c>
      <c r="B1713" s="8" t="s">
        <v>2528</v>
      </c>
      <c r="C1713" s="121" t="str">
        <f t="shared" si="69"/>
        <v>http://www.louisville.va.gov/contact/phone_directory.asp</v>
      </c>
    </row>
    <row r="1714" ht="14.25" hidden="1" customHeight="1">
      <c r="A1714" s="8" t="s">
        <v>2537</v>
      </c>
      <c r="B1714" s="8" t="s">
        <v>2528</v>
      </c>
      <c r="C1714" s="121" t="str">
        <f t="shared" si="69"/>
        <v>http://www.louisville.va.gov/contact/phone_directory.asp</v>
      </c>
    </row>
    <row r="1715" ht="14.25" hidden="1" customHeight="1">
      <c r="A1715" s="8" t="s">
        <v>2538</v>
      </c>
      <c r="B1715" s="8" t="s">
        <v>2539</v>
      </c>
      <c r="C1715" s="121" t="str">
        <f t="shared" ref="C1715:C1747" si="70">HYPERLINK("http://www.lovell.fhcc.va.gov/contact/phone_directory.asp")</f>
        <v>http://www.lovell.fhcc.va.gov/contact/phone_directory.asp</v>
      </c>
    </row>
    <row r="1716" ht="14.25" hidden="1" customHeight="1">
      <c r="A1716" s="8" t="s">
        <v>2541</v>
      </c>
      <c r="B1716" s="8" t="s">
        <v>2539</v>
      </c>
      <c r="C1716" s="121" t="str">
        <f t="shared" si="70"/>
        <v>http://www.lovell.fhcc.va.gov/contact/phone_directory.asp</v>
      </c>
    </row>
    <row r="1717" ht="14.25" hidden="1" customHeight="1">
      <c r="A1717" s="8" t="s">
        <v>2542</v>
      </c>
      <c r="B1717" s="8" t="s">
        <v>2539</v>
      </c>
      <c r="C1717" s="121" t="str">
        <f t="shared" si="70"/>
        <v>http://www.lovell.fhcc.va.gov/contact/phone_directory.asp</v>
      </c>
    </row>
    <row r="1718" ht="14.25" hidden="1" customHeight="1">
      <c r="A1718" s="8" t="s">
        <v>2543</v>
      </c>
      <c r="B1718" s="8" t="s">
        <v>2539</v>
      </c>
      <c r="C1718" s="121" t="str">
        <f t="shared" si="70"/>
        <v>http://www.lovell.fhcc.va.gov/contact/phone_directory.asp</v>
      </c>
    </row>
    <row r="1719" ht="14.25" hidden="1" customHeight="1">
      <c r="A1719" s="8" t="s">
        <v>2544</v>
      </c>
      <c r="B1719" s="8" t="s">
        <v>2539</v>
      </c>
      <c r="C1719" s="121" t="str">
        <f t="shared" si="70"/>
        <v>http://www.lovell.fhcc.va.gov/contact/phone_directory.asp</v>
      </c>
    </row>
    <row r="1720" ht="14.25" hidden="1" customHeight="1">
      <c r="A1720" s="8" t="s">
        <v>2545</v>
      </c>
      <c r="B1720" s="8" t="s">
        <v>2539</v>
      </c>
      <c r="C1720" s="121" t="str">
        <f t="shared" si="70"/>
        <v>http://www.lovell.fhcc.va.gov/contact/phone_directory.asp</v>
      </c>
    </row>
    <row r="1721" ht="14.25" hidden="1" customHeight="1">
      <c r="A1721" s="8" t="s">
        <v>455</v>
      </c>
      <c r="B1721" s="8" t="s">
        <v>2539</v>
      </c>
      <c r="C1721" s="121" t="str">
        <f t="shared" si="70"/>
        <v>http://www.lovell.fhcc.va.gov/contact/phone_directory.asp</v>
      </c>
    </row>
    <row r="1722" ht="14.25" hidden="1" customHeight="1">
      <c r="A1722" s="8" t="s">
        <v>1963</v>
      </c>
      <c r="B1722" s="8" t="s">
        <v>2539</v>
      </c>
      <c r="C1722" s="121" t="str">
        <f t="shared" si="70"/>
        <v>http://www.lovell.fhcc.va.gov/contact/phone_directory.asp</v>
      </c>
    </row>
    <row r="1723" ht="14.25" hidden="1" customHeight="1">
      <c r="A1723" s="8" t="s">
        <v>2548</v>
      </c>
      <c r="B1723" s="8" t="s">
        <v>2539</v>
      </c>
      <c r="C1723" s="121" t="str">
        <f t="shared" si="70"/>
        <v>http://www.lovell.fhcc.va.gov/contact/phone_directory.asp</v>
      </c>
    </row>
    <row r="1724" ht="14.25" hidden="1" customHeight="1">
      <c r="A1724" s="8" t="s">
        <v>2549</v>
      </c>
      <c r="B1724" s="8" t="s">
        <v>2539</v>
      </c>
      <c r="C1724" s="121" t="str">
        <f t="shared" si="70"/>
        <v>http://www.lovell.fhcc.va.gov/contact/phone_directory.asp</v>
      </c>
    </row>
    <row r="1725" ht="14.25" hidden="1" customHeight="1">
      <c r="A1725" s="8" t="s">
        <v>2550</v>
      </c>
      <c r="B1725" s="8" t="s">
        <v>2539</v>
      </c>
      <c r="C1725" s="121" t="str">
        <f t="shared" si="70"/>
        <v>http://www.lovell.fhcc.va.gov/contact/phone_directory.asp</v>
      </c>
    </row>
    <row r="1726" ht="14.25" hidden="1" customHeight="1">
      <c r="A1726" s="8" t="s">
        <v>2551</v>
      </c>
      <c r="B1726" s="8" t="s">
        <v>2539</v>
      </c>
      <c r="C1726" s="121" t="str">
        <f t="shared" si="70"/>
        <v>http://www.lovell.fhcc.va.gov/contact/phone_directory.asp</v>
      </c>
    </row>
    <row r="1727" ht="14.25" hidden="1" customHeight="1">
      <c r="A1727" s="8" t="s">
        <v>2552</v>
      </c>
      <c r="B1727" s="8" t="s">
        <v>2539</v>
      </c>
      <c r="C1727" s="121" t="str">
        <f t="shared" si="70"/>
        <v>http://www.lovell.fhcc.va.gov/contact/phone_directory.asp</v>
      </c>
    </row>
    <row r="1728" ht="14.25" hidden="1" customHeight="1">
      <c r="A1728" s="8" t="s">
        <v>600</v>
      </c>
      <c r="B1728" s="8" t="s">
        <v>2539</v>
      </c>
      <c r="C1728" s="121" t="str">
        <f t="shared" si="70"/>
        <v>http://www.lovell.fhcc.va.gov/contact/phone_directory.asp</v>
      </c>
    </row>
    <row r="1729" ht="14.25" hidden="1" customHeight="1">
      <c r="A1729" s="8" t="s">
        <v>2554</v>
      </c>
      <c r="B1729" s="8" t="s">
        <v>2539</v>
      </c>
      <c r="C1729" s="121" t="str">
        <f t="shared" si="70"/>
        <v>http://www.lovell.fhcc.va.gov/contact/phone_directory.asp</v>
      </c>
    </row>
    <row r="1730" ht="14.25" hidden="1" customHeight="1">
      <c r="A1730" s="8" t="s">
        <v>2555</v>
      </c>
      <c r="B1730" s="8" t="s">
        <v>2539</v>
      </c>
      <c r="C1730" s="121" t="str">
        <f t="shared" si="70"/>
        <v>http://www.lovell.fhcc.va.gov/contact/phone_directory.asp</v>
      </c>
    </row>
    <row r="1731" ht="14.25" hidden="1" customHeight="1">
      <c r="A1731" s="8" t="s">
        <v>324</v>
      </c>
      <c r="B1731" s="8" t="s">
        <v>2539</v>
      </c>
      <c r="C1731" s="121" t="str">
        <f t="shared" si="70"/>
        <v>http://www.lovell.fhcc.va.gov/contact/phone_directory.asp</v>
      </c>
    </row>
    <row r="1732" ht="14.25" hidden="1" customHeight="1">
      <c r="A1732" s="8" t="s">
        <v>691</v>
      </c>
      <c r="B1732" s="8" t="s">
        <v>2539</v>
      </c>
      <c r="C1732" s="121" t="str">
        <f t="shared" si="70"/>
        <v>http://www.lovell.fhcc.va.gov/contact/phone_directory.asp</v>
      </c>
    </row>
    <row r="1733" ht="14.25" hidden="1" customHeight="1">
      <c r="A1733" s="8" t="s">
        <v>1655</v>
      </c>
      <c r="B1733" s="8" t="s">
        <v>2539</v>
      </c>
      <c r="C1733" s="121" t="str">
        <f t="shared" si="70"/>
        <v>http://www.lovell.fhcc.va.gov/contact/phone_directory.asp</v>
      </c>
    </row>
    <row r="1734" ht="14.25" hidden="1" customHeight="1">
      <c r="A1734" s="8" t="s">
        <v>2556</v>
      </c>
      <c r="B1734" s="8" t="s">
        <v>2539</v>
      </c>
      <c r="C1734" s="121" t="str">
        <f t="shared" si="70"/>
        <v>http://www.lovell.fhcc.va.gov/contact/phone_directory.asp</v>
      </c>
    </row>
    <row r="1735" ht="14.25" hidden="1" customHeight="1">
      <c r="A1735" s="8" t="s">
        <v>697</v>
      </c>
      <c r="B1735" s="8" t="s">
        <v>2539</v>
      </c>
      <c r="C1735" s="121" t="str">
        <f t="shared" si="70"/>
        <v>http://www.lovell.fhcc.va.gov/contact/phone_directory.asp</v>
      </c>
    </row>
    <row r="1736" ht="14.25" hidden="1" customHeight="1">
      <c r="A1736" s="8" t="s">
        <v>713</v>
      </c>
      <c r="B1736" s="8" t="s">
        <v>2539</v>
      </c>
      <c r="C1736" s="121" t="str">
        <f t="shared" si="70"/>
        <v>http://www.lovell.fhcc.va.gov/contact/phone_directory.asp</v>
      </c>
    </row>
    <row r="1737" ht="14.25" hidden="1" customHeight="1">
      <c r="A1737" s="8" t="s">
        <v>348</v>
      </c>
      <c r="B1737" s="8" t="s">
        <v>2539</v>
      </c>
      <c r="C1737" s="121" t="str">
        <f t="shared" si="70"/>
        <v>http://www.lovell.fhcc.va.gov/contact/phone_directory.asp</v>
      </c>
    </row>
    <row r="1738" ht="14.25" hidden="1" customHeight="1">
      <c r="A1738" s="8" t="s">
        <v>2557</v>
      </c>
      <c r="B1738" s="8" t="s">
        <v>2539</v>
      </c>
      <c r="C1738" s="121" t="str">
        <f t="shared" si="70"/>
        <v>http://www.lovell.fhcc.va.gov/contact/phone_directory.asp</v>
      </c>
    </row>
    <row r="1739" ht="14.25" hidden="1" customHeight="1">
      <c r="A1739" s="8" t="s">
        <v>2558</v>
      </c>
      <c r="B1739" s="8" t="s">
        <v>2539</v>
      </c>
      <c r="C1739" s="121" t="str">
        <f t="shared" si="70"/>
        <v>http://www.lovell.fhcc.va.gov/contact/phone_directory.asp</v>
      </c>
    </row>
    <row r="1740" ht="14.25" hidden="1" customHeight="1">
      <c r="A1740" s="8" t="s">
        <v>2559</v>
      </c>
      <c r="B1740" s="8" t="s">
        <v>2539</v>
      </c>
      <c r="C1740" s="121" t="str">
        <f t="shared" si="70"/>
        <v>http://www.lovell.fhcc.va.gov/contact/phone_directory.asp</v>
      </c>
    </row>
    <row r="1741" ht="14.25" hidden="1" customHeight="1">
      <c r="A1741" s="8" t="s">
        <v>708</v>
      </c>
      <c r="B1741" s="8" t="s">
        <v>2539</v>
      </c>
      <c r="C1741" s="121" t="str">
        <f t="shared" si="70"/>
        <v>http://www.lovell.fhcc.va.gov/contact/phone_directory.asp</v>
      </c>
    </row>
    <row r="1742" ht="14.25" hidden="1" customHeight="1">
      <c r="A1742" s="8" t="s">
        <v>1210</v>
      </c>
      <c r="B1742" s="8" t="s">
        <v>2539</v>
      </c>
      <c r="C1742" s="121" t="str">
        <f t="shared" si="70"/>
        <v>http://www.lovell.fhcc.va.gov/contact/phone_directory.asp</v>
      </c>
    </row>
    <row r="1743" ht="14.25" hidden="1" customHeight="1">
      <c r="A1743" s="8" t="s">
        <v>2560</v>
      </c>
      <c r="B1743" s="8" t="s">
        <v>2539</v>
      </c>
      <c r="C1743" s="121" t="str">
        <f t="shared" si="70"/>
        <v>http://www.lovell.fhcc.va.gov/contact/phone_directory.asp</v>
      </c>
    </row>
    <row r="1744" ht="14.25" hidden="1" customHeight="1">
      <c r="A1744" s="8" t="s">
        <v>2561</v>
      </c>
      <c r="B1744" s="8" t="s">
        <v>2539</v>
      </c>
      <c r="C1744" s="121" t="str">
        <f t="shared" si="70"/>
        <v>http://www.lovell.fhcc.va.gov/contact/phone_directory.asp</v>
      </c>
    </row>
    <row r="1745" ht="14.25" hidden="1" customHeight="1">
      <c r="A1745" s="8" t="s">
        <v>2563</v>
      </c>
      <c r="B1745" s="8" t="s">
        <v>2539</v>
      </c>
      <c r="C1745" s="121" t="str">
        <f t="shared" si="70"/>
        <v>http://www.lovell.fhcc.va.gov/contact/phone_directory.asp</v>
      </c>
    </row>
    <row r="1746" ht="14.25" hidden="1" customHeight="1">
      <c r="A1746" s="8" t="s">
        <v>375</v>
      </c>
      <c r="B1746" s="8" t="s">
        <v>2539</v>
      </c>
      <c r="C1746" s="121" t="str">
        <f t="shared" si="70"/>
        <v>http://www.lovell.fhcc.va.gov/contact/phone_directory.asp</v>
      </c>
    </row>
    <row r="1747" ht="14.25" hidden="1" customHeight="1">
      <c r="A1747" s="8" t="s">
        <v>518</v>
      </c>
      <c r="B1747" s="8" t="s">
        <v>2539</v>
      </c>
      <c r="C1747" s="121" t="str">
        <f t="shared" si="70"/>
        <v>http://www.lovell.fhcc.va.gov/contact/phone_directory.asp</v>
      </c>
    </row>
    <row r="1748" ht="14.25" hidden="1" customHeight="1">
      <c r="A1748" s="8" t="s">
        <v>631</v>
      </c>
      <c r="B1748" s="8" t="s">
        <v>2564</v>
      </c>
      <c r="C1748" s="121" t="str">
        <f t="shared" ref="C1748:C1760" si="71">HYPERLINK("http://www.madison.va.gov/contact/phone_directory.asp")</f>
        <v>http://www.madison.va.gov/contact/phone_directory.asp</v>
      </c>
    </row>
    <row r="1749" ht="14.25" hidden="1" customHeight="1">
      <c r="A1749" s="8" t="s">
        <v>478</v>
      </c>
      <c r="B1749" s="8" t="s">
        <v>2564</v>
      </c>
      <c r="C1749" s="121" t="str">
        <f t="shared" si="71"/>
        <v>http://www.madison.va.gov/contact/phone_directory.asp</v>
      </c>
    </row>
    <row r="1750" ht="14.25" hidden="1" customHeight="1">
      <c r="A1750" s="8" t="s">
        <v>2565</v>
      </c>
      <c r="B1750" s="8" t="s">
        <v>2564</v>
      </c>
      <c r="C1750" s="121" t="str">
        <f t="shared" si="71"/>
        <v>http://www.madison.va.gov/contact/phone_directory.asp</v>
      </c>
    </row>
    <row r="1751" ht="14.25" hidden="1" customHeight="1">
      <c r="A1751" s="8" t="s">
        <v>1147</v>
      </c>
      <c r="B1751" s="8" t="s">
        <v>2564</v>
      </c>
      <c r="C1751" s="121" t="str">
        <f t="shared" si="71"/>
        <v>http://www.madison.va.gov/contact/phone_directory.asp</v>
      </c>
    </row>
    <row r="1752" ht="14.25" hidden="1" customHeight="1">
      <c r="A1752" s="8" t="s">
        <v>2567</v>
      </c>
      <c r="B1752" s="8" t="s">
        <v>2564</v>
      </c>
      <c r="C1752" s="121" t="str">
        <f t="shared" si="71"/>
        <v>http://www.madison.va.gov/contact/phone_directory.asp</v>
      </c>
    </row>
    <row r="1753" ht="14.25" hidden="1" customHeight="1">
      <c r="A1753" s="8" t="s">
        <v>683</v>
      </c>
      <c r="B1753" s="8" t="s">
        <v>2564</v>
      </c>
      <c r="C1753" s="121" t="str">
        <f t="shared" si="71"/>
        <v>http://www.madison.va.gov/contact/phone_directory.asp</v>
      </c>
    </row>
    <row r="1754" ht="14.25" hidden="1" customHeight="1">
      <c r="A1754" s="8" t="s">
        <v>691</v>
      </c>
      <c r="B1754" s="8" t="s">
        <v>2564</v>
      </c>
      <c r="C1754" s="121" t="str">
        <f t="shared" si="71"/>
        <v>http://www.madison.va.gov/contact/phone_directory.asp</v>
      </c>
    </row>
    <row r="1755" ht="14.25" hidden="1" customHeight="1">
      <c r="A1755" s="8" t="s">
        <v>2568</v>
      </c>
      <c r="B1755" s="8" t="s">
        <v>2564</v>
      </c>
      <c r="C1755" s="121" t="str">
        <f t="shared" si="71"/>
        <v>http://www.madison.va.gov/contact/phone_directory.asp</v>
      </c>
    </row>
    <row r="1756" ht="14.25" hidden="1" customHeight="1">
      <c r="A1756" s="8" t="s">
        <v>708</v>
      </c>
      <c r="B1756" s="8" t="s">
        <v>2564</v>
      </c>
      <c r="C1756" s="121" t="str">
        <f t="shared" si="71"/>
        <v>http://www.madison.va.gov/contact/phone_directory.asp</v>
      </c>
    </row>
    <row r="1757" ht="14.25" hidden="1" customHeight="1">
      <c r="A1757" s="8" t="s">
        <v>357</v>
      </c>
      <c r="B1757" s="8" t="s">
        <v>2564</v>
      </c>
      <c r="C1757" s="121" t="str">
        <f t="shared" si="71"/>
        <v>http://www.madison.va.gov/contact/phone_directory.asp</v>
      </c>
    </row>
    <row r="1758" ht="14.25" hidden="1" customHeight="1">
      <c r="A1758" s="8" t="s">
        <v>364</v>
      </c>
      <c r="B1758" s="8" t="s">
        <v>2564</v>
      </c>
      <c r="C1758" s="121" t="str">
        <f t="shared" si="71"/>
        <v>http://www.madison.va.gov/contact/phone_directory.asp</v>
      </c>
    </row>
    <row r="1759" ht="14.25" hidden="1" customHeight="1">
      <c r="A1759" s="8" t="s">
        <v>2569</v>
      </c>
      <c r="B1759" s="8" t="s">
        <v>2564</v>
      </c>
      <c r="C1759" s="121" t="str">
        <f t="shared" si="71"/>
        <v>http://www.madison.va.gov/contact/phone_directory.asp</v>
      </c>
    </row>
    <row r="1760" ht="14.25" hidden="1" customHeight="1">
      <c r="A1760" s="8" t="s">
        <v>2570</v>
      </c>
      <c r="B1760" s="8" t="s">
        <v>2564</v>
      </c>
      <c r="C1760" s="121" t="str">
        <f t="shared" si="71"/>
        <v>http://www.madison.va.gov/contact/phone_directory.asp</v>
      </c>
    </row>
    <row r="1761" ht="14.25" hidden="1" customHeight="1">
      <c r="A1761" s="8" t="s">
        <v>635</v>
      </c>
      <c r="B1761" s="8" t="s">
        <v>2571</v>
      </c>
      <c r="C1761" s="121" t="str">
        <f t="shared" ref="C1761:C1785" si="72">HYPERLINK("http://www.manchester.va.gov/contact/phone_directory.asp")</f>
        <v>http://www.manchester.va.gov/contact/phone_directory.asp</v>
      </c>
    </row>
    <row r="1762" ht="14.25" hidden="1" customHeight="1">
      <c r="A1762" s="8" t="s">
        <v>639</v>
      </c>
      <c r="B1762" s="8" t="s">
        <v>2571</v>
      </c>
      <c r="C1762" s="121" t="str">
        <f t="shared" si="72"/>
        <v>http://www.manchester.va.gov/contact/phone_directory.asp</v>
      </c>
    </row>
    <row r="1763" ht="14.25" hidden="1" customHeight="1">
      <c r="A1763" s="8" t="s">
        <v>2572</v>
      </c>
      <c r="B1763" s="8" t="s">
        <v>2571</v>
      </c>
      <c r="C1763" s="121" t="str">
        <f t="shared" si="72"/>
        <v>http://www.manchester.va.gov/contact/phone_directory.asp</v>
      </c>
    </row>
    <row r="1764" ht="14.25" hidden="1" customHeight="1">
      <c r="A1764" s="8" t="s">
        <v>673</v>
      </c>
      <c r="B1764" s="8" t="s">
        <v>2571</v>
      </c>
      <c r="C1764" s="121" t="str">
        <f t="shared" si="72"/>
        <v>http://www.manchester.va.gov/contact/phone_directory.asp</v>
      </c>
    </row>
    <row r="1765" ht="14.25" hidden="1" customHeight="1">
      <c r="A1765" s="8" t="s">
        <v>663</v>
      </c>
      <c r="B1765" s="8" t="s">
        <v>2571</v>
      </c>
      <c r="C1765" s="121" t="str">
        <f t="shared" si="72"/>
        <v>http://www.manchester.va.gov/contact/phone_directory.asp</v>
      </c>
    </row>
    <row r="1766" ht="14.25" hidden="1" customHeight="1">
      <c r="A1766" s="8" t="s">
        <v>2573</v>
      </c>
      <c r="B1766" s="8" t="s">
        <v>2571</v>
      </c>
      <c r="C1766" s="121" t="str">
        <f t="shared" si="72"/>
        <v>http://www.manchester.va.gov/contact/phone_directory.asp</v>
      </c>
    </row>
    <row r="1767" ht="14.25" hidden="1" customHeight="1">
      <c r="A1767" s="8" t="s">
        <v>2575</v>
      </c>
      <c r="B1767" s="8" t="s">
        <v>2571</v>
      </c>
      <c r="C1767" s="121" t="str">
        <f t="shared" si="72"/>
        <v>http://www.manchester.va.gov/contact/phone_directory.asp</v>
      </c>
    </row>
    <row r="1768" ht="14.25" hidden="1" customHeight="1">
      <c r="A1768" s="8" t="s">
        <v>674</v>
      </c>
      <c r="B1768" s="8" t="s">
        <v>2571</v>
      </c>
      <c r="C1768" s="121" t="str">
        <f t="shared" si="72"/>
        <v>http://www.manchester.va.gov/contact/phone_directory.asp</v>
      </c>
    </row>
    <row r="1769" ht="14.25" hidden="1" customHeight="1">
      <c r="A1769" s="8" t="s">
        <v>2576</v>
      </c>
      <c r="B1769" s="8" t="s">
        <v>2571</v>
      </c>
      <c r="C1769" s="121" t="str">
        <f t="shared" si="72"/>
        <v>http://www.manchester.va.gov/contact/phone_directory.asp</v>
      </c>
    </row>
    <row r="1770" ht="14.25" hidden="1" customHeight="1">
      <c r="A1770" s="8" t="s">
        <v>395</v>
      </c>
      <c r="B1770" s="8" t="s">
        <v>2571</v>
      </c>
      <c r="C1770" s="121" t="str">
        <f t="shared" si="72"/>
        <v>http://www.manchester.va.gov/contact/phone_directory.asp</v>
      </c>
    </row>
    <row r="1771" ht="14.25" hidden="1" customHeight="1">
      <c r="A1771" s="8" t="s">
        <v>670</v>
      </c>
      <c r="B1771" s="8" t="s">
        <v>2571</v>
      </c>
      <c r="C1771" s="121" t="str">
        <f t="shared" si="72"/>
        <v>http://www.manchester.va.gov/contact/phone_directory.asp</v>
      </c>
    </row>
    <row r="1772" ht="14.25" hidden="1" customHeight="1">
      <c r="A1772" s="8" t="s">
        <v>1042</v>
      </c>
      <c r="B1772" s="8" t="s">
        <v>2571</v>
      </c>
      <c r="C1772" s="121" t="str">
        <f t="shared" si="72"/>
        <v>http://www.manchester.va.gov/contact/phone_directory.asp</v>
      </c>
    </row>
    <row r="1773" ht="14.25" hidden="1" customHeight="1">
      <c r="A1773" s="8" t="s">
        <v>325</v>
      </c>
      <c r="B1773" s="8" t="s">
        <v>2571</v>
      </c>
      <c r="C1773" s="121" t="str">
        <f t="shared" si="72"/>
        <v>http://www.manchester.va.gov/contact/phone_directory.asp</v>
      </c>
    </row>
    <row r="1774" ht="14.25" hidden="1" customHeight="1">
      <c r="A1774" s="8" t="s">
        <v>2577</v>
      </c>
      <c r="B1774" s="8" t="s">
        <v>2571</v>
      </c>
      <c r="C1774" s="121" t="str">
        <f t="shared" si="72"/>
        <v>http://www.manchester.va.gov/contact/phone_directory.asp</v>
      </c>
    </row>
    <row r="1775" ht="14.25" hidden="1" customHeight="1">
      <c r="A1775" s="8" t="s">
        <v>332</v>
      </c>
      <c r="B1775" s="8" t="s">
        <v>2571</v>
      </c>
      <c r="C1775" s="121" t="str">
        <f t="shared" si="72"/>
        <v>http://www.manchester.va.gov/contact/phone_directory.asp</v>
      </c>
    </row>
    <row r="1776" ht="14.25" hidden="1" customHeight="1">
      <c r="A1776" s="8" t="s">
        <v>694</v>
      </c>
      <c r="B1776" s="8" t="s">
        <v>2571</v>
      </c>
      <c r="C1776" s="121" t="str">
        <f t="shared" si="72"/>
        <v>http://www.manchester.va.gov/contact/phone_directory.asp</v>
      </c>
    </row>
    <row r="1777" ht="14.25" hidden="1" customHeight="1">
      <c r="A1777" s="8" t="s">
        <v>775</v>
      </c>
      <c r="B1777" s="8" t="s">
        <v>2571</v>
      </c>
      <c r="C1777" s="121" t="str">
        <f t="shared" si="72"/>
        <v>http://www.manchester.va.gov/contact/phone_directory.asp</v>
      </c>
    </row>
    <row r="1778" ht="14.25" hidden="1" customHeight="1">
      <c r="A1778" s="8" t="s">
        <v>348</v>
      </c>
      <c r="B1778" s="8" t="s">
        <v>2571</v>
      </c>
      <c r="C1778" s="121" t="str">
        <f t="shared" si="72"/>
        <v>http://www.manchester.va.gov/contact/phone_directory.asp</v>
      </c>
    </row>
    <row r="1779" ht="14.25" hidden="1" customHeight="1">
      <c r="A1779" s="8" t="s">
        <v>504</v>
      </c>
      <c r="B1779" s="8" t="s">
        <v>2571</v>
      </c>
      <c r="C1779" s="121" t="str">
        <f t="shared" si="72"/>
        <v>http://www.manchester.va.gov/contact/phone_directory.asp</v>
      </c>
    </row>
    <row r="1780" ht="14.25" hidden="1" customHeight="1">
      <c r="A1780" s="8" t="s">
        <v>505</v>
      </c>
      <c r="B1780" s="8" t="s">
        <v>2571</v>
      </c>
      <c r="C1780" s="121" t="str">
        <f t="shared" si="72"/>
        <v>http://www.manchester.va.gov/contact/phone_directory.asp</v>
      </c>
    </row>
    <row r="1781" ht="14.25" hidden="1" customHeight="1">
      <c r="A1781" s="8" t="s">
        <v>355</v>
      </c>
      <c r="B1781" s="8" t="s">
        <v>2571</v>
      </c>
      <c r="C1781" s="121" t="str">
        <f t="shared" si="72"/>
        <v>http://www.manchester.va.gov/contact/phone_directory.asp</v>
      </c>
    </row>
    <row r="1782" ht="14.25" hidden="1" customHeight="1">
      <c r="A1782" s="8" t="s">
        <v>2578</v>
      </c>
      <c r="B1782" s="8" t="s">
        <v>2571</v>
      </c>
      <c r="C1782" s="121" t="str">
        <f t="shared" si="72"/>
        <v>http://www.manchester.va.gov/contact/phone_directory.asp</v>
      </c>
    </row>
    <row r="1783" ht="14.25" hidden="1" customHeight="1">
      <c r="A1783" s="8" t="s">
        <v>2579</v>
      </c>
      <c r="B1783" s="8" t="s">
        <v>2571</v>
      </c>
      <c r="C1783" s="121" t="str">
        <f t="shared" si="72"/>
        <v>http://www.manchester.va.gov/contact/phone_directory.asp</v>
      </c>
    </row>
    <row r="1784" ht="14.25" hidden="1" customHeight="1">
      <c r="A1784" s="8" t="s">
        <v>2580</v>
      </c>
      <c r="B1784" s="8" t="s">
        <v>2571</v>
      </c>
      <c r="C1784" s="121" t="str">
        <f t="shared" si="72"/>
        <v>http://www.manchester.va.gov/contact/phone_directory.asp</v>
      </c>
    </row>
    <row r="1785" ht="14.25" hidden="1" customHeight="1">
      <c r="A1785" s="8" t="s">
        <v>2581</v>
      </c>
      <c r="B1785" s="8" t="s">
        <v>2571</v>
      </c>
      <c r="C1785" s="121" t="str">
        <f t="shared" si="72"/>
        <v>http://www.manchester.va.gov/contact/phone_directory.asp</v>
      </c>
    </row>
    <row r="1786" ht="14.25" hidden="1" customHeight="1">
      <c r="A1786" s="8" t="s">
        <v>2498</v>
      </c>
      <c r="B1786" s="8" t="s">
        <v>2582</v>
      </c>
      <c r="C1786" s="121" t="str">
        <f t="shared" ref="C1786:C1815" si="73">HYPERLINK("http://www.marion.va.gov/contact/phone_directory.asp")</f>
        <v>http://www.marion.va.gov/contact/phone_directory.asp</v>
      </c>
    </row>
    <row r="1787" ht="14.25" hidden="1" customHeight="1">
      <c r="A1787" s="8" t="s">
        <v>624</v>
      </c>
      <c r="B1787" s="8" t="s">
        <v>2582</v>
      </c>
      <c r="C1787" s="121" t="str">
        <f t="shared" si="73"/>
        <v>http://www.marion.va.gov/contact/phone_directory.asp</v>
      </c>
    </row>
    <row r="1788" ht="14.25" hidden="1" customHeight="1">
      <c r="A1788" s="8" t="s">
        <v>631</v>
      </c>
      <c r="B1788" s="8" t="s">
        <v>2582</v>
      </c>
      <c r="C1788" s="121" t="str">
        <f t="shared" si="73"/>
        <v>http://www.marion.va.gov/contact/phone_directory.asp</v>
      </c>
    </row>
    <row r="1789" ht="14.25" hidden="1" customHeight="1">
      <c r="A1789" s="8" t="s">
        <v>864</v>
      </c>
      <c r="B1789" s="8" t="s">
        <v>2582</v>
      </c>
      <c r="C1789" s="121" t="str">
        <f t="shared" si="73"/>
        <v>http://www.marion.va.gov/contact/phone_directory.asp</v>
      </c>
    </row>
    <row r="1790" ht="14.25" hidden="1" customHeight="1">
      <c r="A1790" s="8" t="s">
        <v>638</v>
      </c>
      <c r="B1790" s="8" t="s">
        <v>2582</v>
      </c>
      <c r="C1790" s="121" t="str">
        <f t="shared" si="73"/>
        <v>http://www.marion.va.gov/contact/phone_directory.asp</v>
      </c>
    </row>
    <row r="1791" ht="14.25" hidden="1" customHeight="1">
      <c r="A1791" s="8" t="s">
        <v>478</v>
      </c>
      <c r="B1791" s="8" t="s">
        <v>2582</v>
      </c>
      <c r="C1791" s="121" t="str">
        <f t="shared" si="73"/>
        <v>http://www.marion.va.gov/contact/phone_directory.asp</v>
      </c>
    </row>
    <row r="1792" ht="14.25" hidden="1" customHeight="1">
      <c r="A1792" s="8" t="s">
        <v>455</v>
      </c>
      <c r="B1792" s="8" t="s">
        <v>2582</v>
      </c>
      <c r="C1792" s="121" t="str">
        <f t="shared" si="73"/>
        <v>http://www.marion.va.gov/contact/phone_directory.asp</v>
      </c>
    </row>
    <row r="1793" ht="14.25" hidden="1" customHeight="1">
      <c r="A1793" s="8" t="s">
        <v>663</v>
      </c>
      <c r="B1793" s="8" t="s">
        <v>2582</v>
      </c>
      <c r="C1793" s="121" t="str">
        <f t="shared" si="73"/>
        <v>http://www.marion.va.gov/contact/phone_directory.asp</v>
      </c>
    </row>
    <row r="1794" ht="14.25" hidden="1" customHeight="1">
      <c r="A1794" s="8" t="s">
        <v>2503</v>
      </c>
      <c r="B1794" s="8" t="s">
        <v>2582</v>
      </c>
      <c r="C1794" s="121" t="str">
        <f t="shared" si="73"/>
        <v>http://www.marion.va.gov/contact/phone_directory.asp</v>
      </c>
    </row>
    <row r="1795" ht="14.25" hidden="1" customHeight="1">
      <c r="A1795" s="8" t="s">
        <v>1147</v>
      </c>
      <c r="B1795" s="8" t="s">
        <v>2582</v>
      </c>
      <c r="C1795" s="121" t="str">
        <f t="shared" si="73"/>
        <v>http://www.marion.va.gov/contact/phone_directory.asp</v>
      </c>
    </row>
    <row r="1796" ht="14.25" hidden="1" customHeight="1">
      <c r="A1796" s="8" t="s">
        <v>2583</v>
      </c>
      <c r="B1796" s="8" t="s">
        <v>2582</v>
      </c>
      <c r="C1796" s="121" t="str">
        <f t="shared" si="73"/>
        <v>http://www.marion.va.gov/contact/phone_directory.asp</v>
      </c>
    </row>
    <row r="1797" ht="14.25" hidden="1" customHeight="1">
      <c r="A1797" s="8" t="s">
        <v>1676</v>
      </c>
      <c r="B1797" s="8" t="s">
        <v>2582</v>
      </c>
      <c r="C1797" s="121" t="str">
        <f t="shared" si="73"/>
        <v>http://www.marion.va.gov/contact/phone_directory.asp</v>
      </c>
    </row>
    <row r="1798" ht="14.25" hidden="1" customHeight="1">
      <c r="A1798" s="8" t="s">
        <v>2584</v>
      </c>
      <c r="B1798" s="8" t="s">
        <v>2582</v>
      </c>
      <c r="C1798" s="121" t="str">
        <f t="shared" si="73"/>
        <v>http://www.marion.va.gov/contact/phone_directory.asp</v>
      </c>
    </row>
    <row r="1799" ht="14.25" hidden="1" customHeight="1">
      <c r="A1799" s="8" t="s">
        <v>317</v>
      </c>
      <c r="B1799" s="8" t="s">
        <v>2582</v>
      </c>
      <c r="C1799" s="121" t="str">
        <f t="shared" si="73"/>
        <v>http://www.marion.va.gov/contact/phone_directory.asp</v>
      </c>
    </row>
    <row r="1800" ht="14.25" hidden="1" customHeight="1">
      <c r="A1800" s="8" t="s">
        <v>584</v>
      </c>
      <c r="B1800" s="8" t="s">
        <v>2582</v>
      </c>
      <c r="C1800" s="121" t="str">
        <f t="shared" si="73"/>
        <v>http://www.marion.va.gov/contact/phone_directory.asp</v>
      </c>
    </row>
    <row r="1801" ht="14.25" hidden="1" customHeight="1">
      <c r="A1801" s="8" t="s">
        <v>691</v>
      </c>
      <c r="B1801" s="8" t="s">
        <v>2582</v>
      </c>
      <c r="C1801" s="121" t="str">
        <f t="shared" si="73"/>
        <v>http://www.marion.va.gov/contact/phone_directory.asp</v>
      </c>
    </row>
    <row r="1802" ht="14.25" hidden="1" customHeight="1">
      <c r="A1802" s="8" t="s">
        <v>1655</v>
      </c>
      <c r="B1802" s="8" t="s">
        <v>2582</v>
      </c>
      <c r="C1802" s="121" t="str">
        <f t="shared" si="73"/>
        <v>http://www.marion.va.gov/contact/phone_directory.asp</v>
      </c>
    </row>
    <row r="1803" ht="14.25" hidden="1" customHeight="1">
      <c r="A1803" s="8" t="s">
        <v>697</v>
      </c>
      <c r="B1803" s="8" t="s">
        <v>2582</v>
      </c>
      <c r="C1803" s="121" t="str">
        <f t="shared" si="73"/>
        <v>http://www.marion.va.gov/contact/phone_directory.asp</v>
      </c>
    </row>
    <row r="1804" ht="14.25" hidden="1" customHeight="1">
      <c r="A1804" s="8" t="s">
        <v>1689</v>
      </c>
      <c r="B1804" s="8" t="s">
        <v>2582</v>
      </c>
      <c r="C1804" s="121" t="str">
        <f t="shared" si="73"/>
        <v>http://www.marion.va.gov/contact/phone_directory.asp</v>
      </c>
    </row>
    <row r="1805" ht="14.25" hidden="1" customHeight="1">
      <c r="A1805" s="8" t="s">
        <v>2585</v>
      </c>
      <c r="B1805" s="8" t="s">
        <v>2582</v>
      </c>
      <c r="C1805" s="121" t="str">
        <f t="shared" si="73"/>
        <v>http://www.marion.va.gov/contact/phone_directory.asp</v>
      </c>
    </row>
    <row r="1806" ht="14.25" hidden="1" customHeight="1">
      <c r="A1806" s="8" t="s">
        <v>2586</v>
      </c>
      <c r="B1806" s="8" t="s">
        <v>2582</v>
      </c>
      <c r="C1806" s="121" t="str">
        <f t="shared" si="73"/>
        <v>http://www.marion.va.gov/contact/phone_directory.asp</v>
      </c>
    </row>
    <row r="1807" ht="14.25" hidden="1" customHeight="1">
      <c r="A1807" s="8" t="s">
        <v>353</v>
      </c>
      <c r="B1807" s="8" t="s">
        <v>2582</v>
      </c>
      <c r="C1807" s="121" t="str">
        <f t="shared" si="73"/>
        <v>http://www.marion.va.gov/contact/phone_directory.asp</v>
      </c>
    </row>
    <row r="1808" ht="14.25" hidden="1" customHeight="1">
      <c r="A1808" s="8" t="s">
        <v>708</v>
      </c>
      <c r="B1808" s="8" t="s">
        <v>2582</v>
      </c>
      <c r="C1808" s="121" t="str">
        <f t="shared" si="73"/>
        <v>http://www.marion.va.gov/contact/phone_directory.asp</v>
      </c>
    </row>
    <row r="1809" ht="14.25" hidden="1" customHeight="1">
      <c r="A1809" s="8" t="s">
        <v>1054</v>
      </c>
      <c r="B1809" s="8" t="s">
        <v>2582</v>
      </c>
      <c r="C1809" s="121" t="str">
        <f t="shared" si="73"/>
        <v>http://www.marion.va.gov/contact/phone_directory.asp</v>
      </c>
    </row>
    <row r="1810" ht="14.25" hidden="1" customHeight="1">
      <c r="A1810" s="8" t="s">
        <v>712</v>
      </c>
      <c r="B1810" s="8" t="s">
        <v>2582</v>
      </c>
      <c r="C1810" s="121" t="str">
        <f t="shared" si="73"/>
        <v>http://www.marion.va.gov/contact/phone_directory.asp</v>
      </c>
    </row>
    <row r="1811" ht="14.25" hidden="1" customHeight="1">
      <c r="A1811" s="8" t="s">
        <v>360</v>
      </c>
      <c r="B1811" s="8" t="s">
        <v>2582</v>
      </c>
      <c r="C1811" s="121" t="str">
        <f t="shared" si="73"/>
        <v>http://www.marion.va.gov/contact/phone_directory.asp</v>
      </c>
    </row>
    <row r="1812" ht="14.25" hidden="1" customHeight="1">
      <c r="A1812" s="8" t="s">
        <v>724</v>
      </c>
      <c r="B1812" s="8" t="s">
        <v>2582</v>
      </c>
      <c r="C1812" s="121" t="str">
        <f t="shared" si="73"/>
        <v>http://www.marion.va.gov/contact/phone_directory.asp</v>
      </c>
    </row>
    <row r="1813" ht="14.25" hidden="1" customHeight="1">
      <c r="A1813" s="8" t="s">
        <v>2587</v>
      </c>
      <c r="B1813" s="8" t="s">
        <v>2582</v>
      </c>
      <c r="C1813" s="121" t="str">
        <f t="shared" si="73"/>
        <v>http://www.marion.va.gov/contact/phone_directory.asp</v>
      </c>
    </row>
    <row r="1814" ht="14.25" hidden="1" customHeight="1">
      <c r="A1814" s="8" t="s">
        <v>2588</v>
      </c>
      <c r="B1814" s="8" t="s">
        <v>2582</v>
      </c>
      <c r="C1814" s="121" t="str">
        <f t="shared" si="73"/>
        <v>http://www.marion.va.gov/contact/phone_directory.asp</v>
      </c>
    </row>
    <row r="1815" ht="14.25" hidden="1" customHeight="1">
      <c r="A1815" s="8" t="s">
        <v>1690</v>
      </c>
      <c r="B1815" s="8" t="s">
        <v>2582</v>
      </c>
      <c r="C1815" s="121" t="str">
        <f t="shared" si="73"/>
        <v>http://www.marion.va.gov/contact/phone_directory.asp</v>
      </c>
    </row>
    <row r="1816" ht="14.25" hidden="1" customHeight="1">
      <c r="A1816" s="8" t="s">
        <v>624</v>
      </c>
      <c r="B1816" s="8" t="s">
        <v>2589</v>
      </c>
      <c r="C1816" s="121" t="str">
        <f t="shared" ref="C1816:C1825" si="74">HYPERLINK("http://www.martinsburg.va.gov/contact/phone_directory.asp")</f>
        <v>http://www.martinsburg.va.gov/contact/phone_directory.asp</v>
      </c>
    </row>
    <row r="1817" ht="14.25" hidden="1" customHeight="1">
      <c r="A1817" s="8" t="s">
        <v>631</v>
      </c>
      <c r="B1817" s="8" t="s">
        <v>2589</v>
      </c>
      <c r="C1817" s="121" t="str">
        <f t="shared" si="74"/>
        <v>http://www.martinsburg.va.gov/contact/phone_directory.asp</v>
      </c>
    </row>
    <row r="1818" ht="14.25" hidden="1" customHeight="1">
      <c r="A1818" s="8" t="s">
        <v>864</v>
      </c>
      <c r="B1818" s="8" t="s">
        <v>2589</v>
      </c>
      <c r="C1818" s="121" t="str">
        <f t="shared" si="74"/>
        <v>http://www.martinsburg.va.gov/contact/phone_directory.asp</v>
      </c>
    </row>
    <row r="1819" ht="14.25" hidden="1" customHeight="1">
      <c r="A1819" s="8" t="s">
        <v>638</v>
      </c>
      <c r="B1819" s="8" t="s">
        <v>2589</v>
      </c>
      <c r="C1819" s="121" t="str">
        <f t="shared" si="74"/>
        <v>http://www.martinsburg.va.gov/contact/phone_directory.asp</v>
      </c>
    </row>
    <row r="1820" ht="14.25" hidden="1" customHeight="1">
      <c r="A1820" s="8" t="s">
        <v>1882</v>
      </c>
      <c r="B1820" s="8" t="s">
        <v>2589</v>
      </c>
      <c r="C1820" s="121" t="str">
        <f t="shared" si="74"/>
        <v>http://www.martinsburg.va.gov/contact/phone_directory.asp</v>
      </c>
    </row>
    <row r="1821" ht="14.25" hidden="1" customHeight="1">
      <c r="A1821" s="8" t="s">
        <v>872</v>
      </c>
      <c r="B1821" s="8" t="s">
        <v>2589</v>
      </c>
      <c r="C1821" s="121" t="str">
        <f t="shared" si="74"/>
        <v>http://www.martinsburg.va.gov/contact/phone_directory.asp</v>
      </c>
    </row>
    <row r="1822" ht="14.25" hidden="1" customHeight="1">
      <c r="A1822" s="8" t="s">
        <v>663</v>
      </c>
      <c r="B1822" s="8" t="s">
        <v>2589</v>
      </c>
      <c r="C1822" s="121" t="str">
        <f t="shared" si="74"/>
        <v>http://www.martinsburg.va.gov/contact/phone_directory.asp</v>
      </c>
    </row>
    <row r="1823" ht="14.25" hidden="1" customHeight="1">
      <c r="A1823" s="8" t="s">
        <v>504</v>
      </c>
      <c r="B1823" s="8" t="s">
        <v>2589</v>
      </c>
      <c r="C1823" s="121" t="str">
        <f t="shared" si="74"/>
        <v>http://www.martinsburg.va.gov/contact/phone_directory.asp</v>
      </c>
    </row>
    <row r="1824" ht="14.25" hidden="1" customHeight="1">
      <c r="A1824" s="8" t="s">
        <v>708</v>
      </c>
      <c r="B1824" s="8" t="s">
        <v>2589</v>
      </c>
      <c r="C1824" s="121" t="str">
        <f t="shared" si="74"/>
        <v>http://www.martinsburg.va.gov/contact/phone_directory.asp</v>
      </c>
    </row>
    <row r="1825" ht="14.25" hidden="1" customHeight="1">
      <c r="A1825" s="8" t="s">
        <v>741</v>
      </c>
      <c r="B1825" s="8" t="s">
        <v>2589</v>
      </c>
      <c r="C1825" s="121" t="str">
        <f t="shared" si="74"/>
        <v>http://www.martinsburg.va.gov/contact/phone_directory.asp</v>
      </c>
    </row>
    <row r="1826" ht="14.25" hidden="1" customHeight="1">
      <c r="A1826" s="8" t="s">
        <v>1963</v>
      </c>
      <c r="B1826" s="8" t="s">
        <v>2590</v>
      </c>
      <c r="C1826" s="121" t="str">
        <f t="shared" ref="C1826:C1829" si="75">HYPERLINK("http://www.maryland.va.gov/contact/phone_directory.asp")</f>
        <v>http://www.maryland.va.gov/contact/phone_directory.asp</v>
      </c>
    </row>
    <row r="1827" ht="14.25" hidden="1" customHeight="1">
      <c r="A1827" s="8" t="s">
        <v>2591</v>
      </c>
      <c r="B1827" s="8" t="s">
        <v>2590</v>
      </c>
      <c r="C1827" s="121" t="str">
        <f t="shared" si="75"/>
        <v>http://www.maryland.va.gov/contact/phone_directory.asp</v>
      </c>
    </row>
    <row r="1828" ht="14.25" hidden="1" customHeight="1">
      <c r="A1828" s="8" t="s">
        <v>2592</v>
      </c>
      <c r="B1828" s="8" t="s">
        <v>2590</v>
      </c>
      <c r="C1828" s="121" t="str">
        <f t="shared" si="75"/>
        <v>http://www.maryland.va.gov/contact/phone_directory.asp</v>
      </c>
    </row>
    <row r="1829" ht="14.25" hidden="1" customHeight="1">
      <c r="A1829" s="8" t="s">
        <v>1047</v>
      </c>
      <c r="B1829" s="8" t="s">
        <v>2590</v>
      </c>
      <c r="C1829" s="121" t="str">
        <f t="shared" si="75"/>
        <v>http://www.maryland.va.gov/contact/phone_directory.asp</v>
      </c>
    </row>
    <row r="1830" ht="14.25" hidden="1" customHeight="1">
      <c r="A1830" s="8" t="s">
        <v>2593</v>
      </c>
      <c r="B1830" s="8" t="s">
        <v>2594</v>
      </c>
      <c r="C1830" s="121" t="str">
        <f t="shared" ref="C1830:C1857" si="76">HYPERLINK("http://www.memphis.va.gov/contact/phone_directory.asp")</f>
        <v>http://www.memphis.va.gov/contact/phone_directory.asp</v>
      </c>
    </row>
    <row r="1831" ht="14.25" hidden="1" customHeight="1">
      <c r="A1831" s="8" t="s">
        <v>2595</v>
      </c>
      <c r="B1831" s="8" t="s">
        <v>2594</v>
      </c>
      <c r="C1831" s="121" t="str">
        <f t="shared" si="76"/>
        <v>http://www.memphis.va.gov/contact/phone_directory.asp</v>
      </c>
    </row>
    <row r="1832" ht="14.25" hidden="1" customHeight="1">
      <c r="A1832" s="8" t="s">
        <v>2596</v>
      </c>
      <c r="B1832" s="8" t="s">
        <v>2594</v>
      </c>
      <c r="C1832" s="121" t="str">
        <f t="shared" si="76"/>
        <v>http://www.memphis.va.gov/contact/phone_directory.asp</v>
      </c>
    </row>
    <row r="1833" ht="14.25" hidden="1" customHeight="1">
      <c r="A1833" s="8" t="s">
        <v>2233</v>
      </c>
      <c r="B1833" s="8" t="s">
        <v>2594</v>
      </c>
      <c r="C1833" s="121" t="str">
        <f t="shared" si="76"/>
        <v>http://www.memphis.va.gov/contact/phone_directory.asp</v>
      </c>
    </row>
    <row r="1834" ht="14.25" hidden="1" customHeight="1">
      <c r="A1834" s="8" t="s">
        <v>2597</v>
      </c>
      <c r="B1834" s="8" t="s">
        <v>2594</v>
      </c>
      <c r="C1834" s="121" t="str">
        <f t="shared" si="76"/>
        <v>http://www.memphis.va.gov/contact/phone_directory.asp</v>
      </c>
    </row>
    <row r="1835" ht="14.25" hidden="1" customHeight="1">
      <c r="A1835" s="8" t="s">
        <v>478</v>
      </c>
      <c r="B1835" s="8" t="s">
        <v>2594</v>
      </c>
      <c r="C1835" s="121" t="str">
        <f t="shared" si="76"/>
        <v>http://www.memphis.va.gov/contact/phone_directory.asp</v>
      </c>
    </row>
    <row r="1836" ht="14.25" hidden="1" customHeight="1">
      <c r="A1836" s="8" t="s">
        <v>2598</v>
      </c>
      <c r="B1836" s="8" t="s">
        <v>2594</v>
      </c>
      <c r="C1836" s="121" t="str">
        <f t="shared" si="76"/>
        <v>http://www.memphis.va.gov/contact/phone_directory.asp</v>
      </c>
    </row>
    <row r="1837" ht="14.25" hidden="1" customHeight="1">
      <c r="A1837" s="8" t="s">
        <v>2599</v>
      </c>
      <c r="B1837" s="8" t="s">
        <v>2594</v>
      </c>
      <c r="C1837" s="121" t="str">
        <f t="shared" si="76"/>
        <v>http://www.memphis.va.gov/contact/phone_directory.asp</v>
      </c>
    </row>
    <row r="1838" ht="14.25" hidden="1" customHeight="1">
      <c r="A1838" s="8" t="s">
        <v>1143</v>
      </c>
      <c r="B1838" s="8" t="s">
        <v>2594</v>
      </c>
      <c r="C1838" s="121" t="str">
        <f t="shared" si="76"/>
        <v>http://www.memphis.va.gov/contact/phone_directory.asp</v>
      </c>
    </row>
    <row r="1839" ht="14.25" hidden="1" customHeight="1">
      <c r="A1839" s="8" t="s">
        <v>2601</v>
      </c>
      <c r="B1839" s="8" t="s">
        <v>2594</v>
      </c>
      <c r="C1839" s="121" t="str">
        <f t="shared" si="76"/>
        <v>http://www.memphis.va.gov/contact/phone_directory.asp</v>
      </c>
    </row>
    <row r="1840" ht="14.25" hidden="1" customHeight="1">
      <c r="A1840" s="8" t="s">
        <v>1564</v>
      </c>
      <c r="B1840" s="8" t="s">
        <v>2594</v>
      </c>
      <c r="C1840" s="121" t="str">
        <f t="shared" si="76"/>
        <v>http://www.memphis.va.gov/contact/phone_directory.asp</v>
      </c>
    </row>
    <row r="1841" ht="14.25" hidden="1" customHeight="1">
      <c r="A1841" s="8" t="s">
        <v>1441</v>
      </c>
      <c r="B1841" s="8" t="s">
        <v>2594</v>
      </c>
      <c r="C1841" s="121" t="str">
        <f t="shared" si="76"/>
        <v>http://www.memphis.va.gov/contact/phone_directory.asp</v>
      </c>
    </row>
    <row r="1842" ht="14.25" hidden="1" customHeight="1">
      <c r="A1842" s="8" t="s">
        <v>683</v>
      </c>
      <c r="B1842" s="8" t="s">
        <v>2594</v>
      </c>
      <c r="C1842" s="121" t="str">
        <f t="shared" si="76"/>
        <v>http://www.memphis.va.gov/contact/phone_directory.asp</v>
      </c>
    </row>
    <row r="1843" ht="14.25" hidden="1" customHeight="1">
      <c r="A1843" s="8" t="s">
        <v>2603</v>
      </c>
      <c r="B1843" s="8" t="s">
        <v>2594</v>
      </c>
      <c r="C1843" s="121" t="str">
        <f t="shared" si="76"/>
        <v>http://www.memphis.va.gov/contact/phone_directory.asp</v>
      </c>
    </row>
    <row r="1844" ht="14.25" hidden="1" customHeight="1">
      <c r="A1844" s="8" t="s">
        <v>2225</v>
      </c>
      <c r="B1844" s="8" t="s">
        <v>2594</v>
      </c>
      <c r="C1844" s="121" t="str">
        <f t="shared" si="76"/>
        <v>http://www.memphis.va.gov/contact/phone_directory.asp</v>
      </c>
    </row>
    <row r="1845" ht="14.25" hidden="1" customHeight="1">
      <c r="A1845" s="8" t="s">
        <v>1655</v>
      </c>
      <c r="B1845" s="8" t="s">
        <v>2594</v>
      </c>
      <c r="C1845" s="121" t="str">
        <f t="shared" si="76"/>
        <v>http://www.memphis.va.gov/contact/phone_directory.asp</v>
      </c>
    </row>
    <row r="1846" ht="14.25" hidden="1" customHeight="1">
      <c r="A1846" s="8" t="s">
        <v>2604</v>
      </c>
      <c r="B1846" s="8" t="s">
        <v>2594</v>
      </c>
      <c r="C1846" s="121" t="str">
        <f t="shared" si="76"/>
        <v>http://www.memphis.va.gov/contact/phone_directory.asp</v>
      </c>
    </row>
    <row r="1847" ht="14.25" hidden="1" customHeight="1">
      <c r="A1847" s="8" t="s">
        <v>2605</v>
      </c>
      <c r="B1847" s="8" t="s">
        <v>2594</v>
      </c>
      <c r="C1847" s="121" t="str">
        <f t="shared" si="76"/>
        <v>http://www.memphis.va.gov/contact/phone_directory.asp</v>
      </c>
    </row>
    <row r="1848" ht="14.25" hidden="1" customHeight="1">
      <c r="A1848" s="8" t="s">
        <v>2606</v>
      </c>
      <c r="B1848" s="8" t="s">
        <v>2594</v>
      </c>
      <c r="C1848" s="121" t="str">
        <f t="shared" si="76"/>
        <v>http://www.memphis.va.gov/contact/phone_directory.asp</v>
      </c>
    </row>
    <row r="1849" ht="14.25" hidden="1" customHeight="1">
      <c r="A1849" s="8" t="s">
        <v>2607</v>
      </c>
      <c r="B1849" s="8" t="s">
        <v>2594</v>
      </c>
      <c r="C1849" s="121" t="str">
        <f t="shared" si="76"/>
        <v>http://www.memphis.va.gov/contact/phone_directory.asp</v>
      </c>
    </row>
    <row r="1850" ht="14.25" hidden="1" customHeight="1">
      <c r="A1850" s="8" t="s">
        <v>684</v>
      </c>
      <c r="B1850" s="8" t="s">
        <v>2594</v>
      </c>
      <c r="C1850" s="121" t="str">
        <f t="shared" si="76"/>
        <v>http://www.memphis.va.gov/contact/phone_directory.asp</v>
      </c>
    </row>
    <row r="1851" ht="14.25" hidden="1" customHeight="1">
      <c r="A1851" s="8" t="s">
        <v>505</v>
      </c>
      <c r="B1851" s="8" t="s">
        <v>2594</v>
      </c>
      <c r="C1851" s="121" t="str">
        <f t="shared" si="76"/>
        <v>http://www.memphis.va.gov/contact/phone_directory.asp</v>
      </c>
    </row>
    <row r="1852" ht="14.25" hidden="1" customHeight="1">
      <c r="A1852" s="8" t="s">
        <v>708</v>
      </c>
      <c r="B1852" s="8" t="s">
        <v>2594</v>
      </c>
      <c r="C1852" s="121" t="str">
        <f t="shared" si="76"/>
        <v>http://www.memphis.va.gov/contact/phone_directory.asp</v>
      </c>
    </row>
    <row r="1853" ht="14.25" hidden="1" customHeight="1">
      <c r="A1853" s="8" t="s">
        <v>2609</v>
      </c>
      <c r="B1853" s="8" t="s">
        <v>2594</v>
      </c>
      <c r="C1853" s="121" t="str">
        <f t="shared" si="76"/>
        <v>http://www.memphis.va.gov/contact/phone_directory.asp</v>
      </c>
    </row>
    <row r="1854" ht="14.25" hidden="1" customHeight="1">
      <c r="A1854" s="8" t="s">
        <v>2610</v>
      </c>
      <c r="B1854" s="8" t="s">
        <v>2594</v>
      </c>
      <c r="C1854" s="121" t="str">
        <f t="shared" si="76"/>
        <v>http://www.memphis.va.gov/contact/phone_directory.asp</v>
      </c>
    </row>
    <row r="1855" ht="14.25" hidden="1" customHeight="1">
      <c r="A1855" s="8" t="s">
        <v>742</v>
      </c>
      <c r="B1855" s="8" t="s">
        <v>2594</v>
      </c>
      <c r="C1855" s="121" t="str">
        <f t="shared" si="76"/>
        <v>http://www.memphis.va.gov/contact/phone_directory.asp</v>
      </c>
    </row>
    <row r="1856" ht="14.25" hidden="1" customHeight="1">
      <c r="A1856" s="8" t="s">
        <v>405</v>
      </c>
      <c r="B1856" s="8" t="s">
        <v>2594</v>
      </c>
      <c r="C1856" s="121" t="str">
        <f t="shared" si="76"/>
        <v>http://www.memphis.va.gov/contact/phone_directory.asp</v>
      </c>
    </row>
    <row r="1857" ht="14.25" hidden="1" customHeight="1">
      <c r="A1857" s="8" t="s">
        <v>2486</v>
      </c>
      <c r="B1857" s="8" t="s">
        <v>2594</v>
      </c>
      <c r="C1857" s="121" t="str">
        <f t="shared" si="76"/>
        <v>http://www.memphis.va.gov/contact/phone_directory.asp</v>
      </c>
    </row>
    <row r="1858" ht="14.25" hidden="1" customHeight="1">
      <c r="A1858" s="8" t="s">
        <v>2611</v>
      </c>
      <c r="B1858" s="8" t="s">
        <v>2612</v>
      </c>
      <c r="C1858" s="121" t="str">
        <f t="shared" ref="C1858:C1864" si="77">HYPERLINK("http://www.miami.va.gov/contact/phone_directory.asp")</f>
        <v>http://www.miami.va.gov/contact/phone_directory.asp</v>
      </c>
    </row>
    <row r="1859" ht="14.25" hidden="1" customHeight="1">
      <c r="A1859" s="8" t="s">
        <v>1439</v>
      </c>
      <c r="B1859" s="8" t="s">
        <v>2612</v>
      </c>
      <c r="C1859" s="121" t="str">
        <f t="shared" si="77"/>
        <v>http://www.miami.va.gov/contact/phone_directory.asp</v>
      </c>
    </row>
    <row r="1860" ht="14.25" hidden="1" customHeight="1">
      <c r="A1860" s="8" t="s">
        <v>1249</v>
      </c>
      <c r="B1860" s="8" t="s">
        <v>2612</v>
      </c>
      <c r="C1860" s="121" t="str">
        <f t="shared" si="77"/>
        <v>http://www.miami.va.gov/contact/phone_directory.asp</v>
      </c>
    </row>
    <row r="1861" ht="14.25" hidden="1" customHeight="1">
      <c r="A1861" s="8" t="s">
        <v>697</v>
      </c>
      <c r="B1861" s="8" t="s">
        <v>2612</v>
      </c>
      <c r="C1861" s="121" t="str">
        <f t="shared" si="77"/>
        <v>http://www.miami.va.gov/contact/phone_directory.asp</v>
      </c>
    </row>
    <row r="1862" ht="14.25" hidden="1" customHeight="1">
      <c r="A1862" s="8" t="s">
        <v>963</v>
      </c>
      <c r="B1862" s="8" t="s">
        <v>2612</v>
      </c>
      <c r="C1862" s="121" t="str">
        <f t="shared" si="77"/>
        <v>http://www.miami.va.gov/contact/phone_directory.asp</v>
      </c>
    </row>
    <row r="1863" ht="14.25" hidden="1" customHeight="1">
      <c r="A1863" s="8" t="s">
        <v>684</v>
      </c>
      <c r="B1863" s="8" t="s">
        <v>2612</v>
      </c>
      <c r="C1863" s="121" t="str">
        <f t="shared" si="77"/>
        <v>http://www.miami.va.gov/contact/phone_directory.asp</v>
      </c>
    </row>
    <row r="1864" ht="14.25" hidden="1" customHeight="1">
      <c r="A1864" s="8" t="s">
        <v>724</v>
      </c>
      <c r="B1864" s="8" t="s">
        <v>2612</v>
      </c>
      <c r="C1864" s="121" t="str">
        <f t="shared" si="77"/>
        <v>http://www.miami.va.gov/contact/phone_directory.asp</v>
      </c>
    </row>
    <row r="1865" ht="14.25" hidden="1" customHeight="1">
      <c r="A1865" s="8" t="s">
        <v>624</v>
      </c>
      <c r="B1865" s="8" t="s">
        <v>2613</v>
      </c>
      <c r="C1865" s="121" t="str">
        <f t="shared" ref="C1865:C1872" si="78">HYPERLINK("http://www.milwaukee.va.gov/contact/phone_directory.asp")</f>
        <v>http://www.milwaukee.va.gov/contact/phone_directory.asp</v>
      </c>
    </row>
    <row r="1866" ht="14.25" hidden="1" customHeight="1">
      <c r="A1866" s="8" t="s">
        <v>631</v>
      </c>
      <c r="B1866" s="8" t="s">
        <v>2613</v>
      </c>
      <c r="C1866" s="121" t="str">
        <f t="shared" si="78"/>
        <v>http://www.milwaukee.va.gov/contact/phone_directory.asp</v>
      </c>
    </row>
    <row r="1867" ht="14.25" hidden="1" customHeight="1">
      <c r="A1867" s="8" t="s">
        <v>638</v>
      </c>
      <c r="B1867" s="8" t="s">
        <v>2613</v>
      </c>
      <c r="C1867" s="121" t="str">
        <f t="shared" si="78"/>
        <v>http://www.milwaukee.va.gov/contact/phone_directory.asp</v>
      </c>
    </row>
    <row r="1868" ht="14.25" hidden="1" customHeight="1">
      <c r="A1868" s="8" t="s">
        <v>1827</v>
      </c>
      <c r="B1868" s="8" t="s">
        <v>2613</v>
      </c>
      <c r="C1868" s="121" t="str">
        <f t="shared" si="78"/>
        <v>http://www.milwaukee.va.gov/contact/phone_directory.asp</v>
      </c>
    </row>
    <row r="1869" ht="14.25" hidden="1" customHeight="1">
      <c r="A1869" s="8" t="s">
        <v>663</v>
      </c>
      <c r="B1869" s="8" t="s">
        <v>2613</v>
      </c>
      <c r="C1869" s="121" t="str">
        <f t="shared" si="78"/>
        <v>http://www.milwaukee.va.gov/contact/phone_directory.asp</v>
      </c>
    </row>
    <row r="1870" ht="14.25" hidden="1" customHeight="1">
      <c r="A1870" s="8" t="s">
        <v>1626</v>
      </c>
      <c r="B1870" s="8" t="s">
        <v>2613</v>
      </c>
      <c r="C1870" s="121" t="str">
        <f t="shared" si="78"/>
        <v>http://www.milwaukee.va.gov/contact/phone_directory.asp</v>
      </c>
    </row>
    <row r="1871" ht="14.25" hidden="1" customHeight="1">
      <c r="A1871" s="8" t="s">
        <v>694</v>
      </c>
      <c r="B1871" s="8" t="s">
        <v>2613</v>
      </c>
      <c r="C1871" s="121" t="str">
        <f t="shared" si="78"/>
        <v>http://www.milwaukee.va.gov/contact/phone_directory.asp</v>
      </c>
    </row>
    <row r="1872" ht="14.25" hidden="1" customHeight="1">
      <c r="A1872" s="8" t="s">
        <v>708</v>
      </c>
      <c r="B1872" s="8" t="s">
        <v>2613</v>
      </c>
      <c r="C1872" s="121" t="str">
        <f t="shared" si="78"/>
        <v>http://www.milwaukee.va.gov/contact/phone_directory.asp</v>
      </c>
    </row>
    <row r="1873" ht="14.25" hidden="1" customHeight="1">
      <c r="A1873" s="8" t="s">
        <v>663</v>
      </c>
      <c r="B1873" s="8" t="s">
        <v>2615</v>
      </c>
      <c r="C1873" s="121" t="str">
        <f t="shared" ref="C1873:C1882" si="79">HYPERLINK("http://www.minneapolis.va.gov/contact/phone_directory.asp")</f>
        <v>http://www.minneapolis.va.gov/contact/phone_directory.asp</v>
      </c>
    </row>
    <row r="1874" ht="14.25" hidden="1" customHeight="1">
      <c r="A1874" s="8" t="s">
        <v>2616</v>
      </c>
      <c r="B1874" s="8" t="s">
        <v>2615</v>
      </c>
      <c r="C1874" s="121" t="str">
        <f t="shared" si="79"/>
        <v>http://www.minneapolis.va.gov/contact/phone_directory.asp</v>
      </c>
    </row>
    <row r="1875" ht="14.25" hidden="1" customHeight="1">
      <c r="A1875" s="8" t="s">
        <v>670</v>
      </c>
      <c r="B1875" s="8" t="s">
        <v>2615</v>
      </c>
      <c r="C1875" s="121" t="str">
        <f t="shared" si="79"/>
        <v>http://www.minneapolis.va.gov/contact/phone_directory.asp</v>
      </c>
    </row>
    <row r="1876" ht="14.25" hidden="1" customHeight="1">
      <c r="A1876" s="8" t="s">
        <v>889</v>
      </c>
      <c r="B1876" s="8" t="s">
        <v>2615</v>
      </c>
      <c r="C1876" s="121" t="str">
        <f t="shared" si="79"/>
        <v>http://www.minneapolis.va.gov/contact/phone_directory.asp</v>
      </c>
    </row>
    <row r="1877" ht="14.25" hidden="1" customHeight="1">
      <c r="A1877" s="8" t="s">
        <v>683</v>
      </c>
      <c r="B1877" s="8" t="s">
        <v>2615</v>
      </c>
      <c r="C1877" s="121" t="str">
        <f t="shared" si="79"/>
        <v>http://www.minneapolis.va.gov/contact/phone_directory.asp</v>
      </c>
    </row>
    <row r="1878" ht="14.25" hidden="1" customHeight="1">
      <c r="A1878" s="8" t="s">
        <v>907</v>
      </c>
      <c r="B1878" s="8" t="s">
        <v>2615</v>
      </c>
      <c r="C1878" s="121" t="str">
        <f t="shared" si="79"/>
        <v>http://www.minneapolis.va.gov/contact/phone_directory.asp</v>
      </c>
    </row>
    <row r="1879" ht="14.25" hidden="1" customHeight="1">
      <c r="A1879" s="8" t="s">
        <v>2617</v>
      </c>
      <c r="B1879" s="8" t="s">
        <v>2615</v>
      </c>
      <c r="C1879" s="121" t="str">
        <f t="shared" si="79"/>
        <v>http://www.minneapolis.va.gov/contact/phone_directory.asp</v>
      </c>
    </row>
    <row r="1880" ht="14.25" hidden="1" customHeight="1">
      <c r="A1880" s="8" t="s">
        <v>708</v>
      </c>
      <c r="B1880" s="8" t="s">
        <v>2615</v>
      </c>
      <c r="C1880" s="121" t="str">
        <f t="shared" si="79"/>
        <v>http://www.minneapolis.va.gov/contact/phone_directory.asp</v>
      </c>
    </row>
    <row r="1881" ht="14.25" hidden="1" customHeight="1">
      <c r="A1881" s="8" t="s">
        <v>2178</v>
      </c>
      <c r="B1881" s="8" t="s">
        <v>2615</v>
      </c>
      <c r="C1881" s="121" t="str">
        <f t="shared" si="79"/>
        <v>http://www.minneapolis.va.gov/contact/phone_directory.asp</v>
      </c>
    </row>
    <row r="1882" ht="14.25" hidden="1" customHeight="1">
      <c r="A1882" s="8" t="s">
        <v>1690</v>
      </c>
      <c r="B1882" s="8" t="s">
        <v>2615</v>
      </c>
      <c r="C1882" s="121" t="str">
        <f t="shared" si="79"/>
        <v>http://www.minneapolis.va.gov/contact/phone_directory.asp</v>
      </c>
    </row>
    <row r="1883" ht="14.25" hidden="1" customHeight="1">
      <c r="A1883" s="8" t="s">
        <v>2618</v>
      </c>
      <c r="B1883" s="8" t="s">
        <v>2619</v>
      </c>
      <c r="C1883" s="121" t="str">
        <f t="shared" ref="C1883:C1962" si="80">HYPERLINK("http://www.montana.va.gov/contact/phone_directory.asp")</f>
        <v>http://www.montana.va.gov/contact/phone_directory.asp</v>
      </c>
    </row>
    <row r="1884" ht="14.25" hidden="1" customHeight="1">
      <c r="A1884" s="8" t="s">
        <v>621</v>
      </c>
      <c r="B1884" s="8" t="s">
        <v>2619</v>
      </c>
      <c r="C1884" s="121" t="str">
        <f t="shared" si="80"/>
        <v>http://www.montana.va.gov/contact/phone_directory.asp</v>
      </c>
    </row>
    <row r="1885" ht="14.25" hidden="1" customHeight="1">
      <c r="A1885" s="8" t="s">
        <v>627</v>
      </c>
      <c r="B1885" s="8" t="s">
        <v>2619</v>
      </c>
      <c r="C1885" s="121" t="str">
        <f t="shared" si="80"/>
        <v>http://www.montana.va.gov/contact/phone_directory.asp</v>
      </c>
    </row>
    <row r="1886" ht="14.25" hidden="1" customHeight="1">
      <c r="A1886" s="8" t="s">
        <v>624</v>
      </c>
      <c r="B1886" s="8" t="s">
        <v>2619</v>
      </c>
      <c r="C1886" s="121" t="str">
        <f t="shared" si="80"/>
        <v>http://www.montana.va.gov/contact/phone_directory.asp</v>
      </c>
    </row>
    <row r="1887" ht="14.25" hidden="1" customHeight="1">
      <c r="A1887" s="8" t="s">
        <v>446</v>
      </c>
      <c r="B1887" s="8" t="s">
        <v>2619</v>
      </c>
      <c r="C1887" s="121" t="str">
        <f t="shared" si="80"/>
        <v>http://www.montana.va.gov/contact/phone_directory.asp</v>
      </c>
    </row>
    <row r="1888" ht="14.25" hidden="1" customHeight="1">
      <c r="A1888" s="8" t="s">
        <v>636</v>
      </c>
      <c r="B1888" s="8" t="s">
        <v>2619</v>
      </c>
      <c r="C1888" s="121" t="str">
        <f t="shared" si="80"/>
        <v>http://www.montana.va.gov/contact/phone_directory.asp</v>
      </c>
    </row>
    <row r="1889" ht="14.25" hidden="1" customHeight="1">
      <c r="A1889" s="8" t="s">
        <v>639</v>
      </c>
      <c r="B1889" s="8" t="s">
        <v>2619</v>
      </c>
      <c r="C1889" s="121" t="str">
        <f t="shared" si="80"/>
        <v>http://www.montana.va.gov/contact/phone_directory.asp</v>
      </c>
    </row>
    <row r="1890" ht="14.25" hidden="1" customHeight="1">
      <c r="A1890" s="8" t="s">
        <v>2620</v>
      </c>
      <c r="B1890" s="8" t="s">
        <v>2619</v>
      </c>
      <c r="C1890" s="121" t="str">
        <f t="shared" si="80"/>
        <v>http://www.montana.va.gov/contact/phone_directory.asp</v>
      </c>
    </row>
    <row r="1891" ht="14.25" hidden="1" customHeight="1">
      <c r="A1891" s="8" t="s">
        <v>2167</v>
      </c>
      <c r="B1891" s="8" t="s">
        <v>2619</v>
      </c>
      <c r="C1891" s="121" t="str">
        <f t="shared" si="80"/>
        <v>http://www.montana.va.gov/contact/phone_directory.asp</v>
      </c>
    </row>
    <row r="1892" ht="14.25" hidden="1" customHeight="1">
      <c r="A1892" s="8" t="s">
        <v>414</v>
      </c>
      <c r="B1892" s="8" t="s">
        <v>2619</v>
      </c>
      <c r="C1892" s="121" t="str">
        <f t="shared" si="80"/>
        <v>http://www.montana.va.gov/contact/phone_directory.asp</v>
      </c>
    </row>
    <row r="1893" ht="14.25" hidden="1" customHeight="1">
      <c r="A1893" s="8" t="s">
        <v>642</v>
      </c>
      <c r="B1893" s="8" t="s">
        <v>2619</v>
      </c>
      <c r="C1893" s="121" t="str">
        <f t="shared" si="80"/>
        <v>http://www.montana.va.gov/contact/phone_directory.asp</v>
      </c>
    </row>
    <row r="1894" ht="14.25" hidden="1" customHeight="1">
      <c r="A1894" s="8" t="s">
        <v>692</v>
      </c>
      <c r="B1894" s="8" t="s">
        <v>2619</v>
      </c>
      <c r="C1894" s="121" t="str">
        <f t="shared" si="80"/>
        <v>http://www.montana.va.gov/contact/phone_directory.asp</v>
      </c>
    </row>
    <row r="1895" ht="14.25" hidden="1" customHeight="1">
      <c r="A1895" s="8" t="s">
        <v>455</v>
      </c>
      <c r="B1895" s="8" t="s">
        <v>2619</v>
      </c>
      <c r="C1895" s="121" t="str">
        <f t="shared" si="80"/>
        <v>http://www.montana.va.gov/contact/phone_directory.asp</v>
      </c>
    </row>
    <row r="1896" ht="14.25" hidden="1" customHeight="1">
      <c r="A1896" s="8" t="s">
        <v>2621</v>
      </c>
      <c r="B1896" s="8" t="s">
        <v>2619</v>
      </c>
      <c r="C1896" s="121" t="str">
        <f t="shared" si="80"/>
        <v>http://www.montana.va.gov/contact/phone_directory.asp</v>
      </c>
    </row>
    <row r="1897" ht="14.25" hidden="1" customHeight="1">
      <c r="A1897" s="8" t="s">
        <v>2622</v>
      </c>
      <c r="B1897" s="8" t="s">
        <v>2619</v>
      </c>
      <c r="C1897" s="121" t="str">
        <f t="shared" si="80"/>
        <v>http://www.montana.va.gov/contact/phone_directory.asp</v>
      </c>
    </row>
    <row r="1898" ht="14.25" hidden="1" customHeight="1">
      <c r="A1898" s="8" t="s">
        <v>2623</v>
      </c>
      <c r="B1898" s="8" t="s">
        <v>2619</v>
      </c>
      <c r="C1898" s="121" t="str">
        <f t="shared" si="80"/>
        <v>http://www.montana.va.gov/contact/phone_directory.asp</v>
      </c>
    </row>
    <row r="1899" ht="14.25" hidden="1" customHeight="1">
      <c r="A1899" s="8" t="s">
        <v>2624</v>
      </c>
      <c r="B1899" s="8" t="s">
        <v>2619</v>
      </c>
      <c r="C1899" s="121" t="str">
        <f t="shared" si="80"/>
        <v>http://www.montana.va.gov/contact/phone_directory.asp</v>
      </c>
    </row>
    <row r="1900" ht="14.25" hidden="1" customHeight="1">
      <c r="A1900" s="8" t="s">
        <v>2625</v>
      </c>
      <c r="B1900" s="8" t="s">
        <v>2619</v>
      </c>
      <c r="C1900" s="121" t="str">
        <f t="shared" si="80"/>
        <v>http://www.montana.va.gov/contact/phone_directory.asp</v>
      </c>
    </row>
    <row r="1901" ht="14.25" hidden="1" customHeight="1">
      <c r="A1901" s="8" t="s">
        <v>2626</v>
      </c>
      <c r="B1901" s="8" t="s">
        <v>2619</v>
      </c>
      <c r="C1901" s="121" t="str">
        <f t="shared" si="80"/>
        <v>http://www.montana.va.gov/contact/phone_directory.asp</v>
      </c>
    </row>
    <row r="1902" ht="14.25" hidden="1" customHeight="1">
      <c r="A1902" s="8" t="s">
        <v>1806</v>
      </c>
      <c r="B1902" s="8" t="s">
        <v>2619</v>
      </c>
      <c r="C1902" s="121" t="str">
        <f t="shared" si="80"/>
        <v>http://www.montana.va.gov/contact/phone_directory.asp</v>
      </c>
    </row>
    <row r="1903" ht="14.25" hidden="1" customHeight="1">
      <c r="A1903" s="8" t="s">
        <v>2627</v>
      </c>
      <c r="B1903" s="8" t="s">
        <v>2619</v>
      </c>
      <c r="C1903" s="121" t="str">
        <f t="shared" si="80"/>
        <v>http://www.montana.va.gov/contact/phone_directory.asp</v>
      </c>
    </row>
    <row r="1904" ht="14.25" hidden="1" customHeight="1">
      <c r="A1904" s="8" t="s">
        <v>2628</v>
      </c>
      <c r="B1904" s="8" t="s">
        <v>2619</v>
      </c>
      <c r="C1904" s="121" t="str">
        <f t="shared" si="80"/>
        <v>http://www.montana.va.gov/contact/phone_directory.asp</v>
      </c>
    </row>
    <row r="1905" ht="14.25" hidden="1" customHeight="1">
      <c r="A1905" s="8" t="s">
        <v>2629</v>
      </c>
      <c r="B1905" s="8" t="s">
        <v>2619</v>
      </c>
      <c r="C1905" s="121" t="str">
        <f t="shared" si="80"/>
        <v>http://www.montana.va.gov/contact/phone_directory.asp</v>
      </c>
    </row>
    <row r="1906" ht="14.25" hidden="1" customHeight="1">
      <c r="A1906" s="8" t="s">
        <v>647</v>
      </c>
      <c r="B1906" s="8" t="s">
        <v>2619</v>
      </c>
      <c r="C1906" s="121" t="str">
        <f t="shared" si="80"/>
        <v>http://www.montana.va.gov/contact/phone_directory.asp</v>
      </c>
    </row>
    <row r="1907" ht="14.25" hidden="1" customHeight="1">
      <c r="A1907" s="8" t="s">
        <v>652</v>
      </c>
      <c r="B1907" s="8" t="s">
        <v>2619</v>
      </c>
      <c r="C1907" s="121" t="str">
        <f t="shared" si="80"/>
        <v>http://www.montana.va.gov/contact/phone_directory.asp</v>
      </c>
    </row>
    <row r="1908" ht="14.25" hidden="1" customHeight="1">
      <c r="A1908" s="8" t="s">
        <v>1672</v>
      </c>
      <c r="B1908" s="8" t="s">
        <v>2619</v>
      </c>
      <c r="C1908" s="121" t="str">
        <f t="shared" si="80"/>
        <v>http://www.montana.va.gov/contact/phone_directory.asp</v>
      </c>
    </row>
    <row r="1909" ht="14.25" hidden="1" customHeight="1">
      <c r="A1909" s="8" t="s">
        <v>660</v>
      </c>
      <c r="B1909" s="8" t="s">
        <v>2619</v>
      </c>
      <c r="C1909" s="121" t="str">
        <f t="shared" si="80"/>
        <v>http://www.montana.va.gov/contact/phone_directory.asp</v>
      </c>
    </row>
    <row r="1910" ht="14.25" hidden="1" customHeight="1">
      <c r="A1910" s="8" t="s">
        <v>668</v>
      </c>
      <c r="B1910" s="8" t="s">
        <v>2619</v>
      </c>
      <c r="C1910" s="121" t="str">
        <f t="shared" si="80"/>
        <v>http://www.montana.va.gov/contact/phone_directory.asp</v>
      </c>
    </row>
    <row r="1911" ht="14.25" hidden="1" customHeight="1">
      <c r="A1911" s="8" t="s">
        <v>674</v>
      </c>
      <c r="B1911" s="8" t="s">
        <v>2619</v>
      </c>
      <c r="C1911" s="121" t="str">
        <f t="shared" si="80"/>
        <v>http://www.montana.va.gov/contact/phone_directory.asp</v>
      </c>
    </row>
    <row r="1912" ht="14.25" hidden="1" customHeight="1">
      <c r="A1912" s="8" t="s">
        <v>681</v>
      </c>
      <c r="B1912" s="8" t="s">
        <v>2619</v>
      </c>
      <c r="C1912" s="121" t="str">
        <f t="shared" si="80"/>
        <v>http://www.montana.va.gov/contact/phone_directory.asp</v>
      </c>
    </row>
    <row r="1913" ht="14.25" hidden="1" customHeight="1">
      <c r="A1913" s="8" t="s">
        <v>687</v>
      </c>
      <c r="B1913" s="8" t="s">
        <v>2619</v>
      </c>
      <c r="C1913" s="121" t="str">
        <f t="shared" si="80"/>
        <v>http://www.montana.va.gov/contact/phone_directory.asp</v>
      </c>
    </row>
    <row r="1914" ht="14.25" hidden="1" customHeight="1">
      <c r="A1914" s="8" t="s">
        <v>689</v>
      </c>
      <c r="B1914" s="8" t="s">
        <v>2619</v>
      </c>
      <c r="C1914" s="121" t="str">
        <f t="shared" si="80"/>
        <v>http://www.montana.va.gov/contact/phone_directory.asp</v>
      </c>
    </row>
    <row r="1915" ht="14.25" hidden="1" customHeight="1">
      <c r="A1915" s="8" t="s">
        <v>693</v>
      </c>
      <c r="B1915" s="8" t="s">
        <v>2619</v>
      </c>
      <c r="C1915" s="121" t="str">
        <f t="shared" si="80"/>
        <v>http://www.montana.va.gov/contact/phone_directory.asp</v>
      </c>
    </row>
    <row r="1916" ht="14.25" hidden="1" customHeight="1">
      <c r="A1916" s="8" t="s">
        <v>696</v>
      </c>
      <c r="B1916" s="8" t="s">
        <v>2619</v>
      </c>
      <c r="C1916" s="121" t="str">
        <f t="shared" si="80"/>
        <v>http://www.montana.va.gov/contact/phone_directory.asp</v>
      </c>
    </row>
    <row r="1917" ht="14.25" hidden="1" customHeight="1">
      <c r="A1917" s="8" t="s">
        <v>702</v>
      </c>
      <c r="B1917" s="8" t="s">
        <v>2619</v>
      </c>
      <c r="C1917" s="121" t="str">
        <f t="shared" si="80"/>
        <v>http://www.montana.va.gov/contact/phone_directory.asp</v>
      </c>
    </row>
    <row r="1918" ht="14.25" hidden="1" customHeight="1">
      <c r="A1918" s="8" t="s">
        <v>706</v>
      </c>
      <c r="B1918" s="8" t="s">
        <v>2619</v>
      </c>
      <c r="C1918" s="121" t="str">
        <f t="shared" si="80"/>
        <v>http://www.montana.va.gov/contact/phone_directory.asp</v>
      </c>
    </row>
    <row r="1919" ht="14.25" hidden="1" customHeight="1">
      <c r="A1919" s="8" t="s">
        <v>670</v>
      </c>
      <c r="B1919" s="8" t="s">
        <v>2619</v>
      </c>
      <c r="C1919" s="121" t="str">
        <f t="shared" si="80"/>
        <v>http://www.montana.va.gov/contact/phone_directory.asp</v>
      </c>
    </row>
    <row r="1920" ht="14.25" hidden="1" customHeight="1">
      <c r="A1920" s="8" t="s">
        <v>714</v>
      </c>
      <c r="B1920" s="8" t="s">
        <v>2619</v>
      </c>
      <c r="C1920" s="121" t="str">
        <f t="shared" si="80"/>
        <v>http://www.montana.va.gov/contact/phone_directory.asp</v>
      </c>
    </row>
    <row r="1921" ht="14.25" hidden="1" customHeight="1">
      <c r="A1921" s="8" t="s">
        <v>720</v>
      </c>
      <c r="B1921" s="8" t="s">
        <v>2619</v>
      </c>
      <c r="C1921" s="121" t="str">
        <f t="shared" si="80"/>
        <v>http://www.montana.va.gov/contact/phone_directory.asp</v>
      </c>
    </row>
    <row r="1922" ht="14.25" hidden="1" customHeight="1">
      <c r="A1922" s="8" t="s">
        <v>723</v>
      </c>
      <c r="B1922" s="8" t="s">
        <v>2619</v>
      </c>
      <c r="C1922" s="121" t="str">
        <f t="shared" si="80"/>
        <v>http://www.montana.va.gov/contact/phone_directory.asp</v>
      </c>
    </row>
    <row r="1923" ht="14.25" hidden="1" customHeight="1">
      <c r="A1923" s="8" t="s">
        <v>728</v>
      </c>
      <c r="B1923" s="8" t="s">
        <v>2619</v>
      </c>
      <c r="C1923" s="121" t="str">
        <f t="shared" si="80"/>
        <v>http://www.montana.va.gov/contact/phone_directory.asp</v>
      </c>
    </row>
    <row r="1924" ht="14.25" hidden="1" customHeight="1">
      <c r="A1924" s="8" t="s">
        <v>733</v>
      </c>
      <c r="B1924" s="8" t="s">
        <v>2619</v>
      </c>
      <c r="C1924" s="121" t="str">
        <f t="shared" si="80"/>
        <v>http://www.montana.va.gov/contact/phone_directory.asp</v>
      </c>
    </row>
    <row r="1925" ht="14.25" hidden="1" customHeight="1">
      <c r="A1925" s="8" t="s">
        <v>738</v>
      </c>
      <c r="B1925" s="8" t="s">
        <v>2619</v>
      </c>
      <c r="C1925" s="121" t="str">
        <f t="shared" si="80"/>
        <v>http://www.montana.va.gov/contact/phone_directory.asp</v>
      </c>
    </row>
    <row r="1926" ht="14.25" hidden="1" customHeight="1">
      <c r="A1926" s="8" t="s">
        <v>743</v>
      </c>
      <c r="B1926" s="8" t="s">
        <v>2619</v>
      </c>
      <c r="C1926" s="121" t="str">
        <f t="shared" si="80"/>
        <v>http://www.montana.va.gov/contact/phone_directory.asp</v>
      </c>
    </row>
    <row r="1927" ht="14.25" hidden="1" customHeight="1">
      <c r="A1927" s="8" t="s">
        <v>745</v>
      </c>
      <c r="B1927" s="8" t="s">
        <v>2619</v>
      </c>
      <c r="C1927" s="121" t="str">
        <f t="shared" si="80"/>
        <v>http://www.montana.va.gov/contact/phone_directory.asp</v>
      </c>
    </row>
    <row r="1928" ht="14.25" hidden="1" customHeight="1">
      <c r="A1928" s="8" t="s">
        <v>748</v>
      </c>
      <c r="B1928" s="8" t="s">
        <v>2619</v>
      </c>
      <c r="C1928" s="121" t="str">
        <f t="shared" si="80"/>
        <v>http://www.montana.va.gov/contact/phone_directory.asp</v>
      </c>
    </row>
    <row r="1929" ht="14.25" hidden="1" customHeight="1">
      <c r="A1929" s="8" t="s">
        <v>648</v>
      </c>
      <c r="B1929" s="8" t="s">
        <v>2619</v>
      </c>
      <c r="C1929" s="121" t="str">
        <f t="shared" si="80"/>
        <v>http://www.montana.va.gov/contact/phone_directory.asp</v>
      </c>
    </row>
    <row r="1930" ht="14.25" hidden="1" customHeight="1">
      <c r="A1930" s="8" t="s">
        <v>753</v>
      </c>
      <c r="B1930" s="8" t="s">
        <v>2619</v>
      </c>
      <c r="C1930" s="121" t="str">
        <f t="shared" si="80"/>
        <v>http://www.montana.va.gov/contact/phone_directory.asp</v>
      </c>
    </row>
    <row r="1931" ht="14.25" hidden="1" customHeight="1">
      <c r="A1931" s="8" t="s">
        <v>754</v>
      </c>
      <c r="B1931" s="8" t="s">
        <v>2619</v>
      </c>
      <c r="C1931" s="121" t="str">
        <f t="shared" si="80"/>
        <v>http://www.montana.va.gov/contact/phone_directory.asp</v>
      </c>
    </row>
    <row r="1932" ht="14.25" hidden="1" customHeight="1">
      <c r="A1932" s="8" t="s">
        <v>756</v>
      </c>
      <c r="B1932" s="8" t="s">
        <v>2619</v>
      </c>
      <c r="C1932" s="121" t="str">
        <f t="shared" si="80"/>
        <v>http://www.montana.va.gov/contact/phone_directory.asp</v>
      </c>
    </row>
    <row r="1933" ht="14.25" hidden="1" customHeight="1">
      <c r="A1933" s="8" t="s">
        <v>603</v>
      </c>
      <c r="B1933" s="8" t="s">
        <v>2619</v>
      </c>
      <c r="C1933" s="121" t="str">
        <f t="shared" si="80"/>
        <v>http://www.montana.va.gov/contact/phone_directory.asp</v>
      </c>
    </row>
    <row r="1934" ht="14.25" hidden="1" customHeight="1">
      <c r="A1934" s="8" t="s">
        <v>759</v>
      </c>
      <c r="B1934" s="8" t="s">
        <v>2619</v>
      </c>
      <c r="C1934" s="121" t="str">
        <f t="shared" si="80"/>
        <v>http://www.montana.va.gov/contact/phone_directory.asp</v>
      </c>
    </row>
    <row r="1935" ht="14.25" hidden="1" customHeight="1">
      <c r="A1935" s="8" t="s">
        <v>761</v>
      </c>
      <c r="B1935" s="8" t="s">
        <v>2619</v>
      </c>
      <c r="C1935" s="121" t="str">
        <f t="shared" si="80"/>
        <v>http://www.montana.va.gov/contact/phone_directory.asp</v>
      </c>
    </row>
    <row r="1936" ht="14.25" hidden="1" customHeight="1">
      <c r="A1936" s="8" t="s">
        <v>705</v>
      </c>
      <c r="B1936" s="8" t="s">
        <v>2619</v>
      </c>
      <c r="C1936" s="121" t="str">
        <f t="shared" si="80"/>
        <v>http://www.montana.va.gov/contact/phone_directory.asp</v>
      </c>
    </row>
    <row r="1937" ht="14.25" hidden="1" customHeight="1">
      <c r="A1937" s="8" t="s">
        <v>765</v>
      </c>
      <c r="B1937" s="8" t="s">
        <v>2619</v>
      </c>
      <c r="C1937" s="121" t="str">
        <f t="shared" si="80"/>
        <v>http://www.montana.va.gov/contact/phone_directory.asp</v>
      </c>
    </row>
    <row r="1938" ht="14.25" hidden="1" customHeight="1">
      <c r="A1938" s="8" t="s">
        <v>767</v>
      </c>
      <c r="B1938" s="8" t="s">
        <v>2619</v>
      </c>
      <c r="C1938" s="121" t="str">
        <f t="shared" si="80"/>
        <v>http://www.montana.va.gov/contact/phone_directory.asp</v>
      </c>
    </row>
    <row r="1939" ht="14.25" hidden="1" customHeight="1">
      <c r="A1939" s="8" t="s">
        <v>769</v>
      </c>
      <c r="B1939" s="8" t="s">
        <v>2619</v>
      </c>
      <c r="C1939" s="121" t="str">
        <f t="shared" si="80"/>
        <v>http://www.montana.va.gov/contact/phone_directory.asp</v>
      </c>
    </row>
    <row r="1940" ht="14.25" hidden="1" customHeight="1">
      <c r="A1940" s="8" t="s">
        <v>694</v>
      </c>
      <c r="B1940" s="8" t="s">
        <v>2619</v>
      </c>
      <c r="C1940" s="121" t="str">
        <f t="shared" si="80"/>
        <v>http://www.montana.va.gov/contact/phone_directory.asp</v>
      </c>
    </row>
    <row r="1941" ht="14.25" hidden="1" customHeight="1">
      <c r="A1941" s="8" t="s">
        <v>774</v>
      </c>
      <c r="B1941" s="8" t="s">
        <v>2619</v>
      </c>
      <c r="C1941" s="121" t="str">
        <f t="shared" si="80"/>
        <v>http://www.montana.va.gov/contact/phone_directory.asp</v>
      </c>
    </row>
    <row r="1942" ht="14.25" hidden="1" customHeight="1">
      <c r="A1942" s="8" t="s">
        <v>775</v>
      </c>
      <c r="B1942" s="8" t="s">
        <v>2619</v>
      </c>
      <c r="C1942" s="121" t="str">
        <f t="shared" si="80"/>
        <v>http://www.montana.va.gov/contact/phone_directory.asp</v>
      </c>
    </row>
    <row r="1943" ht="14.25" hidden="1" customHeight="1">
      <c r="A1943" s="8" t="s">
        <v>778</v>
      </c>
      <c r="B1943" s="8" t="s">
        <v>2619</v>
      </c>
      <c r="C1943" s="121" t="str">
        <f t="shared" si="80"/>
        <v>http://www.montana.va.gov/contact/phone_directory.asp</v>
      </c>
    </row>
    <row r="1944" ht="14.25" hidden="1" customHeight="1">
      <c r="A1944" s="8" t="s">
        <v>504</v>
      </c>
      <c r="B1944" s="8" t="s">
        <v>2619</v>
      </c>
      <c r="C1944" s="121" t="str">
        <f t="shared" si="80"/>
        <v>http://www.montana.va.gov/contact/phone_directory.asp</v>
      </c>
    </row>
    <row r="1945" ht="14.25" hidden="1" customHeight="1">
      <c r="A1945" s="8" t="s">
        <v>783</v>
      </c>
      <c r="B1945" s="8" t="s">
        <v>2619</v>
      </c>
      <c r="C1945" s="121" t="str">
        <f t="shared" si="80"/>
        <v>http://www.montana.va.gov/contact/phone_directory.asp</v>
      </c>
    </row>
    <row r="1946" ht="14.25" hidden="1" customHeight="1">
      <c r="A1946" s="8" t="s">
        <v>457</v>
      </c>
      <c r="B1946" s="8" t="s">
        <v>2619</v>
      </c>
      <c r="C1946" s="121" t="str">
        <f t="shared" si="80"/>
        <v>http://www.montana.va.gov/contact/phone_directory.asp</v>
      </c>
    </row>
    <row r="1947" ht="14.25" hidden="1" customHeight="1">
      <c r="A1947" s="8" t="s">
        <v>786</v>
      </c>
      <c r="B1947" s="8" t="s">
        <v>2619</v>
      </c>
      <c r="C1947" s="121" t="str">
        <f t="shared" si="80"/>
        <v>http://www.montana.va.gov/contact/phone_directory.asp</v>
      </c>
    </row>
    <row r="1948" ht="14.25" hidden="1" customHeight="1">
      <c r="A1948" s="8" t="s">
        <v>708</v>
      </c>
      <c r="B1948" s="8" t="s">
        <v>2619</v>
      </c>
      <c r="C1948" s="121" t="str">
        <f t="shared" si="80"/>
        <v>http://www.montana.va.gov/contact/phone_directory.asp</v>
      </c>
    </row>
    <row r="1949" ht="14.25" hidden="1" customHeight="1">
      <c r="A1949" s="8" t="s">
        <v>790</v>
      </c>
      <c r="B1949" s="8" t="s">
        <v>2619</v>
      </c>
      <c r="C1949" s="121" t="str">
        <f t="shared" si="80"/>
        <v>http://www.montana.va.gov/contact/phone_directory.asp</v>
      </c>
    </row>
    <row r="1950" ht="14.25" hidden="1" customHeight="1">
      <c r="A1950" s="8" t="s">
        <v>792</v>
      </c>
      <c r="B1950" s="8" t="s">
        <v>2619</v>
      </c>
      <c r="C1950" s="121" t="str">
        <f t="shared" si="80"/>
        <v>http://www.montana.va.gov/contact/phone_directory.asp</v>
      </c>
    </row>
    <row r="1951" ht="14.25" hidden="1" customHeight="1">
      <c r="A1951" s="8" t="s">
        <v>796</v>
      </c>
      <c r="B1951" s="8" t="s">
        <v>2619</v>
      </c>
      <c r="C1951" s="121" t="str">
        <f t="shared" si="80"/>
        <v>http://www.montana.va.gov/contact/phone_directory.asp</v>
      </c>
    </row>
    <row r="1952" ht="14.25" hidden="1" customHeight="1">
      <c r="A1952" s="8" t="s">
        <v>800</v>
      </c>
      <c r="B1952" s="8" t="s">
        <v>2619</v>
      </c>
      <c r="C1952" s="121" t="str">
        <f t="shared" si="80"/>
        <v>http://www.montana.va.gov/contact/phone_directory.asp</v>
      </c>
    </row>
    <row r="1953" ht="14.25" hidden="1" customHeight="1">
      <c r="A1953" s="8" t="s">
        <v>370</v>
      </c>
      <c r="B1953" s="8" t="s">
        <v>2619</v>
      </c>
      <c r="C1953" s="121" t="str">
        <f t="shared" si="80"/>
        <v>http://www.montana.va.gov/contact/phone_directory.asp</v>
      </c>
    </row>
    <row r="1954" ht="14.25" hidden="1" customHeight="1">
      <c r="A1954" s="8" t="s">
        <v>803</v>
      </c>
      <c r="B1954" s="8" t="s">
        <v>2619</v>
      </c>
      <c r="C1954" s="121" t="str">
        <f t="shared" si="80"/>
        <v>http://www.montana.va.gov/contact/phone_directory.asp</v>
      </c>
    </row>
    <row r="1955" ht="14.25" hidden="1" customHeight="1">
      <c r="A1955" s="8" t="s">
        <v>805</v>
      </c>
      <c r="B1955" s="8" t="s">
        <v>2619</v>
      </c>
      <c r="C1955" s="121" t="str">
        <f t="shared" si="80"/>
        <v>http://www.montana.va.gov/contact/phone_directory.asp</v>
      </c>
    </row>
    <row r="1956" ht="14.25" hidden="1" customHeight="1">
      <c r="A1956" s="8" t="s">
        <v>807</v>
      </c>
      <c r="B1956" s="8" t="s">
        <v>2619</v>
      </c>
      <c r="C1956" s="121" t="str">
        <f t="shared" si="80"/>
        <v>http://www.montana.va.gov/contact/phone_directory.asp</v>
      </c>
    </row>
    <row r="1957" ht="14.25" hidden="1" customHeight="1">
      <c r="A1957" s="8" t="s">
        <v>810</v>
      </c>
      <c r="B1957" s="8" t="s">
        <v>2619</v>
      </c>
      <c r="C1957" s="121" t="str">
        <f t="shared" si="80"/>
        <v>http://www.montana.va.gov/contact/phone_directory.asp</v>
      </c>
    </row>
    <row r="1958" ht="14.25" hidden="1" customHeight="1">
      <c r="A1958" s="8" t="s">
        <v>814</v>
      </c>
      <c r="B1958" s="8" t="s">
        <v>2619</v>
      </c>
      <c r="C1958" s="121" t="str">
        <f t="shared" si="80"/>
        <v>http://www.montana.va.gov/contact/phone_directory.asp</v>
      </c>
    </row>
    <row r="1959" ht="14.25" hidden="1" customHeight="1">
      <c r="A1959" s="8" t="s">
        <v>742</v>
      </c>
      <c r="B1959" s="8" t="s">
        <v>2619</v>
      </c>
      <c r="C1959" s="121" t="str">
        <f t="shared" si="80"/>
        <v>http://www.montana.va.gov/contact/phone_directory.asp</v>
      </c>
    </row>
    <row r="1960" ht="14.25" hidden="1" customHeight="1">
      <c r="A1960" s="8" t="s">
        <v>518</v>
      </c>
      <c r="B1960" s="8" t="s">
        <v>2619</v>
      </c>
      <c r="C1960" s="121" t="str">
        <f t="shared" si="80"/>
        <v>http://www.montana.va.gov/contact/phone_directory.asp</v>
      </c>
    </row>
    <row r="1961" ht="14.25" hidden="1" customHeight="1">
      <c r="A1961" s="8" t="s">
        <v>821</v>
      </c>
      <c r="B1961" s="8" t="s">
        <v>2619</v>
      </c>
      <c r="C1961" s="121" t="str">
        <f t="shared" si="80"/>
        <v>http://www.montana.va.gov/contact/phone_directory.asp</v>
      </c>
    </row>
    <row r="1962" ht="14.25" hidden="1" customHeight="1">
      <c r="A1962" s="8" t="s">
        <v>824</v>
      </c>
      <c r="B1962" s="8" t="s">
        <v>2619</v>
      </c>
      <c r="C1962" s="121" t="str">
        <f t="shared" si="80"/>
        <v>http://www.montana.va.gov/contact/phone_directory.asp</v>
      </c>
    </row>
    <row r="1963" ht="14.25" hidden="1" customHeight="1">
      <c r="A1963" s="8" t="s">
        <v>639</v>
      </c>
      <c r="B1963" s="8" t="s">
        <v>2635</v>
      </c>
      <c r="C1963" s="121" t="str">
        <f t="shared" ref="C1963:C1970" si="81">HYPERLINK("http://www.mountainhome.va.gov/contact/phone_directory.asp")</f>
        <v>http://www.mountainhome.va.gov/contact/phone_directory.asp</v>
      </c>
    </row>
    <row r="1964" ht="14.25" hidden="1" customHeight="1">
      <c r="A1964" s="8" t="s">
        <v>2636</v>
      </c>
      <c r="B1964" s="8" t="s">
        <v>2635</v>
      </c>
      <c r="C1964" s="121" t="str">
        <f t="shared" si="81"/>
        <v>http://www.mountainhome.va.gov/contact/phone_directory.asp</v>
      </c>
    </row>
    <row r="1965" ht="14.25" hidden="1" customHeight="1">
      <c r="A1965" s="8" t="s">
        <v>2599</v>
      </c>
      <c r="B1965" s="8" t="s">
        <v>2635</v>
      </c>
      <c r="C1965" s="121" t="str">
        <f t="shared" si="81"/>
        <v>http://www.mountainhome.va.gov/contact/phone_directory.asp</v>
      </c>
    </row>
    <row r="1966" ht="14.25" hidden="1" customHeight="1">
      <c r="A1966" s="8" t="s">
        <v>1841</v>
      </c>
      <c r="B1966" s="8" t="s">
        <v>2635</v>
      </c>
      <c r="C1966" s="121" t="str">
        <f t="shared" si="81"/>
        <v>http://www.mountainhome.va.gov/contact/phone_directory.asp</v>
      </c>
    </row>
    <row r="1967" ht="14.25" hidden="1" customHeight="1">
      <c r="A1967" s="8" t="s">
        <v>907</v>
      </c>
      <c r="B1967" s="8" t="s">
        <v>2635</v>
      </c>
      <c r="C1967" s="121" t="str">
        <f t="shared" si="81"/>
        <v>http://www.mountainhome.va.gov/contact/phone_directory.asp</v>
      </c>
    </row>
    <row r="1968" ht="14.25" hidden="1" customHeight="1">
      <c r="A1968" s="8" t="s">
        <v>684</v>
      </c>
      <c r="B1968" s="8" t="s">
        <v>2635</v>
      </c>
      <c r="C1968" s="121" t="str">
        <f t="shared" si="81"/>
        <v>http://www.mountainhome.va.gov/contact/phone_directory.asp</v>
      </c>
    </row>
    <row r="1969" ht="14.25" hidden="1" customHeight="1">
      <c r="A1969" s="8" t="s">
        <v>724</v>
      </c>
      <c r="B1969" s="8" t="s">
        <v>2635</v>
      </c>
      <c r="C1969" s="121" t="str">
        <f t="shared" si="81"/>
        <v>http://www.mountainhome.va.gov/contact/phone_directory.asp</v>
      </c>
    </row>
    <row r="1970" ht="14.25" hidden="1" customHeight="1">
      <c r="A1970" s="8" t="s">
        <v>741</v>
      </c>
      <c r="B1970" s="8" t="s">
        <v>2635</v>
      </c>
      <c r="C1970" s="121" t="str">
        <f t="shared" si="81"/>
        <v>http://www.mountainhome.va.gov/contact/phone_directory.asp</v>
      </c>
    </row>
    <row r="1971" ht="14.25" hidden="1" customHeight="1">
      <c r="A1971" s="8" t="s">
        <v>624</v>
      </c>
      <c r="B1971" s="8" t="s">
        <v>2637</v>
      </c>
      <c r="C1971" s="121" t="str">
        <f t="shared" ref="C1971:C1975" si="82">HYPERLINK("http://www.muskogee.va.gov/contact/phone_directory.asp")</f>
        <v>http://www.muskogee.va.gov/contact/phone_directory.asp</v>
      </c>
    </row>
    <row r="1972" ht="14.25" hidden="1" customHeight="1">
      <c r="A1972" s="8" t="s">
        <v>2638</v>
      </c>
      <c r="B1972" s="8" t="s">
        <v>2637</v>
      </c>
      <c r="C1972" s="121" t="str">
        <f t="shared" si="82"/>
        <v>http://www.muskogee.va.gov/contact/phone_directory.asp</v>
      </c>
    </row>
    <row r="1973" ht="14.25" hidden="1" customHeight="1">
      <c r="A1973" s="8" t="s">
        <v>907</v>
      </c>
      <c r="B1973" s="8" t="s">
        <v>2637</v>
      </c>
      <c r="C1973" s="121" t="str">
        <f t="shared" si="82"/>
        <v>http://www.muskogee.va.gov/contact/phone_directory.asp</v>
      </c>
    </row>
    <row r="1974" ht="14.25" hidden="1" customHeight="1">
      <c r="A1974" s="8" t="s">
        <v>684</v>
      </c>
      <c r="B1974" s="8" t="s">
        <v>2637</v>
      </c>
      <c r="C1974" s="121" t="str">
        <f t="shared" si="82"/>
        <v>http://www.muskogee.va.gov/contact/phone_directory.asp</v>
      </c>
    </row>
    <row r="1975" ht="14.25" hidden="1" customHeight="1">
      <c r="A1975" s="8" t="s">
        <v>1690</v>
      </c>
      <c r="B1975" s="8" t="s">
        <v>2637</v>
      </c>
      <c r="C1975" s="121" t="str">
        <f t="shared" si="82"/>
        <v>http://www.muskogee.va.gov/contact/phone_directory.asp</v>
      </c>
    </row>
    <row r="1976" ht="14.25" hidden="1" customHeight="1">
      <c r="A1976" s="8" t="s">
        <v>2639</v>
      </c>
      <c r="B1976" s="8" t="s">
        <v>2640</v>
      </c>
      <c r="C1976" s="121" t="str">
        <f t="shared" ref="C1976:C1985" si="83">HYPERLINK("http://www.nebraska.va.gov/contact/phone_directory.asp")</f>
        <v>http://www.nebraska.va.gov/contact/phone_directory.asp</v>
      </c>
    </row>
    <row r="1977" ht="14.25" hidden="1" customHeight="1">
      <c r="A1977" s="8" t="s">
        <v>639</v>
      </c>
      <c r="B1977" s="8" t="s">
        <v>2640</v>
      </c>
      <c r="C1977" s="121" t="str">
        <f t="shared" si="83"/>
        <v>http://www.nebraska.va.gov/contact/phone_directory.asp</v>
      </c>
    </row>
    <row r="1978" ht="14.25" hidden="1" customHeight="1">
      <c r="A1978" s="8" t="s">
        <v>2641</v>
      </c>
      <c r="B1978" s="8" t="s">
        <v>2640</v>
      </c>
      <c r="C1978" s="121" t="str">
        <f t="shared" si="83"/>
        <v>http://www.nebraska.va.gov/contact/phone_directory.asp</v>
      </c>
    </row>
    <row r="1979" ht="14.25" hidden="1" customHeight="1">
      <c r="A1979" s="8" t="s">
        <v>2642</v>
      </c>
      <c r="B1979" s="8" t="s">
        <v>2640</v>
      </c>
      <c r="C1979" s="121" t="str">
        <f t="shared" si="83"/>
        <v>http://www.nebraska.va.gov/contact/phone_directory.asp</v>
      </c>
    </row>
    <row r="1980" ht="14.25" hidden="1" customHeight="1">
      <c r="A1980" s="8" t="s">
        <v>2643</v>
      </c>
      <c r="B1980" s="8" t="s">
        <v>2640</v>
      </c>
      <c r="C1980" s="121" t="str">
        <f t="shared" si="83"/>
        <v>http://www.nebraska.va.gov/contact/phone_directory.asp</v>
      </c>
    </row>
    <row r="1981" ht="14.25" hidden="1" customHeight="1">
      <c r="A1981" s="8" t="s">
        <v>2644</v>
      </c>
      <c r="B1981" s="8" t="s">
        <v>2640</v>
      </c>
      <c r="C1981" s="121" t="str">
        <f t="shared" si="83"/>
        <v>http://www.nebraska.va.gov/contact/phone_directory.asp</v>
      </c>
    </row>
    <row r="1982" ht="14.25" hidden="1" customHeight="1">
      <c r="A1982" s="8" t="s">
        <v>708</v>
      </c>
      <c r="B1982" s="8" t="s">
        <v>2640</v>
      </c>
      <c r="C1982" s="121" t="str">
        <f t="shared" si="83"/>
        <v>http://www.nebraska.va.gov/contact/phone_directory.asp</v>
      </c>
    </row>
    <row r="1983" ht="14.25" hidden="1" customHeight="1">
      <c r="A1983" s="8" t="s">
        <v>2645</v>
      </c>
      <c r="B1983" s="8" t="s">
        <v>2640</v>
      </c>
      <c r="C1983" s="121" t="str">
        <f t="shared" si="83"/>
        <v>http://www.nebraska.va.gov/contact/phone_directory.asp</v>
      </c>
    </row>
    <row r="1984" ht="14.25" hidden="1" customHeight="1">
      <c r="A1984" s="8" t="s">
        <v>2646</v>
      </c>
      <c r="B1984" s="8" t="s">
        <v>2640</v>
      </c>
      <c r="C1984" s="121" t="str">
        <f t="shared" si="83"/>
        <v>http://www.nebraska.va.gov/contact/phone_directory.asp</v>
      </c>
    </row>
    <row r="1985" ht="14.25" hidden="1" customHeight="1">
      <c r="A1985" s="8" t="s">
        <v>2647</v>
      </c>
      <c r="B1985" s="8" t="s">
        <v>2640</v>
      </c>
      <c r="C1985" s="121" t="str">
        <f t="shared" si="83"/>
        <v>http://www.nebraska.va.gov/contact/phone_directory.asp</v>
      </c>
    </row>
    <row r="1986" ht="14.25" hidden="1" customHeight="1">
      <c r="A1986" s="8" t="s">
        <v>2648</v>
      </c>
      <c r="B1986" s="8" t="s">
        <v>2649</v>
      </c>
      <c r="C1986" s="121" t="str">
        <f t="shared" ref="C1986:C2000" si="84">HYPERLINK("http://www.newjersey.va.gov/contact/phone_directory.asp")</f>
        <v>http://www.newjersey.va.gov/contact/phone_directory.asp</v>
      </c>
    </row>
    <row r="1987" ht="14.25" hidden="1" customHeight="1">
      <c r="A1987" s="8" t="s">
        <v>2650</v>
      </c>
      <c r="B1987" s="8" t="s">
        <v>2649</v>
      </c>
      <c r="C1987" s="121" t="str">
        <f t="shared" si="84"/>
        <v>http://www.newjersey.va.gov/contact/phone_directory.asp</v>
      </c>
    </row>
    <row r="1988" ht="14.25" hidden="1" customHeight="1">
      <c r="A1988" s="8" t="s">
        <v>631</v>
      </c>
      <c r="B1988" s="8" t="s">
        <v>2649</v>
      </c>
      <c r="C1988" s="121" t="str">
        <f t="shared" si="84"/>
        <v>http://www.newjersey.va.gov/contact/phone_directory.asp</v>
      </c>
    </row>
    <row r="1989" ht="14.25" hidden="1" customHeight="1">
      <c r="A1989" s="8" t="s">
        <v>478</v>
      </c>
      <c r="B1989" s="8" t="s">
        <v>2649</v>
      </c>
      <c r="C1989" s="121" t="str">
        <f t="shared" si="84"/>
        <v>http://www.newjersey.va.gov/contact/phone_directory.asp</v>
      </c>
    </row>
    <row r="1990" ht="14.25" hidden="1" customHeight="1">
      <c r="A1990" s="8" t="s">
        <v>455</v>
      </c>
      <c r="B1990" s="8" t="s">
        <v>2649</v>
      </c>
      <c r="C1990" s="121" t="str">
        <f t="shared" si="84"/>
        <v>http://www.newjersey.va.gov/contact/phone_directory.asp</v>
      </c>
    </row>
    <row r="1991" ht="14.25" hidden="1" customHeight="1">
      <c r="A1991" s="8" t="s">
        <v>663</v>
      </c>
      <c r="B1991" s="8" t="s">
        <v>2649</v>
      </c>
      <c r="C1991" s="121" t="str">
        <f t="shared" si="84"/>
        <v>http://www.newjersey.va.gov/contact/phone_directory.asp</v>
      </c>
    </row>
    <row r="1992" ht="14.25" hidden="1" customHeight="1">
      <c r="A1992" s="8" t="s">
        <v>467</v>
      </c>
      <c r="B1992" s="8" t="s">
        <v>2649</v>
      </c>
      <c r="C1992" s="121" t="str">
        <f t="shared" si="84"/>
        <v>http://www.newjersey.va.gov/contact/phone_directory.asp</v>
      </c>
    </row>
    <row r="1993" ht="14.25" hidden="1" customHeight="1">
      <c r="A1993" s="8" t="s">
        <v>691</v>
      </c>
      <c r="B1993" s="8" t="s">
        <v>2649</v>
      </c>
      <c r="C1993" s="121" t="str">
        <f t="shared" si="84"/>
        <v>http://www.newjersey.va.gov/contact/phone_directory.asp</v>
      </c>
    </row>
    <row r="1994" ht="14.25" hidden="1" customHeight="1">
      <c r="A1994" s="8" t="s">
        <v>907</v>
      </c>
      <c r="B1994" s="8" t="s">
        <v>2649</v>
      </c>
      <c r="C1994" s="121" t="str">
        <f t="shared" si="84"/>
        <v>http://www.newjersey.va.gov/contact/phone_directory.asp</v>
      </c>
    </row>
    <row r="1995" ht="14.25" hidden="1" customHeight="1">
      <c r="A1995" s="8" t="s">
        <v>697</v>
      </c>
      <c r="B1995" s="8" t="s">
        <v>2649</v>
      </c>
      <c r="C1995" s="121" t="str">
        <f t="shared" si="84"/>
        <v>http://www.newjersey.va.gov/contact/phone_directory.asp</v>
      </c>
    </row>
    <row r="1996" ht="14.25" hidden="1" customHeight="1">
      <c r="A1996" s="8" t="s">
        <v>708</v>
      </c>
      <c r="B1996" s="8" t="s">
        <v>2649</v>
      </c>
      <c r="C1996" s="121" t="str">
        <f t="shared" si="84"/>
        <v>http://www.newjersey.va.gov/contact/phone_directory.asp</v>
      </c>
    </row>
    <row r="1997" ht="14.25" hidden="1" customHeight="1">
      <c r="A1997" s="8" t="s">
        <v>712</v>
      </c>
      <c r="B1997" s="8" t="s">
        <v>2649</v>
      </c>
      <c r="C1997" s="121" t="str">
        <f t="shared" si="84"/>
        <v>http://www.newjersey.va.gov/contact/phone_directory.asp</v>
      </c>
    </row>
    <row r="1998" ht="14.25" hidden="1" customHeight="1">
      <c r="A1998" s="8" t="s">
        <v>724</v>
      </c>
      <c r="B1998" s="8" t="s">
        <v>2649</v>
      </c>
      <c r="C1998" s="121" t="str">
        <f t="shared" si="84"/>
        <v>http://www.newjersey.va.gov/contact/phone_directory.asp</v>
      </c>
    </row>
    <row r="1999" ht="14.25" hidden="1" customHeight="1">
      <c r="A1999" s="8" t="s">
        <v>1690</v>
      </c>
      <c r="B1999" s="8" t="s">
        <v>2649</v>
      </c>
      <c r="C1999" s="121" t="str">
        <f t="shared" si="84"/>
        <v>http://www.newjersey.va.gov/contact/phone_directory.asp</v>
      </c>
    </row>
    <row r="2000" ht="14.25" hidden="1" customHeight="1">
      <c r="A2000" s="8" t="s">
        <v>2653</v>
      </c>
      <c r="B2000" s="8" t="s">
        <v>2649</v>
      </c>
      <c r="C2000" s="121" t="str">
        <f t="shared" si="84"/>
        <v>http://www.newjersey.va.gov/contact/phone_directory.asp</v>
      </c>
    </row>
    <row r="2001" ht="14.25" hidden="1" customHeight="1">
      <c r="A2001" s="8" t="s">
        <v>2198</v>
      </c>
      <c r="B2001" s="8" t="s">
        <v>2654</v>
      </c>
      <c r="C2001" s="121" t="str">
        <f t="shared" ref="C2001:C2005" si="85">HYPERLINK("http://www.neworleans.va.gov/contact/phone_directory.asp")</f>
        <v>http://www.neworleans.va.gov/contact/phone_directory.asp</v>
      </c>
    </row>
    <row r="2002" ht="14.25" hidden="1" customHeight="1">
      <c r="A2002" s="8" t="s">
        <v>2655</v>
      </c>
      <c r="B2002" s="8" t="s">
        <v>2654</v>
      </c>
      <c r="C2002" s="121" t="str">
        <f t="shared" si="85"/>
        <v>http://www.neworleans.va.gov/contact/phone_directory.asp</v>
      </c>
    </row>
    <row r="2003" ht="14.25" hidden="1" customHeight="1">
      <c r="A2003" s="8" t="s">
        <v>2656</v>
      </c>
      <c r="B2003" s="8" t="s">
        <v>2654</v>
      </c>
      <c r="C2003" s="121" t="str">
        <f t="shared" si="85"/>
        <v>http://www.neworleans.va.gov/contact/phone_directory.asp</v>
      </c>
    </row>
    <row r="2004" ht="14.25" hidden="1" customHeight="1">
      <c r="A2004" s="8" t="s">
        <v>935</v>
      </c>
      <c r="B2004" s="8" t="s">
        <v>2654</v>
      </c>
      <c r="C2004" s="121" t="str">
        <f t="shared" si="85"/>
        <v>http://www.neworleans.va.gov/contact/phone_directory.asp</v>
      </c>
    </row>
    <row r="2005" ht="14.25" hidden="1" customHeight="1">
      <c r="A2005" s="8" t="s">
        <v>2657</v>
      </c>
      <c r="B2005" s="8" t="s">
        <v>2654</v>
      </c>
      <c r="C2005" s="121" t="str">
        <f t="shared" si="85"/>
        <v>http://www.neworleans.va.gov/contact/phone_directory.asp</v>
      </c>
    </row>
    <row r="2006" ht="14.25" hidden="1" customHeight="1">
      <c r="A2006" s="8" t="s">
        <v>475</v>
      </c>
      <c r="B2006" s="8" t="s">
        <v>2658</v>
      </c>
      <c r="C2006" s="121" t="str">
        <f t="shared" ref="C2006:C2142" si="86">HYPERLINK("http://www.northerncalifornia.va.gov/contact/phone_directory.asp")</f>
        <v>http://www.northerncalifornia.va.gov/contact/phone_directory.asp</v>
      </c>
    </row>
    <row r="2007" ht="14.25" hidden="1" customHeight="1">
      <c r="A2007" s="8" t="s">
        <v>475</v>
      </c>
      <c r="B2007" s="8" t="s">
        <v>2658</v>
      </c>
      <c r="C2007" s="121" t="str">
        <f t="shared" si="86"/>
        <v>http://www.northerncalifornia.va.gov/contact/phone_directory.asp</v>
      </c>
    </row>
    <row r="2008" ht="14.25" hidden="1" customHeight="1">
      <c r="A2008" s="8" t="s">
        <v>624</v>
      </c>
      <c r="B2008" s="8" t="s">
        <v>2658</v>
      </c>
      <c r="C2008" s="121" t="str">
        <f t="shared" si="86"/>
        <v>http://www.northerncalifornia.va.gov/contact/phone_directory.asp</v>
      </c>
    </row>
    <row r="2009" ht="14.25" hidden="1" customHeight="1">
      <c r="A2009" s="8" t="s">
        <v>636</v>
      </c>
      <c r="B2009" s="8" t="s">
        <v>2658</v>
      </c>
      <c r="C2009" s="121" t="str">
        <f t="shared" si="86"/>
        <v>http://www.northerncalifornia.va.gov/contact/phone_directory.asp</v>
      </c>
    </row>
    <row r="2010" ht="14.25" hidden="1" customHeight="1">
      <c r="A2010" s="8" t="s">
        <v>636</v>
      </c>
      <c r="B2010" s="8" t="s">
        <v>2658</v>
      </c>
      <c r="C2010" s="121" t="str">
        <f t="shared" si="86"/>
        <v>http://www.northerncalifornia.va.gov/contact/phone_directory.asp</v>
      </c>
    </row>
    <row r="2011" ht="14.25" hidden="1" customHeight="1">
      <c r="A2011" s="8" t="s">
        <v>636</v>
      </c>
      <c r="B2011" s="8" t="s">
        <v>2658</v>
      </c>
      <c r="C2011" s="121" t="str">
        <f t="shared" si="86"/>
        <v>http://www.northerncalifornia.va.gov/contact/phone_directory.asp</v>
      </c>
    </row>
    <row r="2012" ht="14.25" hidden="1" customHeight="1">
      <c r="A2012" s="8" t="s">
        <v>636</v>
      </c>
      <c r="B2012" s="8" t="s">
        <v>2658</v>
      </c>
      <c r="C2012" s="121" t="str">
        <f t="shared" si="86"/>
        <v>http://www.northerncalifornia.va.gov/contact/phone_directory.asp</v>
      </c>
    </row>
    <row r="2013" ht="14.25" hidden="1" customHeight="1">
      <c r="A2013" s="8" t="s">
        <v>636</v>
      </c>
      <c r="B2013" s="8" t="s">
        <v>2658</v>
      </c>
      <c r="C2013" s="121" t="str">
        <f t="shared" si="86"/>
        <v>http://www.northerncalifornia.va.gov/contact/phone_directory.asp</v>
      </c>
    </row>
    <row r="2014" ht="14.25" hidden="1" customHeight="1">
      <c r="A2014" s="8" t="s">
        <v>636</v>
      </c>
      <c r="B2014" s="8" t="s">
        <v>2658</v>
      </c>
      <c r="C2014" s="121" t="str">
        <f t="shared" si="86"/>
        <v>http://www.northerncalifornia.va.gov/contact/phone_directory.asp</v>
      </c>
    </row>
    <row r="2015" ht="14.25" hidden="1" customHeight="1">
      <c r="A2015" s="8" t="s">
        <v>636</v>
      </c>
      <c r="B2015" s="8" t="s">
        <v>2658</v>
      </c>
      <c r="C2015" s="121" t="str">
        <f t="shared" si="86"/>
        <v>http://www.northerncalifornia.va.gov/contact/phone_directory.asp</v>
      </c>
    </row>
    <row r="2016" ht="14.25" hidden="1" customHeight="1">
      <c r="A2016" s="8" t="s">
        <v>636</v>
      </c>
      <c r="B2016" s="8" t="s">
        <v>2658</v>
      </c>
      <c r="C2016" s="121" t="str">
        <f t="shared" si="86"/>
        <v>http://www.northerncalifornia.va.gov/contact/phone_directory.asp</v>
      </c>
    </row>
    <row r="2017" ht="14.25" hidden="1" customHeight="1">
      <c r="A2017" s="8" t="s">
        <v>636</v>
      </c>
      <c r="B2017" s="8" t="s">
        <v>2658</v>
      </c>
      <c r="C2017" s="121" t="str">
        <f t="shared" si="86"/>
        <v>http://www.northerncalifornia.va.gov/contact/phone_directory.asp</v>
      </c>
    </row>
    <row r="2018" ht="14.25" hidden="1" customHeight="1">
      <c r="A2018" s="8" t="s">
        <v>2665</v>
      </c>
      <c r="B2018" s="8" t="s">
        <v>2658</v>
      </c>
      <c r="C2018" s="121" t="str">
        <f t="shared" si="86"/>
        <v>http://www.northerncalifornia.va.gov/contact/phone_directory.asp</v>
      </c>
    </row>
    <row r="2019" ht="14.25" hidden="1" customHeight="1">
      <c r="A2019" s="8" t="s">
        <v>638</v>
      </c>
      <c r="B2019" s="8" t="s">
        <v>2658</v>
      </c>
      <c r="C2019" s="121" t="str">
        <f t="shared" si="86"/>
        <v>http://www.northerncalifornia.va.gov/contact/phone_directory.asp</v>
      </c>
    </row>
    <row r="2020" ht="14.25" hidden="1" customHeight="1">
      <c r="A2020" s="8" t="s">
        <v>477</v>
      </c>
      <c r="B2020" s="8" t="s">
        <v>2658</v>
      </c>
      <c r="C2020" s="121" t="str">
        <f t="shared" si="86"/>
        <v>http://www.northerncalifornia.va.gov/contact/phone_directory.asp</v>
      </c>
    </row>
    <row r="2021" ht="14.25" hidden="1" customHeight="1">
      <c r="A2021" s="8" t="s">
        <v>477</v>
      </c>
      <c r="B2021" s="8" t="s">
        <v>2658</v>
      </c>
      <c r="C2021" s="121" t="str">
        <f t="shared" si="86"/>
        <v>http://www.northerncalifornia.va.gov/contact/phone_directory.asp</v>
      </c>
    </row>
    <row r="2022" ht="14.25" hidden="1" customHeight="1">
      <c r="A2022" s="8" t="s">
        <v>477</v>
      </c>
      <c r="B2022" s="8" t="s">
        <v>2658</v>
      </c>
      <c r="C2022" s="121" t="str">
        <f t="shared" si="86"/>
        <v>http://www.northerncalifornia.va.gov/contact/phone_directory.asp</v>
      </c>
    </row>
    <row r="2023" ht="14.25" hidden="1" customHeight="1">
      <c r="A2023" s="8" t="s">
        <v>477</v>
      </c>
      <c r="B2023" s="8" t="s">
        <v>2658</v>
      </c>
      <c r="C2023" s="121" t="str">
        <f t="shared" si="86"/>
        <v>http://www.northerncalifornia.va.gov/contact/phone_directory.asp</v>
      </c>
    </row>
    <row r="2024" ht="14.25" hidden="1" customHeight="1">
      <c r="A2024" s="8" t="s">
        <v>2667</v>
      </c>
      <c r="B2024" s="8" t="s">
        <v>2658</v>
      </c>
      <c r="C2024" s="121" t="str">
        <f t="shared" si="86"/>
        <v>http://www.northerncalifornia.va.gov/contact/phone_directory.asp</v>
      </c>
    </row>
    <row r="2025" ht="14.25" hidden="1" customHeight="1">
      <c r="A2025" s="8" t="s">
        <v>2667</v>
      </c>
      <c r="B2025" s="8" t="s">
        <v>2658</v>
      </c>
      <c r="C2025" s="121" t="str">
        <f t="shared" si="86"/>
        <v>http://www.northerncalifornia.va.gov/contact/phone_directory.asp</v>
      </c>
    </row>
    <row r="2026" ht="14.25" hidden="1" customHeight="1">
      <c r="A2026" s="8" t="s">
        <v>2667</v>
      </c>
      <c r="B2026" s="8" t="s">
        <v>2658</v>
      </c>
      <c r="C2026" s="121" t="str">
        <f t="shared" si="86"/>
        <v>http://www.northerncalifornia.va.gov/contact/phone_directory.asp</v>
      </c>
    </row>
    <row r="2027" ht="14.25" hidden="1" customHeight="1">
      <c r="A2027" s="8" t="s">
        <v>2667</v>
      </c>
      <c r="B2027" s="8" t="s">
        <v>2658</v>
      </c>
      <c r="C2027" s="121" t="str">
        <f t="shared" si="86"/>
        <v>http://www.northerncalifornia.va.gov/contact/phone_directory.asp</v>
      </c>
    </row>
    <row r="2028" ht="14.25" hidden="1" customHeight="1">
      <c r="A2028" s="8" t="s">
        <v>2667</v>
      </c>
      <c r="B2028" s="8" t="s">
        <v>2658</v>
      </c>
      <c r="C2028" s="121" t="str">
        <f t="shared" si="86"/>
        <v>http://www.northerncalifornia.va.gov/contact/phone_directory.asp</v>
      </c>
    </row>
    <row r="2029" ht="14.25" hidden="1" customHeight="1">
      <c r="A2029" s="8" t="s">
        <v>2667</v>
      </c>
      <c r="B2029" s="8" t="s">
        <v>2658</v>
      </c>
      <c r="C2029" s="121" t="str">
        <f t="shared" si="86"/>
        <v>http://www.northerncalifornia.va.gov/contact/phone_directory.asp</v>
      </c>
    </row>
    <row r="2030" ht="14.25" hidden="1" customHeight="1">
      <c r="A2030" s="8" t="s">
        <v>2667</v>
      </c>
      <c r="B2030" s="8" t="s">
        <v>2658</v>
      </c>
      <c r="C2030" s="121" t="str">
        <f t="shared" si="86"/>
        <v>http://www.northerncalifornia.va.gov/contact/phone_directory.asp</v>
      </c>
    </row>
    <row r="2031" ht="14.25" hidden="1" customHeight="1">
      <c r="A2031" s="8" t="s">
        <v>2667</v>
      </c>
      <c r="B2031" s="8" t="s">
        <v>2658</v>
      </c>
      <c r="C2031" s="121" t="str">
        <f t="shared" si="86"/>
        <v>http://www.northerncalifornia.va.gov/contact/phone_directory.asp</v>
      </c>
    </row>
    <row r="2032" ht="14.25" hidden="1" customHeight="1">
      <c r="A2032" s="8" t="s">
        <v>2667</v>
      </c>
      <c r="B2032" s="8" t="s">
        <v>2658</v>
      </c>
      <c r="C2032" s="121" t="str">
        <f t="shared" si="86"/>
        <v>http://www.northerncalifornia.va.gov/contact/phone_directory.asp</v>
      </c>
    </row>
    <row r="2033" ht="14.25" hidden="1" customHeight="1">
      <c r="A2033" s="8" t="s">
        <v>2667</v>
      </c>
      <c r="B2033" s="8" t="s">
        <v>2658</v>
      </c>
      <c r="C2033" s="121" t="str">
        <f t="shared" si="86"/>
        <v>http://www.northerncalifornia.va.gov/contact/phone_directory.asp</v>
      </c>
    </row>
    <row r="2034" ht="14.25" hidden="1" customHeight="1">
      <c r="A2034" s="8" t="s">
        <v>2673</v>
      </c>
      <c r="B2034" s="8" t="s">
        <v>2658</v>
      </c>
      <c r="C2034" s="121" t="str">
        <f t="shared" si="86"/>
        <v>http://www.northerncalifornia.va.gov/contact/phone_directory.asp</v>
      </c>
    </row>
    <row r="2035" ht="14.25" hidden="1" customHeight="1">
      <c r="A2035" s="8" t="s">
        <v>1827</v>
      </c>
      <c r="B2035" s="8" t="s">
        <v>2658</v>
      </c>
      <c r="C2035" s="121" t="str">
        <f t="shared" si="86"/>
        <v>http://www.northerncalifornia.va.gov/contact/phone_directory.asp</v>
      </c>
    </row>
    <row r="2036" ht="14.25" hidden="1" customHeight="1">
      <c r="A2036" s="8" t="s">
        <v>872</v>
      </c>
      <c r="B2036" s="8" t="s">
        <v>2658</v>
      </c>
      <c r="C2036" s="121" t="str">
        <f t="shared" si="86"/>
        <v>http://www.northerncalifornia.va.gov/contact/phone_directory.asp</v>
      </c>
    </row>
    <row r="2037" ht="14.25" hidden="1" customHeight="1">
      <c r="A2037" s="8" t="s">
        <v>483</v>
      </c>
      <c r="B2037" s="8" t="s">
        <v>2658</v>
      </c>
      <c r="C2037" s="121" t="str">
        <f t="shared" si="86"/>
        <v>http://www.northerncalifornia.va.gov/contact/phone_directory.asp</v>
      </c>
    </row>
    <row r="2038" ht="14.25" hidden="1" customHeight="1">
      <c r="A2038" s="8" t="s">
        <v>305</v>
      </c>
      <c r="B2038" s="8" t="s">
        <v>2658</v>
      </c>
      <c r="C2038" s="121" t="str">
        <f t="shared" si="86"/>
        <v>http://www.northerncalifornia.va.gov/contact/phone_directory.asp</v>
      </c>
    </row>
    <row r="2039" ht="14.25" hidden="1" customHeight="1">
      <c r="A2039" s="8" t="s">
        <v>305</v>
      </c>
      <c r="B2039" s="8" t="s">
        <v>2658</v>
      </c>
      <c r="C2039" s="121" t="str">
        <f t="shared" si="86"/>
        <v>http://www.northerncalifornia.va.gov/contact/phone_directory.asp</v>
      </c>
    </row>
    <row r="2040" ht="14.25" hidden="1" customHeight="1">
      <c r="A2040" s="8" t="s">
        <v>305</v>
      </c>
      <c r="B2040" s="8" t="s">
        <v>2658</v>
      </c>
      <c r="C2040" s="121" t="str">
        <f t="shared" si="86"/>
        <v>http://www.northerncalifornia.va.gov/contact/phone_directory.asp</v>
      </c>
    </row>
    <row r="2041" ht="14.25" hidden="1" customHeight="1">
      <c r="A2041" s="8" t="s">
        <v>305</v>
      </c>
      <c r="B2041" s="8" t="s">
        <v>2658</v>
      </c>
      <c r="C2041" s="121" t="str">
        <f t="shared" si="86"/>
        <v>http://www.northerncalifornia.va.gov/contact/phone_directory.asp</v>
      </c>
    </row>
    <row r="2042" ht="14.25" hidden="1" customHeight="1">
      <c r="A2042" s="8" t="s">
        <v>305</v>
      </c>
      <c r="B2042" s="8" t="s">
        <v>2658</v>
      </c>
      <c r="C2042" s="121" t="str">
        <f t="shared" si="86"/>
        <v>http://www.northerncalifornia.va.gov/contact/phone_directory.asp</v>
      </c>
    </row>
    <row r="2043" ht="14.25" hidden="1" customHeight="1">
      <c r="A2043" s="8" t="s">
        <v>663</v>
      </c>
      <c r="B2043" s="8" t="s">
        <v>2658</v>
      </c>
      <c r="C2043" s="121" t="str">
        <f t="shared" si="86"/>
        <v>http://www.northerncalifornia.va.gov/contact/phone_directory.asp</v>
      </c>
    </row>
    <row r="2044" ht="14.25" hidden="1" customHeight="1">
      <c r="A2044" s="8" t="s">
        <v>2675</v>
      </c>
      <c r="B2044" s="8" t="s">
        <v>2658</v>
      </c>
      <c r="C2044" s="121" t="str">
        <f t="shared" si="86"/>
        <v>http://www.northerncalifornia.va.gov/contact/phone_directory.asp</v>
      </c>
    </row>
    <row r="2045" ht="14.25" hidden="1" customHeight="1">
      <c r="A2045" s="8" t="s">
        <v>2675</v>
      </c>
      <c r="B2045" s="8" t="s">
        <v>2658</v>
      </c>
      <c r="C2045" s="121" t="str">
        <f t="shared" si="86"/>
        <v>http://www.northerncalifornia.va.gov/contact/phone_directory.asp</v>
      </c>
    </row>
    <row r="2046" ht="14.25" hidden="1" customHeight="1">
      <c r="A2046" s="8" t="s">
        <v>2675</v>
      </c>
      <c r="B2046" s="8" t="s">
        <v>2658</v>
      </c>
      <c r="C2046" s="121" t="str">
        <f t="shared" si="86"/>
        <v>http://www.northerncalifornia.va.gov/contact/phone_directory.asp</v>
      </c>
    </row>
    <row r="2047" ht="14.25" hidden="1" customHeight="1">
      <c r="A2047" s="8" t="s">
        <v>2675</v>
      </c>
      <c r="B2047" s="8" t="s">
        <v>2658</v>
      </c>
      <c r="C2047" s="121" t="str">
        <f t="shared" si="86"/>
        <v>http://www.northerncalifornia.va.gov/contact/phone_directory.asp</v>
      </c>
    </row>
    <row r="2048" ht="14.25" hidden="1" customHeight="1">
      <c r="A2048" s="8" t="s">
        <v>2675</v>
      </c>
      <c r="B2048" s="8" t="s">
        <v>2658</v>
      </c>
      <c r="C2048" s="121" t="str">
        <f t="shared" si="86"/>
        <v>http://www.northerncalifornia.va.gov/contact/phone_directory.asp</v>
      </c>
    </row>
    <row r="2049" ht="14.25" hidden="1" customHeight="1">
      <c r="A2049" s="8" t="s">
        <v>2675</v>
      </c>
      <c r="B2049" s="8" t="s">
        <v>2658</v>
      </c>
      <c r="C2049" s="121" t="str">
        <f t="shared" si="86"/>
        <v>http://www.northerncalifornia.va.gov/contact/phone_directory.asp</v>
      </c>
    </row>
    <row r="2050" ht="14.25" hidden="1" customHeight="1">
      <c r="A2050" s="8" t="s">
        <v>2675</v>
      </c>
      <c r="B2050" s="8" t="s">
        <v>2658</v>
      </c>
      <c r="C2050" s="121" t="str">
        <f t="shared" si="86"/>
        <v>http://www.northerncalifornia.va.gov/contact/phone_directory.asp</v>
      </c>
    </row>
    <row r="2051" ht="14.25" hidden="1" customHeight="1">
      <c r="A2051" s="8" t="s">
        <v>2675</v>
      </c>
      <c r="B2051" s="8" t="s">
        <v>2658</v>
      </c>
      <c r="C2051" s="121" t="str">
        <f t="shared" si="86"/>
        <v>http://www.northerncalifornia.va.gov/contact/phone_directory.asp</v>
      </c>
    </row>
    <row r="2052" ht="14.25" hidden="1" customHeight="1">
      <c r="A2052" s="8" t="s">
        <v>2675</v>
      </c>
      <c r="B2052" s="8" t="s">
        <v>2658</v>
      </c>
      <c r="C2052" s="121" t="str">
        <f t="shared" si="86"/>
        <v>http://www.northerncalifornia.va.gov/contact/phone_directory.asp</v>
      </c>
    </row>
    <row r="2053" ht="14.25" hidden="1" customHeight="1">
      <c r="A2053" s="8" t="s">
        <v>2675</v>
      </c>
      <c r="B2053" s="8" t="s">
        <v>2658</v>
      </c>
      <c r="C2053" s="121" t="str">
        <f t="shared" si="86"/>
        <v>http://www.northerncalifornia.va.gov/contact/phone_directory.asp</v>
      </c>
    </row>
    <row r="2054" ht="14.25" hidden="1" customHeight="1">
      <c r="A2054" s="8" t="s">
        <v>696</v>
      </c>
      <c r="B2054" s="8" t="s">
        <v>2658</v>
      </c>
      <c r="C2054" s="121" t="str">
        <f t="shared" si="86"/>
        <v>http://www.northerncalifornia.va.gov/contact/phone_directory.asp</v>
      </c>
    </row>
    <row r="2055" ht="14.25" hidden="1" customHeight="1">
      <c r="A2055" s="8" t="s">
        <v>1059</v>
      </c>
      <c r="B2055" s="8" t="s">
        <v>2658</v>
      </c>
      <c r="C2055" s="121" t="str">
        <f t="shared" si="86"/>
        <v>http://www.northerncalifornia.va.gov/contact/phone_directory.asp</v>
      </c>
    </row>
    <row r="2056" ht="14.25" hidden="1" customHeight="1">
      <c r="A2056" s="8" t="s">
        <v>1059</v>
      </c>
      <c r="B2056" s="8" t="s">
        <v>2658</v>
      </c>
      <c r="C2056" s="121" t="str">
        <f t="shared" si="86"/>
        <v>http://www.northerncalifornia.va.gov/contact/phone_directory.asp</v>
      </c>
    </row>
    <row r="2057" ht="14.25" hidden="1" customHeight="1">
      <c r="A2057" s="8" t="s">
        <v>1059</v>
      </c>
      <c r="B2057" s="8" t="s">
        <v>2658</v>
      </c>
      <c r="C2057" s="121" t="str">
        <f t="shared" si="86"/>
        <v>http://www.northerncalifornia.va.gov/contact/phone_directory.asp</v>
      </c>
    </row>
    <row r="2058" ht="14.25" hidden="1" customHeight="1">
      <c r="A2058" s="8" t="s">
        <v>1059</v>
      </c>
      <c r="B2058" s="8" t="s">
        <v>2658</v>
      </c>
      <c r="C2058" s="121" t="str">
        <f t="shared" si="86"/>
        <v>http://www.northerncalifornia.va.gov/contact/phone_directory.asp</v>
      </c>
    </row>
    <row r="2059" ht="14.25" hidden="1" customHeight="1">
      <c r="A2059" s="8" t="s">
        <v>1059</v>
      </c>
      <c r="B2059" s="8" t="s">
        <v>2658</v>
      </c>
      <c r="C2059" s="121" t="str">
        <f t="shared" si="86"/>
        <v>http://www.northerncalifornia.va.gov/contact/phone_directory.asp</v>
      </c>
    </row>
    <row r="2060" ht="14.25" hidden="1" customHeight="1">
      <c r="A2060" s="8" t="s">
        <v>2680</v>
      </c>
      <c r="B2060" s="8" t="s">
        <v>2658</v>
      </c>
      <c r="C2060" s="121" t="str">
        <f t="shared" si="86"/>
        <v>http://www.northerncalifornia.va.gov/contact/phone_directory.asp</v>
      </c>
    </row>
    <row r="2061" ht="14.25" hidden="1" customHeight="1">
      <c r="A2061" s="8" t="s">
        <v>670</v>
      </c>
      <c r="B2061" s="8" t="s">
        <v>2658</v>
      </c>
      <c r="C2061" s="121" t="str">
        <f t="shared" si="86"/>
        <v>http://www.northerncalifornia.va.gov/contact/phone_directory.asp</v>
      </c>
    </row>
    <row r="2062" ht="14.25" hidden="1" customHeight="1">
      <c r="A2062" s="8" t="s">
        <v>323</v>
      </c>
      <c r="B2062" s="8" t="s">
        <v>2658</v>
      </c>
      <c r="C2062" s="121" t="str">
        <f t="shared" si="86"/>
        <v>http://www.northerncalifornia.va.gov/contact/phone_directory.asp</v>
      </c>
    </row>
    <row r="2063" ht="14.25" hidden="1" customHeight="1">
      <c r="A2063" s="8" t="s">
        <v>323</v>
      </c>
      <c r="B2063" s="8" t="s">
        <v>2658</v>
      </c>
      <c r="C2063" s="121" t="str">
        <f t="shared" si="86"/>
        <v>http://www.northerncalifornia.va.gov/contact/phone_directory.asp</v>
      </c>
    </row>
    <row r="2064" ht="14.25" hidden="1" customHeight="1">
      <c r="A2064" s="8" t="s">
        <v>323</v>
      </c>
      <c r="B2064" s="8" t="s">
        <v>2658</v>
      </c>
      <c r="C2064" s="121" t="str">
        <f t="shared" si="86"/>
        <v>http://www.northerncalifornia.va.gov/contact/phone_directory.asp</v>
      </c>
    </row>
    <row r="2065" ht="14.25" hidden="1" customHeight="1">
      <c r="A2065" s="8" t="s">
        <v>323</v>
      </c>
      <c r="B2065" s="8" t="s">
        <v>2658</v>
      </c>
      <c r="C2065" s="121" t="str">
        <f t="shared" si="86"/>
        <v>http://www.northerncalifornia.va.gov/contact/phone_directory.asp</v>
      </c>
    </row>
    <row r="2066" ht="14.25" hidden="1" customHeight="1">
      <c r="A2066" s="8" t="s">
        <v>323</v>
      </c>
      <c r="B2066" s="8" t="s">
        <v>2658</v>
      </c>
      <c r="C2066" s="121" t="str">
        <f t="shared" si="86"/>
        <v>http://www.northerncalifornia.va.gov/contact/phone_directory.asp</v>
      </c>
    </row>
    <row r="2067" ht="14.25" hidden="1" customHeight="1">
      <c r="A2067" s="8" t="s">
        <v>323</v>
      </c>
      <c r="B2067" s="8" t="s">
        <v>2658</v>
      </c>
      <c r="C2067" s="121" t="str">
        <f t="shared" si="86"/>
        <v>http://www.northerncalifornia.va.gov/contact/phone_directory.asp</v>
      </c>
    </row>
    <row r="2068" ht="14.25" hidden="1" customHeight="1">
      <c r="A2068" s="8" t="s">
        <v>323</v>
      </c>
      <c r="B2068" s="8" t="s">
        <v>2658</v>
      </c>
      <c r="C2068" s="121" t="str">
        <f t="shared" si="86"/>
        <v>http://www.northerncalifornia.va.gov/contact/phone_directory.asp</v>
      </c>
    </row>
    <row r="2069" ht="14.25" hidden="1" customHeight="1">
      <c r="A2069" s="8" t="s">
        <v>323</v>
      </c>
      <c r="B2069" s="8" t="s">
        <v>2658</v>
      </c>
      <c r="C2069" s="121" t="str">
        <f t="shared" si="86"/>
        <v>http://www.northerncalifornia.va.gov/contact/phone_directory.asp</v>
      </c>
    </row>
    <row r="2070" ht="14.25" hidden="1" customHeight="1">
      <c r="A2070" s="8" t="s">
        <v>323</v>
      </c>
      <c r="B2070" s="8" t="s">
        <v>2658</v>
      </c>
      <c r="C2070" s="121" t="str">
        <f t="shared" si="86"/>
        <v>http://www.northerncalifornia.va.gov/contact/phone_directory.asp</v>
      </c>
    </row>
    <row r="2071" ht="14.25" hidden="1" customHeight="1">
      <c r="A2071" s="8" t="s">
        <v>2686</v>
      </c>
      <c r="B2071" s="8" t="s">
        <v>2658</v>
      </c>
      <c r="C2071" s="121" t="str">
        <f t="shared" si="86"/>
        <v>http://www.northerncalifornia.va.gov/contact/phone_directory.asp</v>
      </c>
    </row>
    <row r="2072" ht="14.25" hidden="1" customHeight="1">
      <c r="A2072" s="8" t="s">
        <v>2686</v>
      </c>
      <c r="B2072" s="8" t="s">
        <v>2658</v>
      </c>
      <c r="C2072" s="121" t="str">
        <f t="shared" si="86"/>
        <v>http://www.northerncalifornia.va.gov/contact/phone_directory.asp</v>
      </c>
    </row>
    <row r="2073" ht="14.25" hidden="1" customHeight="1">
      <c r="A2073" s="8" t="s">
        <v>2686</v>
      </c>
      <c r="B2073" s="8" t="s">
        <v>2658</v>
      </c>
      <c r="C2073" s="121" t="str">
        <f t="shared" si="86"/>
        <v>http://www.northerncalifornia.va.gov/contact/phone_directory.asp</v>
      </c>
    </row>
    <row r="2074" ht="14.25" hidden="1" customHeight="1">
      <c r="A2074" s="8" t="s">
        <v>2686</v>
      </c>
      <c r="B2074" s="8" t="s">
        <v>2658</v>
      </c>
      <c r="C2074" s="121" t="str">
        <f t="shared" si="86"/>
        <v>http://www.northerncalifornia.va.gov/contact/phone_directory.asp</v>
      </c>
    </row>
    <row r="2075" ht="14.25" hidden="1" customHeight="1">
      <c r="A2075" s="8" t="s">
        <v>2686</v>
      </c>
      <c r="B2075" s="8" t="s">
        <v>2658</v>
      </c>
      <c r="C2075" s="121" t="str">
        <f t="shared" si="86"/>
        <v>http://www.northerncalifornia.va.gov/contact/phone_directory.asp</v>
      </c>
    </row>
    <row r="2076" ht="14.25" hidden="1" customHeight="1">
      <c r="A2076" s="8" t="s">
        <v>2686</v>
      </c>
      <c r="B2076" s="8" t="s">
        <v>2658</v>
      </c>
      <c r="C2076" s="121" t="str">
        <f t="shared" si="86"/>
        <v>http://www.northerncalifornia.va.gov/contact/phone_directory.asp</v>
      </c>
    </row>
    <row r="2077" ht="14.25" hidden="1" customHeight="1">
      <c r="A2077" s="8" t="s">
        <v>2686</v>
      </c>
      <c r="B2077" s="8" t="s">
        <v>2658</v>
      </c>
      <c r="C2077" s="121" t="str">
        <f t="shared" si="86"/>
        <v>http://www.northerncalifornia.va.gov/contact/phone_directory.asp</v>
      </c>
    </row>
    <row r="2078" ht="14.25" hidden="1" customHeight="1">
      <c r="A2078" s="8" t="s">
        <v>2686</v>
      </c>
      <c r="B2078" s="8" t="s">
        <v>2658</v>
      </c>
      <c r="C2078" s="121" t="str">
        <f t="shared" si="86"/>
        <v>http://www.northerncalifornia.va.gov/contact/phone_directory.asp</v>
      </c>
    </row>
    <row r="2079" ht="14.25" hidden="1" customHeight="1">
      <c r="A2079" s="8" t="s">
        <v>2686</v>
      </c>
      <c r="B2079" s="8" t="s">
        <v>2658</v>
      </c>
      <c r="C2079" s="121" t="str">
        <f t="shared" si="86"/>
        <v>http://www.northerncalifornia.va.gov/contact/phone_directory.asp</v>
      </c>
    </row>
    <row r="2080" ht="14.25" hidden="1" customHeight="1">
      <c r="A2080" s="8" t="s">
        <v>2686</v>
      </c>
      <c r="B2080" s="8" t="s">
        <v>2658</v>
      </c>
      <c r="C2080" s="121" t="str">
        <f t="shared" si="86"/>
        <v>http://www.northerncalifornia.va.gov/contact/phone_directory.asp</v>
      </c>
    </row>
    <row r="2081" ht="14.25" hidden="1" customHeight="1">
      <c r="A2081" s="8" t="s">
        <v>2689</v>
      </c>
      <c r="B2081" s="8" t="s">
        <v>2658</v>
      </c>
      <c r="C2081" s="121" t="str">
        <f t="shared" si="86"/>
        <v>http://www.northerncalifornia.va.gov/contact/phone_directory.asp</v>
      </c>
    </row>
    <row r="2082" ht="14.25" hidden="1" customHeight="1">
      <c r="A2082" s="8" t="s">
        <v>603</v>
      </c>
      <c r="B2082" s="8" t="s">
        <v>2658</v>
      </c>
      <c r="C2082" s="121" t="str">
        <f t="shared" si="86"/>
        <v>http://www.northerncalifornia.va.gov/contact/phone_directory.asp</v>
      </c>
    </row>
    <row r="2083" ht="14.25" hidden="1" customHeight="1">
      <c r="A2083" s="8" t="s">
        <v>2690</v>
      </c>
      <c r="B2083" s="8" t="s">
        <v>2658</v>
      </c>
      <c r="C2083" s="121" t="str">
        <f t="shared" si="86"/>
        <v>http://www.northerncalifornia.va.gov/contact/phone_directory.asp</v>
      </c>
    </row>
    <row r="2084" ht="14.25" hidden="1" customHeight="1">
      <c r="A2084" s="8" t="s">
        <v>1721</v>
      </c>
      <c r="B2084" s="8" t="s">
        <v>2658</v>
      </c>
      <c r="C2084" s="121" t="str">
        <f t="shared" si="86"/>
        <v>http://www.northerncalifornia.va.gov/contact/phone_directory.asp</v>
      </c>
    </row>
    <row r="2085" ht="14.25" hidden="1" customHeight="1">
      <c r="A2085" s="8" t="s">
        <v>1721</v>
      </c>
      <c r="B2085" s="8" t="s">
        <v>2658</v>
      </c>
      <c r="C2085" s="121" t="str">
        <f t="shared" si="86"/>
        <v>http://www.northerncalifornia.va.gov/contact/phone_directory.asp</v>
      </c>
    </row>
    <row r="2086" ht="14.25" hidden="1" customHeight="1">
      <c r="A2086" s="8" t="s">
        <v>1721</v>
      </c>
      <c r="B2086" s="8" t="s">
        <v>2658</v>
      </c>
      <c r="C2086" s="121" t="str">
        <f t="shared" si="86"/>
        <v>http://www.northerncalifornia.va.gov/contact/phone_directory.asp</v>
      </c>
    </row>
    <row r="2087" ht="14.25" hidden="1" customHeight="1">
      <c r="A2087" s="8" t="s">
        <v>1721</v>
      </c>
      <c r="B2087" s="8" t="s">
        <v>2658</v>
      </c>
      <c r="C2087" s="121" t="str">
        <f t="shared" si="86"/>
        <v>http://www.northerncalifornia.va.gov/contact/phone_directory.asp</v>
      </c>
    </row>
    <row r="2088" ht="14.25" hidden="1" customHeight="1">
      <c r="A2088" s="8" t="s">
        <v>694</v>
      </c>
      <c r="B2088" s="8" t="s">
        <v>2658</v>
      </c>
      <c r="C2088" s="121" t="str">
        <f t="shared" si="86"/>
        <v>http://www.northerncalifornia.va.gov/contact/phone_directory.asp</v>
      </c>
    </row>
    <row r="2089" ht="14.25" hidden="1" customHeight="1">
      <c r="A2089" s="8" t="s">
        <v>694</v>
      </c>
      <c r="B2089" s="8" t="s">
        <v>2658</v>
      </c>
      <c r="C2089" s="121" t="str">
        <f t="shared" si="86"/>
        <v>http://www.northerncalifornia.va.gov/contact/phone_directory.asp</v>
      </c>
    </row>
    <row r="2090" ht="14.25" hidden="1" customHeight="1">
      <c r="A2090" s="8" t="s">
        <v>694</v>
      </c>
      <c r="B2090" s="8" t="s">
        <v>2658</v>
      </c>
      <c r="C2090" s="121" t="str">
        <f t="shared" si="86"/>
        <v>http://www.northerncalifornia.va.gov/contact/phone_directory.asp</v>
      </c>
    </row>
    <row r="2091" ht="14.25" hidden="1" customHeight="1">
      <c r="A2091" s="8" t="s">
        <v>694</v>
      </c>
      <c r="B2091" s="8" t="s">
        <v>2658</v>
      </c>
      <c r="C2091" s="121" t="str">
        <f t="shared" si="86"/>
        <v>http://www.northerncalifornia.va.gov/contact/phone_directory.asp</v>
      </c>
    </row>
    <row r="2092" ht="14.25" hidden="1" customHeight="1">
      <c r="A2092" s="8" t="s">
        <v>694</v>
      </c>
      <c r="B2092" s="8" t="s">
        <v>2658</v>
      </c>
      <c r="C2092" s="121" t="str">
        <f t="shared" si="86"/>
        <v>http://www.northerncalifornia.va.gov/contact/phone_directory.asp</v>
      </c>
    </row>
    <row r="2093" ht="14.25" hidden="1" customHeight="1">
      <c r="A2093" s="8" t="s">
        <v>694</v>
      </c>
      <c r="B2093" s="8" t="s">
        <v>2658</v>
      </c>
      <c r="C2093" s="121" t="str">
        <f t="shared" si="86"/>
        <v>http://www.northerncalifornia.va.gov/contact/phone_directory.asp</v>
      </c>
    </row>
    <row r="2094" ht="14.25" hidden="1" customHeight="1">
      <c r="A2094" s="8" t="s">
        <v>694</v>
      </c>
      <c r="B2094" s="8" t="s">
        <v>2658</v>
      </c>
      <c r="C2094" s="121" t="str">
        <f t="shared" si="86"/>
        <v>http://www.northerncalifornia.va.gov/contact/phone_directory.asp</v>
      </c>
    </row>
    <row r="2095" ht="14.25" hidden="1" customHeight="1">
      <c r="A2095" s="8" t="s">
        <v>694</v>
      </c>
      <c r="B2095" s="8" t="s">
        <v>2658</v>
      </c>
      <c r="C2095" s="121" t="str">
        <f t="shared" si="86"/>
        <v>http://www.northerncalifornia.va.gov/contact/phone_directory.asp</v>
      </c>
    </row>
    <row r="2096" ht="14.25" hidden="1" customHeight="1">
      <c r="A2096" s="8" t="s">
        <v>694</v>
      </c>
      <c r="B2096" s="8" t="s">
        <v>2658</v>
      </c>
      <c r="C2096" s="121" t="str">
        <f t="shared" si="86"/>
        <v>http://www.northerncalifornia.va.gov/contact/phone_directory.asp</v>
      </c>
    </row>
    <row r="2097" ht="14.25" hidden="1" customHeight="1">
      <c r="A2097" s="8" t="s">
        <v>694</v>
      </c>
      <c r="B2097" s="8" t="s">
        <v>2658</v>
      </c>
      <c r="C2097" s="121" t="str">
        <f t="shared" si="86"/>
        <v>http://www.northerncalifornia.va.gov/contact/phone_directory.asp</v>
      </c>
    </row>
    <row r="2098" ht="14.25" hidden="1" customHeight="1">
      <c r="A2098" s="8" t="s">
        <v>1960</v>
      </c>
      <c r="B2098" s="8" t="s">
        <v>2658</v>
      </c>
      <c r="C2098" s="121" t="str">
        <f t="shared" si="86"/>
        <v>http://www.northerncalifornia.va.gov/contact/phone_directory.asp</v>
      </c>
    </row>
    <row r="2099" ht="14.25" hidden="1" customHeight="1">
      <c r="A2099" s="8" t="s">
        <v>1960</v>
      </c>
      <c r="B2099" s="8" t="s">
        <v>2658</v>
      </c>
      <c r="C2099" s="121" t="str">
        <f t="shared" si="86"/>
        <v>http://www.northerncalifornia.va.gov/contact/phone_directory.asp</v>
      </c>
    </row>
    <row r="2100" ht="14.25" hidden="1" customHeight="1">
      <c r="A2100" s="8" t="s">
        <v>1960</v>
      </c>
      <c r="B2100" s="8" t="s">
        <v>2658</v>
      </c>
      <c r="C2100" s="121" t="str">
        <f t="shared" si="86"/>
        <v>http://www.northerncalifornia.va.gov/contact/phone_directory.asp</v>
      </c>
    </row>
    <row r="2101" ht="14.25" hidden="1" customHeight="1">
      <c r="A2101" s="8" t="s">
        <v>1960</v>
      </c>
      <c r="B2101" s="8" t="s">
        <v>2658</v>
      </c>
      <c r="C2101" s="121" t="str">
        <f t="shared" si="86"/>
        <v>http://www.northerncalifornia.va.gov/contact/phone_directory.asp</v>
      </c>
    </row>
    <row r="2102" ht="14.25" hidden="1" customHeight="1">
      <c r="A2102" s="8" t="s">
        <v>1960</v>
      </c>
      <c r="B2102" s="8" t="s">
        <v>2658</v>
      </c>
      <c r="C2102" s="121" t="str">
        <f t="shared" si="86"/>
        <v>http://www.northerncalifornia.va.gov/contact/phone_directory.asp</v>
      </c>
    </row>
    <row r="2103" ht="14.25" hidden="1" customHeight="1">
      <c r="A2103" s="8" t="s">
        <v>1960</v>
      </c>
      <c r="B2103" s="8" t="s">
        <v>2658</v>
      </c>
      <c r="C2103" s="121" t="str">
        <f t="shared" si="86"/>
        <v>http://www.northerncalifornia.va.gov/contact/phone_directory.asp</v>
      </c>
    </row>
    <row r="2104" ht="14.25" hidden="1" customHeight="1">
      <c r="A2104" s="8" t="s">
        <v>1960</v>
      </c>
      <c r="B2104" s="8" t="s">
        <v>2658</v>
      </c>
      <c r="C2104" s="121" t="str">
        <f t="shared" si="86"/>
        <v>http://www.northerncalifornia.va.gov/contact/phone_directory.asp</v>
      </c>
    </row>
    <row r="2105" ht="14.25" hidden="1" customHeight="1">
      <c r="A2105" s="8" t="s">
        <v>1960</v>
      </c>
      <c r="B2105" s="8" t="s">
        <v>2658</v>
      </c>
      <c r="C2105" s="121" t="str">
        <f t="shared" si="86"/>
        <v>http://www.northerncalifornia.va.gov/contact/phone_directory.asp</v>
      </c>
    </row>
    <row r="2106" ht="14.25" hidden="1" customHeight="1">
      <c r="A2106" s="8" t="s">
        <v>1960</v>
      </c>
      <c r="B2106" s="8" t="s">
        <v>2658</v>
      </c>
      <c r="C2106" s="121" t="str">
        <f t="shared" si="86"/>
        <v>http://www.northerncalifornia.va.gov/contact/phone_directory.asp</v>
      </c>
    </row>
    <row r="2107" ht="14.25" hidden="1" customHeight="1">
      <c r="A2107" s="8" t="s">
        <v>1960</v>
      </c>
      <c r="B2107" s="8" t="s">
        <v>2658</v>
      </c>
      <c r="C2107" s="121" t="str">
        <f t="shared" si="86"/>
        <v>http://www.northerncalifornia.va.gov/contact/phone_directory.asp</v>
      </c>
    </row>
    <row r="2108" ht="14.25" hidden="1" customHeight="1">
      <c r="A2108" s="8" t="s">
        <v>2709</v>
      </c>
      <c r="B2108" s="8" t="s">
        <v>2658</v>
      </c>
      <c r="C2108" s="121" t="str">
        <f t="shared" si="86"/>
        <v>http://www.northerncalifornia.va.gov/contact/phone_directory.asp</v>
      </c>
    </row>
    <row r="2109" ht="14.25" hidden="1" customHeight="1">
      <c r="A2109" s="8" t="s">
        <v>353</v>
      </c>
      <c r="B2109" s="8" t="s">
        <v>2658</v>
      </c>
      <c r="C2109" s="121" t="str">
        <f t="shared" si="86"/>
        <v>http://www.northerncalifornia.va.gov/contact/phone_directory.asp</v>
      </c>
    </row>
    <row r="2110" ht="14.25" hidden="1" customHeight="1">
      <c r="A2110" s="8" t="s">
        <v>504</v>
      </c>
      <c r="B2110" s="8" t="s">
        <v>2658</v>
      </c>
      <c r="C2110" s="121" t="str">
        <f t="shared" si="86"/>
        <v>http://www.northerncalifornia.va.gov/contact/phone_directory.asp</v>
      </c>
    </row>
    <row r="2111" ht="14.25" hidden="1" customHeight="1">
      <c r="A2111" s="8" t="s">
        <v>2717</v>
      </c>
      <c r="B2111" s="8" t="s">
        <v>2658</v>
      </c>
      <c r="C2111" s="121" t="str">
        <f t="shared" si="86"/>
        <v>http://www.northerncalifornia.va.gov/contact/phone_directory.asp</v>
      </c>
    </row>
    <row r="2112" ht="14.25" hidden="1" customHeight="1">
      <c r="A2112" s="8" t="s">
        <v>717</v>
      </c>
      <c r="B2112" s="8" t="s">
        <v>2658</v>
      </c>
      <c r="C2112" s="121" t="str">
        <f t="shared" si="86"/>
        <v>http://www.northerncalifornia.va.gov/contact/phone_directory.asp</v>
      </c>
    </row>
    <row r="2113" ht="14.25" hidden="1" customHeight="1">
      <c r="A2113" s="8" t="s">
        <v>717</v>
      </c>
      <c r="B2113" s="8" t="s">
        <v>2658</v>
      </c>
      <c r="C2113" s="121" t="str">
        <f t="shared" si="86"/>
        <v>http://www.northerncalifornia.va.gov/contact/phone_directory.asp</v>
      </c>
    </row>
    <row r="2114" ht="14.25" hidden="1" customHeight="1">
      <c r="A2114" s="8" t="s">
        <v>717</v>
      </c>
      <c r="B2114" s="8" t="s">
        <v>2658</v>
      </c>
      <c r="C2114" s="121" t="str">
        <f t="shared" si="86"/>
        <v>http://www.northerncalifornia.va.gov/contact/phone_directory.asp</v>
      </c>
    </row>
    <row r="2115" ht="14.25" hidden="1" customHeight="1">
      <c r="A2115" s="8" t="s">
        <v>717</v>
      </c>
      <c r="B2115" s="8" t="s">
        <v>2658</v>
      </c>
      <c r="C2115" s="121" t="str">
        <f t="shared" si="86"/>
        <v>http://www.northerncalifornia.va.gov/contact/phone_directory.asp</v>
      </c>
    </row>
    <row r="2116" ht="14.25" hidden="1" customHeight="1">
      <c r="A2116" s="8" t="s">
        <v>717</v>
      </c>
      <c r="B2116" s="8" t="s">
        <v>2658</v>
      </c>
      <c r="C2116" s="121" t="str">
        <f t="shared" si="86"/>
        <v>http://www.northerncalifornia.va.gov/contact/phone_directory.asp</v>
      </c>
    </row>
    <row r="2117" ht="14.25" hidden="1" customHeight="1">
      <c r="A2117" s="8" t="s">
        <v>717</v>
      </c>
      <c r="B2117" s="8" t="s">
        <v>2658</v>
      </c>
      <c r="C2117" s="121" t="str">
        <f t="shared" si="86"/>
        <v>http://www.northerncalifornia.va.gov/contact/phone_directory.asp</v>
      </c>
    </row>
    <row r="2118" ht="14.25" hidden="1" customHeight="1">
      <c r="A2118" s="8" t="s">
        <v>708</v>
      </c>
      <c r="B2118" s="8" t="s">
        <v>2658</v>
      </c>
      <c r="C2118" s="121" t="str">
        <f t="shared" si="86"/>
        <v>http://www.northerncalifornia.va.gov/contact/phone_directory.asp</v>
      </c>
    </row>
    <row r="2119" ht="14.25" hidden="1" customHeight="1">
      <c r="A2119" s="8" t="s">
        <v>2722</v>
      </c>
      <c r="B2119" s="8" t="s">
        <v>2658</v>
      </c>
      <c r="C2119" s="121" t="str">
        <f t="shared" si="86"/>
        <v>http://www.northerncalifornia.va.gov/contact/phone_directory.asp</v>
      </c>
    </row>
    <row r="2120" ht="14.25" hidden="1" customHeight="1">
      <c r="A2120" s="8" t="s">
        <v>2722</v>
      </c>
      <c r="B2120" s="8" t="s">
        <v>2658</v>
      </c>
      <c r="C2120" s="121" t="str">
        <f t="shared" si="86"/>
        <v>http://www.northerncalifornia.va.gov/contact/phone_directory.asp</v>
      </c>
    </row>
    <row r="2121" ht="14.25" hidden="1" customHeight="1">
      <c r="A2121" s="8" t="s">
        <v>2722</v>
      </c>
      <c r="B2121" s="8" t="s">
        <v>2658</v>
      </c>
      <c r="C2121" s="121" t="str">
        <f t="shared" si="86"/>
        <v>http://www.northerncalifornia.va.gov/contact/phone_directory.asp</v>
      </c>
    </row>
    <row r="2122" ht="14.25" hidden="1" customHeight="1">
      <c r="A2122" s="8" t="s">
        <v>2722</v>
      </c>
      <c r="B2122" s="8" t="s">
        <v>2658</v>
      </c>
      <c r="C2122" s="121" t="str">
        <f t="shared" si="86"/>
        <v>http://www.northerncalifornia.va.gov/contact/phone_directory.asp</v>
      </c>
    </row>
    <row r="2123" ht="14.25" hidden="1" customHeight="1">
      <c r="A2123" s="8" t="s">
        <v>2722</v>
      </c>
      <c r="B2123" s="8" t="s">
        <v>2658</v>
      </c>
      <c r="C2123" s="121" t="str">
        <f t="shared" si="86"/>
        <v>http://www.northerncalifornia.va.gov/contact/phone_directory.asp</v>
      </c>
    </row>
    <row r="2124" ht="14.25" hidden="1" customHeight="1">
      <c r="A2124" s="8" t="s">
        <v>2722</v>
      </c>
      <c r="B2124" s="8" t="s">
        <v>2658</v>
      </c>
      <c r="C2124" s="121" t="str">
        <f t="shared" si="86"/>
        <v>http://www.northerncalifornia.va.gov/contact/phone_directory.asp</v>
      </c>
    </row>
    <row r="2125" ht="14.25" hidden="1" customHeight="1">
      <c r="A2125" s="8" t="s">
        <v>2722</v>
      </c>
      <c r="B2125" s="8" t="s">
        <v>2658</v>
      </c>
      <c r="C2125" s="121" t="str">
        <f t="shared" si="86"/>
        <v>http://www.northerncalifornia.va.gov/contact/phone_directory.asp</v>
      </c>
    </row>
    <row r="2126" ht="14.25" hidden="1" customHeight="1">
      <c r="A2126" s="8" t="s">
        <v>2722</v>
      </c>
      <c r="B2126" s="8" t="s">
        <v>2658</v>
      </c>
      <c r="C2126" s="121" t="str">
        <f t="shared" si="86"/>
        <v>http://www.northerncalifornia.va.gov/contact/phone_directory.asp</v>
      </c>
    </row>
    <row r="2127" ht="14.25" hidden="1" customHeight="1">
      <c r="A2127" s="8" t="s">
        <v>2722</v>
      </c>
      <c r="B2127" s="8" t="s">
        <v>2658</v>
      </c>
      <c r="C2127" s="121" t="str">
        <f t="shared" si="86"/>
        <v>http://www.northerncalifornia.va.gov/contact/phone_directory.asp</v>
      </c>
    </row>
    <row r="2128" ht="14.25" hidden="1" customHeight="1">
      <c r="A2128" s="8" t="s">
        <v>2727</v>
      </c>
      <c r="B2128" s="8" t="s">
        <v>2658</v>
      </c>
      <c r="C2128" s="121" t="str">
        <f t="shared" si="86"/>
        <v>http://www.northerncalifornia.va.gov/contact/phone_directory.asp</v>
      </c>
    </row>
    <row r="2129" ht="14.25" hidden="1" customHeight="1">
      <c r="A2129" s="8" t="s">
        <v>2727</v>
      </c>
      <c r="B2129" s="8" t="s">
        <v>2658</v>
      </c>
      <c r="C2129" s="121" t="str">
        <f t="shared" si="86"/>
        <v>http://www.northerncalifornia.va.gov/contact/phone_directory.asp</v>
      </c>
    </row>
    <row r="2130" ht="14.25" hidden="1" customHeight="1">
      <c r="A2130" s="8" t="s">
        <v>2727</v>
      </c>
      <c r="B2130" s="8" t="s">
        <v>2658</v>
      </c>
      <c r="C2130" s="121" t="str">
        <f t="shared" si="86"/>
        <v>http://www.northerncalifornia.va.gov/contact/phone_directory.asp</v>
      </c>
    </row>
    <row r="2131" ht="14.25" hidden="1" customHeight="1">
      <c r="A2131" s="8" t="s">
        <v>2727</v>
      </c>
      <c r="B2131" s="8" t="s">
        <v>2658</v>
      </c>
      <c r="C2131" s="121" t="str">
        <f t="shared" si="86"/>
        <v>http://www.northerncalifornia.va.gov/contact/phone_directory.asp</v>
      </c>
    </row>
    <row r="2132" ht="14.25" hidden="1" customHeight="1">
      <c r="A2132" s="8" t="s">
        <v>2727</v>
      </c>
      <c r="B2132" s="8" t="s">
        <v>2658</v>
      </c>
      <c r="C2132" s="121" t="str">
        <f t="shared" si="86"/>
        <v>http://www.northerncalifornia.va.gov/contact/phone_directory.asp</v>
      </c>
    </row>
    <row r="2133" ht="14.25" hidden="1" customHeight="1">
      <c r="A2133" s="8" t="s">
        <v>2727</v>
      </c>
      <c r="B2133" s="8" t="s">
        <v>2658</v>
      </c>
      <c r="C2133" s="121" t="str">
        <f t="shared" si="86"/>
        <v>http://www.northerncalifornia.va.gov/contact/phone_directory.asp</v>
      </c>
    </row>
    <row r="2134" ht="14.25" hidden="1" customHeight="1">
      <c r="A2134" s="8" t="s">
        <v>2727</v>
      </c>
      <c r="B2134" s="8" t="s">
        <v>2658</v>
      </c>
      <c r="C2134" s="121" t="str">
        <f t="shared" si="86"/>
        <v>http://www.northerncalifornia.va.gov/contact/phone_directory.asp</v>
      </c>
    </row>
    <row r="2135" ht="14.25" hidden="1" customHeight="1">
      <c r="A2135" s="8" t="s">
        <v>2727</v>
      </c>
      <c r="B2135" s="8" t="s">
        <v>2658</v>
      </c>
      <c r="C2135" s="121" t="str">
        <f t="shared" si="86"/>
        <v>http://www.northerncalifornia.va.gov/contact/phone_directory.asp</v>
      </c>
    </row>
    <row r="2136" ht="14.25" hidden="1" customHeight="1">
      <c r="A2136" s="8" t="s">
        <v>363</v>
      </c>
      <c r="B2136" s="8" t="s">
        <v>2658</v>
      </c>
      <c r="C2136" s="121" t="str">
        <f t="shared" si="86"/>
        <v>http://www.northerncalifornia.va.gov/contact/phone_directory.asp</v>
      </c>
    </row>
    <row r="2137" ht="14.25" hidden="1" customHeight="1">
      <c r="A2137" s="8" t="s">
        <v>2729</v>
      </c>
      <c r="B2137" s="8" t="s">
        <v>2658</v>
      </c>
      <c r="C2137" s="121" t="str">
        <f t="shared" si="86"/>
        <v>http://www.northerncalifornia.va.gov/contact/phone_directory.asp</v>
      </c>
    </row>
    <row r="2138" ht="14.25" hidden="1" customHeight="1">
      <c r="A2138" s="8" t="s">
        <v>2731</v>
      </c>
      <c r="B2138" s="8" t="s">
        <v>2658</v>
      </c>
      <c r="C2138" s="121" t="str">
        <f t="shared" si="86"/>
        <v>http://www.northerncalifornia.va.gov/contact/phone_directory.asp</v>
      </c>
    </row>
    <row r="2139" ht="14.25" hidden="1" customHeight="1">
      <c r="A2139" s="8" t="s">
        <v>814</v>
      </c>
      <c r="B2139" s="8" t="s">
        <v>2658</v>
      </c>
      <c r="C2139" s="121" t="str">
        <f t="shared" si="86"/>
        <v>http://www.northerncalifornia.va.gov/contact/phone_directory.asp</v>
      </c>
    </row>
    <row r="2140" ht="14.25" hidden="1" customHeight="1">
      <c r="A2140" s="8" t="s">
        <v>2732</v>
      </c>
      <c r="B2140" s="8" t="s">
        <v>2658</v>
      </c>
      <c r="C2140" s="121" t="str">
        <f t="shared" si="86"/>
        <v>http://www.northerncalifornia.va.gov/contact/phone_directory.asp</v>
      </c>
    </row>
    <row r="2141" ht="14.25" hidden="1" customHeight="1">
      <c r="A2141" s="8" t="s">
        <v>734</v>
      </c>
      <c r="B2141" s="8" t="s">
        <v>2658</v>
      </c>
      <c r="C2141" s="121" t="str">
        <f t="shared" si="86"/>
        <v>http://www.northerncalifornia.va.gov/contact/phone_directory.asp</v>
      </c>
    </row>
    <row r="2142" ht="14.25" hidden="1" customHeight="1">
      <c r="A2142" s="8" t="s">
        <v>2734</v>
      </c>
      <c r="B2142" s="8" t="s">
        <v>2658</v>
      </c>
      <c r="C2142" s="121" t="str">
        <f t="shared" si="86"/>
        <v>http://www.northerncalifornia.va.gov/contact/phone_directory.asp</v>
      </c>
    </row>
    <row r="2143" ht="14.25" hidden="1" customHeight="1">
      <c r="A2143" s="8" t="s">
        <v>624</v>
      </c>
      <c r="B2143" s="8" t="s">
        <v>2735</v>
      </c>
      <c r="C2143" s="121" t="str">
        <f t="shared" ref="C2143:C2159" si="87">HYPERLINK("http://www.northernindiana.va.gov/contact/phone_directory.asp")</f>
        <v>http://www.northernindiana.va.gov/contact/phone_directory.asp</v>
      </c>
    </row>
    <row r="2144" ht="14.25" hidden="1" customHeight="1">
      <c r="A2144" s="8" t="s">
        <v>639</v>
      </c>
      <c r="B2144" s="8" t="s">
        <v>2735</v>
      </c>
      <c r="C2144" s="121" t="str">
        <f t="shared" si="87"/>
        <v>http://www.northernindiana.va.gov/contact/phone_directory.asp</v>
      </c>
    </row>
    <row r="2145" ht="14.25" hidden="1" customHeight="1">
      <c r="A2145" s="8" t="s">
        <v>864</v>
      </c>
      <c r="B2145" s="8" t="s">
        <v>2735</v>
      </c>
      <c r="C2145" s="121" t="str">
        <f t="shared" si="87"/>
        <v>http://www.northernindiana.va.gov/contact/phone_directory.asp</v>
      </c>
    </row>
    <row r="2146" ht="14.25" hidden="1" customHeight="1">
      <c r="A2146" s="8" t="s">
        <v>2736</v>
      </c>
      <c r="B2146" s="8" t="s">
        <v>2735</v>
      </c>
      <c r="C2146" s="121" t="str">
        <f t="shared" si="87"/>
        <v>http://www.northernindiana.va.gov/contact/phone_directory.asp</v>
      </c>
    </row>
    <row r="2147" ht="14.25" hidden="1" customHeight="1">
      <c r="A2147" s="8" t="s">
        <v>2738</v>
      </c>
      <c r="B2147" s="8" t="s">
        <v>2735</v>
      </c>
      <c r="C2147" s="121" t="str">
        <f t="shared" si="87"/>
        <v>http://www.northernindiana.va.gov/contact/phone_directory.asp</v>
      </c>
    </row>
    <row r="2148" ht="14.25" hidden="1" customHeight="1">
      <c r="A2148" s="8" t="s">
        <v>2739</v>
      </c>
      <c r="B2148" s="8" t="s">
        <v>2735</v>
      </c>
      <c r="C2148" s="121" t="str">
        <f t="shared" si="87"/>
        <v>http://www.northernindiana.va.gov/contact/phone_directory.asp</v>
      </c>
    </row>
    <row r="2149" ht="14.25" hidden="1" customHeight="1">
      <c r="A2149" s="8" t="s">
        <v>2740</v>
      </c>
      <c r="B2149" s="8" t="s">
        <v>2735</v>
      </c>
      <c r="C2149" s="121" t="str">
        <f t="shared" si="87"/>
        <v>http://www.northernindiana.va.gov/contact/phone_directory.asp</v>
      </c>
    </row>
    <row r="2150" ht="14.25" hidden="1" customHeight="1">
      <c r="A2150" s="8" t="s">
        <v>663</v>
      </c>
      <c r="B2150" s="8" t="s">
        <v>2735</v>
      </c>
      <c r="C2150" s="121" t="str">
        <f t="shared" si="87"/>
        <v>http://www.northernindiana.va.gov/contact/phone_directory.asp</v>
      </c>
    </row>
    <row r="2151" ht="14.25" hidden="1" customHeight="1">
      <c r="A2151" s="8" t="s">
        <v>1304</v>
      </c>
      <c r="B2151" s="8" t="s">
        <v>2735</v>
      </c>
      <c r="C2151" s="121" t="str">
        <f t="shared" si="87"/>
        <v>http://www.northernindiana.va.gov/contact/phone_directory.asp</v>
      </c>
    </row>
    <row r="2152" ht="14.25" hidden="1" customHeight="1">
      <c r="A2152" s="8" t="s">
        <v>2743</v>
      </c>
      <c r="B2152" s="8" t="s">
        <v>2735</v>
      </c>
      <c r="C2152" s="121" t="str">
        <f t="shared" si="87"/>
        <v>http://www.northernindiana.va.gov/contact/phone_directory.asp</v>
      </c>
    </row>
    <row r="2153" ht="14.25" hidden="1" customHeight="1">
      <c r="A2153" s="8" t="s">
        <v>670</v>
      </c>
      <c r="B2153" s="8" t="s">
        <v>2735</v>
      </c>
      <c r="C2153" s="121" t="str">
        <f t="shared" si="87"/>
        <v>http://www.northernindiana.va.gov/contact/phone_directory.asp</v>
      </c>
    </row>
    <row r="2154" ht="14.25" hidden="1" customHeight="1">
      <c r="A2154" s="8" t="s">
        <v>907</v>
      </c>
      <c r="B2154" s="8" t="s">
        <v>2735</v>
      </c>
      <c r="C2154" s="121" t="str">
        <f t="shared" si="87"/>
        <v>http://www.northernindiana.va.gov/contact/phone_directory.asp</v>
      </c>
    </row>
    <row r="2155" ht="14.25" hidden="1" customHeight="1">
      <c r="A2155" s="8" t="s">
        <v>2586</v>
      </c>
      <c r="B2155" s="8" t="s">
        <v>2735</v>
      </c>
      <c r="C2155" s="121" t="str">
        <f t="shared" si="87"/>
        <v>http://www.northernindiana.va.gov/contact/phone_directory.asp</v>
      </c>
    </row>
    <row r="2156" ht="14.25" hidden="1" customHeight="1">
      <c r="A2156" s="8" t="s">
        <v>504</v>
      </c>
      <c r="B2156" s="8" t="s">
        <v>2735</v>
      </c>
      <c r="C2156" s="121" t="str">
        <f t="shared" si="87"/>
        <v>http://www.northernindiana.va.gov/contact/phone_directory.asp</v>
      </c>
    </row>
    <row r="2157" ht="14.25" hidden="1" customHeight="1">
      <c r="A2157" s="8" t="s">
        <v>2744</v>
      </c>
      <c r="B2157" s="8" t="s">
        <v>2735</v>
      </c>
      <c r="C2157" s="121" t="str">
        <f t="shared" si="87"/>
        <v>http://www.northernindiana.va.gov/contact/phone_directory.asp</v>
      </c>
    </row>
    <row r="2158" ht="14.25" hidden="1" customHeight="1">
      <c r="A2158" s="8" t="s">
        <v>708</v>
      </c>
      <c r="B2158" s="8" t="s">
        <v>2735</v>
      </c>
      <c r="C2158" s="121" t="str">
        <f t="shared" si="87"/>
        <v>http://www.northernindiana.va.gov/contact/phone_directory.asp</v>
      </c>
    </row>
    <row r="2159" ht="14.25" hidden="1" customHeight="1">
      <c r="A2159" s="8" t="s">
        <v>741</v>
      </c>
      <c r="B2159" s="8" t="s">
        <v>2735</v>
      </c>
      <c r="C2159" s="121" t="str">
        <f t="shared" si="87"/>
        <v>http://www.northernindiana.va.gov/contact/phone_directory.asp</v>
      </c>
    </row>
    <row r="2160" ht="14.25" hidden="1" customHeight="1">
      <c r="A2160" s="8" t="s">
        <v>2498</v>
      </c>
      <c r="B2160" s="8" t="s">
        <v>2745</v>
      </c>
      <c r="C2160" s="121" t="str">
        <f t="shared" ref="C2160:C2187" si="88">HYPERLINK("http://www.northflorida.va.gov/contact/phone_directory.asp")</f>
        <v>http://www.northflorida.va.gov/contact/phone_directory.asp</v>
      </c>
    </row>
    <row r="2161" ht="14.25" hidden="1" customHeight="1">
      <c r="A2161" s="8" t="s">
        <v>2746</v>
      </c>
      <c r="B2161" s="8" t="s">
        <v>2745</v>
      </c>
      <c r="C2161" s="121" t="str">
        <f t="shared" si="88"/>
        <v>http://www.northflorida.va.gov/contact/phone_directory.asp</v>
      </c>
    </row>
    <row r="2162" ht="14.25" hidden="1" customHeight="1">
      <c r="A2162" s="8" t="s">
        <v>2747</v>
      </c>
      <c r="B2162" s="8" t="s">
        <v>2745</v>
      </c>
      <c r="C2162" s="121" t="str">
        <f t="shared" si="88"/>
        <v>http://www.northflorida.va.gov/contact/phone_directory.asp</v>
      </c>
    </row>
    <row r="2163" ht="14.25" hidden="1" customHeight="1">
      <c r="A2163" s="8" t="s">
        <v>2748</v>
      </c>
      <c r="B2163" s="8" t="s">
        <v>2745</v>
      </c>
      <c r="C2163" s="121" t="str">
        <f t="shared" si="88"/>
        <v>http://www.northflorida.va.gov/contact/phone_directory.asp</v>
      </c>
    </row>
    <row r="2164" ht="14.25" hidden="1" customHeight="1">
      <c r="A2164" s="8" t="s">
        <v>2749</v>
      </c>
      <c r="B2164" s="8" t="s">
        <v>2745</v>
      </c>
      <c r="C2164" s="121" t="str">
        <f t="shared" si="88"/>
        <v>http://www.northflorida.va.gov/contact/phone_directory.asp</v>
      </c>
    </row>
    <row r="2165" ht="14.25" hidden="1" customHeight="1">
      <c r="A2165" s="8" t="s">
        <v>631</v>
      </c>
      <c r="B2165" s="8" t="s">
        <v>2745</v>
      </c>
      <c r="C2165" s="121" t="str">
        <f t="shared" si="88"/>
        <v>http://www.northflorida.va.gov/contact/phone_directory.asp</v>
      </c>
    </row>
    <row r="2166" ht="14.25" hidden="1" customHeight="1">
      <c r="A2166" s="8" t="s">
        <v>2751</v>
      </c>
      <c r="B2166" s="8" t="s">
        <v>2745</v>
      </c>
      <c r="C2166" s="121" t="str">
        <f t="shared" si="88"/>
        <v>http://www.northflorida.va.gov/contact/phone_directory.asp</v>
      </c>
    </row>
    <row r="2167" ht="14.25" hidden="1" customHeight="1">
      <c r="A2167" s="8" t="s">
        <v>2752</v>
      </c>
      <c r="B2167" s="8" t="s">
        <v>2745</v>
      </c>
      <c r="C2167" s="121" t="str">
        <f t="shared" si="88"/>
        <v>http://www.northflorida.va.gov/contact/phone_directory.asp</v>
      </c>
    </row>
    <row r="2168" ht="14.25" hidden="1" customHeight="1">
      <c r="A2168" s="8" t="s">
        <v>455</v>
      </c>
      <c r="B2168" s="8" t="s">
        <v>2745</v>
      </c>
      <c r="C2168" s="121" t="str">
        <f t="shared" si="88"/>
        <v>http://www.northflorida.va.gov/contact/phone_directory.asp</v>
      </c>
    </row>
    <row r="2169" ht="14.25" hidden="1" customHeight="1">
      <c r="A2169" s="8" t="s">
        <v>2754</v>
      </c>
      <c r="B2169" s="8" t="s">
        <v>2745</v>
      </c>
      <c r="C2169" s="121" t="str">
        <f t="shared" si="88"/>
        <v>http://www.northflorida.va.gov/contact/phone_directory.asp</v>
      </c>
    </row>
    <row r="2170" ht="14.25" hidden="1" customHeight="1">
      <c r="A2170" s="8" t="s">
        <v>2755</v>
      </c>
      <c r="B2170" s="8" t="s">
        <v>2745</v>
      </c>
      <c r="C2170" s="121" t="str">
        <f t="shared" si="88"/>
        <v>http://www.northflorida.va.gov/contact/phone_directory.asp</v>
      </c>
    </row>
    <row r="2171" ht="14.25" hidden="1" customHeight="1">
      <c r="A2171" s="8" t="s">
        <v>2756</v>
      </c>
      <c r="B2171" s="8" t="s">
        <v>2745</v>
      </c>
      <c r="C2171" s="121" t="str">
        <f t="shared" si="88"/>
        <v>http://www.northflorida.va.gov/contact/phone_directory.asp</v>
      </c>
    </row>
    <row r="2172" ht="14.25" hidden="1" customHeight="1">
      <c r="A2172" s="8" t="s">
        <v>2757</v>
      </c>
      <c r="B2172" s="8" t="s">
        <v>2745</v>
      </c>
      <c r="C2172" s="121" t="str">
        <f t="shared" si="88"/>
        <v>http://www.northflorida.va.gov/contact/phone_directory.asp</v>
      </c>
    </row>
    <row r="2173" ht="14.25" hidden="1" customHeight="1">
      <c r="A2173" s="8" t="s">
        <v>2758</v>
      </c>
      <c r="B2173" s="8" t="s">
        <v>2745</v>
      </c>
      <c r="C2173" s="121" t="str">
        <f t="shared" si="88"/>
        <v>http://www.northflorida.va.gov/contact/phone_directory.asp</v>
      </c>
    </row>
    <row r="2174" ht="14.25" hidden="1" customHeight="1">
      <c r="A2174" s="8" t="s">
        <v>2759</v>
      </c>
      <c r="B2174" s="8" t="s">
        <v>2745</v>
      </c>
      <c r="C2174" s="121" t="str">
        <f t="shared" si="88"/>
        <v>http://www.northflorida.va.gov/contact/phone_directory.asp</v>
      </c>
    </row>
    <row r="2175" ht="14.25" hidden="1" customHeight="1">
      <c r="A2175" s="8" t="s">
        <v>2760</v>
      </c>
      <c r="B2175" s="8" t="s">
        <v>2745</v>
      </c>
      <c r="C2175" s="121" t="str">
        <f t="shared" si="88"/>
        <v>http://www.northflorida.va.gov/contact/phone_directory.asp</v>
      </c>
    </row>
    <row r="2176" ht="14.25" hidden="1" customHeight="1">
      <c r="A2176" s="8" t="s">
        <v>2761</v>
      </c>
      <c r="B2176" s="8" t="s">
        <v>2745</v>
      </c>
      <c r="C2176" s="121" t="str">
        <f t="shared" si="88"/>
        <v>http://www.northflorida.va.gov/contact/phone_directory.asp</v>
      </c>
    </row>
    <row r="2177" ht="14.25" hidden="1" customHeight="1">
      <c r="A2177" s="8" t="s">
        <v>2762</v>
      </c>
      <c r="B2177" s="8" t="s">
        <v>2745</v>
      </c>
      <c r="C2177" s="121" t="str">
        <f t="shared" si="88"/>
        <v>http://www.northflorida.va.gov/contact/phone_directory.asp</v>
      </c>
    </row>
    <row r="2178" ht="14.25" hidden="1" customHeight="1">
      <c r="A2178" s="8" t="s">
        <v>2763</v>
      </c>
      <c r="B2178" s="8" t="s">
        <v>2745</v>
      </c>
      <c r="C2178" s="121" t="str">
        <f t="shared" si="88"/>
        <v>http://www.northflorida.va.gov/contact/phone_directory.asp</v>
      </c>
    </row>
    <row r="2179" ht="14.25" hidden="1" customHeight="1">
      <c r="A2179" s="8" t="s">
        <v>2764</v>
      </c>
      <c r="B2179" s="8" t="s">
        <v>2745</v>
      </c>
      <c r="C2179" s="121" t="str">
        <f t="shared" si="88"/>
        <v>http://www.northflorida.va.gov/contact/phone_directory.asp</v>
      </c>
    </row>
    <row r="2180" ht="14.25" hidden="1" customHeight="1">
      <c r="A2180" s="8" t="s">
        <v>2765</v>
      </c>
      <c r="B2180" s="8" t="s">
        <v>2745</v>
      </c>
      <c r="C2180" s="121" t="str">
        <f t="shared" si="88"/>
        <v>http://www.northflorida.va.gov/contact/phone_directory.asp</v>
      </c>
    </row>
    <row r="2181" ht="14.25" hidden="1" customHeight="1">
      <c r="A2181" s="8" t="s">
        <v>2766</v>
      </c>
      <c r="B2181" s="8" t="s">
        <v>2745</v>
      </c>
      <c r="C2181" s="121" t="str">
        <f t="shared" si="88"/>
        <v>http://www.northflorida.va.gov/contact/phone_directory.asp</v>
      </c>
    </row>
    <row r="2182" ht="14.25" hidden="1" customHeight="1">
      <c r="A2182" s="8" t="s">
        <v>684</v>
      </c>
      <c r="B2182" s="8" t="s">
        <v>2745</v>
      </c>
      <c r="C2182" s="121" t="str">
        <f t="shared" si="88"/>
        <v>http://www.northflorida.va.gov/contact/phone_directory.asp</v>
      </c>
    </row>
    <row r="2183" ht="14.25" hidden="1" customHeight="1">
      <c r="A2183" s="8" t="s">
        <v>2767</v>
      </c>
      <c r="B2183" s="8" t="s">
        <v>2745</v>
      </c>
      <c r="C2183" s="121" t="str">
        <f t="shared" si="88"/>
        <v>http://www.northflorida.va.gov/contact/phone_directory.asp</v>
      </c>
    </row>
    <row r="2184" ht="14.25" hidden="1" customHeight="1">
      <c r="A2184" s="8" t="s">
        <v>2768</v>
      </c>
      <c r="B2184" s="8" t="s">
        <v>2745</v>
      </c>
      <c r="C2184" s="121" t="str">
        <f t="shared" si="88"/>
        <v>http://www.northflorida.va.gov/contact/phone_directory.asp</v>
      </c>
    </row>
    <row r="2185" ht="14.25" hidden="1" customHeight="1">
      <c r="A2185" s="8" t="s">
        <v>724</v>
      </c>
      <c r="B2185" s="8" t="s">
        <v>2745</v>
      </c>
      <c r="C2185" s="121" t="str">
        <f t="shared" si="88"/>
        <v>http://www.northflorida.va.gov/contact/phone_directory.asp</v>
      </c>
    </row>
    <row r="2186" ht="14.25" hidden="1" customHeight="1">
      <c r="A2186" s="8" t="s">
        <v>2769</v>
      </c>
      <c r="B2186" s="8" t="s">
        <v>2745</v>
      </c>
      <c r="C2186" s="121" t="str">
        <f t="shared" si="88"/>
        <v>http://www.northflorida.va.gov/contact/phone_directory.asp</v>
      </c>
    </row>
    <row r="2187" ht="14.25" hidden="1" customHeight="1">
      <c r="A2187" s="8" t="s">
        <v>2771</v>
      </c>
      <c r="B2187" s="8" t="s">
        <v>2745</v>
      </c>
      <c r="C2187" s="121" t="str">
        <f t="shared" si="88"/>
        <v>http://www.northflorida.va.gov/contact/phone_directory.asp</v>
      </c>
    </row>
    <row r="2188" ht="14.25" hidden="1" customHeight="1">
      <c r="A2188" s="8" t="s">
        <v>624</v>
      </c>
      <c r="B2188" s="8" t="s">
        <v>2772</v>
      </c>
      <c r="C2188" s="121" t="str">
        <f t="shared" ref="C2188:C2204" si="89">HYPERLINK("http://www.northport.va.gov/contact/phone_directory.asp")</f>
        <v>http://www.northport.va.gov/contact/phone_directory.asp</v>
      </c>
    </row>
    <row r="2189" ht="14.25" hidden="1" customHeight="1">
      <c r="A2189" s="8" t="s">
        <v>639</v>
      </c>
      <c r="B2189" s="8" t="s">
        <v>2772</v>
      </c>
      <c r="C2189" s="121" t="str">
        <f t="shared" si="89"/>
        <v>http://www.northport.va.gov/contact/phone_directory.asp</v>
      </c>
    </row>
    <row r="2190" ht="14.25" hidden="1" customHeight="1">
      <c r="A2190" s="8" t="s">
        <v>478</v>
      </c>
      <c r="B2190" s="8" t="s">
        <v>2772</v>
      </c>
      <c r="C2190" s="121" t="str">
        <f t="shared" si="89"/>
        <v>http://www.northport.va.gov/contact/phone_directory.asp</v>
      </c>
    </row>
    <row r="2191" ht="14.25" hidden="1" customHeight="1">
      <c r="A2191" s="8" t="s">
        <v>455</v>
      </c>
      <c r="B2191" s="8" t="s">
        <v>2772</v>
      </c>
      <c r="C2191" s="121" t="str">
        <f t="shared" si="89"/>
        <v>http://www.northport.va.gov/contact/phone_directory.asp</v>
      </c>
    </row>
    <row r="2192" ht="14.25" hidden="1" customHeight="1">
      <c r="A2192" s="8" t="s">
        <v>2773</v>
      </c>
      <c r="B2192" s="8" t="s">
        <v>2772</v>
      </c>
      <c r="C2192" s="121" t="str">
        <f t="shared" si="89"/>
        <v>http://www.northport.va.gov/contact/phone_directory.asp</v>
      </c>
    </row>
    <row r="2193" ht="14.25" hidden="1" customHeight="1">
      <c r="A2193" s="8" t="s">
        <v>1865</v>
      </c>
      <c r="B2193" s="8" t="s">
        <v>2772</v>
      </c>
      <c r="C2193" s="121" t="str">
        <f t="shared" si="89"/>
        <v>http://www.northport.va.gov/contact/phone_directory.asp</v>
      </c>
    </row>
    <row r="2194" ht="14.25" hidden="1" customHeight="1">
      <c r="A2194" s="8" t="s">
        <v>2774</v>
      </c>
      <c r="B2194" s="8" t="s">
        <v>2772</v>
      </c>
      <c r="C2194" s="121" t="str">
        <f t="shared" si="89"/>
        <v>http://www.northport.va.gov/contact/phone_directory.asp</v>
      </c>
    </row>
    <row r="2195" ht="14.25" hidden="1" customHeight="1">
      <c r="A2195" s="8" t="s">
        <v>743</v>
      </c>
      <c r="B2195" s="8" t="s">
        <v>2772</v>
      </c>
      <c r="C2195" s="121" t="str">
        <f t="shared" si="89"/>
        <v>http://www.northport.va.gov/contact/phone_directory.asp</v>
      </c>
    </row>
    <row r="2196" ht="14.25" hidden="1" customHeight="1">
      <c r="A2196" s="8" t="s">
        <v>691</v>
      </c>
      <c r="B2196" s="8" t="s">
        <v>2772</v>
      </c>
      <c r="C2196" s="121" t="str">
        <f t="shared" si="89"/>
        <v>http://www.northport.va.gov/contact/phone_directory.asp</v>
      </c>
    </row>
    <row r="2197" ht="14.25" hidden="1" customHeight="1">
      <c r="A2197" s="8" t="s">
        <v>907</v>
      </c>
      <c r="B2197" s="8" t="s">
        <v>2772</v>
      </c>
      <c r="C2197" s="121" t="str">
        <f t="shared" si="89"/>
        <v>http://www.northport.va.gov/contact/phone_directory.asp</v>
      </c>
    </row>
    <row r="2198" ht="14.25" hidden="1" customHeight="1">
      <c r="A2198" s="8" t="s">
        <v>2775</v>
      </c>
      <c r="B2198" s="8" t="s">
        <v>2772</v>
      </c>
      <c r="C2198" s="121" t="str">
        <f t="shared" si="89"/>
        <v>http://www.northport.va.gov/contact/phone_directory.asp</v>
      </c>
    </row>
    <row r="2199" ht="14.25" hidden="1" customHeight="1">
      <c r="A2199" s="8" t="s">
        <v>697</v>
      </c>
      <c r="B2199" s="8" t="s">
        <v>2772</v>
      </c>
      <c r="C2199" s="121" t="str">
        <f t="shared" si="89"/>
        <v>http://www.northport.va.gov/contact/phone_directory.asp</v>
      </c>
    </row>
    <row r="2200" ht="14.25" hidden="1" customHeight="1">
      <c r="A2200" s="8" t="s">
        <v>708</v>
      </c>
      <c r="B2200" s="8" t="s">
        <v>2772</v>
      </c>
      <c r="C2200" s="121" t="str">
        <f t="shared" si="89"/>
        <v>http://www.northport.va.gov/contact/phone_directory.asp</v>
      </c>
    </row>
    <row r="2201" ht="14.25" hidden="1" customHeight="1">
      <c r="A2201" s="8" t="s">
        <v>724</v>
      </c>
      <c r="B2201" s="8" t="s">
        <v>2772</v>
      </c>
      <c r="C2201" s="121" t="str">
        <f t="shared" si="89"/>
        <v>http://www.northport.va.gov/contact/phone_directory.asp</v>
      </c>
    </row>
    <row r="2202" ht="14.25" hidden="1" customHeight="1">
      <c r="A2202" s="8" t="s">
        <v>1869</v>
      </c>
      <c r="B2202" s="8" t="s">
        <v>2772</v>
      </c>
      <c r="C2202" s="121" t="str">
        <f t="shared" si="89"/>
        <v>http://www.northport.va.gov/contact/phone_directory.asp</v>
      </c>
    </row>
    <row r="2203" ht="14.25" hidden="1" customHeight="1">
      <c r="A2203" s="8" t="s">
        <v>1216</v>
      </c>
      <c r="B2203" s="8" t="s">
        <v>2772</v>
      </c>
      <c r="C2203" s="121" t="str">
        <f t="shared" si="89"/>
        <v>http://www.northport.va.gov/contact/phone_directory.asp</v>
      </c>
    </row>
    <row r="2204" ht="14.25" hidden="1" customHeight="1">
      <c r="A2204" s="8" t="s">
        <v>1367</v>
      </c>
      <c r="B2204" s="8" t="s">
        <v>2772</v>
      </c>
      <c r="C2204" s="121" t="str">
        <f t="shared" si="89"/>
        <v>http://www.northport.va.gov/contact/phone_directory.asp</v>
      </c>
    </row>
    <row r="2205" ht="14.25" hidden="1" customHeight="1">
      <c r="A2205" s="8" t="s">
        <v>1811</v>
      </c>
      <c r="B2205" s="8" t="s">
        <v>2777</v>
      </c>
      <c r="C2205" s="121" t="str">
        <f t="shared" ref="C2205:C2217" si="90">HYPERLINK("http://www.nyharbor.va.gov/contact/phone_directory.asp")</f>
        <v>http://www.nyharbor.va.gov/contact/phone_directory.asp</v>
      </c>
    </row>
    <row r="2206" ht="14.25" hidden="1" customHeight="1">
      <c r="A2206" s="8" t="s">
        <v>480</v>
      </c>
      <c r="B2206" s="8" t="s">
        <v>2777</v>
      </c>
      <c r="C2206" s="121" t="str">
        <f t="shared" si="90"/>
        <v>http://www.nyharbor.va.gov/contact/phone_directory.asp</v>
      </c>
    </row>
    <row r="2207" ht="14.25" hidden="1" customHeight="1">
      <c r="A2207" s="8" t="s">
        <v>517</v>
      </c>
      <c r="B2207" s="8" t="s">
        <v>2777</v>
      </c>
      <c r="C2207" s="121" t="str">
        <f t="shared" si="90"/>
        <v>http://www.nyharbor.va.gov/contact/phone_directory.asp</v>
      </c>
    </row>
    <row r="2208" ht="14.25" hidden="1" customHeight="1">
      <c r="A2208" s="8" t="s">
        <v>2779</v>
      </c>
      <c r="B2208" s="8" t="s">
        <v>2777</v>
      </c>
      <c r="C2208" s="121" t="str">
        <f t="shared" si="90"/>
        <v>http://www.nyharbor.va.gov/contact/phone_directory.asp</v>
      </c>
    </row>
    <row r="2209" ht="14.25" hidden="1" customHeight="1">
      <c r="A2209" s="8" t="s">
        <v>2780</v>
      </c>
      <c r="B2209" s="8" t="s">
        <v>2777</v>
      </c>
      <c r="C2209" s="121" t="str">
        <f t="shared" si="90"/>
        <v>http://www.nyharbor.va.gov/contact/phone_directory.asp</v>
      </c>
    </row>
    <row r="2210" ht="14.25" hidden="1" customHeight="1">
      <c r="A2210" s="8" t="s">
        <v>1867</v>
      </c>
      <c r="B2210" s="8" t="s">
        <v>2777</v>
      </c>
      <c r="C2210" s="121" t="str">
        <f t="shared" si="90"/>
        <v>http://www.nyharbor.va.gov/contact/phone_directory.asp</v>
      </c>
    </row>
    <row r="2211" ht="14.25" hidden="1" customHeight="1">
      <c r="A2211" s="8" t="s">
        <v>1094</v>
      </c>
      <c r="B2211" s="8" t="s">
        <v>2777</v>
      </c>
      <c r="C2211" s="121" t="str">
        <f t="shared" si="90"/>
        <v>http://www.nyharbor.va.gov/contact/phone_directory.asp</v>
      </c>
    </row>
    <row r="2212" ht="14.25" hidden="1" customHeight="1">
      <c r="A2212" s="8" t="s">
        <v>2781</v>
      </c>
      <c r="B2212" s="8" t="s">
        <v>2777</v>
      </c>
      <c r="C2212" s="121" t="str">
        <f t="shared" si="90"/>
        <v>http://www.nyharbor.va.gov/contact/phone_directory.asp</v>
      </c>
    </row>
    <row r="2213" ht="14.25" hidden="1" customHeight="1">
      <c r="A2213" s="8" t="s">
        <v>504</v>
      </c>
      <c r="B2213" s="8" t="s">
        <v>2777</v>
      </c>
      <c r="C2213" s="121" t="str">
        <f t="shared" si="90"/>
        <v>http://www.nyharbor.va.gov/contact/phone_directory.asp</v>
      </c>
    </row>
    <row r="2214" ht="14.25" hidden="1" customHeight="1">
      <c r="A2214" s="8" t="s">
        <v>708</v>
      </c>
      <c r="B2214" s="8" t="s">
        <v>2777</v>
      </c>
      <c r="C2214" s="121" t="str">
        <f t="shared" si="90"/>
        <v>http://www.nyharbor.va.gov/contact/phone_directory.asp</v>
      </c>
    </row>
    <row r="2215" ht="14.25" hidden="1" customHeight="1">
      <c r="A2215" s="8" t="s">
        <v>2783</v>
      </c>
      <c r="B2215" s="8" t="s">
        <v>2777</v>
      </c>
      <c r="C2215" s="121" t="str">
        <f t="shared" si="90"/>
        <v>http://www.nyharbor.va.gov/contact/phone_directory.asp</v>
      </c>
    </row>
    <row r="2216" ht="14.25" hidden="1" customHeight="1">
      <c r="A2216" s="8" t="s">
        <v>724</v>
      </c>
      <c r="B2216" s="8" t="s">
        <v>2777</v>
      </c>
      <c r="C2216" s="121" t="str">
        <f t="shared" si="90"/>
        <v>http://www.nyharbor.va.gov/contact/phone_directory.asp</v>
      </c>
    </row>
    <row r="2217" ht="14.25" hidden="1" customHeight="1">
      <c r="A2217" s="8" t="s">
        <v>1216</v>
      </c>
      <c r="B2217" s="8" t="s">
        <v>2777</v>
      </c>
      <c r="C2217" s="121" t="str">
        <f t="shared" si="90"/>
        <v>http://www.nyharbor.va.gov/contact/phone_directory.asp</v>
      </c>
    </row>
    <row r="2218" ht="14.25" hidden="1" customHeight="1">
      <c r="A2218" s="8" t="s">
        <v>2785</v>
      </c>
      <c r="B2218" s="8" t="s">
        <v>2786</v>
      </c>
      <c r="C2218" s="121" t="str">
        <f t="shared" ref="C2218:C2249" si="91">HYPERLINK("http://www.oklahoma.va.gov/contact/phone_directory.asp")</f>
        <v>http://www.oklahoma.va.gov/contact/phone_directory.asp</v>
      </c>
    </row>
    <row r="2219" ht="14.25" hidden="1" customHeight="1">
      <c r="A2219" s="8" t="s">
        <v>2787</v>
      </c>
      <c r="B2219" s="8" t="s">
        <v>2786</v>
      </c>
      <c r="C2219" s="121" t="str">
        <f t="shared" si="91"/>
        <v>http://www.oklahoma.va.gov/contact/phone_directory.asp</v>
      </c>
    </row>
    <row r="2220" ht="14.25" hidden="1" customHeight="1">
      <c r="A2220" s="8" t="s">
        <v>482</v>
      </c>
      <c r="B2220" s="8" t="s">
        <v>2786</v>
      </c>
      <c r="C2220" s="121" t="str">
        <f t="shared" si="91"/>
        <v>http://www.oklahoma.va.gov/contact/phone_directory.asp</v>
      </c>
    </row>
    <row r="2221" ht="14.25" hidden="1" customHeight="1">
      <c r="A2221" s="8" t="s">
        <v>2788</v>
      </c>
      <c r="B2221" s="8" t="s">
        <v>2786</v>
      </c>
      <c r="C2221" s="121" t="str">
        <f t="shared" si="91"/>
        <v>http://www.oklahoma.va.gov/contact/phone_directory.asp</v>
      </c>
    </row>
    <row r="2222" ht="14.25" hidden="1" customHeight="1">
      <c r="A2222" s="8" t="s">
        <v>673</v>
      </c>
      <c r="B2222" s="8" t="s">
        <v>2786</v>
      </c>
      <c r="C2222" s="121" t="str">
        <f t="shared" si="91"/>
        <v>http://www.oklahoma.va.gov/contact/phone_directory.asp</v>
      </c>
    </row>
    <row r="2223" ht="14.25" hidden="1" customHeight="1">
      <c r="A2223" s="8" t="s">
        <v>483</v>
      </c>
      <c r="B2223" s="8" t="s">
        <v>2786</v>
      </c>
      <c r="C2223" s="121" t="str">
        <f t="shared" si="91"/>
        <v>http://www.oklahoma.va.gov/contact/phone_directory.asp</v>
      </c>
    </row>
    <row r="2224" ht="14.25" hidden="1" customHeight="1">
      <c r="A2224" s="8" t="s">
        <v>2790</v>
      </c>
      <c r="B2224" s="8" t="s">
        <v>2786</v>
      </c>
      <c r="C2224" s="121" t="str">
        <f t="shared" si="91"/>
        <v>http://www.oklahoma.va.gov/contact/phone_directory.asp</v>
      </c>
    </row>
    <row r="2225" ht="14.25" hidden="1" customHeight="1">
      <c r="A2225" s="8" t="s">
        <v>517</v>
      </c>
      <c r="B2225" s="8" t="s">
        <v>2786</v>
      </c>
      <c r="C2225" s="121" t="str">
        <f t="shared" si="91"/>
        <v>http://www.oklahoma.va.gov/contact/phone_directory.asp</v>
      </c>
    </row>
    <row r="2226" ht="14.25" hidden="1" customHeight="1">
      <c r="A2226" s="8" t="s">
        <v>2791</v>
      </c>
      <c r="B2226" s="8" t="s">
        <v>2786</v>
      </c>
      <c r="C2226" s="121" t="str">
        <f t="shared" si="91"/>
        <v>http://www.oklahoma.va.gov/contact/phone_directory.asp</v>
      </c>
    </row>
    <row r="2227" ht="14.25" hidden="1" customHeight="1">
      <c r="A2227" s="8" t="s">
        <v>663</v>
      </c>
      <c r="B2227" s="8" t="s">
        <v>2786</v>
      </c>
      <c r="C2227" s="121" t="str">
        <f t="shared" si="91"/>
        <v>http://www.oklahoma.va.gov/contact/phone_directory.asp</v>
      </c>
    </row>
    <row r="2228" ht="14.25" hidden="1" customHeight="1">
      <c r="A2228" s="8" t="s">
        <v>719</v>
      </c>
      <c r="B2228" s="8" t="s">
        <v>2786</v>
      </c>
      <c r="C2228" s="121" t="str">
        <f t="shared" si="91"/>
        <v>http://www.oklahoma.va.gov/contact/phone_directory.asp</v>
      </c>
    </row>
    <row r="2229" ht="14.25" hidden="1" customHeight="1">
      <c r="A2229" s="8" t="s">
        <v>2792</v>
      </c>
      <c r="B2229" s="8" t="s">
        <v>2786</v>
      </c>
      <c r="C2229" s="121" t="str">
        <f t="shared" si="91"/>
        <v>http://www.oklahoma.va.gov/contact/phone_directory.asp</v>
      </c>
    </row>
    <row r="2230" ht="14.25" hidden="1" customHeight="1">
      <c r="A2230" s="8" t="s">
        <v>1147</v>
      </c>
      <c r="B2230" s="8" t="s">
        <v>2786</v>
      </c>
      <c r="C2230" s="121" t="str">
        <f t="shared" si="91"/>
        <v>http://www.oklahoma.va.gov/contact/phone_directory.asp</v>
      </c>
    </row>
    <row r="2231" ht="14.25" hidden="1" customHeight="1">
      <c r="A2231" s="8" t="s">
        <v>556</v>
      </c>
      <c r="B2231" s="8" t="s">
        <v>2786</v>
      </c>
      <c r="C2231" s="121" t="str">
        <f t="shared" si="91"/>
        <v>http://www.oklahoma.va.gov/contact/phone_directory.asp</v>
      </c>
    </row>
    <row r="2232" ht="14.25" hidden="1" customHeight="1">
      <c r="A2232" s="8" t="s">
        <v>431</v>
      </c>
      <c r="B2232" s="8" t="s">
        <v>2786</v>
      </c>
      <c r="C2232" s="121" t="str">
        <f t="shared" si="91"/>
        <v>http://www.oklahoma.va.gov/contact/phone_directory.asp</v>
      </c>
    </row>
    <row r="2233" ht="14.25" hidden="1" customHeight="1">
      <c r="A2233" s="8" t="s">
        <v>2501</v>
      </c>
      <c r="B2233" s="8" t="s">
        <v>2786</v>
      </c>
      <c r="C2233" s="121" t="str">
        <f t="shared" si="91"/>
        <v>http://www.oklahoma.va.gov/contact/phone_directory.asp</v>
      </c>
    </row>
    <row r="2234" ht="14.25" hidden="1" customHeight="1">
      <c r="A2234" s="8" t="s">
        <v>2794</v>
      </c>
      <c r="B2234" s="8" t="s">
        <v>2786</v>
      </c>
      <c r="C2234" s="121" t="str">
        <f t="shared" si="91"/>
        <v>http://www.oklahoma.va.gov/contact/phone_directory.asp</v>
      </c>
    </row>
    <row r="2235" ht="14.25" hidden="1" customHeight="1">
      <c r="A2235" s="8" t="s">
        <v>2795</v>
      </c>
      <c r="B2235" s="8" t="s">
        <v>2786</v>
      </c>
      <c r="C2235" s="121" t="str">
        <f t="shared" si="91"/>
        <v>http://www.oklahoma.va.gov/contact/phone_directory.asp</v>
      </c>
    </row>
    <row r="2236" ht="14.25" hidden="1" customHeight="1">
      <c r="A2236" s="8" t="s">
        <v>2796</v>
      </c>
      <c r="B2236" s="8" t="s">
        <v>2786</v>
      </c>
      <c r="C2236" s="121" t="str">
        <f t="shared" si="91"/>
        <v>http://www.oklahoma.va.gov/contact/phone_directory.asp</v>
      </c>
    </row>
    <row r="2237" ht="14.25" hidden="1" customHeight="1">
      <c r="A2237" s="8" t="s">
        <v>2797</v>
      </c>
      <c r="B2237" s="8" t="s">
        <v>2786</v>
      </c>
      <c r="C2237" s="121" t="str">
        <f t="shared" si="91"/>
        <v>http://www.oklahoma.va.gov/contact/phone_directory.asp</v>
      </c>
    </row>
    <row r="2238" ht="14.25" hidden="1" customHeight="1">
      <c r="A2238" s="8" t="s">
        <v>1808</v>
      </c>
      <c r="B2238" s="8" t="s">
        <v>2786</v>
      </c>
      <c r="C2238" s="121" t="str">
        <f t="shared" si="91"/>
        <v>http://www.oklahoma.va.gov/contact/phone_directory.asp</v>
      </c>
    </row>
    <row r="2239" ht="14.25" hidden="1" customHeight="1">
      <c r="A2239" s="8" t="s">
        <v>2799</v>
      </c>
      <c r="B2239" s="8" t="s">
        <v>2786</v>
      </c>
      <c r="C2239" s="121" t="str">
        <f t="shared" si="91"/>
        <v>http://www.oklahoma.va.gov/contact/phone_directory.asp</v>
      </c>
    </row>
    <row r="2240" ht="14.25" hidden="1" customHeight="1">
      <c r="A2240" s="8" t="s">
        <v>2800</v>
      </c>
      <c r="B2240" s="8" t="s">
        <v>2786</v>
      </c>
      <c r="C2240" s="121" t="str">
        <f t="shared" si="91"/>
        <v>http://www.oklahoma.va.gov/contact/phone_directory.asp</v>
      </c>
    </row>
    <row r="2241" ht="14.25" hidden="1" customHeight="1">
      <c r="A2241" s="8" t="s">
        <v>2801</v>
      </c>
      <c r="B2241" s="8" t="s">
        <v>2786</v>
      </c>
      <c r="C2241" s="121" t="str">
        <f t="shared" si="91"/>
        <v>http://www.oklahoma.va.gov/contact/phone_directory.asp</v>
      </c>
    </row>
    <row r="2242" ht="14.25" hidden="1" customHeight="1">
      <c r="A2242" s="8" t="s">
        <v>603</v>
      </c>
      <c r="B2242" s="8" t="s">
        <v>2786</v>
      </c>
      <c r="C2242" s="121" t="str">
        <f t="shared" si="91"/>
        <v>http://www.oklahoma.va.gov/contact/phone_directory.asp</v>
      </c>
    </row>
    <row r="2243" ht="14.25" hidden="1" customHeight="1">
      <c r="A2243" s="8" t="s">
        <v>1721</v>
      </c>
      <c r="B2243" s="8" t="s">
        <v>2786</v>
      </c>
      <c r="C2243" s="121" t="str">
        <f t="shared" si="91"/>
        <v>http://www.oklahoma.va.gov/contact/phone_directory.asp</v>
      </c>
    </row>
    <row r="2244" ht="14.25" hidden="1" customHeight="1">
      <c r="A2244" s="8" t="s">
        <v>2804</v>
      </c>
      <c r="B2244" s="8" t="s">
        <v>2786</v>
      </c>
      <c r="C2244" s="121" t="str">
        <f t="shared" si="91"/>
        <v>http://www.oklahoma.va.gov/contact/phone_directory.asp</v>
      </c>
    </row>
    <row r="2245" ht="14.25" hidden="1" customHeight="1">
      <c r="A2245" s="8" t="s">
        <v>708</v>
      </c>
      <c r="B2245" s="8" t="s">
        <v>2786</v>
      </c>
      <c r="C2245" s="121" t="str">
        <f t="shared" si="91"/>
        <v>http://www.oklahoma.va.gov/contact/phone_directory.asp</v>
      </c>
    </row>
    <row r="2246" ht="14.25" hidden="1" customHeight="1">
      <c r="A2246" s="8" t="s">
        <v>508</v>
      </c>
      <c r="B2246" s="8" t="s">
        <v>2786</v>
      </c>
      <c r="C2246" s="121" t="str">
        <f t="shared" si="91"/>
        <v>http://www.oklahoma.va.gov/contact/phone_directory.asp</v>
      </c>
    </row>
    <row r="2247" ht="14.25" hidden="1" customHeight="1">
      <c r="A2247" s="8" t="s">
        <v>2805</v>
      </c>
      <c r="B2247" s="8" t="s">
        <v>2786</v>
      </c>
      <c r="C2247" s="121" t="str">
        <f t="shared" si="91"/>
        <v>http://www.oklahoma.va.gov/contact/phone_directory.asp</v>
      </c>
    </row>
    <row r="2248" ht="14.25" hidden="1" customHeight="1">
      <c r="A2248" s="8" t="s">
        <v>511</v>
      </c>
      <c r="B2248" s="8" t="s">
        <v>2786</v>
      </c>
      <c r="C2248" s="121" t="str">
        <f t="shared" si="91"/>
        <v>http://www.oklahoma.va.gov/contact/phone_directory.asp</v>
      </c>
    </row>
    <row r="2249" ht="14.25" hidden="1" customHeight="1">
      <c r="A2249" s="8" t="s">
        <v>518</v>
      </c>
      <c r="B2249" s="8" t="s">
        <v>2786</v>
      </c>
      <c r="C2249" s="121" t="str">
        <f t="shared" si="91"/>
        <v>http://www.oklahoma.va.gov/contact/phone_directory.asp</v>
      </c>
    </row>
    <row r="2250" ht="14.25" hidden="1" customHeight="1">
      <c r="A2250" s="8" t="s">
        <v>618</v>
      </c>
      <c r="B2250" s="8" t="s">
        <v>2806</v>
      </c>
      <c r="C2250" s="121" t="str">
        <f t="shared" ref="C2250:C2319" si="92">HYPERLINK("http://www.orlando.va.gov/contact/phone_directory.asp")</f>
        <v>http://www.orlando.va.gov/contact/phone_directory.asp</v>
      </c>
    </row>
    <row r="2251" ht="14.25" hidden="1" customHeight="1">
      <c r="A2251" s="8" t="s">
        <v>2807</v>
      </c>
      <c r="B2251" s="8" t="s">
        <v>2806</v>
      </c>
      <c r="C2251" s="121" t="str">
        <f t="shared" si="92"/>
        <v>http://www.orlando.va.gov/contact/phone_directory.asp</v>
      </c>
    </row>
    <row r="2252" ht="14.25" hidden="1" customHeight="1">
      <c r="A2252" s="8" t="s">
        <v>2808</v>
      </c>
      <c r="B2252" s="8" t="s">
        <v>2806</v>
      </c>
      <c r="C2252" s="121" t="str">
        <f t="shared" si="92"/>
        <v>http://www.orlando.va.gov/contact/phone_directory.asp</v>
      </c>
    </row>
    <row r="2253" ht="14.25" hidden="1" customHeight="1">
      <c r="A2253" s="8" t="s">
        <v>636</v>
      </c>
      <c r="B2253" s="8" t="s">
        <v>2806</v>
      </c>
      <c r="C2253" s="121" t="str">
        <f t="shared" si="92"/>
        <v>http://www.orlando.va.gov/contact/phone_directory.asp</v>
      </c>
    </row>
    <row r="2254" ht="14.25" hidden="1" customHeight="1">
      <c r="A2254" s="8" t="s">
        <v>2054</v>
      </c>
      <c r="B2254" s="8" t="s">
        <v>2806</v>
      </c>
      <c r="C2254" s="121" t="str">
        <f t="shared" si="92"/>
        <v>http://www.orlando.va.gov/contact/phone_directory.asp</v>
      </c>
    </row>
    <row r="2255" ht="14.25" hidden="1" customHeight="1">
      <c r="A2255" s="8" t="s">
        <v>2810</v>
      </c>
      <c r="B2255" s="8" t="s">
        <v>2806</v>
      </c>
      <c r="C2255" s="121" t="str">
        <f t="shared" si="92"/>
        <v>http://www.orlando.va.gov/contact/phone_directory.asp</v>
      </c>
    </row>
    <row r="2256" ht="14.25" hidden="1" customHeight="1">
      <c r="A2256" s="8" t="s">
        <v>2272</v>
      </c>
      <c r="B2256" s="8" t="s">
        <v>2806</v>
      </c>
      <c r="C2256" s="121" t="str">
        <f t="shared" si="92"/>
        <v>http://www.orlando.va.gov/contact/phone_directory.asp</v>
      </c>
    </row>
    <row r="2257" ht="14.25" hidden="1" customHeight="1">
      <c r="A2257" s="8" t="s">
        <v>414</v>
      </c>
      <c r="B2257" s="8" t="s">
        <v>2806</v>
      </c>
      <c r="C2257" s="121" t="str">
        <f t="shared" si="92"/>
        <v>http://www.orlando.va.gov/contact/phone_directory.asp</v>
      </c>
    </row>
    <row r="2258" ht="14.25" hidden="1" customHeight="1">
      <c r="A2258" s="8" t="s">
        <v>455</v>
      </c>
      <c r="B2258" s="8" t="s">
        <v>2806</v>
      </c>
      <c r="C2258" s="121" t="str">
        <f t="shared" si="92"/>
        <v>http://www.orlando.va.gov/contact/phone_directory.asp</v>
      </c>
    </row>
    <row r="2259" ht="14.25" hidden="1" customHeight="1">
      <c r="A2259" s="8" t="s">
        <v>2811</v>
      </c>
      <c r="B2259" s="8" t="s">
        <v>2806</v>
      </c>
      <c r="C2259" s="121" t="str">
        <f t="shared" si="92"/>
        <v>http://www.orlando.va.gov/contact/phone_directory.asp</v>
      </c>
    </row>
    <row r="2260" ht="14.25" hidden="1" customHeight="1">
      <c r="A2260" s="8" t="s">
        <v>2812</v>
      </c>
      <c r="B2260" s="8" t="s">
        <v>2806</v>
      </c>
      <c r="C2260" s="121" t="str">
        <f t="shared" si="92"/>
        <v>http://www.orlando.va.gov/contact/phone_directory.asp</v>
      </c>
    </row>
    <row r="2261" ht="14.25" hidden="1" customHeight="1">
      <c r="A2261" s="8" t="s">
        <v>517</v>
      </c>
      <c r="B2261" s="8" t="s">
        <v>2806</v>
      </c>
      <c r="C2261" s="121" t="str">
        <f t="shared" si="92"/>
        <v>http://www.orlando.va.gov/contact/phone_directory.asp</v>
      </c>
    </row>
    <row r="2262" ht="14.25" hidden="1" customHeight="1">
      <c r="A2262" s="8" t="s">
        <v>2813</v>
      </c>
      <c r="B2262" s="8" t="s">
        <v>2806</v>
      </c>
      <c r="C2262" s="121" t="str">
        <f t="shared" si="92"/>
        <v>http://www.orlando.va.gov/contact/phone_directory.asp</v>
      </c>
    </row>
    <row r="2263" ht="14.25" hidden="1" customHeight="1">
      <c r="A2263" s="8" t="s">
        <v>308</v>
      </c>
      <c r="B2263" s="8" t="s">
        <v>2806</v>
      </c>
      <c r="C2263" s="121" t="str">
        <f t="shared" si="92"/>
        <v>http://www.orlando.va.gov/contact/phone_directory.asp</v>
      </c>
    </row>
    <row r="2264" ht="14.25" hidden="1" customHeight="1">
      <c r="A2264" s="8" t="s">
        <v>2814</v>
      </c>
      <c r="B2264" s="8" t="s">
        <v>2806</v>
      </c>
      <c r="C2264" s="121" t="str">
        <f t="shared" si="92"/>
        <v>http://www.orlando.va.gov/contact/phone_directory.asp</v>
      </c>
    </row>
    <row r="2265" ht="14.25" hidden="1" customHeight="1">
      <c r="A2265" s="8" t="s">
        <v>485</v>
      </c>
      <c r="B2265" s="8" t="s">
        <v>2806</v>
      </c>
      <c r="C2265" s="121" t="str">
        <f t="shared" si="92"/>
        <v>http://www.orlando.va.gov/contact/phone_directory.asp</v>
      </c>
    </row>
    <row r="2266" ht="14.25" hidden="1" customHeight="1">
      <c r="A2266" s="8" t="s">
        <v>2816</v>
      </c>
      <c r="B2266" s="8" t="s">
        <v>2806</v>
      </c>
      <c r="C2266" s="121" t="str">
        <f t="shared" si="92"/>
        <v>http://www.orlando.va.gov/contact/phone_directory.asp</v>
      </c>
    </row>
    <row r="2267" ht="14.25" hidden="1" customHeight="1">
      <c r="A2267" s="8" t="s">
        <v>2817</v>
      </c>
      <c r="B2267" s="8" t="s">
        <v>2806</v>
      </c>
      <c r="C2267" s="121" t="str">
        <f t="shared" si="92"/>
        <v>http://www.orlando.va.gov/contact/phone_directory.asp</v>
      </c>
    </row>
    <row r="2268" ht="14.25" hidden="1" customHeight="1">
      <c r="A2268" s="8" t="s">
        <v>2819</v>
      </c>
      <c r="B2268" s="8" t="s">
        <v>2806</v>
      </c>
      <c r="C2268" s="121" t="str">
        <f t="shared" si="92"/>
        <v>http://www.orlando.va.gov/contact/phone_directory.asp</v>
      </c>
    </row>
    <row r="2269" ht="14.25" hidden="1" customHeight="1">
      <c r="A2269" s="8" t="s">
        <v>560</v>
      </c>
      <c r="B2269" s="8" t="s">
        <v>2806</v>
      </c>
      <c r="C2269" s="121" t="str">
        <f t="shared" si="92"/>
        <v>http://www.orlando.va.gov/contact/phone_directory.asp</v>
      </c>
    </row>
    <row r="2270" ht="14.25" hidden="1" customHeight="1">
      <c r="A2270" s="8" t="s">
        <v>2821</v>
      </c>
      <c r="B2270" s="8" t="s">
        <v>2806</v>
      </c>
      <c r="C2270" s="121" t="str">
        <f t="shared" si="92"/>
        <v>http://www.orlando.va.gov/contact/phone_directory.asp</v>
      </c>
    </row>
    <row r="2271" ht="14.25" hidden="1" customHeight="1">
      <c r="A2271" s="8" t="s">
        <v>2822</v>
      </c>
      <c r="B2271" s="8" t="s">
        <v>2806</v>
      </c>
      <c r="C2271" s="121" t="str">
        <f t="shared" si="92"/>
        <v>http://www.orlando.va.gov/contact/phone_directory.asp</v>
      </c>
    </row>
    <row r="2272" ht="14.25" hidden="1" customHeight="1">
      <c r="A2272" s="8" t="s">
        <v>2823</v>
      </c>
      <c r="B2272" s="8" t="s">
        <v>2806</v>
      </c>
      <c r="C2272" s="121" t="str">
        <f t="shared" si="92"/>
        <v>http://www.orlando.va.gov/contact/phone_directory.asp</v>
      </c>
    </row>
    <row r="2273" ht="14.25" hidden="1" customHeight="1">
      <c r="A2273" s="8" t="s">
        <v>670</v>
      </c>
      <c r="B2273" s="8" t="s">
        <v>2806</v>
      </c>
      <c r="C2273" s="121" t="str">
        <f t="shared" si="92"/>
        <v>http://www.orlando.va.gov/contact/phone_directory.asp</v>
      </c>
    </row>
    <row r="2274" ht="14.25" hidden="1" customHeight="1">
      <c r="A2274" s="8" t="s">
        <v>579</v>
      </c>
      <c r="B2274" s="8" t="s">
        <v>2806</v>
      </c>
      <c r="C2274" s="121" t="str">
        <f t="shared" si="92"/>
        <v>http://www.orlando.va.gov/contact/phone_directory.asp</v>
      </c>
    </row>
    <row r="2275" ht="14.25" hidden="1" customHeight="1">
      <c r="A2275" s="8" t="s">
        <v>2501</v>
      </c>
      <c r="B2275" s="8" t="s">
        <v>2806</v>
      </c>
      <c r="C2275" s="121" t="str">
        <f t="shared" si="92"/>
        <v>http://www.orlando.va.gov/contact/phone_directory.asp</v>
      </c>
    </row>
    <row r="2276" ht="14.25" hidden="1" customHeight="1">
      <c r="A2276" s="8" t="s">
        <v>2824</v>
      </c>
      <c r="B2276" s="8" t="s">
        <v>2806</v>
      </c>
      <c r="C2276" s="121" t="str">
        <f t="shared" si="92"/>
        <v>http://www.orlando.va.gov/contact/phone_directory.asp</v>
      </c>
    </row>
    <row r="2277" ht="14.25" hidden="1" customHeight="1">
      <c r="A2277" s="8" t="s">
        <v>683</v>
      </c>
      <c r="B2277" s="8" t="s">
        <v>2806</v>
      </c>
      <c r="C2277" s="121" t="str">
        <f t="shared" si="92"/>
        <v>http://www.orlando.va.gov/contact/phone_directory.asp</v>
      </c>
    </row>
    <row r="2278" ht="14.25" hidden="1" customHeight="1">
      <c r="A2278" s="8" t="s">
        <v>2825</v>
      </c>
      <c r="B2278" s="8" t="s">
        <v>2806</v>
      </c>
      <c r="C2278" s="121" t="str">
        <f t="shared" si="92"/>
        <v>http://www.orlando.va.gov/contact/phone_directory.asp</v>
      </c>
    </row>
    <row r="2279" ht="14.25" hidden="1" customHeight="1">
      <c r="A2279" s="8" t="s">
        <v>738</v>
      </c>
      <c r="B2279" s="8" t="s">
        <v>2806</v>
      </c>
      <c r="C2279" s="121" t="str">
        <f t="shared" si="92"/>
        <v>http://www.orlando.va.gov/contact/phone_directory.asp</v>
      </c>
    </row>
    <row r="2280" ht="14.25" hidden="1" customHeight="1">
      <c r="A2280" s="8" t="s">
        <v>707</v>
      </c>
      <c r="B2280" s="8" t="s">
        <v>2806</v>
      </c>
      <c r="C2280" s="121" t="str">
        <f t="shared" si="92"/>
        <v>http://www.orlando.va.gov/contact/phone_directory.asp</v>
      </c>
    </row>
    <row r="2281" ht="14.25" hidden="1" customHeight="1">
      <c r="A2281" s="8" t="s">
        <v>653</v>
      </c>
      <c r="B2281" s="8" t="s">
        <v>2806</v>
      </c>
      <c r="C2281" s="121" t="str">
        <f t="shared" si="92"/>
        <v>http://www.orlando.va.gov/contact/phone_directory.asp</v>
      </c>
    </row>
    <row r="2282" ht="14.25" hidden="1" customHeight="1">
      <c r="A2282" s="8" t="s">
        <v>2826</v>
      </c>
      <c r="B2282" s="8" t="s">
        <v>2806</v>
      </c>
      <c r="C2282" s="121" t="str">
        <f t="shared" si="92"/>
        <v>http://www.orlando.va.gov/contact/phone_directory.asp</v>
      </c>
    </row>
    <row r="2283" ht="14.25" hidden="1" customHeight="1">
      <c r="A2283" s="8" t="s">
        <v>839</v>
      </c>
      <c r="B2283" s="8" t="s">
        <v>2806</v>
      </c>
      <c r="C2283" s="121" t="str">
        <f t="shared" si="92"/>
        <v>http://www.orlando.va.gov/contact/phone_directory.asp</v>
      </c>
    </row>
    <row r="2284" ht="14.25" hidden="1" customHeight="1">
      <c r="A2284" s="8" t="s">
        <v>2827</v>
      </c>
      <c r="B2284" s="8" t="s">
        <v>2806</v>
      </c>
      <c r="C2284" s="121" t="str">
        <f t="shared" si="92"/>
        <v>http://www.orlando.va.gov/contact/phone_directory.asp</v>
      </c>
    </row>
    <row r="2285" ht="14.25" hidden="1" customHeight="1">
      <c r="A2285" s="8" t="s">
        <v>2829</v>
      </c>
      <c r="B2285" s="8" t="s">
        <v>2806</v>
      </c>
      <c r="C2285" s="121" t="str">
        <f t="shared" si="92"/>
        <v>http://www.orlando.va.gov/contact/phone_directory.asp</v>
      </c>
    </row>
    <row r="2286" ht="14.25" hidden="1" customHeight="1">
      <c r="A2286" s="8" t="s">
        <v>2830</v>
      </c>
      <c r="B2286" s="8" t="s">
        <v>2806</v>
      </c>
      <c r="C2286" s="121" t="str">
        <f t="shared" si="92"/>
        <v>http://www.orlando.va.gov/contact/phone_directory.asp</v>
      </c>
    </row>
    <row r="2287" ht="14.25" hidden="1" customHeight="1">
      <c r="A2287" s="8" t="s">
        <v>2831</v>
      </c>
      <c r="B2287" s="8" t="s">
        <v>2806</v>
      </c>
      <c r="C2287" s="121" t="str">
        <f t="shared" si="92"/>
        <v>http://www.orlando.va.gov/contact/phone_directory.asp</v>
      </c>
    </row>
    <row r="2288" ht="14.25" hidden="1" customHeight="1">
      <c r="A2288" s="8" t="s">
        <v>2065</v>
      </c>
      <c r="B2288" s="8" t="s">
        <v>2806</v>
      </c>
      <c r="C2288" s="121" t="str">
        <f t="shared" si="92"/>
        <v>http://www.orlando.va.gov/contact/phone_directory.asp</v>
      </c>
    </row>
    <row r="2289" ht="14.25" hidden="1" customHeight="1">
      <c r="A2289" s="8" t="s">
        <v>2832</v>
      </c>
      <c r="B2289" s="8" t="s">
        <v>2806</v>
      </c>
      <c r="C2289" s="121" t="str">
        <f t="shared" si="92"/>
        <v>http://www.orlando.va.gov/contact/phone_directory.asp</v>
      </c>
    </row>
    <row r="2290" ht="14.25" hidden="1" customHeight="1">
      <c r="A2290" s="8" t="s">
        <v>2833</v>
      </c>
      <c r="B2290" s="8" t="s">
        <v>2806</v>
      </c>
      <c r="C2290" s="121" t="str">
        <f t="shared" si="92"/>
        <v>http://www.orlando.va.gov/contact/phone_directory.asp</v>
      </c>
    </row>
    <row r="2291" ht="14.25" hidden="1" customHeight="1">
      <c r="A2291" s="8" t="s">
        <v>2834</v>
      </c>
      <c r="B2291" s="8" t="s">
        <v>2806</v>
      </c>
      <c r="C2291" s="121" t="str">
        <f t="shared" si="92"/>
        <v>http://www.orlando.va.gov/contact/phone_directory.asp</v>
      </c>
    </row>
    <row r="2292" ht="14.25" hidden="1" customHeight="1">
      <c r="A2292" s="8" t="s">
        <v>2835</v>
      </c>
      <c r="B2292" s="8" t="s">
        <v>2806</v>
      </c>
      <c r="C2292" s="121" t="str">
        <f t="shared" si="92"/>
        <v>http://www.orlando.va.gov/contact/phone_directory.asp</v>
      </c>
    </row>
    <row r="2293" ht="14.25" hidden="1" customHeight="1">
      <c r="A2293" s="8" t="s">
        <v>2836</v>
      </c>
      <c r="B2293" s="8" t="s">
        <v>2806</v>
      </c>
      <c r="C2293" s="121" t="str">
        <f t="shared" si="92"/>
        <v>http://www.orlando.va.gov/contact/phone_directory.asp</v>
      </c>
    </row>
    <row r="2294" ht="14.25" hidden="1" customHeight="1">
      <c r="A2294" s="8" t="s">
        <v>775</v>
      </c>
      <c r="B2294" s="8" t="s">
        <v>2806</v>
      </c>
      <c r="C2294" s="121" t="str">
        <f t="shared" si="92"/>
        <v>http://www.orlando.va.gov/contact/phone_directory.asp</v>
      </c>
    </row>
    <row r="2295" ht="14.25" hidden="1" customHeight="1">
      <c r="A2295" s="8" t="s">
        <v>504</v>
      </c>
      <c r="B2295" s="8" t="s">
        <v>2806</v>
      </c>
      <c r="C2295" s="121" t="str">
        <f t="shared" si="92"/>
        <v>http://www.orlando.va.gov/contact/phone_directory.asp</v>
      </c>
    </row>
    <row r="2296" ht="14.25" hidden="1" customHeight="1">
      <c r="A2296" s="8" t="s">
        <v>791</v>
      </c>
      <c r="B2296" s="8" t="s">
        <v>2806</v>
      </c>
      <c r="C2296" s="121" t="str">
        <f t="shared" si="92"/>
        <v>http://www.orlando.va.gov/contact/phone_directory.asp</v>
      </c>
    </row>
    <row r="2297" ht="14.25" hidden="1" customHeight="1">
      <c r="A2297" s="8" t="s">
        <v>2068</v>
      </c>
      <c r="B2297" s="8" t="s">
        <v>2806</v>
      </c>
      <c r="C2297" s="121" t="str">
        <f t="shared" si="92"/>
        <v>http://www.orlando.va.gov/contact/phone_directory.asp</v>
      </c>
    </row>
    <row r="2298" ht="14.25" hidden="1" customHeight="1">
      <c r="A2298" s="8" t="s">
        <v>457</v>
      </c>
      <c r="B2298" s="8" t="s">
        <v>2806</v>
      </c>
      <c r="C2298" s="121" t="str">
        <f t="shared" si="92"/>
        <v>http://www.orlando.va.gov/contact/phone_directory.asp</v>
      </c>
    </row>
    <row r="2299" ht="14.25" hidden="1" customHeight="1">
      <c r="A2299" s="8" t="s">
        <v>2838</v>
      </c>
      <c r="B2299" s="8" t="s">
        <v>2806</v>
      </c>
      <c r="C2299" s="121" t="str">
        <f t="shared" si="92"/>
        <v>http://www.orlando.va.gov/contact/phone_directory.asp</v>
      </c>
    </row>
    <row r="2300" ht="14.25" hidden="1" customHeight="1">
      <c r="A2300" s="8" t="s">
        <v>2839</v>
      </c>
      <c r="B2300" s="8" t="s">
        <v>2806</v>
      </c>
      <c r="C2300" s="121" t="str">
        <f t="shared" si="92"/>
        <v>http://www.orlando.va.gov/contact/phone_directory.asp</v>
      </c>
    </row>
    <row r="2301" ht="14.25" hidden="1" customHeight="1">
      <c r="A2301" s="8" t="s">
        <v>1171</v>
      </c>
      <c r="B2301" s="8" t="s">
        <v>2806</v>
      </c>
      <c r="C2301" s="121" t="str">
        <f t="shared" si="92"/>
        <v>http://www.orlando.va.gov/contact/phone_directory.asp</v>
      </c>
    </row>
    <row r="2302" ht="14.25" hidden="1" customHeight="1">
      <c r="A2302" s="8" t="s">
        <v>364</v>
      </c>
      <c r="B2302" s="8" t="s">
        <v>2806</v>
      </c>
      <c r="C2302" s="121" t="str">
        <f t="shared" si="92"/>
        <v>http://www.orlando.va.gov/contact/phone_directory.asp</v>
      </c>
    </row>
    <row r="2303" ht="14.25" hidden="1" customHeight="1">
      <c r="A2303" s="8" t="s">
        <v>564</v>
      </c>
      <c r="B2303" s="8" t="s">
        <v>2806</v>
      </c>
      <c r="C2303" s="121" t="str">
        <f t="shared" si="92"/>
        <v>http://www.orlando.va.gov/contact/phone_directory.asp</v>
      </c>
    </row>
    <row r="2304" ht="14.25" hidden="1" customHeight="1">
      <c r="A2304" s="8" t="s">
        <v>2840</v>
      </c>
      <c r="B2304" s="8" t="s">
        <v>2806</v>
      </c>
      <c r="C2304" s="121" t="str">
        <f t="shared" si="92"/>
        <v>http://www.orlando.va.gov/contact/phone_directory.asp</v>
      </c>
    </row>
    <row r="2305" ht="14.25" hidden="1" customHeight="1">
      <c r="A2305" s="8" t="s">
        <v>2841</v>
      </c>
      <c r="B2305" s="8" t="s">
        <v>2806</v>
      </c>
      <c r="C2305" s="121" t="str">
        <f t="shared" si="92"/>
        <v>http://www.orlando.va.gov/contact/phone_directory.asp</v>
      </c>
    </row>
    <row r="2306" ht="14.25" hidden="1" customHeight="1">
      <c r="A2306" s="8" t="s">
        <v>2842</v>
      </c>
      <c r="B2306" s="8" t="s">
        <v>2806</v>
      </c>
      <c r="C2306" s="121" t="str">
        <f t="shared" si="92"/>
        <v>http://www.orlando.va.gov/contact/phone_directory.asp</v>
      </c>
    </row>
    <row r="2307" ht="14.25" hidden="1" customHeight="1">
      <c r="A2307" s="8" t="s">
        <v>2843</v>
      </c>
      <c r="B2307" s="8" t="s">
        <v>2806</v>
      </c>
      <c r="C2307" s="121" t="str">
        <f t="shared" si="92"/>
        <v>http://www.orlando.va.gov/contact/phone_directory.asp</v>
      </c>
    </row>
    <row r="2308" ht="14.25" hidden="1" customHeight="1">
      <c r="A2308" s="8" t="s">
        <v>1705</v>
      </c>
      <c r="B2308" s="8" t="s">
        <v>2806</v>
      </c>
      <c r="C2308" s="121" t="str">
        <f t="shared" si="92"/>
        <v>http://www.orlando.va.gov/contact/phone_directory.asp</v>
      </c>
    </row>
    <row r="2309" ht="14.25" hidden="1" customHeight="1">
      <c r="A2309" s="8" t="s">
        <v>469</v>
      </c>
      <c r="B2309" s="8" t="s">
        <v>2806</v>
      </c>
      <c r="C2309" s="121" t="str">
        <f t="shared" si="92"/>
        <v>http://www.orlando.va.gov/contact/phone_directory.asp</v>
      </c>
    </row>
    <row r="2310" ht="14.25" hidden="1" customHeight="1">
      <c r="A2310" s="8" t="s">
        <v>2845</v>
      </c>
      <c r="B2310" s="8" t="s">
        <v>2806</v>
      </c>
      <c r="C2310" s="121" t="str">
        <f t="shared" si="92"/>
        <v>http://www.orlando.va.gov/contact/phone_directory.asp</v>
      </c>
    </row>
    <row r="2311" ht="14.25" hidden="1" customHeight="1">
      <c r="A2311" s="8" t="s">
        <v>2846</v>
      </c>
      <c r="B2311" s="8" t="s">
        <v>2806</v>
      </c>
      <c r="C2311" s="121" t="str">
        <f t="shared" si="92"/>
        <v>http://www.orlando.va.gov/contact/phone_directory.asp</v>
      </c>
    </row>
    <row r="2312" ht="14.25" hidden="1" customHeight="1">
      <c r="A2312" s="8" t="s">
        <v>2847</v>
      </c>
      <c r="B2312" s="8" t="s">
        <v>2806</v>
      </c>
      <c r="C2312" s="121" t="str">
        <f t="shared" si="92"/>
        <v>http://www.orlando.va.gov/contact/phone_directory.asp</v>
      </c>
    </row>
    <row r="2313" ht="14.25" hidden="1" customHeight="1">
      <c r="A2313" s="8" t="s">
        <v>2848</v>
      </c>
      <c r="B2313" s="8" t="s">
        <v>2806</v>
      </c>
      <c r="C2313" s="121" t="str">
        <f t="shared" si="92"/>
        <v>http://www.orlando.va.gov/contact/phone_directory.asp</v>
      </c>
    </row>
    <row r="2314" ht="14.25" hidden="1" customHeight="1">
      <c r="A2314" s="8" t="s">
        <v>2849</v>
      </c>
      <c r="B2314" s="8" t="s">
        <v>2806</v>
      </c>
      <c r="C2314" s="121" t="str">
        <f t="shared" si="92"/>
        <v>http://www.orlando.va.gov/contact/phone_directory.asp</v>
      </c>
    </row>
    <row r="2315" ht="14.25" hidden="1" customHeight="1">
      <c r="A2315" s="8" t="s">
        <v>2850</v>
      </c>
      <c r="B2315" s="8" t="s">
        <v>2806</v>
      </c>
      <c r="C2315" s="121" t="str">
        <f t="shared" si="92"/>
        <v>http://www.orlando.va.gov/contact/phone_directory.asp</v>
      </c>
    </row>
    <row r="2316" ht="14.25" hidden="1" customHeight="1">
      <c r="A2316" s="8" t="s">
        <v>2851</v>
      </c>
      <c r="B2316" s="8" t="s">
        <v>2806</v>
      </c>
      <c r="C2316" s="121" t="str">
        <f t="shared" si="92"/>
        <v>http://www.orlando.va.gov/contact/phone_directory.asp</v>
      </c>
    </row>
    <row r="2317" ht="14.25" hidden="1" customHeight="1">
      <c r="A2317" s="8" t="s">
        <v>518</v>
      </c>
      <c r="B2317" s="8" t="s">
        <v>2806</v>
      </c>
      <c r="C2317" s="121" t="str">
        <f t="shared" si="92"/>
        <v>http://www.orlando.va.gov/contact/phone_directory.asp</v>
      </c>
    </row>
    <row r="2318" ht="14.25" hidden="1" customHeight="1">
      <c r="A2318" s="8" t="s">
        <v>2852</v>
      </c>
      <c r="B2318" s="8" t="s">
        <v>2806</v>
      </c>
      <c r="C2318" s="121" t="str">
        <f t="shared" si="92"/>
        <v>http://www.orlando.va.gov/contact/phone_directory.asp</v>
      </c>
    </row>
    <row r="2319" ht="14.25" hidden="1" customHeight="1">
      <c r="A2319" s="8" t="s">
        <v>1751</v>
      </c>
      <c r="B2319" s="8" t="s">
        <v>2806</v>
      </c>
      <c r="C2319" s="121" t="str">
        <f t="shared" si="92"/>
        <v>http://www.orlando.va.gov/contact/phone_directory.asp</v>
      </c>
    </row>
    <row r="2320" ht="14.25" hidden="1" customHeight="1">
      <c r="A2320" s="8" t="s">
        <v>2853</v>
      </c>
      <c r="B2320" s="8" t="s">
        <v>2854</v>
      </c>
      <c r="C2320" s="121" t="str">
        <f t="shared" ref="C2320:C2367" si="93">HYPERLINK("http://www.paloalto.va.gov/contact/phone_directory.asp")</f>
        <v>http://www.paloalto.va.gov/contact/phone_directory.asp</v>
      </c>
    </row>
    <row r="2321" ht="14.25" hidden="1" customHeight="1">
      <c r="A2321" s="8" t="s">
        <v>407</v>
      </c>
      <c r="B2321" s="8" t="s">
        <v>2854</v>
      </c>
      <c r="C2321" s="121" t="str">
        <f t="shared" si="93"/>
        <v>http://www.paloalto.va.gov/contact/phone_directory.asp</v>
      </c>
    </row>
    <row r="2322" ht="14.25" hidden="1" customHeight="1">
      <c r="A2322" s="8" t="s">
        <v>635</v>
      </c>
      <c r="B2322" s="8" t="s">
        <v>2854</v>
      </c>
      <c r="C2322" s="121" t="str">
        <f t="shared" si="93"/>
        <v>http://www.paloalto.va.gov/contact/phone_directory.asp</v>
      </c>
    </row>
    <row r="2323" ht="14.25" hidden="1" customHeight="1">
      <c r="A2323" s="8" t="s">
        <v>2855</v>
      </c>
      <c r="B2323" s="8" t="s">
        <v>2854</v>
      </c>
      <c r="C2323" s="121" t="str">
        <f t="shared" si="93"/>
        <v>http://www.paloalto.va.gov/contact/phone_directory.asp</v>
      </c>
    </row>
    <row r="2324" ht="14.25" hidden="1" customHeight="1">
      <c r="A2324" s="8" t="s">
        <v>2856</v>
      </c>
      <c r="B2324" s="8" t="s">
        <v>2854</v>
      </c>
      <c r="C2324" s="121" t="str">
        <f t="shared" si="93"/>
        <v>http://www.paloalto.va.gov/contact/phone_directory.asp</v>
      </c>
    </row>
    <row r="2325" ht="14.25" hidden="1" customHeight="1">
      <c r="A2325" s="8" t="s">
        <v>2858</v>
      </c>
      <c r="B2325" s="8" t="s">
        <v>2854</v>
      </c>
      <c r="C2325" s="121" t="str">
        <f t="shared" si="93"/>
        <v>http://www.paloalto.va.gov/contact/phone_directory.asp</v>
      </c>
    </row>
    <row r="2326" ht="14.25" hidden="1" customHeight="1">
      <c r="A2326" s="8" t="s">
        <v>2859</v>
      </c>
      <c r="B2326" s="8" t="s">
        <v>2854</v>
      </c>
      <c r="C2326" s="121" t="str">
        <f t="shared" si="93"/>
        <v>http://www.paloalto.va.gov/contact/phone_directory.asp</v>
      </c>
    </row>
    <row r="2327" ht="14.25" hidden="1" customHeight="1">
      <c r="A2327" s="8" t="s">
        <v>414</v>
      </c>
      <c r="B2327" s="8" t="s">
        <v>2854</v>
      </c>
      <c r="C2327" s="121" t="str">
        <f t="shared" si="93"/>
        <v>http://www.paloalto.va.gov/contact/phone_directory.asp</v>
      </c>
    </row>
    <row r="2328" ht="14.25" hidden="1" customHeight="1">
      <c r="A2328" s="8" t="s">
        <v>2861</v>
      </c>
      <c r="B2328" s="8" t="s">
        <v>2854</v>
      </c>
      <c r="C2328" s="121" t="str">
        <f t="shared" si="93"/>
        <v>http://www.paloalto.va.gov/contact/phone_directory.asp</v>
      </c>
    </row>
    <row r="2329" ht="14.25" hidden="1" customHeight="1">
      <c r="A2329" s="8" t="s">
        <v>488</v>
      </c>
      <c r="B2329" s="8" t="s">
        <v>2854</v>
      </c>
      <c r="C2329" s="121" t="str">
        <f t="shared" si="93"/>
        <v>http://www.paloalto.va.gov/contact/phone_directory.asp</v>
      </c>
    </row>
    <row r="2330" ht="14.25" hidden="1" customHeight="1">
      <c r="A2330" s="8" t="s">
        <v>2863</v>
      </c>
      <c r="B2330" s="8" t="s">
        <v>2854</v>
      </c>
      <c r="C2330" s="121" t="str">
        <f t="shared" si="93"/>
        <v>http://www.paloalto.va.gov/contact/phone_directory.asp</v>
      </c>
    </row>
    <row r="2331" ht="14.25" hidden="1" customHeight="1">
      <c r="A2331" s="8" t="s">
        <v>2863</v>
      </c>
      <c r="B2331" s="8" t="s">
        <v>2854</v>
      </c>
      <c r="C2331" s="121" t="str">
        <f t="shared" si="93"/>
        <v>http://www.paloalto.va.gov/contact/phone_directory.asp</v>
      </c>
    </row>
    <row r="2332" ht="14.25" hidden="1" customHeight="1">
      <c r="A2332" s="8" t="s">
        <v>2863</v>
      </c>
      <c r="B2332" s="8" t="s">
        <v>2854</v>
      </c>
      <c r="C2332" s="121" t="str">
        <f t="shared" si="93"/>
        <v>http://www.paloalto.va.gov/contact/phone_directory.asp</v>
      </c>
    </row>
    <row r="2333" ht="14.25" hidden="1" customHeight="1">
      <c r="A2333" s="8" t="s">
        <v>2865</v>
      </c>
      <c r="B2333" s="8" t="s">
        <v>2854</v>
      </c>
      <c r="C2333" s="121" t="str">
        <f t="shared" si="93"/>
        <v>http://www.paloalto.va.gov/contact/phone_directory.asp</v>
      </c>
    </row>
    <row r="2334" ht="14.25" hidden="1" customHeight="1">
      <c r="A2334" s="8" t="s">
        <v>2866</v>
      </c>
      <c r="B2334" s="8" t="s">
        <v>2854</v>
      </c>
      <c r="C2334" s="121" t="str">
        <f t="shared" si="93"/>
        <v>http://www.paloalto.va.gov/contact/phone_directory.asp</v>
      </c>
    </row>
    <row r="2335" ht="14.25" hidden="1" customHeight="1">
      <c r="A2335" s="8" t="s">
        <v>2867</v>
      </c>
      <c r="B2335" s="8" t="s">
        <v>2854</v>
      </c>
      <c r="C2335" s="121" t="str">
        <f t="shared" si="93"/>
        <v>http://www.paloalto.va.gov/contact/phone_directory.asp</v>
      </c>
    </row>
    <row r="2336" ht="14.25" hidden="1" customHeight="1">
      <c r="A2336" s="8" t="s">
        <v>1373</v>
      </c>
      <c r="B2336" s="8" t="s">
        <v>2854</v>
      </c>
      <c r="C2336" s="121" t="str">
        <f t="shared" si="93"/>
        <v>http://www.paloalto.va.gov/contact/phone_directory.asp</v>
      </c>
    </row>
    <row r="2337" ht="14.25" hidden="1" customHeight="1">
      <c r="A2337" s="8" t="s">
        <v>2868</v>
      </c>
      <c r="B2337" s="8" t="s">
        <v>2854</v>
      </c>
      <c r="C2337" s="121" t="str">
        <f t="shared" si="93"/>
        <v>http://www.paloalto.va.gov/contact/phone_directory.asp</v>
      </c>
    </row>
    <row r="2338" ht="14.25" hidden="1" customHeight="1">
      <c r="A2338" s="8" t="s">
        <v>2869</v>
      </c>
      <c r="B2338" s="8" t="s">
        <v>2854</v>
      </c>
      <c r="C2338" s="121" t="str">
        <f t="shared" si="93"/>
        <v>http://www.paloalto.va.gov/contact/phone_directory.asp</v>
      </c>
    </row>
    <row r="2339" ht="14.25" hidden="1" customHeight="1">
      <c r="A2339" s="8" t="s">
        <v>670</v>
      </c>
      <c r="B2339" s="8" t="s">
        <v>2854</v>
      </c>
      <c r="C2339" s="121" t="str">
        <f t="shared" si="93"/>
        <v>http://www.paloalto.va.gov/contact/phone_directory.asp</v>
      </c>
    </row>
    <row r="2340" ht="14.25" hidden="1" customHeight="1">
      <c r="A2340" s="8" t="s">
        <v>2871</v>
      </c>
      <c r="B2340" s="8" t="s">
        <v>2854</v>
      </c>
      <c r="C2340" s="121" t="str">
        <f t="shared" si="93"/>
        <v>http://www.paloalto.va.gov/contact/phone_directory.asp</v>
      </c>
    </row>
    <row r="2341" ht="14.25" hidden="1" customHeight="1">
      <c r="A2341" s="8" t="s">
        <v>2872</v>
      </c>
      <c r="B2341" s="8" t="s">
        <v>2854</v>
      </c>
      <c r="C2341" s="121" t="str">
        <f t="shared" si="93"/>
        <v>http://www.paloalto.va.gov/contact/phone_directory.asp</v>
      </c>
    </row>
    <row r="2342" ht="14.25" hidden="1" customHeight="1">
      <c r="A2342" s="8" t="s">
        <v>2873</v>
      </c>
      <c r="B2342" s="8" t="s">
        <v>2854</v>
      </c>
      <c r="C2342" s="121" t="str">
        <f t="shared" si="93"/>
        <v>http://www.paloalto.va.gov/contact/phone_directory.asp</v>
      </c>
    </row>
    <row r="2343" ht="14.25" hidden="1" customHeight="1">
      <c r="A2343" s="8" t="s">
        <v>2874</v>
      </c>
      <c r="B2343" s="8" t="s">
        <v>2854</v>
      </c>
      <c r="C2343" s="121" t="str">
        <f t="shared" si="93"/>
        <v>http://www.paloalto.va.gov/contact/phone_directory.asp</v>
      </c>
    </row>
    <row r="2344" ht="14.25" hidden="1" customHeight="1">
      <c r="A2344" s="8" t="s">
        <v>707</v>
      </c>
      <c r="B2344" s="8" t="s">
        <v>2854</v>
      </c>
      <c r="C2344" s="121" t="str">
        <f t="shared" si="93"/>
        <v>http://www.paloalto.va.gov/contact/phone_directory.asp</v>
      </c>
    </row>
    <row r="2345" ht="14.25" hidden="1" customHeight="1">
      <c r="A2345" s="8" t="s">
        <v>2875</v>
      </c>
      <c r="B2345" s="8" t="s">
        <v>2854</v>
      </c>
      <c r="C2345" s="121" t="str">
        <f t="shared" si="93"/>
        <v>http://www.paloalto.va.gov/contact/phone_directory.asp</v>
      </c>
    </row>
    <row r="2346" ht="14.25" hidden="1" customHeight="1">
      <c r="A2346" s="8" t="s">
        <v>2877</v>
      </c>
      <c r="B2346" s="8" t="s">
        <v>2854</v>
      </c>
      <c r="C2346" s="121" t="str">
        <f t="shared" si="93"/>
        <v>http://www.paloalto.va.gov/contact/phone_directory.asp</v>
      </c>
    </row>
    <row r="2347" ht="14.25" hidden="1" customHeight="1">
      <c r="A2347" s="8" t="s">
        <v>2065</v>
      </c>
      <c r="B2347" s="8" t="s">
        <v>2854</v>
      </c>
      <c r="C2347" s="121" t="str">
        <f t="shared" si="93"/>
        <v>http://www.paloalto.va.gov/contact/phone_directory.asp</v>
      </c>
    </row>
    <row r="2348" ht="14.25" hidden="1" customHeight="1">
      <c r="A2348" s="8" t="s">
        <v>694</v>
      </c>
      <c r="B2348" s="8" t="s">
        <v>2854</v>
      </c>
      <c r="C2348" s="121" t="str">
        <f t="shared" si="93"/>
        <v>http://www.paloalto.va.gov/contact/phone_directory.asp</v>
      </c>
    </row>
    <row r="2349" ht="14.25" hidden="1" customHeight="1">
      <c r="A2349" s="8" t="s">
        <v>2878</v>
      </c>
      <c r="B2349" s="8" t="s">
        <v>2854</v>
      </c>
      <c r="C2349" s="121" t="str">
        <f t="shared" si="93"/>
        <v>http://www.paloalto.va.gov/contact/phone_directory.asp</v>
      </c>
    </row>
    <row r="2350" ht="14.25" hidden="1" customHeight="1">
      <c r="A2350" s="8" t="s">
        <v>1427</v>
      </c>
      <c r="B2350" s="8" t="s">
        <v>2854</v>
      </c>
      <c r="C2350" s="121" t="str">
        <f t="shared" si="93"/>
        <v>http://www.paloalto.va.gov/contact/phone_directory.asp</v>
      </c>
    </row>
    <row r="2351" ht="14.25" hidden="1" customHeight="1">
      <c r="A2351" s="8" t="s">
        <v>450</v>
      </c>
      <c r="B2351" s="8" t="s">
        <v>2854</v>
      </c>
      <c r="C2351" s="121" t="str">
        <f t="shared" si="93"/>
        <v>http://www.paloalto.va.gov/contact/phone_directory.asp</v>
      </c>
    </row>
    <row r="2352" ht="14.25" hidden="1" customHeight="1">
      <c r="A2352" s="8" t="s">
        <v>2880</v>
      </c>
      <c r="B2352" s="8" t="s">
        <v>2854</v>
      </c>
      <c r="C2352" s="121" t="str">
        <f t="shared" si="93"/>
        <v>http://www.paloalto.va.gov/contact/phone_directory.asp</v>
      </c>
    </row>
    <row r="2353" ht="14.25" hidden="1" customHeight="1">
      <c r="A2353" s="8" t="s">
        <v>2881</v>
      </c>
      <c r="B2353" s="8" t="s">
        <v>2854</v>
      </c>
      <c r="C2353" s="121" t="str">
        <f t="shared" si="93"/>
        <v>http://www.paloalto.va.gov/contact/phone_directory.asp</v>
      </c>
    </row>
    <row r="2354" ht="14.25" hidden="1" customHeight="1">
      <c r="A2354" s="8" t="s">
        <v>2882</v>
      </c>
      <c r="B2354" s="8" t="s">
        <v>2854</v>
      </c>
      <c r="C2354" s="121" t="str">
        <f t="shared" si="93"/>
        <v>http://www.paloalto.va.gov/contact/phone_directory.asp</v>
      </c>
    </row>
    <row r="2355" ht="14.25" hidden="1" customHeight="1">
      <c r="A2355" s="8" t="s">
        <v>2883</v>
      </c>
      <c r="B2355" s="8" t="s">
        <v>2854</v>
      </c>
      <c r="C2355" s="121" t="str">
        <f t="shared" si="93"/>
        <v>http://www.paloalto.va.gov/contact/phone_directory.asp</v>
      </c>
    </row>
    <row r="2356" ht="14.25" hidden="1" customHeight="1">
      <c r="A2356" s="8" t="s">
        <v>2885</v>
      </c>
      <c r="B2356" s="8" t="s">
        <v>2854</v>
      </c>
      <c r="C2356" s="121" t="str">
        <f t="shared" si="93"/>
        <v>http://www.paloalto.va.gov/contact/phone_directory.asp</v>
      </c>
    </row>
    <row r="2357" ht="14.25" hidden="1" customHeight="1">
      <c r="A2357" s="8" t="s">
        <v>2886</v>
      </c>
      <c r="B2357" s="8" t="s">
        <v>2854</v>
      </c>
      <c r="C2357" s="121" t="str">
        <f t="shared" si="93"/>
        <v>http://www.paloalto.va.gov/contact/phone_directory.asp</v>
      </c>
    </row>
    <row r="2358" ht="14.25" hidden="1" customHeight="1">
      <c r="A2358" s="8" t="s">
        <v>2887</v>
      </c>
      <c r="B2358" s="8" t="s">
        <v>2854</v>
      </c>
      <c r="C2358" s="121" t="str">
        <f t="shared" si="93"/>
        <v>http://www.paloalto.va.gov/contact/phone_directory.asp</v>
      </c>
    </row>
    <row r="2359" ht="14.25" hidden="1" customHeight="1">
      <c r="A2359" s="8" t="s">
        <v>2889</v>
      </c>
      <c r="B2359" s="8" t="s">
        <v>2854</v>
      </c>
      <c r="C2359" s="121" t="str">
        <f t="shared" si="93"/>
        <v>http://www.paloalto.va.gov/contact/phone_directory.asp</v>
      </c>
    </row>
    <row r="2360" ht="14.25" hidden="1" customHeight="1">
      <c r="A2360" s="8" t="s">
        <v>684</v>
      </c>
      <c r="B2360" s="8" t="s">
        <v>2854</v>
      </c>
      <c r="C2360" s="121" t="str">
        <f t="shared" si="93"/>
        <v>http://www.paloalto.va.gov/contact/phone_directory.asp</v>
      </c>
    </row>
    <row r="2361" ht="14.25" hidden="1" customHeight="1">
      <c r="A2361" s="8" t="s">
        <v>2890</v>
      </c>
      <c r="B2361" s="8" t="s">
        <v>2854</v>
      </c>
      <c r="C2361" s="121" t="str">
        <f t="shared" si="93"/>
        <v>http://www.paloalto.va.gov/contact/phone_directory.asp</v>
      </c>
    </row>
    <row r="2362" ht="14.25" hidden="1" customHeight="1">
      <c r="A2362" s="8" t="s">
        <v>2891</v>
      </c>
      <c r="B2362" s="8" t="s">
        <v>2854</v>
      </c>
      <c r="C2362" s="121" t="str">
        <f t="shared" si="93"/>
        <v>http://www.paloalto.va.gov/contact/phone_directory.asp</v>
      </c>
    </row>
    <row r="2363" ht="14.25" hidden="1" customHeight="1">
      <c r="A2363" s="8" t="s">
        <v>2892</v>
      </c>
      <c r="B2363" s="8" t="s">
        <v>2854</v>
      </c>
      <c r="C2363" s="121" t="str">
        <f t="shared" si="93"/>
        <v>http://www.paloalto.va.gov/contact/phone_directory.asp</v>
      </c>
    </row>
    <row r="2364" ht="14.25" hidden="1" customHeight="1">
      <c r="A2364" s="8" t="s">
        <v>469</v>
      </c>
      <c r="B2364" s="8" t="s">
        <v>2854</v>
      </c>
      <c r="C2364" s="121" t="str">
        <f t="shared" si="93"/>
        <v>http://www.paloalto.va.gov/contact/phone_directory.asp</v>
      </c>
    </row>
    <row r="2365" ht="14.25" hidden="1" customHeight="1">
      <c r="A2365" s="8" t="s">
        <v>2893</v>
      </c>
      <c r="B2365" s="8" t="s">
        <v>2854</v>
      </c>
      <c r="C2365" s="121" t="str">
        <f t="shared" si="93"/>
        <v>http://www.paloalto.va.gov/contact/phone_directory.asp</v>
      </c>
    </row>
    <row r="2366" ht="14.25" hidden="1" customHeight="1">
      <c r="A2366" s="8" t="s">
        <v>2894</v>
      </c>
      <c r="B2366" s="8" t="s">
        <v>2854</v>
      </c>
      <c r="C2366" s="121" t="str">
        <f t="shared" si="93"/>
        <v>http://www.paloalto.va.gov/contact/phone_directory.asp</v>
      </c>
    </row>
    <row r="2367" ht="14.25" hidden="1" customHeight="1">
      <c r="A2367" s="8" t="s">
        <v>2486</v>
      </c>
      <c r="B2367" s="8" t="s">
        <v>2854</v>
      </c>
      <c r="C2367" s="121" t="str">
        <f t="shared" si="93"/>
        <v>http://www.paloalto.va.gov/contact/phone_directory.asp</v>
      </c>
    </row>
    <row r="2368" ht="14.25" customHeight="1">
      <c r="A2368" s="8" t="s">
        <v>1112</v>
      </c>
      <c r="B2368" s="272" t="s">
        <v>2895</v>
      </c>
      <c r="C2368" s="121" t="str">
        <f t="shared" ref="C2368:C2396" si="94">HYPERLINK("http://www.philadelphia.va.gov/contact/phone_directory.asp")</f>
        <v>http://www.philadelphia.va.gov/contact/phone_directory.asp</v>
      </c>
    </row>
    <row r="2369" ht="14.25" customHeight="1">
      <c r="A2369" s="8" t="s">
        <v>1115</v>
      </c>
      <c r="B2369" s="272" t="s">
        <v>2895</v>
      </c>
      <c r="C2369" s="121" t="str">
        <f t="shared" si="94"/>
        <v>http://www.philadelphia.va.gov/contact/phone_directory.asp</v>
      </c>
    </row>
    <row r="2370" ht="14.25" customHeight="1">
      <c r="A2370" s="8" t="s">
        <v>1118</v>
      </c>
      <c r="B2370" s="272" t="s">
        <v>2895</v>
      </c>
      <c r="C2370" s="121" t="str">
        <f t="shared" si="94"/>
        <v>http://www.philadelphia.va.gov/contact/phone_directory.asp</v>
      </c>
    </row>
    <row r="2371" ht="14.25" customHeight="1">
      <c r="A2371" s="8" t="s">
        <v>1123</v>
      </c>
      <c r="B2371" s="272" t="s">
        <v>2895</v>
      </c>
      <c r="C2371" s="121" t="str">
        <f t="shared" si="94"/>
        <v>http://www.philadelphia.va.gov/contact/phone_directory.asp</v>
      </c>
    </row>
    <row r="2372" ht="14.25" customHeight="1">
      <c r="A2372" s="8" t="s">
        <v>618</v>
      </c>
      <c r="B2372" s="272" t="s">
        <v>2895</v>
      </c>
      <c r="C2372" s="121" t="str">
        <f t="shared" si="94"/>
        <v>http://www.philadelphia.va.gov/contact/phone_directory.asp</v>
      </c>
    </row>
    <row r="2373" ht="14.25" customHeight="1">
      <c r="A2373" s="8" t="s">
        <v>626</v>
      </c>
      <c r="B2373" s="272" t="s">
        <v>2895</v>
      </c>
      <c r="C2373" s="121" t="str">
        <f t="shared" si="94"/>
        <v>http://www.philadelphia.va.gov/contact/phone_directory.asp</v>
      </c>
    </row>
    <row r="2374" ht="14.25" customHeight="1">
      <c r="A2374" s="8" t="s">
        <v>624</v>
      </c>
      <c r="B2374" s="272" t="s">
        <v>2895</v>
      </c>
      <c r="C2374" s="121" t="str">
        <f t="shared" si="94"/>
        <v>http://www.philadelphia.va.gov/contact/phone_directory.asp</v>
      </c>
    </row>
    <row r="2375" ht="14.25" customHeight="1">
      <c r="A2375" s="8" t="s">
        <v>640</v>
      </c>
      <c r="B2375" s="272" t="s">
        <v>2895</v>
      </c>
      <c r="C2375" s="121" t="str">
        <f t="shared" si="94"/>
        <v>http://www.philadelphia.va.gov/contact/phone_directory.asp</v>
      </c>
    </row>
    <row r="2376" ht="14.25" customHeight="1">
      <c r="A2376" s="8" t="s">
        <v>1134</v>
      </c>
      <c r="B2376" s="272" t="s">
        <v>2895</v>
      </c>
      <c r="C2376" s="121" t="str">
        <f t="shared" si="94"/>
        <v>http://www.philadelphia.va.gov/contact/phone_directory.asp</v>
      </c>
    </row>
    <row r="2377" ht="14.25" customHeight="1">
      <c r="A2377" s="8" t="s">
        <v>578</v>
      </c>
      <c r="B2377" s="272" t="s">
        <v>2895</v>
      </c>
      <c r="C2377" s="121" t="str">
        <f t="shared" si="94"/>
        <v>http://www.philadelphia.va.gov/contact/phone_directory.asp</v>
      </c>
    </row>
    <row r="2378" ht="14.25" customHeight="1">
      <c r="A2378" s="8" t="s">
        <v>1137</v>
      </c>
      <c r="B2378" s="272" t="s">
        <v>2895</v>
      </c>
      <c r="C2378" s="121" t="str">
        <f t="shared" si="94"/>
        <v>http://www.philadelphia.va.gov/contact/phone_directory.asp</v>
      </c>
    </row>
    <row r="2379" ht="14.25" customHeight="1">
      <c r="A2379" s="8" t="s">
        <v>1142</v>
      </c>
      <c r="B2379" s="272" t="s">
        <v>2895</v>
      </c>
      <c r="C2379" s="121" t="str">
        <f t="shared" si="94"/>
        <v>http://www.philadelphia.va.gov/contact/phone_directory.asp</v>
      </c>
    </row>
    <row r="2380" ht="14.25" customHeight="1">
      <c r="A2380" s="8" t="s">
        <v>1146</v>
      </c>
      <c r="B2380" s="272" t="s">
        <v>2895</v>
      </c>
      <c r="C2380" s="121" t="str">
        <f t="shared" si="94"/>
        <v>http://www.philadelphia.va.gov/contact/phone_directory.asp</v>
      </c>
    </row>
    <row r="2381" ht="14.25" customHeight="1">
      <c r="A2381" s="8" t="s">
        <v>580</v>
      </c>
      <c r="B2381" s="272" t="s">
        <v>2895</v>
      </c>
      <c r="C2381" s="121" t="str">
        <f t="shared" si="94"/>
        <v>http://www.philadelphia.va.gov/contact/phone_directory.asp</v>
      </c>
    </row>
    <row r="2382" ht="14.25" customHeight="1">
      <c r="A2382" s="8" t="s">
        <v>1151</v>
      </c>
      <c r="B2382" s="272" t="s">
        <v>2895</v>
      </c>
      <c r="C2382" s="121" t="str">
        <f t="shared" si="94"/>
        <v>http://www.philadelphia.va.gov/contact/phone_directory.asp</v>
      </c>
    </row>
    <row r="2383" ht="14.25" customHeight="1">
      <c r="A2383" s="8" t="s">
        <v>455</v>
      </c>
      <c r="B2383" s="272" t="s">
        <v>2895</v>
      </c>
      <c r="C2383" s="121" t="str">
        <f t="shared" si="94"/>
        <v>http://www.philadelphia.va.gov/contact/phone_directory.asp</v>
      </c>
    </row>
    <row r="2384" ht="14.25" customHeight="1">
      <c r="A2384" s="8" t="s">
        <v>495</v>
      </c>
      <c r="B2384" s="272" t="s">
        <v>2895</v>
      </c>
      <c r="C2384" s="121" t="str">
        <f t="shared" si="94"/>
        <v>http://www.philadelphia.va.gov/contact/phone_directory.asp</v>
      </c>
    </row>
    <row r="2385" ht="14.25" customHeight="1">
      <c r="A2385" s="8" t="s">
        <v>1158</v>
      </c>
      <c r="B2385" s="272" t="s">
        <v>2895</v>
      </c>
      <c r="C2385" s="121" t="str">
        <f t="shared" si="94"/>
        <v>http://www.philadelphia.va.gov/contact/phone_directory.asp</v>
      </c>
    </row>
    <row r="2386" ht="14.25" customHeight="1">
      <c r="A2386" s="8" t="s">
        <v>1160</v>
      </c>
      <c r="B2386" s="272" t="s">
        <v>2895</v>
      </c>
      <c r="C2386" s="121" t="str">
        <f t="shared" si="94"/>
        <v>http://www.philadelphia.va.gov/contact/phone_directory.asp</v>
      </c>
    </row>
    <row r="2387" ht="14.25" customHeight="1">
      <c r="A2387" s="8" t="s">
        <v>1162</v>
      </c>
      <c r="B2387" s="272" t="s">
        <v>2895</v>
      </c>
      <c r="C2387" s="121" t="str">
        <f t="shared" si="94"/>
        <v>http://www.philadelphia.va.gov/contact/phone_directory.asp</v>
      </c>
    </row>
    <row r="2388" ht="14.25" customHeight="1">
      <c r="A2388" s="8" t="s">
        <v>1165</v>
      </c>
      <c r="B2388" s="272" t="s">
        <v>2895</v>
      </c>
      <c r="C2388" s="121" t="str">
        <f t="shared" si="94"/>
        <v>http://www.philadelphia.va.gov/contact/phone_directory.asp</v>
      </c>
    </row>
    <row r="2389" ht="14.25" customHeight="1">
      <c r="A2389" s="8" t="s">
        <v>663</v>
      </c>
      <c r="B2389" s="272" t="s">
        <v>2895</v>
      </c>
      <c r="C2389" s="121" t="str">
        <f t="shared" si="94"/>
        <v>http://www.philadelphia.va.gov/contact/phone_directory.asp</v>
      </c>
    </row>
    <row r="2390" ht="14.25" customHeight="1">
      <c r="A2390" s="8" t="s">
        <v>670</v>
      </c>
      <c r="B2390" s="272" t="s">
        <v>2895</v>
      </c>
      <c r="C2390" s="121" t="str">
        <f t="shared" si="94"/>
        <v>http://www.philadelphia.va.gov/contact/phone_directory.asp</v>
      </c>
    </row>
    <row r="2391" ht="14.25" customHeight="1">
      <c r="A2391" s="8" t="s">
        <v>1173</v>
      </c>
      <c r="B2391" s="272" t="s">
        <v>2895</v>
      </c>
      <c r="C2391" s="121" t="str">
        <f t="shared" si="94"/>
        <v>http://www.philadelphia.va.gov/contact/phone_directory.asp</v>
      </c>
    </row>
    <row r="2392" ht="14.25" customHeight="1">
      <c r="A2392" s="8" t="s">
        <v>708</v>
      </c>
      <c r="B2392" s="272" t="s">
        <v>2895</v>
      </c>
      <c r="C2392" s="121" t="str">
        <f t="shared" si="94"/>
        <v>http://www.philadelphia.va.gov/contact/phone_directory.asp</v>
      </c>
    </row>
    <row r="2393" ht="14.25" customHeight="1">
      <c r="A2393" s="8" t="s">
        <v>814</v>
      </c>
      <c r="B2393" s="272" t="s">
        <v>2895</v>
      </c>
      <c r="C2393" s="121" t="str">
        <f t="shared" si="94"/>
        <v>http://www.philadelphia.va.gov/contact/phone_directory.asp</v>
      </c>
    </row>
    <row r="2394" ht="14.25" customHeight="1">
      <c r="A2394" s="8" t="s">
        <v>1181</v>
      </c>
      <c r="B2394" s="272" t="s">
        <v>2895</v>
      </c>
      <c r="C2394" s="121" t="str">
        <f t="shared" si="94"/>
        <v>http://www.philadelphia.va.gov/contact/phone_directory.asp</v>
      </c>
    </row>
    <row r="2395" ht="14.25" customHeight="1">
      <c r="A2395" s="8" t="s">
        <v>1184</v>
      </c>
      <c r="B2395" s="272" t="s">
        <v>2895</v>
      </c>
      <c r="C2395" s="121" t="str">
        <f t="shared" si="94"/>
        <v>http://www.philadelphia.va.gov/contact/phone_directory.asp</v>
      </c>
    </row>
    <row r="2396" ht="14.25" customHeight="1">
      <c r="A2396" s="8" t="s">
        <v>1187</v>
      </c>
      <c r="B2396" s="272" t="s">
        <v>2895</v>
      </c>
      <c r="C2396" s="121" t="str">
        <f t="shared" si="94"/>
        <v>http://www.philadelphia.va.gov/contact/phone_directory.asp</v>
      </c>
    </row>
    <row r="2397" ht="14.25" hidden="1" customHeight="1">
      <c r="A2397" s="8" t="s">
        <v>2013</v>
      </c>
      <c r="B2397" s="8" t="s">
        <v>2904</v>
      </c>
      <c r="C2397" s="121" t="str">
        <f t="shared" ref="C2397:C2431" si="95">HYPERLINK("http://www.phoenix.va.gov/contact/phone_directory.asp")</f>
        <v>http://www.phoenix.va.gov/contact/phone_directory.asp</v>
      </c>
    </row>
    <row r="2398" ht="14.25" hidden="1" customHeight="1">
      <c r="A2398" s="8" t="s">
        <v>2905</v>
      </c>
      <c r="B2398" s="8" t="s">
        <v>2904</v>
      </c>
      <c r="C2398" s="121" t="str">
        <f t="shared" si="95"/>
        <v>http://www.phoenix.va.gov/contact/phone_directory.asp</v>
      </c>
    </row>
    <row r="2399" ht="14.25" hidden="1" customHeight="1">
      <c r="A2399" s="8" t="s">
        <v>624</v>
      </c>
      <c r="B2399" s="8" t="s">
        <v>2904</v>
      </c>
      <c r="C2399" s="121" t="str">
        <f t="shared" si="95"/>
        <v>http://www.phoenix.va.gov/contact/phone_directory.asp</v>
      </c>
    </row>
    <row r="2400" ht="14.25" hidden="1" customHeight="1">
      <c r="A2400" s="8" t="s">
        <v>998</v>
      </c>
      <c r="B2400" s="8" t="s">
        <v>2904</v>
      </c>
      <c r="C2400" s="121" t="str">
        <f t="shared" si="95"/>
        <v>http://www.phoenix.va.gov/contact/phone_directory.asp</v>
      </c>
    </row>
    <row r="2401" ht="14.25" hidden="1" customHeight="1">
      <c r="A2401" s="8" t="s">
        <v>864</v>
      </c>
      <c r="B2401" s="8" t="s">
        <v>2904</v>
      </c>
      <c r="C2401" s="121" t="str">
        <f t="shared" si="95"/>
        <v>http://www.phoenix.va.gov/contact/phone_directory.asp</v>
      </c>
    </row>
    <row r="2402" ht="14.25" hidden="1" customHeight="1">
      <c r="A2402" s="8" t="s">
        <v>2906</v>
      </c>
      <c r="B2402" s="8" t="s">
        <v>2904</v>
      </c>
      <c r="C2402" s="121" t="str">
        <f t="shared" si="95"/>
        <v>http://www.phoenix.va.gov/contact/phone_directory.asp</v>
      </c>
    </row>
    <row r="2403" ht="14.25" hidden="1" customHeight="1">
      <c r="A2403" s="8" t="s">
        <v>2907</v>
      </c>
      <c r="B2403" s="8" t="s">
        <v>2904</v>
      </c>
      <c r="C2403" s="121" t="str">
        <f t="shared" si="95"/>
        <v>http://www.phoenix.va.gov/contact/phone_directory.asp</v>
      </c>
    </row>
    <row r="2404" ht="14.25" hidden="1" customHeight="1">
      <c r="A2404" s="8" t="s">
        <v>478</v>
      </c>
      <c r="B2404" s="8" t="s">
        <v>2904</v>
      </c>
      <c r="C2404" s="121" t="str">
        <f t="shared" si="95"/>
        <v>http://www.phoenix.va.gov/contact/phone_directory.asp</v>
      </c>
    </row>
    <row r="2405" ht="14.25" hidden="1" customHeight="1">
      <c r="A2405" s="8" t="s">
        <v>2908</v>
      </c>
      <c r="B2405" s="8" t="s">
        <v>2904</v>
      </c>
      <c r="C2405" s="121" t="str">
        <f t="shared" si="95"/>
        <v>http://www.phoenix.va.gov/contact/phone_directory.asp</v>
      </c>
    </row>
    <row r="2406" ht="14.25" hidden="1" customHeight="1">
      <c r="A2406" s="8" t="s">
        <v>1882</v>
      </c>
      <c r="B2406" s="8" t="s">
        <v>2904</v>
      </c>
      <c r="C2406" s="121" t="str">
        <f t="shared" si="95"/>
        <v>http://www.phoenix.va.gov/contact/phone_directory.asp</v>
      </c>
    </row>
    <row r="2407" ht="14.25" hidden="1" customHeight="1">
      <c r="A2407" s="8" t="s">
        <v>2186</v>
      </c>
      <c r="B2407" s="8" t="s">
        <v>2904</v>
      </c>
      <c r="C2407" s="121" t="str">
        <f t="shared" si="95"/>
        <v>http://www.phoenix.va.gov/contact/phone_directory.asp</v>
      </c>
    </row>
    <row r="2408" ht="14.25" hidden="1" customHeight="1">
      <c r="A2408" s="8" t="s">
        <v>2910</v>
      </c>
      <c r="B2408" s="8" t="s">
        <v>2904</v>
      </c>
      <c r="C2408" s="121" t="str">
        <f t="shared" si="95"/>
        <v>http://www.phoenix.va.gov/contact/phone_directory.asp</v>
      </c>
    </row>
    <row r="2409" ht="14.25" hidden="1" customHeight="1">
      <c r="A2409" s="8" t="s">
        <v>308</v>
      </c>
      <c r="B2409" s="8" t="s">
        <v>2904</v>
      </c>
      <c r="C2409" s="121" t="str">
        <f t="shared" si="95"/>
        <v>http://www.phoenix.va.gov/contact/phone_directory.asp</v>
      </c>
    </row>
    <row r="2410" ht="14.25" hidden="1" customHeight="1">
      <c r="A2410" s="8" t="s">
        <v>719</v>
      </c>
      <c r="B2410" s="8" t="s">
        <v>2904</v>
      </c>
      <c r="C2410" s="121" t="str">
        <f t="shared" si="95"/>
        <v>http://www.phoenix.va.gov/contact/phone_directory.asp</v>
      </c>
    </row>
    <row r="2411" ht="14.25" hidden="1" customHeight="1">
      <c r="A2411" s="8" t="s">
        <v>2911</v>
      </c>
      <c r="B2411" s="8" t="s">
        <v>2904</v>
      </c>
      <c r="C2411" s="121" t="str">
        <f t="shared" si="95"/>
        <v>http://www.phoenix.va.gov/contact/phone_directory.asp</v>
      </c>
    </row>
    <row r="2412" ht="14.25" hidden="1" customHeight="1">
      <c r="A2412" s="8" t="s">
        <v>2912</v>
      </c>
      <c r="B2412" s="8" t="s">
        <v>2904</v>
      </c>
      <c r="C2412" s="121" t="str">
        <f t="shared" si="95"/>
        <v>http://www.phoenix.va.gov/contact/phone_directory.asp</v>
      </c>
    </row>
    <row r="2413" ht="14.25" hidden="1" customHeight="1">
      <c r="A2413" s="8" t="s">
        <v>431</v>
      </c>
      <c r="B2413" s="8" t="s">
        <v>2904</v>
      </c>
      <c r="C2413" s="121" t="str">
        <f t="shared" si="95"/>
        <v>http://www.phoenix.va.gov/contact/phone_directory.asp</v>
      </c>
    </row>
    <row r="2414" ht="14.25" hidden="1" customHeight="1">
      <c r="A2414" s="8" t="s">
        <v>2913</v>
      </c>
      <c r="B2414" s="8" t="s">
        <v>2904</v>
      </c>
      <c r="C2414" s="121" t="str">
        <f t="shared" si="95"/>
        <v>http://www.phoenix.va.gov/contact/phone_directory.asp</v>
      </c>
    </row>
    <row r="2415" ht="14.25" hidden="1" customHeight="1">
      <c r="A2415" s="8" t="s">
        <v>2914</v>
      </c>
      <c r="B2415" s="8" t="s">
        <v>2904</v>
      </c>
      <c r="C2415" s="121" t="str">
        <f t="shared" si="95"/>
        <v>http://www.phoenix.va.gov/contact/phone_directory.asp</v>
      </c>
    </row>
    <row r="2416" ht="14.25" hidden="1" customHeight="1">
      <c r="A2416" s="8" t="s">
        <v>2915</v>
      </c>
      <c r="B2416" s="8" t="s">
        <v>2904</v>
      </c>
      <c r="C2416" s="121" t="str">
        <f t="shared" si="95"/>
        <v>http://www.phoenix.va.gov/contact/phone_directory.asp</v>
      </c>
    </row>
    <row r="2417" ht="14.25" hidden="1" customHeight="1">
      <c r="A2417" s="8" t="s">
        <v>324</v>
      </c>
      <c r="B2417" s="8" t="s">
        <v>2904</v>
      </c>
      <c r="C2417" s="121" t="str">
        <f t="shared" si="95"/>
        <v>http://www.phoenix.va.gov/contact/phone_directory.asp</v>
      </c>
    </row>
    <row r="2418" ht="14.25" hidden="1" customHeight="1">
      <c r="A2418" s="8" t="s">
        <v>2916</v>
      </c>
      <c r="B2418" s="8" t="s">
        <v>2904</v>
      </c>
      <c r="C2418" s="121" t="str">
        <f t="shared" si="95"/>
        <v>http://www.phoenix.va.gov/contact/phone_directory.asp</v>
      </c>
    </row>
    <row r="2419" ht="14.25" hidden="1" customHeight="1">
      <c r="A2419" s="8" t="s">
        <v>2917</v>
      </c>
      <c r="B2419" s="8" t="s">
        <v>2904</v>
      </c>
      <c r="C2419" s="121" t="str">
        <f t="shared" si="95"/>
        <v>http://www.phoenix.va.gov/contact/phone_directory.asp</v>
      </c>
    </row>
    <row r="2420" ht="14.25" hidden="1" customHeight="1">
      <c r="A2420" s="8" t="s">
        <v>694</v>
      </c>
      <c r="B2420" s="8" t="s">
        <v>2904</v>
      </c>
      <c r="C2420" s="121" t="str">
        <f t="shared" si="95"/>
        <v>http://www.phoenix.va.gov/contact/phone_directory.asp</v>
      </c>
    </row>
    <row r="2421" ht="14.25" hidden="1" customHeight="1">
      <c r="A2421" s="8" t="s">
        <v>2918</v>
      </c>
      <c r="B2421" s="8" t="s">
        <v>2904</v>
      </c>
      <c r="C2421" s="121" t="str">
        <f t="shared" si="95"/>
        <v>http://www.phoenix.va.gov/contact/phone_directory.asp</v>
      </c>
    </row>
    <row r="2422" ht="14.25" hidden="1" customHeight="1">
      <c r="A2422" s="8" t="s">
        <v>2920</v>
      </c>
      <c r="B2422" s="8" t="s">
        <v>2904</v>
      </c>
      <c r="C2422" s="121" t="str">
        <f t="shared" si="95"/>
        <v>http://www.phoenix.va.gov/contact/phone_directory.asp</v>
      </c>
    </row>
    <row r="2423" ht="14.25" hidden="1" customHeight="1">
      <c r="A2423" s="8" t="s">
        <v>504</v>
      </c>
      <c r="B2423" s="8" t="s">
        <v>2904</v>
      </c>
      <c r="C2423" s="121" t="str">
        <f t="shared" si="95"/>
        <v>http://www.phoenix.va.gov/contact/phone_directory.asp</v>
      </c>
    </row>
    <row r="2424" ht="14.25" hidden="1" customHeight="1">
      <c r="A2424" s="8" t="s">
        <v>2921</v>
      </c>
      <c r="B2424" s="8" t="s">
        <v>2904</v>
      </c>
      <c r="C2424" s="121" t="str">
        <f t="shared" si="95"/>
        <v>http://www.phoenix.va.gov/contact/phone_directory.asp</v>
      </c>
    </row>
    <row r="2425" ht="14.25" hidden="1" customHeight="1">
      <c r="A2425" s="8" t="s">
        <v>2922</v>
      </c>
      <c r="B2425" s="8" t="s">
        <v>2904</v>
      </c>
      <c r="C2425" s="121" t="str">
        <f t="shared" si="95"/>
        <v>http://www.phoenix.va.gov/contact/phone_directory.asp</v>
      </c>
    </row>
    <row r="2426" ht="14.25" hidden="1" customHeight="1">
      <c r="A2426" s="8" t="s">
        <v>1675</v>
      </c>
      <c r="B2426" s="8" t="s">
        <v>2904</v>
      </c>
      <c r="C2426" s="121" t="str">
        <f t="shared" si="95"/>
        <v>http://www.phoenix.va.gov/contact/phone_directory.asp</v>
      </c>
    </row>
    <row r="2427" ht="14.25" hidden="1" customHeight="1">
      <c r="A2427" s="8" t="s">
        <v>1450</v>
      </c>
      <c r="B2427" s="8" t="s">
        <v>2904</v>
      </c>
      <c r="C2427" s="121" t="str">
        <f t="shared" si="95"/>
        <v>http://www.phoenix.va.gov/contact/phone_directory.asp</v>
      </c>
    </row>
    <row r="2428" ht="14.25" hidden="1" customHeight="1">
      <c r="A2428" s="8" t="s">
        <v>2923</v>
      </c>
      <c r="B2428" s="8" t="s">
        <v>2904</v>
      </c>
      <c r="C2428" s="121" t="str">
        <f t="shared" si="95"/>
        <v>http://www.phoenix.va.gov/contact/phone_directory.asp</v>
      </c>
    </row>
    <row r="2429" ht="14.25" hidden="1" customHeight="1">
      <c r="A2429" s="8" t="s">
        <v>518</v>
      </c>
      <c r="B2429" s="8" t="s">
        <v>2904</v>
      </c>
      <c r="C2429" s="121" t="str">
        <f t="shared" si="95"/>
        <v>http://www.phoenix.va.gov/contact/phone_directory.asp</v>
      </c>
    </row>
    <row r="2430" ht="14.25" hidden="1" customHeight="1">
      <c r="A2430" s="8" t="s">
        <v>2925</v>
      </c>
      <c r="B2430" s="8" t="s">
        <v>2904</v>
      </c>
      <c r="C2430" s="121" t="str">
        <f t="shared" si="95"/>
        <v>http://www.phoenix.va.gov/contact/phone_directory.asp</v>
      </c>
    </row>
    <row r="2431" ht="14.25" hidden="1" customHeight="1">
      <c r="A2431" s="8" t="s">
        <v>2926</v>
      </c>
      <c r="B2431" s="8" t="s">
        <v>2904</v>
      </c>
      <c r="C2431" s="121" t="str">
        <f t="shared" si="95"/>
        <v>http://www.phoenix.va.gov/contact/phone_directory.asp</v>
      </c>
    </row>
    <row r="2432" ht="14.25" hidden="1" customHeight="1">
      <c r="A2432" s="8" t="s">
        <v>2927</v>
      </c>
      <c r="B2432" s="8" t="s">
        <v>2928</v>
      </c>
      <c r="C2432" s="121" t="str">
        <f t="shared" ref="C2432:C2441" si="96">HYPERLINK("http://www.pittsburgh.va.gov/contact/phone_directory.asp")</f>
        <v>http://www.pittsburgh.va.gov/contact/phone_directory.asp</v>
      </c>
    </row>
    <row r="2433" ht="14.25" hidden="1" customHeight="1">
      <c r="A2433" s="8" t="s">
        <v>2930</v>
      </c>
      <c r="B2433" s="8" t="s">
        <v>2928</v>
      </c>
      <c r="C2433" s="121" t="str">
        <f t="shared" si="96"/>
        <v>http://www.pittsburgh.va.gov/contact/phone_directory.asp</v>
      </c>
    </row>
    <row r="2434" ht="14.25" hidden="1" customHeight="1">
      <c r="A2434" s="8" t="s">
        <v>1811</v>
      </c>
      <c r="B2434" s="8" t="s">
        <v>2928</v>
      </c>
      <c r="C2434" s="121" t="str">
        <f t="shared" si="96"/>
        <v>http://www.pittsburgh.va.gov/contact/phone_directory.asp</v>
      </c>
    </row>
    <row r="2435" ht="14.25" hidden="1" customHeight="1">
      <c r="A2435" s="8" t="s">
        <v>2931</v>
      </c>
      <c r="B2435" s="8" t="s">
        <v>2928</v>
      </c>
      <c r="C2435" s="121" t="str">
        <f t="shared" si="96"/>
        <v>http://www.pittsburgh.va.gov/contact/phone_directory.asp</v>
      </c>
    </row>
    <row r="2436" ht="14.25" hidden="1" customHeight="1">
      <c r="A2436" s="8" t="s">
        <v>1582</v>
      </c>
      <c r="B2436" s="8" t="s">
        <v>2928</v>
      </c>
      <c r="C2436" s="121" t="str">
        <f t="shared" si="96"/>
        <v>http://www.pittsburgh.va.gov/contact/phone_directory.asp</v>
      </c>
    </row>
    <row r="2437" ht="14.25" hidden="1" customHeight="1">
      <c r="A2437" s="8" t="s">
        <v>2932</v>
      </c>
      <c r="B2437" s="8" t="s">
        <v>2928</v>
      </c>
      <c r="C2437" s="121" t="str">
        <f t="shared" si="96"/>
        <v>http://www.pittsburgh.va.gov/contact/phone_directory.asp</v>
      </c>
    </row>
    <row r="2438" ht="14.25" hidden="1" customHeight="1">
      <c r="A2438" s="8" t="s">
        <v>671</v>
      </c>
      <c r="B2438" s="8" t="s">
        <v>2928</v>
      </c>
      <c r="C2438" s="121" t="str">
        <f t="shared" si="96"/>
        <v>http://www.pittsburgh.va.gov/contact/phone_directory.asp</v>
      </c>
    </row>
    <row r="2439" ht="14.25" hidden="1" customHeight="1">
      <c r="A2439" s="8" t="s">
        <v>694</v>
      </c>
      <c r="B2439" s="8" t="s">
        <v>2928</v>
      </c>
      <c r="C2439" s="121" t="str">
        <f t="shared" si="96"/>
        <v>http://www.pittsburgh.va.gov/contact/phone_directory.asp</v>
      </c>
    </row>
    <row r="2440" ht="14.25" hidden="1" customHeight="1">
      <c r="A2440" s="8" t="s">
        <v>2934</v>
      </c>
      <c r="B2440" s="8" t="s">
        <v>2928</v>
      </c>
      <c r="C2440" s="121" t="str">
        <f t="shared" si="96"/>
        <v>http://www.pittsburgh.va.gov/contact/phone_directory.asp</v>
      </c>
    </row>
    <row r="2441" ht="14.25" hidden="1" customHeight="1">
      <c r="A2441" s="8" t="s">
        <v>2935</v>
      </c>
      <c r="B2441" s="8" t="s">
        <v>2928</v>
      </c>
      <c r="C2441" s="121" t="str">
        <f t="shared" si="96"/>
        <v>http://www.pittsburgh.va.gov/contact/phone_directory.asp</v>
      </c>
    </row>
    <row r="2442" ht="14.25" hidden="1" customHeight="1">
      <c r="A2442" s="8" t="s">
        <v>2936</v>
      </c>
      <c r="B2442" s="8" t="s">
        <v>2937</v>
      </c>
      <c r="C2442" s="121" t="str">
        <f t="shared" ref="C2442:C2486" si="97">HYPERLINK("http://www.poplarbluff.va.gov/contact/phone_directory.asp")</f>
        <v>http://www.poplarbluff.va.gov/contact/phone_directory.asp</v>
      </c>
    </row>
    <row r="2443" ht="14.25" hidden="1" customHeight="1">
      <c r="A2443" s="8" t="s">
        <v>624</v>
      </c>
      <c r="B2443" s="8" t="s">
        <v>2937</v>
      </c>
      <c r="C2443" s="121" t="str">
        <f t="shared" si="97"/>
        <v>http://www.poplarbluff.va.gov/contact/phone_directory.asp</v>
      </c>
    </row>
    <row r="2444" ht="14.25" hidden="1" customHeight="1">
      <c r="A2444" s="8" t="s">
        <v>244</v>
      </c>
      <c r="B2444" s="8" t="s">
        <v>2937</v>
      </c>
      <c r="C2444" s="121" t="str">
        <f t="shared" si="97"/>
        <v>http://www.poplarbluff.va.gov/contact/phone_directory.asp</v>
      </c>
    </row>
    <row r="2445" ht="14.25" hidden="1" customHeight="1">
      <c r="A2445" s="8" t="s">
        <v>2939</v>
      </c>
      <c r="B2445" s="8" t="s">
        <v>2937</v>
      </c>
      <c r="C2445" s="121" t="str">
        <f t="shared" si="97"/>
        <v>http://www.poplarbluff.va.gov/contact/phone_directory.asp</v>
      </c>
    </row>
    <row r="2446" ht="14.25" hidden="1" customHeight="1">
      <c r="A2446" s="8" t="s">
        <v>631</v>
      </c>
      <c r="B2446" s="8" t="s">
        <v>2937</v>
      </c>
      <c r="C2446" s="121" t="str">
        <f t="shared" si="97"/>
        <v>http://www.poplarbluff.va.gov/contact/phone_directory.asp</v>
      </c>
    </row>
    <row r="2447" ht="14.25" hidden="1" customHeight="1">
      <c r="A2447" s="8" t="s">
        <v>864</v>
      </c>
      <c r="B2447" s="8" t="s">
        <v>2937</v>
      </c>
      <c r="C2447" s="121" t="str">
        <f t="shared" si="97"/>
        <v>http://www.poplarbluff.va.gov/contact/phone_directory.asp</v>
      </c>
    </row>
    <row r="2448" ht="14.25" hidden="1" customHeight="1">
      <c r="A2448" s="8" t="s">
        <v>414</v>
      </c>
      <c r="B2448" s="8" t="s">
        <v>2937</v>
      </c>
      <c r="C2448" s="121" t="str">
        <f t="shared" si="97"/>
        <v>http://www.poplarbluff.va.gov/contact/phone_directory.asp</v>
      </c>
    </row>
    <row r="2449" ht="14.25" hidden="1" customHeight="1">
      <c r="A2449" s="8" t="s">
        <v>417</v>
      </c>
      <c r="B2449" s="8" t="s">
        <v>2937</v>
      </c>
      <c r="C2449" s="121" t="str">
        <f t="shared" si="97"/>
        <v>http://www.poplarbluff.va.gov/contact/phone_directory.asp</v>
      </c>
    </row>
    <row r="2450" ht="14.25" hidden="1" customHeight="1">
      <c r="A2450" s="8" t="s">
        <v>497</v>
      </c>
      <c r="B2450" s="8" t="s">
        <v>2937</v>
      </c>
      <c r="C2450" s="121" t="str">
        <f t="shared" si="97"/>
        <v>http://www.poplarbluff.va.gov/contact/phone_directory.asp</v>
      </c>
    </row>
    <row r="2451" ht="14.25" hidden="1" customHeight="1">
      <c r="A2451" s="8" t="s">
        <v>455</v>
      </c>
      <c r="B2451" s="8" t="s">
        <v>2937</v>
      </c>
      <c r="C2451" s="121" t="str">
        <f t="shared" si="97"/>
        <v>http://www.poplarbluff.va.gov/contact/phone_directory.asp</v>
      </c>
    </row>
    <row r="2452" ht="14.25" hidden="1" customHeight="1">
      <c r="A2452" s="8" t="s">
        <v>304</v>
      </c>
      <c r="B2452" s="8" t="s">
        <v>2937</v>
      </c>
      <c r="C2452" s="121" t="str">
        <f t="shared" si="97"/>
        <v>http://www.poplarbluff.va.gov/contact/phone_directory.asp</v>
      </c>
    </row>
    <row r="2453" ht="14.25" hidden="1" customHeight="1">
      <c r="A2453" s="8" t="s">
        <v>1671</v>
      </c>
      <c r="B2453" s="8" t="s">
        <v>2937</v>
      </c>
      <c r="C2453" s="121" t="str">
        <f t="shared" si="97"/>
        <v>http://www.poplarbluff.va.gov/contact/phone_directory.asp</v>
      </c>
    </row>
    <row r="2454" ht="14.25" hidden="1" customHeight="1">
      <c r="A2454" s="8" t="s">
        <v>1672</v>
      </c>
      <c r="B2454" s="8" t="s">
        <v>2937</v>
      </c>
      <c r="C2454" s="121" t="str">
        <f t="shared" si="97"/>
        <v>http://www.poplarbluff.va.gov/contact/phone_directory.asp</v>
      </c>
    </row>
    <row r="2455" ht="14.25" hidden="1" customHeight="1">
      <c r="A2455" s="8" t="s">
        <v>2494</v>
      </c>
      <c r="B2455" s="8" t="s">
        <v>2937</v>
      </c>
      <c r="C2455" s="121" t="str">
        <f t="shared" si="97"/>
        <v>http://www.poplarbluff.va.gov/contact/phone_directory.asp</v>
      </c>
    </row>
    <row r="2456" ht="14.25" hidden="1" customHeight="1">
      <c r="A2456" s="8" t="s">
        <v>2943</v>
      </c>
      <c r="B2456" s="8" t="s">
        <v>2937</v>
      </c>
      <c r="C2456" s="121" t="str">
        <f t="shared" si="97"/>
        <v>http://www.poplarbluff.va.gov/contact/phone_directory.asp</v>
      </c>
    </row>
    <row r="2457" ht="14.25" hidden="1" customHeight="1">
      <c r="A2457" s="8" t="s">
        <v>1704</v>
      </c>
      <c r="B2457" s="8" t="s">
        <v>2937</v>
      </c>
      <c r="C2457" s="121" t="str">
        <f t="shared" si="97"/>
        <v>http://www.poplarbluff.va.gov/contact/phone_directory.asp</v>
      </c>
    </row>
    <row r="2458" ht="14.25" hidden="1" customHeight="1">
      <c r="A2458" s="8" t="s">
        <v>2944</v>
      </c>
      <c r="B2458" s="8" t="s">
        <v>2937</v>
      </c>
      <c r="C2458" s="121" t="str">
        <f t="shared" si="97"/>
        <v>http://www.poplarbluff.va.gov/contact/phone_directory.asp</v>
      </c>
    </row>
    <row r="2459" ht="14.25" hidden="1" customHeight="1">
      <c r="A2459" s="8" t="s">
        <v>670</v>
      </c>
      <c r="B2459" s="8" t="s">
        <v>2937</v>
      </c>
      <c r="C2459" s="121" t="str">
        <f t="shared" si="97"/>
        <v>http://www.poplarbluff.va.gov/contact/phone_directory.asp</v>
      </c>
    </row>
    <row r="2460" ht="14.25" hidden="1" customHeight="1">
      <c r="A2460" s="8" t="s">
        <v>1583</v>
      </c>
      <c r="B2460" s="8" t="s">
        <v>2937</v>
      </c>
      <c r="C2460" s="121" t="str">
        <f t="shared" si="97"/>
        <v>http://www.poplarbluff.va.gov/contact/phone_directory.asp</v>
      </c>
    </row>
    <row r="2461" ht="14.25" hidden="1" customHeight="1">
      <c r="A2461" s="8" t="s">
        <v>2947</v>
      </c>
      <c r="B2461" s="8" t="s">
        <v>2937</v>
      </c>
      <c r="C2461" s="121" t="str">
        <f t="shared" si="97"/>
        <v>http://www.poplarbluff.va.gov/contact/phone_directory.asp</v>
      </c>
    </row>
    <row r="2462" ht="14.25" hidden="1" customHeight="1">
      <c r="A2462" s="8" t="s">
        <v>683</v>
      </c>
      <c r="B2462" s="8" t="s">
        <v>2937</v>
      </c>
      <c r="C2462" s="121" t="str">
        <f t="shared" si="97"/>
        <v>http://www.poplarbluff.va.gov/contact/phone_directory.asp</v>
      </c>
    </row>
    <row r="2463" ht="14.25" hidden="1" customHeight="1">
      <c r="A2463" s="8" t="s">
        <v>691</v>
      </c>
      <c r="B2463" s="8" t="s">
        <v>2937</v>
      </c>
      <c r="C2463" s="121" t="str">
        <f t="shared" si="97"/>
        <v>http://www.poplarbluff.va.gov/contact/phone_directory.asp</v>
      </c>
    </row>
    <row r="2464" ht="14.25" hidden="1" customHeight="1">
      <c r="A2464" s="8" t="s">
        <v>1841</v>
      </c>
      <c r="B2464" s="8" t="s">
        <v>2937</v>
      </c>
      <c r="C2464" s="121" t="str">
        <f t="shared" si="97"/>
        <v>http://www.poplarbluff.va.gov/contact/phone_directory.asp</v>
      </c>
    </row>
    <row r="2465" ht="14.25" hidden="1" customHeight="1">
      <c r="A2465" s="8" t="s">
        <v>2949</v>
      </c>
      <c r="B2465" s="8" t="s">
        <v>2937</v>
      </c>
      <c r="C2465" s="121" t="str">
        <f t="shared" si="97"/>
        <v>http://www.poplarbluff.va.gov/contact/phone_directory.asp</v>
      </c>
    </row>
    <row r="2466" ht="14.25" hidden="1" customHeight="1">
      <c r="A2466" s="8" t="s">
        <v>335</v>
      </c>
      <c r="B2466" s="8" t="s">
        <v>2937</v>
      </c>
      <c r="C2466" s="121" t="str">
        <f t="shared" si="97"/>
        <v>http://www.poplarbluff.va.gov/contact/phone_directory.asp</v>
      </c>
    </row>
    <row r="2467" ht="14.25" hidden="1" customHeight="1">
      <c r="A2467" s="8" t="s">
        <v>705</v>
      </c>
      <c r="B2467" s="8" t="s">
        <v>2937</v>
      </c>
      <c r="C2467" s="121" t="str">
        <f t="shared" si="97"/>
        <v>http://www.poplarbluff.va.gov/contact/phone_directory.asp</v>
      </c>
    </row>
    <row r="2468" ht="14.25" hidden="1" customHeight="1">
      <c r="A2468" s="8" t="s">
        <v>765</v>
      </c>
      <c r="B2468" s="8" t="s">
        <v>2937</v>
      </c>
      <c r="C2468" s="121" t="str">
        <f t="shared" si="97"/>
        <v>http://www.poplarbluff.va.gov/contact/phone_directory.asp</v>
      </c>
    </row>
    <row r="2469" ht="14.25" hidden="1" customHeight="1">
      <c r="A2469" s="8" t="s">
        <v>2950</v>
      </c>
      <c r="B2469" s="8" t="s">
        <v>2937</v>
      </c>
      <c r="C2469" s="121" t="str">
        <f t="shared" si="97"/>
        <v>http://www.poplarbluff.va.gov/contact/phone_directory.asp</v>
      </c>
    </row>
    <row r="2470" ht="14.25" hidden="1" customHeight="1">
      <c r="A2470" s="8" t="s">
        <v>694</v>
      </c>
      <c r="B2470" s="8" t="s">
        <v>2937</v>
      </c>
      <c r="C2470" s="121" t="str">
        <f t="shared" si="97"/>
        <v>http://www.poplarbluff.va.gov/contact/phone_directory.asp</v>
      </c>
    </row>
    <row r="2471" ht="14.25" hidden="1" customHeight="1">
      <c r="A2471" s="8" t="s">
        <v>2078</v>
      </c>
      <c r="B2471" s="8" t="s">
        <v>2937</v>
      </c>
      <c r="C2471" s="121" t="str">
        <f t="shared" si="97"/>
        <v>http://www.poplarbluff.va.gov/contact/phone_directory.asp</v>
      </c>
    </row>
    <row r="2472" ht="14.25" hidden="1" customHeight="1">
      <c r="A2472" s="8" t="s">
        <v>697</v>
      </c>
      <c r="B2472" s="8" t="s">
        <v>2937</v>
      </c>
      <c r="C2472" s="121" t="str">
        <f t="shared" si="97"/>
        <v>http://www.poplarbluff.va.gov/contact/phone_directory.asp</v>
      </c>
    </row>
    <row r="2473" ht="14.25" hidden="1" customHeight="1">
      <c r="A2473" s="8" t="s">
        <v>450</v>
      </c>
      <c r="B2473" s="8" t="s">
        <v>2937</v>
      </c>
      <c r="C2473" s="121" t="str">
        <f t="shared" si="97"/>
        <v>http://www.poplarbluff.va.gov/contact/phone_directory.asp</v>
      </c>
    </row>
    <row r="2474" ht="14.25" hidden="1" customHeight="1">
      <c r="A2474" s="8" t="s">
        <v>2952</v>
      </c>
      <c r="B2474" s="8" t="s">
        <v>2937</v>
      </c>
      <c r="C2474" s="121" t="str">
        <f t="shared" si="97"/>
        <v>http://www.poplarbluff.va.gov/contact/phone_directory.asp</v>
      </c>
    </row>
    <row r="2475" ht="14.25" hidden="1" customHeight="1">
      <c r="A2475" s="8" t="s">
        <v>353</v>
      </c>
      <c r="B2475" s="8" t="s">
        <v>2937</v>
      </c>
      <c r="C2475" s="121" t="str">
        <f t="shared" si="97"/>
        <v>http://www.poplarbluff.va.gov/contact/phone_directory.asp</v>
      </c>
    </row>
    <row r="2476" ht="14.25" hidden="1" customHeight="1">
      <c r="A2476" s="8" t="s">
        <v>717</v>
      </c>
      <c r="B2476" s="8" t="s">
        <v>2937</v>
      </c>
      <c r="C2476" s="121" t="str">
        <f t="shared" si="97"/>
        <v>http://www.poplarbluff.va.gov/contact/phone_directory.asp</v>
      </c>
    </row>
    <row r="2477" ht="14.25" hidden="1" customHeight="1">
      <c r="A2477" s="8" t="s">
        <v>708</v>
      </c>
      <c r="B2477" s="8" t="s">
        <v>2937</v>
      </c>
      <c r="C2477" s="121" t="str">
        <f t="shared" si="97"/>
        <v>http://www.poplarbluff.va.gov/contact/phone_directory.asp</v>
      </c>
    </row>
    <row r="2478" ht="14.25" hidden="1" customHeight="1">
      <c r="A2478" s="8" t="s">
        <v>1677</v>
      </c>
      <c r="B2478" s="8" t="s">
        <v>2937</v>
      </c>
      <c r="C2478" s="121" t="str">
        <f t="shared" si="97"/>
        <v>http://www.poplarbluff.va.gov/contact/phone_directory.asp</v>
      </c>
    </row>
    <row r="2479" ht="14.25" hidden="1" customHeight="1">
      <c r="A2479" s="8" t="s">
        <v>804</v>
      </c>
      <c r="B2479" s="8" t="s">
        <v>2937</v>
      </c>
      <c r="C2479" s="121" t="str">
        <f t="shared" si="97"/>
        <v>http://www.poplarbluff.va.gov/contact/phone_directory.asp</v>
      </c>
    </row>
    <row r="2480" ht="14.25" hidden="1" customHeight="1">
      <c r="A2480" s="8" t="s">
        <v>2954</v>
      </c>
      <c r="B2480" s="8" t="s">
        <v>2937</v>
      </c>
      <c r="C2480" s="121" t="str">
        <f t="shared" si="97"/>
        <v>http://www.poplarbluff.va.gov/contact/phone_directory.asp</v>
      </c>
    </row>
    <row r="2481" ht="14.25" hidden="1" customHeight="1">
      <c r="A2481" s="8" t="s">
        <v>2610</v>
      </c>
      <c r="B2481" s="8" t="s">
        <v>2937</v>
      </c>
      <c r="C2481" s="121" t="str">
        <f t="shared" si="97"/>
        <v>http://www.poplarbluff.va.gov/contact/phone_directory.asp</v>
      </c>
    </row>
    <row r="2482" ht="14.25" hidden="1" customHeight="1">
      <c r="A2482" s="8" t="s">
        <v>729</v>
      </c>
      <c r="B2482" s="8" t="s">
        <v>2937</v>
      </c>
      <c r="C2482" s="121" t="str">
        <f t="shared" si="97"/>
        <v>http://www.poplarbluff.va.gov/contact/phone_directory.asp</v>
      </c>
    </row>
    <row r="2483" ht="14.25" hidden="1" customHeight="1">
      <c r="A2483" s="8" t="s">
        <v>1452</v>
      </c>
      <c r="B2483" s="8" t="s">
        <v>2937</v>
      </c>
      <c r="C2483" s="121" t="str">
        <f t="shared" si="97"/>
        <v>http://www.poplarbluff.va.gov/contact/phone_directory.asp</v>
      </c>
    </row>
    <row r="2484" ht="14.25" hidden="1" customHeight="1">
      <c r="A2484" s="8" t="s">
        <v>2955</v>
      </c>
      <c r="B2484" s="8" t="s">
        <v>2937</v>
      </c>
      <c r="C2484" s="121" t="str">
        <f t="shared" si="97"/>
        <v>http://www.poplarbluff.va.gov/contact/phone_directory.asp</v>
      </c>
    </row>
    <row r="2485" ht="14.25" hidden="1" customHeight="1">
      <c r="A2485" s="8" t="s">
        <v>518</v>
      </c>
      <c r="B2485" s="8" t="s">
        <v>2937</v>
      </c>
      <c r="C2485" s="121" t="str">
        <f t="shared" si="97"/>
        <v>http://www.poplarbluff.va.gov/contact/phone_directory.asp</v>
      </c>
    </row>
    <row r="2486" ht="14.25" hidden="1" customHeight="1">
      <c r="A2486" s="8" t="s">
        <v>1751</v>
      </c>
      <c r="B2486" s="8" t="s">
        <v>2937</v>
      </c>
      <c r="C2486" s="121" t="str">
        <f t="shared" si="97"/>
        <v>http://www.poplarbluff.va.gov/contact/phone_directory.asp</v>
      </c>
    </row>
    <row r="2487" ht="14.25" hidden="1" customHeight="1">
      <c r="A2487" s="8" t="s">
        <v>2957</v>
      </c>
      <c r="B2487" s="8" t="s">
        <v>2958</v>
      </c>
      <c r="C2487" s="121" t="str">
        <f t="shared" ref="C2487:C2520" si="98">HYPERLINK("http://www.portland.va.gov/contact/phone_directory.asp")</f>
        <v>http://www.portland.va.gov/contact/phone_directory.asp</v>
      </c>
    </row>
    <row r="2488" ht="14.25" hidden="1" customHeight="1">
      <c r="A2488" s="8" t="s">
        <v>2959</v>
      </c>
      <c r="B2488" s="8" t="s">
        <v>2958</v>
      </c>
      <c r="C2488" s="121" t="str">
        <f t="shared" si="98"/>
        <v>http://www.portland.va.gov/contact/phone_directory.asp</v>
      </c>
    </row>
    <row r="2489" ht="14.25" hidden="1" customHeight="1">
      <c r="A2489" s="8" t="s">
        <v>2960</v>
      </c>
      <c r="B2489" s="8" t="s">
        <v>2958</v>
      </c>
      <c r="C2489" s="121" t="str">
        <f t="shared" si="98"/>
        <v>http://www.portland.va.gov/contact/phone_directory.asp</v>
      </c>
    </row>
    <row r="2490" ht="14.25" hidden="1" customHeight="1">
      <c r="A2490" s="8" t="s">
        <v>2962</v>
      </c>
      <c r="B2490" s="8" t="s">
        <v>2958</v>
      </c>
      <c r="C2490" s="121" t="str">
        <f t="shared" si="98"/>
        <v>http://www.portland.va.gov/contact/phone_directory.asp</v>
      </c>
    </row>
    <row r="2491" ht="14.25" hidden="1" customHeight="1">
      <c r="A2491" s="8" t="s">
        <v>638</v>
      </c>
      <c r="B2491" s="8" t="s">
        <v>2958</v>
      </c>
      <c r="C2491" s="121" t="str">
        <f t="shared" si="98"/>
        <v>http://www.portland.va.gov/contact/phone_directory.asp</v>
      </c>
    </row>
    <row r="2492" ht="14.25" hidden="1" customHeight="1">
      <c r="A2492" s="8" t="s">
        <v>2964</v>
      </c>
      <c r="B2492" s="8" t="s">
        <v>2958</v>
      </c>
      <c r="C2492" s="121" t="str">
        <f t="shared" si="98"/>
        <v>http://www.portland.va.gov/contact/phone_directory.asp</v>
      </c>
    </row>
    <row r="2493" ht="14.25" hidden="1" customHeight="1">
      <c r="A2493" s="8" t="s">
        <v>2965</v>
      </c>
      <c r="B2493" s="8" t="s">
        <v>2958</v>
      </c>
      <c r="C2493" s="121" t="str">
        <f t="shared" si="98"/>
        <v>http://www.portland.va.gov/contact/phone_directory.asp</v>
      </c>
    </row>
    <row r="2494" ht="14.25" hidden="1" customHeight="1">
      <c r="A2494" s="8" t="s">
        <v>2966</v>
      </c>
      <c r="B2494" s="8" t="s">
        <v>2958</v>
      </c>
      <c r="C2494" s="121" t="str">
        <f t="shared" si="98"/>
        <v>http://www.portland.va.gov/contact/phone_directory.asp</v>
      </c>
    </row>
    <row r="2495" ht="14.25" hidden="1" customHeight="1">
      <c r="A2495" s="8" t="s">
        <v>455</v>
      </c>
      <c r="B2495" s="8" t="s">
        <v>2958</v>
      </c>
      <c r="C2495" s="121" t="str">
        <f t="shared" si="98"/>
        <v>http://www.portland.va.gov/contact/phone_directory.asp</v>
      </c>
    </row>
    <row r="2496" ht="14.25" hidden="1" customHeight="1">
      <c r="A2496" s="8" t="s">
        <v>308</v>
      </c>
      <c r="B2496" s="8" t="s">
        <v>2958</v>
      </c>
      <c r="C2496" s="121" t="str">
        <f t="shared" si="98"/>
        <v>http://www.portland.va.gov/contact/phone_directory.asp</v>
      </c>
    </row>
    <row r="2497" ht="14.25" hidden="1" customHeight="1">
      <c r="A2497" s="8" t="s">
        <v>2968</v>
      </c>
      <c r="B2497" s="8" t="s">
        <v>2958</v>
      </c>
      <c r="C2497" s="121" t="str">
        <f t="shared" si="98"/>
        <v>http://www.portland.va.gov/contact/phone_directory.asp</v>
      </c>
    </row>
    <row r="2498" ht="14.25" hidden="1" customHeight="1">
      <c r="A2498" s="8" t="s">
        <v>2969</v>
      </c>
      <c r="B2498" s="8" t="s">
        <v>2958</v>
      </c>
      <c r="C2498" s="121" t="str">
        <f t="shared" si="98"/>
        <v>http://www.portland.va.gov/contact/phone_directory.asp</v>
      </c>
    </row>
    <row r="2499" ht="14.25" hidden="1" customHeight="1">
      <c r="A2499" s="8" t="s">
        <v>1147</v>
      </c>
      <c r="B2499" s="8" t="s">
        <v>2958</v>
      </c>
      <c r="C2499" s="121" t="str">
        <f t="shared" si="98"/>
        <v>http://www.portland.va.gov/contact/phone_directory.asp</v>
      </c>
    </row>
    <row r="2500" ht="14.25" hidden="1" customHeight="1">
      <c r="A2500" s="8" t="s">
        <v>2743</v>
      </c>
      <c r="B2500" s="8" t="s">
        <v>2958</v>
      </c>
      <c r="C2500" s="121" t="str">
        <f t="shared" si="98"/>
        <v>http://www.portland.va.gov/contact/phone_directory.asp</v>
      </c>
    </row>
    <row r="2501" ht="14.25" hidden="1" customHeight="1">
      <c r="A2501" s="8" t="s">
        <v>683</v>
      </c>
      <c r="B2501" s="8" t="s">
        <v>2958</v>
      </c>
      <c r="C2501" s="121" t="str">
        <f t="shared" si="98"/>
        <v>http://www.portland.va.gov/contact/phone_directory.asp</v>
      </c>
    </row>
    <row r="2502" ht="14.25" hidden="1" customHeight="1">
      <c r="A2502" s="8" t="s">
        <v>2971</v>
      </c>
      <c r="B2502" s="8" t="s">
        <v>2958</v>
      </c>
      <c r="C2502" s="121" t="str">
        <f t="shared" si="98"/>
        <v>http://www.portland.va.gov/contact/phone_directory.asp</v>
      </c>
    </row>
    <row r="2503" ht="14.25" hidden="1" customHeight="1">
      <c r="A2503" s="8" t="s">
        <v>2395</v>
      </c>
      <c r="B2503" s="8" t="s">
        <v>2958</v>
      </c>
      <c r="C2503" s="121" t="str">
        <f t="shared" si="98"/>
        <v>http://www.portland.va.gov/contact/phone_directory.asp</v>
      </c>
    </row>
    <row r="2504" ht="14.25" hidden="1" customHeight="1">
      <c r="A2504" s="8" t="s">
        <v>2972</v>
      </c>
      <c r="B2504" s="8" t="s">
        <v>2958</v>
      </c>
      <c r="C2504" s="121" t="str">
        <f t="shared" si="98"/>
        <v>http://www.portland.va.gov/contact/phone_directory.asp</v>
      </c>
    </row>
    <row r="2505" ht="14.25" hidden="1" customHeight="1">
      <c r="A2505" s="8" t="s">
        <v>2403</v>
      </c>
      <c r="B2505" s="8" t="s">
        <v>2958</v>
      </c>
      <c r="C2505" s="121" t="str">
        <f t="shared" si="98"/>
        <v>http://www.portland.va.gov/contact/phone_directory.asp</v>
      </c>
    </row>
    <row r="2506" ht="14.25" hidden="1" customHeight="1">
      <c r="A2506" s="8" t="s">
        <v>2974</v>
      </c>
      <c r="B2506" s="8" t="s">
        <v>2958</v>
      </c>
      <c r="C2506" s="121" t="str">
        <f t="shared" si="98"/>
        <v>http://www.portland.va.gov/contact/phone_directory.asp</v>
      </c>
    </row>
    <row r="2507" ht="14.25" hidden="1" customHeight="1">
      <c r="A2507" s="8" t="s">
        <v>2975</v>
      </c>
      <c r="B2507" s="8" t="s">
        <v>2958</v>
      </c>
      <c r="C2507" s="121" t="str">
        <f t="shared" si="98"/>
        <v>http://www.portland.va.gov/contact/phone_directory.asp</v>
      </c>
    </row>
    <row r="2508" ht="14.25" hidden="1" customHeight="1">
      <c r="A2508" s="8" t="s">
        <v>2977</v>
      </c>
      <c r="B2508" s="8" t="s">
        <v>2958</v>
      </c>
      <c r="C2508" s="121" t="str">
        <f t="shared" si="98"/>
        <v>http://www.portland.va.gov/contact/phone_directory.asp</v>
      </c>
    </row>
    <row r="2509" ht="14.25" hidden="1" customHeight="1">
      <c r="A2509" s="8" t="s">
        <v>500</v>
      </c>
      <c r="B2509" s="8" t="s">
        <v>2958</v>
      </c>
      <c r="C2509" s="121" t="str">
        <f t="shared" si="98"/>
        <v>http://www.portland.va.gov/contact/phone_directory.asp</v>
      </c>
    </row>
    <row r="2510" ht="14.25" hidden="1" customHeight="1">
      <c r="A2510" s="8" t="s">
        <v>2978</v>
      </c>
      <c r="B2510" s="8" t="s">
        <v>2958</v>
      </c>
      <c r="C2510" s="121" t="str">
        <f t="shared" si="98"/>
        <v>http://www.portland.va.gov/contact/phone_directory.asp</v>
      </c>
    </row>
    <row r="2511" ht="14.25" hidden="1" customHeight="1">
      <c r="A2511" s="8" t="s">
        <v>713</v>
      </c>
      <c r="B2511" s="8" t="s">
        <v>2958</v>
      </c>
      <c r="C2511" s="121" t="str">
        <f t="shared" si="98"/>
        <v>http://www.portland.va.gov/contact/phone_directory.asp</v>
      </c>
    </row>
    <row r="2512" ht="14.25" hidden="1" customHeight="1">
      <c r="A2512" s="8" t="s">
        <v>2979</v>
      </c>
      <c r="B2512" s="8" t="s">
        <v>2958</v>
      </c>
      <c r="C2512" s="121" t="str">
        <f t="shared" si="98"/>
        <v>http://www.portland.va.gov/contact/phone_directory.asp</v>
      </c>
    </row>
    <row r="2513" ht="14.25" hidden="1" customHeight="1">
      <c r="A2513" s="8" t="s">
        <v>2980</v>
      </c>
      <c r="B2513" s="8" t="s">
        <v>2958</v>
      </c>
      <c r="C2513" s="121" t="str">
        <f t="shared" si="98"/>
        <v>http://www.portland.va.gov/contact/phone_directory.asp</v>
      </c>
    </row>
    <row r="2514" ht="14.25" hidden="1" customHeight="1">
      <c r="A2514" s="8" t="s">
        <v>1429</v>
      </c>
      <c r="B2514" s="8" t="s">
        <v>2958</v>
      </c>
      <c r="C2514" s="121" t="str">
        <f t="shared" si="98"/>
        <v>http://www.portland.va.gov/contact/phone_directory.asp</v>
      </c>
    </row>
    <row r="2515" ht="14.25" hidden="1" customHeight="1">
      <c r="A2515" s="8" t="s">
        <v>724</v>
      </c>
      <c r="B2515" s="8" t="s">
        <v>2958</v>
      </c>
      <c r="C2515" s="121" t="str">
        <f t="shared" si="98"/>
        <v>http://www.portland.va.gov/contact/phone_directory.asp</v>
      </c>
    </row>
    <row r="2516" ht="14.25" hidden="1" customHeight="1">
      <c r="A2516" s="8" t="s">
        <v>2981</v>
      </c>
      <c r="B2516" s="8" t="s">
        <v>2958</v>
      </c>
      <c r="C2516" s="121" t="str">
        <f t="shared" si="98"/>
        <v>http://www.portland.va.gov/contact/phone_directory.asp</v>
      </c>
    </row>
    <row r="2517" ht="14.25" hidden="1" customHeight="1">
      <c r="A2517" s="8" t="s">
        <v>2982</v>
      </c>
      <c r="B2517" s="8" t="s">
        <v>2958</v>
      </c>
      <c r="C2517" s="121" t="str">
        <f t="shared" si="98"/>
        <v>http://www.portland.va.gov/contact/phone_directory.asp</v>
      </c>
    </row>
    <row r="2518" ht="14.25" hidden="1" customHeight="1">
      <c r="A2518" s="8" t="s">
        <v>2984</v>
      </c>
      <c r="B2518" s="8" t="s">
        <v>2958</v>
      </c>
      <c r="C2518" s="121" t="str">
        <f t="shared" si="98"/>
        <v>http://www.portland.va.gov/contact/phone_directory.asp</v>
      </c>
    </row>
    <row r="2519" ht="14.25" hidden="1" customHeight="1">
      <c r="A2519" s="8" t="s">
        <v>822</v>
      </c>
      <c r="B2519" s="8" t="s">
        <v>2958</v>
      </c>
      <c r="C2519" s="121" t="str">
        <f t="shared" si="98"/>
        <v>http://www.portland.va.gov/contact/phone_directory.asp</v>
      </c>
    </row>
    <row r="2520" ht="14.25" hidden="1" customHeight="1">
      <c r="A2520" s="8" t="s">
        <v>518</v>
      </c>
      <c r="B2520" s="8" t="s">
        <v>2958</v>
      </c>
      <c r="C2520" s="121" t="str">
        <f t="shared" si="98"/>
        <v>http://www.portland.va.gov/contact/phone_directory.asp</v>
      </c>
    </row>
    <row r="2521" ht="14.25" hidden="1" customHeight="1">
      <c r="A2521" s="8" t="s">
        <v>2985</v>
      </c>
      <c r="B2521" s="8" t="s">
        <v>2986</v>
      </c>
      <c r="C2521" s="121" t="str">
        <f t="shared" ref="C2521:C2522" si="99">HYPERLINK("http://www.prescott.va.gov/contact/phone_directory.asp")</f>
        <v>http://www.prescott.va.gov/contact/phone_directory.asp</v>
      </c>
    </row>
    <row r="2522" ht="14.25" hidden="1" customHeight="1">
      <c r="A2522" s="8" t="s">
        <v>343</v>
      </c>
      <c r="B2522" s="8" t="s">
        <v>2986</v>
      </c>
      <c r="C2522" s="121" t="str">
        <f t="shared" si="99"/>
        <v>http://www.prescott.va.gov/contact/phone_directory.asp</v>
      </c>
    </row>
    <row r="2523" ht="14.25" hidden="1" customHeight="1">
      <c r="A2523" s="8" t="s">
        <v>2989</v>
      </c>
      <c r="B2523" s="8" t="s">
        <v>2990</v>
      </c>
      <c r="C2523" s="121" t="str">
        <f t="shared" ref="C2523:C2606" si="100">HYPERLINK("http://www.providence.va.gov/contact/phone_directory.asp")</f>
        <v>http://www.providence.va.gov/contact/phone_directory.asp</v>
      </c>
    </row>
    <row r="2524" ht="14.25" hidden="1" customHeight="1">
      <c r="A2524" s="8" t="s">
        <v>2991</v>
      </c>
      <c r="B2524" s="8" t="s">
        <v>2990</v>
      </c>
      <c r="C2524" s="121" t="str">
        <f t="shared" si="100"/>
        <v>http://www.providence.va.gov/contact/phone_directory.asp</v>
      </c>
    </row>
    <row r="2525" ht="14.25" hidden="1" customHeight="1">
      <c r="A2525" s="8" t="s">
        <v>624</v>
      </c>
      <c r="B2525" s="8" t="s">
        <v>2990</v>
      </c>
      <c r="C2525" s="121" t="str">
        <f t="shared" si="100"/>
        <v>http://www.providence.va.gov/contact/phone_directory.asp</v>
      </c>
    </row>
    <row r="2526" ht="14.25" hidden="1" customHeight="1">
      <c r="A2526" s="8" t="s">
        <v>2993</v>
      </c>
      <c r="B2526" s="8" t="s">
        <v>2990</v>
      </c>
      <c r="C2526" s="121" t="str">
        <f t="shared" si="100"/>
        <v>http://www.providence.va.gov/contact/phone_directory.asp</v>
      </c>
    </row>
    <row r="2527" ht="14.25" hidden="1" customHeight="1">
      <c r="A2527" s="8" t="s">
        <v>998</v>
      </c>
      <c r="B2527" s="8" t="s">
        <v>2990</v>
      </c>
      <c r="C2527" s="121" t="str">
        <f t="shared" si="100"/>
        <v>http://www.providence.va.gov/contact/phone_directory.asp</v>
      </c>
    </row>
    <row r="2528" ht="14.25" hidden="1" customHeight="1">
      <c r="A2528" s="8" t="s">
        <v>2994</v>
      </c>
      <c r="B2528" s="8" t="s">
        <v>2990</v>
      </c>
      <c r="C2528" s="121" t="str">
        <f t="shared" si="100"/>
        <v>http://www.providence.va.gov/contact/phone_directory.asp</v>
      </c>
    </row>
    <row r="2529" ht="14.25" hidden="1" customHeight="1">
      <c r="A2529" s="8" t="s">
        <v>2995</v>
      </c>
      <c r="B2529" s="8" t="s">
        <v>2990</v>
      </c>
      <c r="C2529" s="121" t="str">
        <f t="shared" si="100"/>
        <v>http://www.providence.va.gov/contact/phone_directory.asp</v>
      </c>
    </row>
    <row r="2530" ht="14.25" hidden="1" customHeight="1">
      <c r="A2530" s="8" t="s">
        <v>2996</v>
      </c>
      <c r="B2530" s="8" t="s">
        <v>2990</v>
      </c>
      <c r="C2530" s="121" t="str">
        <f t="shared" si="100"/>
        <v>http://www.providence.va.gov/contact/phone_directory.asp</v>
      </c>
    </row>
    <row r="2531" ht="14.25" hidden="1" customHeight="1">
      <c r="A2531" s="8" t="s">
        <v>2997</v>
      </c>
      <c r="B2531" s="8" t="s">
        <v>2990</v>
      </c>
      <c r="C2531" s="121" t="str">
        <f t="shared" si="100"/>
        <v>http://www.providence.va.gov/contact/phone_directory.asp</v>
      </c>
    </row>
    <row r="2532" ht="14.25" hidden="1" customHeight="1">
      <c r="A2532" s="8" t="s">
        <v>2998</v>
      </c>
      <c r="B2532" s="8" t="s">
        <v>2990</v>
      </c>
      <c r="C2532" s="121" t="str">
        <f t="shared" si="100"/>
        <v>http://www.providence.va.gov/contact/phone_directory.asp</v>
      </c>
    </row>
    <row r="2533" ht="14.25" hidden="1" customHeight="1">
      <c r="A2533" s="8" t="s">
        <v>2999</v>
      </c>
      <c r="B2533" s="8" t="s">
        <v>2990</v>
      </c>
      <c r="C2533" s="121" t="str">
        <f t="shared" si="100"/>
        <v>http://www.providence.va.gov/contact/phone_directory.asp</v>
      </c>
    </row>
    <row r="2534" ht="14.25" hidden="1" customHeight="1">
      <c r="A2534" s="8" t="s">
        <v>414</v>
      </c>
      <c r="B2534" s="8" t="s">
        <v>2990</v>
      </c>
      <c r="C2534" s="121" t="str">
        <f t="shared" si="100"/>
        <v>http://www.providence.va.gov/contact/phone_directory.asp</v>
      </c>
    </row>
    <row r="2535" ht="14.25" hidden="1" customHeight="1">
      <c r="A2535" s="8" t="s">
        <v>3000</v>
      </c>
      <c r="B2535" s="8" t="s">
        <v>2990</v>
      </c>
      <c r="C2535" s="121" t="str">
        <f t="shared" si="100"/>
        <v>http://www.providence.va.gov/contact/phone_directory.asp</v>
      </c>
    </row>
    <row r="2536" ht="14.25" hidden="1" customHeight="1">
      <c r="A2536" s="8" t="s">
        <v>3001</v>
      </c>
      <c r="B2536" s="8" t="s">
        <v>2990</v>
      </c>
      <c r="C2536" s="121" t="str">
        <f t="shared" si="100"/>
        <v>http://www.providence.va.gov/contact/phone_directory.asp</v>
      </c>
    </row>
    <row r="2537" ht="14.25" hidden="1" customHeight="1">
      <c r="A2537" s="8" t="s">
        <v>3003</v>
      </c>
      <c r="B2537" s="8" t="s">
        <v>2990</v>
      </c>
      <c r="C2537" s="121" t="str">
        <f t="shared" si="100"/>
        <v>http://www.providence.va.gov/contact/phone_directory.asp</v>
      </c>
    </row>
    <row r="2538" ht="14.25" hidden="1" customHeight="1">
      <c r="A2538" s="8" t="s">
        <v>2421</v>
      </c>
      <c r="B2538" s="8" t="s">
        <v>2990</v>
      </c>
      <c r="C2538" s="121" t="str">
        <f t="shared" si="100"/>
        <v>http://www.providence.va.gov/contact/phone_directory.asp</v>
      </c>
    </row>
    <row r="2539" ht="14.25" hidden="1" customHeight="1">
      <c r="A2539" s="8" t="s">
        <v>3004</v>
      </c>
      <c r="B2539" s="8" t="s">
        <v>2990</v>
      </c>
      <c r="C2539" s="121" t="str">
        <f t="shared" si="100"/>
        <v>http://www.providence.va.gov/contact/phone_directory.asp</v>
      </c>
    </row>
    <row r="2540" ht="14.25" hidden="1" customHeight="1">
      <c r="A2540" s="8" t="s">
        <v>3005</v>
      </c>
      <c r="B2540" s="8" t="s">
        <v>2990</v>
      </c>
      <c r="C2540" s="121" t="str">
        <f t="shared" si="100"/>
        <v>http://www.providence.va.gov/contact/phone_directory.asp</v>
      </c>
    </row>
    <row r="2541" ht="14.25" hidden="1" customHeight="1">
      <c r="A2541" s="8" t="s">
        <v>455</v>
      </c>
      <c r="B2541" s="8" t="s">
        <v>2990</v>
      </c>
      <c r="C2541" s="121" t="str">
        <f t="shared" si="100"/>
        <v>http://www.providence.va.gov/contact/phone_directory.asp</v>
      </c>
    </row>
    <row r="2542" ht="14.25" hidden="1" customHeight="1">
      <c r="A2542" s="8" t="s">
        <v>1827</v>
      </c>
      <c r="B2542" s="8" t="s">
        <v>2990</v>
      </c>
      <c r="C2542" s="121" t="str">
        <f t="shared" si="100"/>
        <v>http://www.providence.va.gov/contact/phone_directory.asp</v>
      </c>
    </row>
    <row r="2543" ht="14.25" hidden="1" customHeight="1">
      <c r="A2543" s="8" t="s">
        <v>3006</v>
      </c>
      <c r="B2543" s="8" t="s">
        <v>2990</v>
      </c>
      <c r="C2543" s="121" t="str">
        <f t="shared" si="100"/>
        <v>http://www.providence.va.gov/contact/phone_directory.asp</v>
      </c>
    </row>
    <row r="2544" ht="14.25" hidden="1" customHeight="1">
      <c r="A2544" s="8" t="s">
        <v>303</v>
      </c>
      <c r="B2544" s="8" t="s">
        <v>2990</v>
      </c>
      <c r="C2544" s="121" t="str">
        <f t="shared" si="100"/>
        <v>http://www.providence.va.gov/contact/phone_directory.asp</v>
      </c>
    </row>
    <row r="2545" ht="14.25" hidden="1" customHeight="1">
      <c r="A2545" s="8" t="s">
        <v>517</v>
      </c>
      <c r="B2545" s="8" t="s">
        <v>2990</v>
      </c>
      <c r="C2545" s="121" t="str">
        <f t="shared" si="100"/>
        <v>http://www.providence.va.gov/contact/phone_directory.asp</v>
      </c>
    </row>
    <row r="2546" ht="14.25" hidden="1" customHeight="1">
      <c r="A2546" s="8" t="s">
        <v>842</v>
      </c>
      <c r="B2546" s="8" t="s">
        <v>2990</v>
      </c>
      <c r="C2546" s="121" t="str">
        <f t="shared" si="100"/>
        <v>http://www.providence.va.gov/contact/phone_directory.asp</v>
      </c>
    </row>
    <row r="2547" ht="14.25" hidden="1" customHeight="1">
      <c r="A2547" s="8" t="s">
        <v>2459</v>
      </c>
      <c r="B2547" s="8" t="s">
        <v>2990</v>
      </c>
      <c r="C2547" s="121" t="str">
        <f t="shared" si="100"/>
        <v>http://www.providence.va.gov/contact/phone_directory.asp</v>
      </c>
    </row>
    <row r="2548" ht="14.25" hidden="1" customHeight="1">
      <c r="A2548" s="8" t="s">
        <v>3008</v>
      </c>
      <c r="B2548" s="8" t="s">
        <v>2990</v>
      </c>
      <c r="C2548" s="121" t="str">
        <f t="shared" si="100"/>
        <v>http://www.providence.va.gov/contact/phone_directory.asp</v>
      </c>
    </row>
    <row r="2549" ht="14.25" hidden="1" customHeight="1">
      <c r="A2549" s="8" t="s">
        <v>3009</v>
      </c>
      <c r="B2549" s="8" t="s">
        <v>2990</v>
      </c>
      <c r="C2549" s="121" t="str">
        <f t="shared" si="100"/>
        <v>http://www.providence.va.gov/contact/phone_directory.asp</v>
      </c>
    </row>
    <row r="2550" ht="14.25" hidden="1" customHeight="1">
      <c r="A2550" s="8" t="s">
        <v>3011</v>
      </c>
      <c r="B2550" s="8" t="s">
        <v>2990</v>
      </c>
      <c r="C2550" s="121" t="str">
        <f t="shared" si="100"/>
        <v>http://www.providence.va.gov/contact/phone_directory.asp</v>
      </c>
    </row>
    <row r="2551" ht="14.25" hidden="1" customHeight="1">
      <c r="A2551" s="8" t="s">
        <v>663</v>
      </c>
      <c r="B2551" s="8" t="s">
        <v>2990</v>
      </c>
      <c r="C2551" s="121" t="str">
        <f t="shared" si="100"/>
        <v>http://www.providence.va.gov/contact/phone_directory.asp</v>
      </c>
    </row>
    <row r="2552" ht="14.25" hidden="1" customHeight="1">
      <c r="A2552" s="8" t="s">
        <v>2866</v>
      </c>
      <c r="B2552" s="8" t="s">
        <v>2990</v>
      </c>
      <c r="C2552" s="121" t="str">
        <f t="shared" si="100"/>
        <v>http://www.providence.va.gov/contact/phone_directory.asp</v>
      </c>
    </row>
    <row r="2553" ht="14.25" hidden="1" customHeight="1">
      <c r="A2553" s="8" t="s">
        <v>3013</v>
      </c>
      <c r="B2553" s="8" t="s">
        <v>2990</v>
      </c>
      <c r="C2553" s="121" t="str">
        <f t="shared" si="100"/>
        <v>http://www.providence.va.gov/contact/phone_directory.asp</v>
      </c>
    </row>
    <row r="2554" ht="14.25" hidden="1" customHeight="1">
      <c r="A2554" s="8" t="s">
        <v>538</v>
      </c>
      <c r="B2554" s="8" t="s">
        <v>2990</v>
      </c>
      <c r="C2554" s="121" t="str">
        <f t="shared" si="100"/>
        <v>http://www.providence.va.gov/contact/phone_directory.asp</v>
      </c>
    </row>
    <row r="2555" ht="14.25" hidden="1" customHeight="1">
      <c r="A2555" s="8" t="s">
        <v>3014</v>
      </c>
      <c r="B2555" s="8" t="s">
        <v>2990</v>
      </c>
      <c r="C2555" s="121" t="str">
        <f t="shared" si="100"/>
        <v>http://www.providence.va.gov/contact/phone_directory.asp</v>
      </c>
    </row>
    <row r="2556" ht="14.25" hidden="1" customHeight="1">
      <c r="A2556" s="8" t="s">
        <v>485</v>
      </c>
      <c r="B2556" s="8" t="s">
        <v>2990</v>
      </c>
      <c r="C2556" s="121" t="str">
        <f t="shared" si="100"/>
        <v>http://www.providence.va.gov/contact/phone_directory.asp</v>
      </c>
    </row>
    <row r="2557" ht="14.25" hidden="1" customHeight="1">
      <c r="A2557" s="8" t="s">
        <v>3016</v>
      </c>
      <c r="B2557" s="8" t="s">
        <v>2990</v>
      </c>
      <c r="C2557" s="121" t="str">
        <f t="shared" si="100"/>
        <v>http://www.providence.va.gov/contact/phone_directory.asp</v>
      </c>
    </row>
    <row r="2558" ht="14.25" hidden="1" customHeight="1">
      <c r="A2558" s="8" t="s">
        <v>3017</v>
      </c>
      <c r="B2558" s="8" t="s">
        <v>2990</v>
      </c>
      <c r="C2558" s="121" t="str">
        <f t="shared" si="100"/>
        <v>http://www.providence.va.gov/contact/phone_directory.asp</v>
      </c>
    </row>
    <row r="2559" ht="14.25" hidden="1" customHeight="1">
      <c r="A2559" s="8" t="s">
        <v>719</v>
      </c>
      <c r="B2559" s="8" t="s">
        <v>2990</v>
      </c>
      <c r="C2559" s="121" t="str">
        <f t="shared" si="100"/>
        <v>http://www.providence.va.gov/contact/phone_directory.asp</v>
      </c>
    </row>
    <row r="2560" ht="14.25" hidden="1" customHeight="1">
      <c r="A2560" s="8" t="s">
        <v>3018</v>
      </c>
      <c r="B2560" s="8" t="s">
        <v>2990</v>
      </c>
      <c r="C2560" s="121" t="str">
        <f t="shared" si="100"/>
        <v>http://www.providence.va.gov/contact/phone_directory.asp</v>
      </c>
    </row>
    <row r="2561" ht="14.25" hidden="1" customHeight="1">
      <c r="A2561" s="8" t="s">
        <v>1143</v>
      </c>
      <c r="B2561" s="8" t="s">
        <v>2990</v>
      </c>
      <c r="C2561" s="121" t="str">
        <f t="shared" si="100"/>
        <v>http://www.providence.va.gov/contact/phone_directory.asp</v>
      </c>
    </row>
    <row r="2562" ht="14.25" hidden="1" customHeight="1">
      <c r="A2562" s="8" t="s">
        <v>3019</v>
      </c>
      <c r="B2562" s="8" t="s">
        <v>2990</v>
      </c>
      <c r="C2562" s="121" t="str">
        <f t="shared" si="100"/>
        <v>http://www.providence.va.gov/contact/phone_directory.asp</v>
      </c>
    </row>
    <row r="2563" ht="14.25" hidden="1" customHeight="1">
      <c r="A2563" s="8" t="s">
        <v>808</v>
      </c>
      <c r="B2563" s="8" t="s">
        <v>2990</v>
      </c>
      <c r="C2563" s="121" t="str">
        <f t="shared" si="100"/>
        <v>http://www.providence.va.gov/contact/phone_directory.asp</v>
      </c>
    </row>
    <row r="2564" ht="14.25" hidden="1" customHeight="1">
      <c r="A2564" s="8" t="s">
        <v>3021</v>
      </c>
      <c r="B2564" s="8" t="s">
        <v>2990</v>
      </c>
      <c r="C2564" s="121" t="str">
        <f t="shared" si="100"/>
        <v>http://www.providence.va.gov/contact/phone_directory.asp</v>
      </c>
    </row>
    <row r="2565" ht="14.25" hidden="1" customHeight="1">
      <c r="A2565" s="8" t="s">
        <v>670</v>
      </c>
      <c r="B2565" s="8" t="s">
        <v>2990</v>
      </c>
      <c r="C2565" s="121" t="str">
        <f t="shared" si="100"/>
        <v>http://www.providence.va.gov/contact/phone_directory.asp</v>
      </c>
    </row>
    <row r="2566" ht="14.25" hidden="1" customHeight="1">
      <c r="A2566" s="8" t="s">
        <v>3023</v>
      </c>
      <c r="B2566" s="8" t="s">
        <v>2990</v>
      </c>
      <c r="C2566" s="121" t="str">
        <f t="shared" si="100"/>
        <v>http://www.providence.va.gov/contact/phone_directory.asp</v>
      </c>
    </row>
    <row r="2567" ht="14.25" hidden="1" customHeight="1">
      <c r="A2567" s="8" t="s">
        <v>3024</v>
      </c>
      <c r="B2567" s="8" t="s">
        <v>2990</v>
      </c>
      <c r="C2567" s="121" t="str">
        <f t="shared" si="100"/>
        <v>http://www.providence.va.gov/contact/phone_directory.asp</v>
      </c>
    </row>
    <row r="2568" ht="14.25" hidden="1" customHeight="1">
      <c r="A2568" s="8" t="s">
        <v>2197</v>
      </c>
      <c r="B2568" s="8" t="s">
        <v>2990</v>
      </c>
      <c r="C2568" s="121" t="str">
        <f t="shared" si="100"/>
        <v>http://www.providence.va.gov/contact/phone_directory.asp</v>
      </c>
    </row>
    <row r="2569" ht="14.25" hidden="1" customHeight="1">
      <c r="A2569" s="8" t="s">
        <v>3025</v>
      </c>
      <c r="B2569" s="8" t="s">
        <v>2990</v>
      </c>
      <c r="C2569" s="121" t="str">
        <f t="shared" si="100"/>
        <v>http://www.providence.va.gov/contact/phone_directory.asp</v>
      </c>
    </row>
    <row r="2570" ht="14.25" hidden="1" customHeight="1">
      <c r="A2570" s="8" t="s">
        <v>3027</v>
      </c>
      <c r="B2570" s="8" t="s">
        <v>2990</v>
      </c>
      <c r="C2570" s="121" t="str">
        <f t="shared" si="100"/>
        <v>http://www.providence.va.gov/contact/phone_directory.asp</v>
      </c>
    </row>
    <row r="2571" ht="14.25" hidden="1" customHeight="1">
      <c r="A2571" s="8" t="s">
        <v>2614</v>
      </c>
      <c r="B2571" s="8" t="s">
        <v>2990</v>
      </c>
      <c r="C2571" s="121" t="str">
        <f t="shared" si="100"/>
        <v>http://www.providence.va.gov/contact/phone_directory.asp</v>
      </c>
    </row>
    <row r="2572" ht="14.25" hidden="1" customHeight="1">
      <c r="A2572" s="8" t="s">
        <v>3028</v>
      </c>
      <c r="B2572" s="8" t="s">
        <v>2990</v>
      </c>
      <c r="C2572" s="121" t="str">
        <f t="shared" si="100"/>
        <v>http://www.providence.va.gov/contact/phone_directory.asp</v>
      </c>
    </row>
    <row r="2573" ht="14.25" hidden="1" customHeight="1">
      <c r="A2573" s="8" t="s">
        <v>3029</v>
      </c>
      <c r="B2573" s="8" t="s">
        <v>2990</v>
      </c>
      <c r="C2573" s="121" t="str">
        <f t="shared" si="100"/>
        <v>http://www.providence.va.gov/contact/phone_directory.asp</v>
      </c>
    </row>
    <row r="2574" ht="14.25" hidden="1" customHeight="1">
      <c r="A2574" s="8" t="s">
        <v>3030</v>
      </c>
      <c r="B2574" s="8" t="s">
        <v>2990</v>
      </c>
      <c r="C2574" s="121" t="str">
        <f t="shared" si="100"/>
        <v>http://www.providence.va.gov/contact/phone_directory.asp</v>
      </c>
    </row>
    <row r="2575" ht="14.25" hidden="1" customHeight="1">
      <c r="A2575" s="8" t="s">
        <v>3032</v>
      </c>
      <c r="B2575" s="8" t="s">
        <v>2990</v>
      </c>
      <c r="C2575" s="121" t="str">
        <f t="shared" si="100"/>
        <v>http://www.providence.va.gov/contact/phone_directory.asp</v>
      </c>
    </row>
    <row r="2576" ht="14.25" hidden="1" customHeight="1">
      <c r="A2576" s="8" t="s">
        <v>3033</v>
      </c>
      <c r="B2576" s="8" t="s">
        <v>2990</v>
      </c>
      <c r="C2576" s="121" t="str">
        <f t="shared" si="100"/>
        <v>http://www.providence.va.gov/contact/phone_directory.asp</v>
      </c>
    </row>
    <row r="2577" ht="14.25" hidden="1" customHeight="1">
      <c r="A2577" s="8" t="s">
        <v>3034</v>
      </c>
      <c r="B2577" s="8" t="s">
        <v>2990</v>
      </c>
      <c r="C2577" s="121" t="str">
        <f t="shared" si="100"/>
        <v>http://www.providence.va.gov/contact/phone_directory.asp</v>
      </c>
    </row>
    <row r="2578" ht="14.25" hidden="1" customHeight="1">
      <c r="A2578" s="8" t="s">
        <v>3035</v>
      </c>
      <c r="B2578" s="8" t="s">
        <v>2990</v>
      </c>
      <c r="C2578" s="121" t="str">
        <f t="shared" si="100"/>
        <v>http://www.providence.va.gov/contact/phone_directory.asp</v>
      </c>
    </row>
    <row r="2579" ht="14.25" hidden="1" customHeight="1">
      <c r="A2579" s="8" t="s">
        <v>3036</v>
      </c>
      <c r="B2579" s="8" t="s">
        <v>2990</v>
      </c>
      <c r="C2579" s="121" t="str">
        <f t="shared" si="100"/>
        <v>http://www.providence.va.gov/contact/phone_directory.asp</v>
      </c>
    </row>
    <row r="2580" ht="14.25" hidden="1" customHeight="1">
      <c r="A2580" s="8" t="s">
        <v>3037</v>
      </c>
      <c r="B2580" s="8" t="s">
        <v>2990</v>
      </c>
      <c r="C2580" s="121" t="str">
        <f t="shared" si="100"/>
        <v>http://www.providence.va.gov/contact/phone_directory.asp</v>
      </c>
    </row>
    <row r="2581" ht="14.25" hidden="1" customHeight="1">
      <c r="A2581" s="8" t="s">
        <v>3038</v>
      </c>
      <c r="B2581" s="8" t="s">
        <v>2990</v>
      </c>
      <c r="C2581" s="121" t="str">
        <f t="shared" si="100"/>
        <v>http://www.providence.va.gov/contact/phone_directory.asp</v>
      </c>
    </row>
    <row r="2582" ht="14.25" hidden="1" customHeight="1">
      <c r="A2582" s="8" t="s">
        <v>3040</v>
      </c>
      <c r="B2582" s="8" t="s">
        <v>2990</v>
      </c>
      <c r="C2582" s="121" t="str">
        <f t="shared" si="100"/>
        <v>http://www.providence.va.gov/contact/phone_directory.asp</v>
      </c>
    </row>
    <row r="2583" ht="14.25" hidden="1" customHeight="1">
      <c r="A2583" s="8" t="s">
        <v>3041</v>
      </c>
      <c r="B2583" s="8" t="s">
        <v>2990</v>
      </c>
      <c r="C2583" s="121" t="str">
        <f t="shared" si="100"/>
        <v>http://www.providence.va.gov/contact/phone_directory.asp</v>
      </c>
    </row>
    <row r="2584" ht="14.25" hidden="1" customHeight="1">
      <c r="A2584" s="8" t="s">
        <v>3042</v>
      </c>
      <c r="B2584" s="8" t="s">
        <v>2990</v>
      </c>
      <c r="C2584" s="121" t="str">
        <f t="shared" si="100"/>
        <v>http://www.providence.va.gov/contact/phone_directory.asp</v>
      </c>
    </row>
    <row r="2585" ht="14.25" hidden="1" customHeight="1">
      <c r="A2585" s="8" t="s">
        <v>3043</v>
      </c>
      <c r="B2585" s="8" t="s">
        <v>2990</v>
      </c>
      <c r="C2585" s="121" t="str">
        <f t="shared" si="100"/>
        <v>http://www.providence.va.gov/contact/phone_directory.asp</v>
      </c>
    </row>
    <row r="2586" ht="14.25" hidden="1" customHeight="1">
      <c r="A2586" s="8" t="s">
        <v>1172</v>
      </c>
      <c r="B2586" s="8" t="s">
        <v>2990</v>
      </c>
      <c r="C2586" s="121" t="str">
        <f t="shared" si="100"/>
        <v>http://www.providence.va.gov/contact/phone_directory.asp</v>
      </c>
    </row>
    <row r="2587" ht="14.25" hidden="1" customHeight="1">
      <c r="A2587" s="8" t="s">
        <v>1510</v>
      </c>
      <c r="B2587" s="8" t="s">
        <v>2990</v>
      </c>
      <c r="C2587" s="121" t="str">
        <f t="shared" si="100"/>
        <v>http://www.providence.va.gov/contact/phone_directory.asp</v>
      </c>
    </row>
    <row r="2588" ht="14.25" hidden="1" customHeight="1">
      <c r="A2588" s="8" t="s">
        <v>3044</v>
      </c>
      <c r="B2588" s="8" t="s">
        <v>2990</v>
      </c>
      <c r="C2588" s="121" t="str">
        <f t="shared" si="100"/>
        <v>http://www.providence.va.gov/contact/phone_directory.asp</v>
      </c>
    </row>
    <row r="2589" ht="14.25" hidden="1" customHeight="1">
      <c r="A2589" s="8" t="s">
        <v>603</v>
      </c>
      <c r="B2589" s="8" t="s">
        <v>2990</v>
      </c>
      <c r="C2589" s="121" t="str">
        <f t="shared" si="100"/>
        <v>http://www.providence.va.gov/contact/phone_directory.asp</v>
      </c>
    </row>
    <row r="2590" ht="14.25" hidden="1" customHeight="1">
      <c r="A2590" s="8" t="s">
        <v>332</v>
      </c>
      <c r="B2590" s="8" t="s">
        <v>2990</v>
      </c>
      <c r="C2590" s="121" t="str">
        <f t="shared" si="100"/>
        <v>http://www.providence.va.gov/contact/phone_directory.asp</v>
      </c>
    </row>
    <row r="2591" ht="14.25" hidden="1" customHeight="1">
      <c r="A2591" s="8" t="s">
        <v>338</v>
      </c>
      <c r="B2591" s="8" t="s">
        <v>2990</v>
      </c>
      <c r="C2591" s="121" t="str">
        <f t="shared" si="100"/>
        <v>http://www.providence.va.gov/contact/phone_directory.asp</v>
      </c>
    </row>
    <row r="2592" ht="14.25" hidden="1" customHeight="1">
      <c r="A2592" s="8" t="s">
        <v>694</v>
      </c>
      <c r="B2592" s="8" t="s">
        <v>2990</v>
      </c>
      <c r="C2592" s="121" t="str">
        <f t="shared" si="100"/>
        <v>http://www.providence.va.gov/contact/phone_directory.asp</v>
      </c>
    </row>
    <row r="2593" ht="14.25" hidden="1" customHeight="1">
      <c r="A2593" s="8" t="s">
        <v>450</v>
      </c>
      <c r="B2593" s="8" t="s">
        <v>2990</v>
      </c>
      <c r="C2593" s="121" t="str">
        <f t="shared" si="100"/>
        <v>http://www.providence.va.gov/contact/phone_directory.asp</v>
      </c>
    </row>
    <row r="2594" ht="14.25" hidden="1" customHeight="1">
      <c r="A2594" s="8" t="s">
        <v>348</v>
      </c>
      <c r="B2594" s="8" t="s">
        <v>2990</v>
      </c>
      <c r="C2594" s="121" t="str">
        <f t="shared" si="100"/>
        <v>http://www.providence.va.gov/contact/phone_directory.asp</v>
      </c>
    </row>
    <row r="2595" ht="14.25" hidden="1" customHeight="1">
      <c r="A2595" s="8" t="s">
        <v>2377</v>
      </c>
      <c r="B2595" s="8" t="s">
        <v>2990</v>
      </c>
      <c r="C2595" s="121" t="str">
        <f t="shared" si="100"/>
        <v>http://www.providence.va.gov/contact/phone_directory.asp</v>
      </c>
    </row>
    <row r="2596" ht="14.25" hidden="1" customHeight="1">
      <c r="A2596" s="8" t="s">
        <v>3046</v>
      </c>
      <c r="B2596" s="8" t="s">
        <v>2990</v>
      </c>
      <c r="C2596" s="121" t="str">
        <f t="shared" si="100"/>
        <v>http://www.providence.va.gov/contact/phone_directory.asp</v>
      </c>
    </row>
    <row r="2597" ht="14.25" hidden="1" customHeight="1">
      <c r="A2597" s="8" t="s">
        <v>791</v>
      </c>
      <c r="B2597" s="8" t="s">
        <v>2990</v>
      </c>
      <c r="C2597" s="121" t="str">
        <f t="shared" si="100"/>
        <v>http://www.providence.va.gov/contact/phone_directory.asp</v>
      </c>
    </row>
    <row r="2598" ht="14.25" hidden="1" customHeight="1">
      <c r="A2598" s="8" t="s">
        <v>1171</v>
      </c>
      <c r="B2598" s="8" t="s">
        <v>2990</v>
      </c>
      <c r="C2598" s="121" t="str">
        <f t="shared" si="100"/>
        <v>http://www.providence.va.gov/contact/phone_directory.asp</v>
      </c>
    </row>
    <row r="2599" ht="14.25" hidden="1" customHeight="1">
      <c r="A2599" s="8" t="s">
        <v>3047</v>
      </c>
      <c r="B2599" s="8" t="s">
        <v>2990</v>
      </c>
      <c r="C2599" s="121" t="str">
        <f t="shared" si="100"/>
        <v>http://www.providence.va.gov/contact/phone_directory.asp</v>
      </c>
    </row>
    <row r="2600" ht="14.25" hidden="1" customHeight="1">
      <c r="A2600" s="8" t="s">
        <v>3048</v>
      </c>
      <c r="B2600" s="8" t="s">
        <v>2990</v>
      </c>
      <c r="C2600" s="121" t="str">
        <f t="shared" si="100"/>
        <v>http://www.providence.va.gov/contact/phone_directory.asp</v>
      </c>
    </row>
    <row r="2601" ht="14.25" hidden="1" customHeight="1">
      <c r="A2601" s="8" t="s">
        <v>810</v>
      </c>
      <c r="B2601" s="8" t="s">
        <v>2990</v>
      </c>
      <c r="C2601" s="121" t="str">
        <f t="shared" si="100"/>
        <v>http://www.providence.va.gov/contact/phone_directory.asp</v>
      </c>
    </row>
    <row r="2602" ht="14.25" hidden="1" customHeight="1">
      <c r="A2602" s="8" t="s">
        <v>469</v>
      </c>
      <c r="B2602" s="8" t="s">
        <v>2990</v>
      </c>
      <c r="C2602" s="121" t="str">
        <f t="shared" si="100"/>
        <v>http://www.providence.va.gov/contact/phone_directory.asp</v>
      </c>
    </row>
    <row r="2603" ht="14.25" hidden="1" customHeight="1">
      <c r="A2603" s="8" t="s">
        <v>3049</v>
      </c>
      <c r="B2603" s="8" t="s">
        <v>2990</v>
      </c>
      <c r="C2603" s="121" t="str">
        <f t="shared" si="100"/>
        <v>http://www.providence.va.gov/contact/phone_directory.asp</v>
      </c>
    </row>
    <row r="2604" ht="14.25" hidden="1" customHeight="1">
      <c r="A2604" s="8" t="s">
        <v>518</v>
      </c>
      <c r="B2604" s="8" t="s">
        <v>2990</v>
      </c>
      <c r="C2604" s="121" t="str">
        <f t="shared" si="100"/>
        <v>http://www.providence.va.gov/contact/phone_directory.asp</v>
      </c>
    </row>
    <row r="2605" ht="14.25" hidden="1" customHeight="1">
      <c r="A2605" s="8" t="s">
        <v>3050</v>
      </c>
      <c r="B2605" s="8" t="s">
        <v>2990</v>
      </c>
      <c r="C2605" s="121" t="str">
        <f t="shared" si="100"/>
        <v>http://www.providence.va.gov/contact/phone_directory.asp</v>
      </c>
    </row>
    <row r="2606" ht="14.25" hidden="1" customHeight="1">
      <c r="A2606" s="8" t="s">
        <v>824</v>
      </c>
      <c r="B2606" s="8" t="s">
        <v>2990</v>
      </c>
      <c r="C2606" s="121" t="str">
        <f t="shared" si="100"/>
        <v>http://www.providence.va.gov/contact/phone_directory.asp</v>
      </c>
    </row>
    <row r="2607" ht="14.25" hidden="1" customHeight="1">
      <c r="A2607" s="8" t="s">
        <v>624</v>
      </c>
      <c r="B2607" s="8" t="s">
        <v>3051</v>
      </c>
      <c r="C2607" s="121" t="str">
        <f t="shared" ref="C2607:C2643" si="101">HYPERLINK("http://www.pugetsound.va.gov/contact/phone_directory.asp")</f>
        <v>http://www.pugetsound.va.gov/contact/phone_directory.asp</v>
      </c>
    </row>
    <row r="2608" ht="14.25" hidden="1" customHeight="1">
      <c r="A2608" s="8" t="s">
        <v>631</v>
      </c>
      <c r="B2608" s="8" t="s">
        <v>3051</v>
      </c>
      <c r="C2608" s="121" t="str">
        <f t="shared" si="101"/>
        <v>http://www.pugetsound.va.gov/contact/phone_directory.asp</v>
      </c>
    </row>
    <row r="2609" ht="14.25" hidden="1" customHeight="1">
      <c r="A2609" s="8" t="s">
        <v>3052</v>
      </c>
      <c r="B2609" s="8" t="s">
        <v>3051</v>
      </c>
      <c r="C2609" s="121" t="str">
        <f t="shared" si="101"/>
        <v>http://www.pugetsound.va.gov/contact/phone_directory.asp</v>
      </c>
    </row>
    <row r="2610" ht="14.25" hidden="1" customHeight="1">
      <c r="A2610" s="8" t="s">
        <v>3053</v>
      </c>
      <c r="B2610" s="8" t="s">
        <v>3051</v>
      </c>
      <c r="C2610" s="121" t="str">
        <f t="shared" si="101"/>
        <v>http://www.pugetsound.va.gov/contact/phone_directory.asp</v>
      </c>
    </row>
    <row r="2611" ht="14.25" hidden="1" customHeight="1">
      <c r="A2611" s="8" t="s">
        <v>3054</v>
      </c>
      <c r="B2611" s="8" t="s">
        <v>3051</v>
      </c>
      <c r="C2611" s="121" t="str">
        <f t="shared" si="101"/>
        <v>http://www.pugetsound.va.gov/contact/phone_directory.asp</v>
      </c>
    </row>
    <row r="2612" ht="14.25" hidden="1" customHeight="1">
      <c r="A2612" s="8" t="s">
        <v>638</v>
      </c>
      <c r="B2612" s="8" t="s">
        <v>3051</v>
      </c>
      <c r="C2612" s="121" t="str">
        <f t="shared" si="101"/>
        <v>http://www.pugetsound.va.gov/contact/phone_directory.asp</v>
      </c>
    </row>
    <row r="2613" ht="14.25" hidden="1" customHeight="1">
      <c r="A2613" s="8" t="s">
        <v>3055</v>
      </c>
      <c r="B2613" s="8" t="s">
        <v>3051</v>
      </c>
      <c r="C2613" s="121" t="str">
        <f t="shared" si="101"/>
        <v>http://www.pugetsound.va.gov/contact/phone_directory.asp</v>
      </c>
    </row>
    <row r="2614" ht="14.25" hidden="1" customHeight="1">
      <c r="A2614" s="8" t="s">
        <v>3056</v>
      </c>
      <c r="B2614" s="8" t="s">
        <v>3051</v>
      </c>
      <c r="C2614" s="121" t="str">
        <f t="shared" si="101"/>
        <v>http://www.pugetsound.va.gov/contact/phone_directory.asp</v>
      </c>
    </row>
    <row r="2615" ht="14.25" hidden="1" customHeight="1">
      <c r="A2615" s="8" t="s">
        <v>3058</v>
      </c>
      <c r="B2615" s="8" t="s">
        <v>3051</v>
      </c>
      <c r="C2615" s="121" t="str">
        <f t="shared" si="101"/>
        <v>http://www.pugetsound.va.gov/contact/phone_directory.asp</v>
      </c>
    </row>
    <row r="2616" ht="14.25" hidden="1" customHeight="1">
      <c r="A2616" s="8" t="s">
        <v>3059</v>
      </c>
      <c r="B2616" s="8" t="s">
        <v>3051</v>
      </c>
      <c r="C2616" s="121" t="str">
        <f t="shared" si="101"/>
        <v>http://www.pugetsound.va.gov/contact/phone_directory.asp</v>
      </c>
    </row>
    <row r="2617" ht="14.25" hidden="1" customHeight="1">
      <c r="A2617" s="8" t="s">
        <v>1965</v>
      </c>
      <c r="B2617" s="8" t="s">
        <v>3051</v>
      </c>
      <c r="C2617" s="121" t="str">
        <f t="shared" si="101"/>
        <v>http://www.pugetsound.va.gov/contact/phone_directory.asp</v>
      </c>
    </row>
    <row r="2618" ht="14.25" hidden="1" customHeight="1">
      <c r="A2618" s="8" t="s">
        <v>3060</v>
      </c>
      <c r="B2618" s="8" t="s">
        <v>3051</v>
      </c>
      <c r="C2618" s="121" t="str">
        <f t="shared" si="101"/>
        <v>http://www.pugetsound.va.gov/contact/phone_directory.asp</v>
      </c>
    </row>
    <row r="2619" ht="14.25" hidden="1" customHeight="1">
      <c r="A2619" s="8" t="s">
        <v>3061</v>
      </c>
      <c r="B2619" s="8" t="s">
        <v>3051</v>
      </c>
      <c r="C2619" s="121" t="str">
        <f t="shared" si="101"/>
        <v>http://www.pugetsound.va.gov/contact/phone_directory.asp</v>
      </c>
    </row>
    <row r="2620" ht="14.25" hidden="1" customHeight="1">
      <c r="A2620" s="8" t="s">
        <v>3062</v>
      </c>
      <c r="B2620" s="8" t="s">
        <v>3051</v>
      </c>
      <c r="C2620" s="121" t="str">
        <f t="shared" si="101"/>
        <v>http://www.pugetsound.va.gov/contact/phone_directory.asp</v>
      </c>
    </row>
    <row r="2621" ht="14.25" hidden="1" customHeight="1">
      <c r="A2621" s="8" t="s">
        <v>3063</v>
      </c>
      <c r="B2621" s="8" t="s">
        <v>3051</v>
      </c>
      <c r="C2621" s="121" t="str">
        <f t="shared" si="101"/>
        <v>http://www.pugetsound.va.gov/contact/phone_directory.asp</v>
      </c>
    </row>
    <row r="2622" ht="14.25" hidden="1" customHeight="1">
      <c r="A2622" s="8" t="s">
        <v>3064</v>
      </c>
      <c r="B2622" s="8" t="s">
        <v>3051</v>
      </c>
      <c r="C2622" s="121" t="str">
        <f t="shared" si="101"/>
        <v>http://www.pugetsound.va.gov/contact/phone_directory.asp</v>
      </c>
    </row>
    <row r="2623" ht="14.25" hidden="1" customHeight="1">
      <c r="A2623" s="8" t="s">
        <v>3065</v>
      </c>
      <c r="B2623" s="8" t="s">
        <v>3051</v>
      </c>
      <c r="C2623" s="121" t="str">
        <f t="shared" si="101"/>
        <v>http://www.pugetsound.va.gov/contact/phone_directory.asp</v>
      </c>
    </row>
    <row r="2624" ht="14.25" hidden="1" customHeight="1">
      <c r="A2624" s="8" t="s">
        <v>691</v>
      </c>
      <c r="B2624" s="8" t="s">
        <v>3051</v>
      </c>
      <c r="C2624" s="121" t="str">
        <f t="shared" si="101"/>
        <v>http://www.pugetsound.va.gov/contact/phone_directory.asp</v>
      </c>
    </row>
    <row r="2625" ht="14.25" hidden="1" customHeight="1">
      <c r="A2625" s="8" t="s">
        <v>3067</v>
      </c>
      <c r="B2625" s="8" t="s">
        <v>3051</v>
      </c>
      <c r="C2625" s="121" t="str">
        <f t="shared" si="101"/>
        <v>http://www.pugetsound.va.gov/contact/phone_directory.asp</v>
      </c>
    </row>
    <row r="2626" ht="14.25" hidden="1" customHeight="1">
      <c r="A2626" s="8" t="s">
        <v>1655</v>
      </c>
      <c r="B2626" s="8" t="s">
        <v>3051</v>
      </c>
      <c r="C2626" s="121" t="str">
        <f t="shared" si="101"/>
        <v>http://www.pugetsound.va.gov/contact/phone_directory.asp</v>
      </c>
    </row>
    <row r="2627" ht="14.25" hidden="1" customHeight="1">
      <c r="A2627" s="8" t="s">
        <v>3068</v>
      </c>
      <c r="B2627" s="8" t="s">
        <v>3051</v>
      </c>
      <c r="C2627" s="121" t="str">
        <f t="shared" si="101"/>
        <v>http://www.pugetsound.va.gov/contact/phone_directory.asp</v>
      </c>
    </row>
    <row r="2628" ht="14.25" hidden="1" customHeight="1">
      <c r="A2628" s="8" t="s">
        <v>3069</v>
      </c>
      <c r="B2628" s="8" t="s">
        <v>3051</v>
      </c>
      <c r="C2628" s="121" t="str">
        <f t="shared" si="101"/>
        <v>http://www.pugetsound.va.gov/contact/phone_directory.asp</v>
      </c>
    </row>
    <row r="2629" ht="14.25" hidden="1" customHeight="1">
      <c r="A2629" s="8" t="s">
        <v>697</v>
      </c>
      <c r="B2629" s="8" t="s">
        <v>3051</v>
      </c>
      <c r="C2629" s="121" t="str">
        <f t="shared" si="101"/>
        <v>http://www.pugetsound.va.gov/contact/phone_directory.asp</v>
      </c>
    </row>
    <row r="2630" ht="14.25" hidden="1" customHeight="1">
      <c r="A2630" s="8" t="s">
        <v>3071</v>
      </c>
      <c r="B2630" s="8" t="s">
        <v>3051</v>
      </c>
      <c r="C2630" s="121" t="str">
        <f t="shared" si="101"/>
        <v>http://www.pugetsound.va.gov/contact/phone_directory.asp</v>
      </c>
    </row>
    <row r="2631" ht="14.25" hidden="1" customHeight="1">
      <c r="A2631" s="8" t="s">
        <v>3072</v>
      </c>
      <c r="B2631" s="8" t="s">
        <v>3051</v>
      </c>
      <c r="C2631" s="121" t="str">
        <f t="shared" si="101"/>
        <v>http://www.pugetsound.va.gov/contact/phone_directory.asp</v>
      </c>
    </row>
    <row r="2632" ht="14.25" hidden="1" customHeight="1">
      <c r="A2632" s="8" t="s">
        <v>3074</v>
      </c>
      <c r="B2632" s="8" t="s">
        <v>3051</v>
      </c>
      <c r="C2632" s="121" t="str">
        <f t="shared" si="101"/>
        <v>http://www.pugetsound.va.gov/contact/phone_directory.asp</v>
      </c>
    </row>
    <row r="2633" ht="14.25" hidden="1" customHeight="1">
      <c r="A2633" s="8" t="s">
        <v>3075</v>
      </c>
      <c r="B2633" s="8" t="s">
        <v>3051</v>
      </c>
      <c r="C2633" s="121" t="str">
        <f t="shared" si="101"/>
        <v>http://www.pugetsound.va.gov/contact/phone_directory.asp</v>
      </c>
    </row>
    <row r="2634" ht="14.25" hidden="1" customHeight="1">
      <c r="A2634" s="8" t="s">
        <v>3076</v>
      </c>
      <c r="B2634" s="8" t="s">
        <v>3051</v>
      </c>
      <c r="C2634" s="121" t="str">
        <f t="shared" si="101"/>
        <v>http://www.pugetsound.va.gov/contact/phone_directory.asp</v>
      </c>
    </row>
    <row r="2635" ht="14.25" hidden="1" customHeight="1">
      <c r="A2635" s="8" t="s">
        <v>3077</v>
      </c>
      <c r="B2635" s="8" t="s">
        <v>3051</v>
      </c>
      <c r="C2635" s="121" t="str">
        <f t="shared" si="101"/>
        <v>http://www.pugetsound.va.gov/contact/phone_directory.asp</v>
      </c>
    </row>
    <row r="2636" ht="14.25" hidden="1" customHeight="1">
      <c r="A2636" s="8" t="s">
        <v>3078</v>
      </c>
      <c r="B2636" s="8" t="s">
        <v>3051</v>
      </c>
      <c r="C2636" s="121" t="str">
        <f t="shared" si="101"/>
        <v>http://www.pugetsound.va.gov/contact/phone_directory.asp</v>
      </c>
    </row>
    <row r="2637" ht="14.25" hidden="1" customHeight="1">
      <c r="A2637" s="8" t="s">
        <v>923</v>
      </c>
      <c r="B2637" s="8" t="s">
        <v>3051</v>
      </c>
      <c r="C2637" s="121" t="str">
        <f t="shared" si="101"/>
        <v>http://www.pugetsound.va.gov/contact/phone_directory.asp</v>
      </c>
    </row>
    <row r="2638" ht="14.25" hidden="1" customHeight="1">
      <c r="A2638" s="8" t="s">
        <v>3079</v>
      </c>
      <c r="B2638" s="8" t="s">
        <v>3051</v>
      </c>
      <c r="C2638" s="121" t="str">
        <f t="shared" si="101"/>
        <v>http://www.pugetsound.va.gov/contact/phone_directory.asp</v>
      </c>
    </row>
    <row r="2639" ht="14.25" hidden="1" customHeight="1">
      <c r="A2639" s="8" t="s">
        <v>724</v>
      </c>
      <c r="B2639" s="8" t="s">
        <v>3051</v>
      </c>
      <c r="C2639" s="121" t="str">
        <f t="shared" si="101"/>
        <v>http://www.pugetsound.va.gov/contact/phone_directory.asp</v>
      </c>
    </row>
    <row r="2640" ht="14.25" hidden="1" customHeight="1">
      <c r="A2640" s="8" t="s">
        <v>3081</v>
      </c>
      <c r="B2640" s="8" t="s">
        <v>3051</v>
      </c>
      <c r="C2640" s="121" t="str">
        <f t="shared" si="101"/>
        <v>http://www.pugetsound.va.gov/contact/phone_directory.asp</v>
      </c>
    </row>
    <row r="2641" ht="14.25" hidden="1" customHeight="1">
      <c r="A2641" s="8" t="s">
        <v>3082</v>
      </c>
      <c r="B2641" s="8" t="s">
        <v>3051</v>
      </c>
      <c r="C2641" s="121" t="str">
        <f t="shared" si="101"/>
        <v>http://www.pugetsound.va.gov/contact/phone_directory.asp</v>
      </c>
    </row>
    <row r="2642" ht="14.25" hidden="1" customHeight="1">
      <c r="A2642" s="8" t="s">
        <v>3083</v>
      </c>
      <c r="B2642" s="8" t="s">
        <v>3051</v>
      </c>
      <c r="C2642" s="121" t="str">
        <f t="shared" si="101"/>
        <v>http://www.pugetsound.va.gov/contact/phone_directory.asp</v>
      </c>
    </row>
    <row r="2643" ht="14.25" hidden="1" customHeight="1">
      <c r="A2643" s="8" t="s">
        <v>3084</v>
      </c>
      <c r="B2643" s="8" t="s">
        <v>3051</v>
      </c>
      <c r="C2643" s="121" t="str">
        <f t="shared" si="101"/>
        <v>http://www.pugetsound.va.gov/contact/phone_directory.asp</v>
      </c>
    </row>
    <row r="2644" ht="14.25" hidden="1" customHeight="1">
      <c r="A2644" s="8" t="s">
        <v>2960</v>
      </c>
      <c r="B2644" s="8" t="s">
        <v>3085</v>
      </c>
      <c r="C2644" s="121" t="str">
        <f t="shared" ref="C2644:C2657" si="102">HYPERLINK("http://www.reno.va.gov/contact/phone_directory.asp")</f>
        <v>http://www.reno.va.gov/contact/phone_directory.asp</v>
      </c>
    </row>
    <row r="2645" ht="14.25" hidden="1" customHeight="1">
      <c r="A2645" s="8" t="s">
        <v>692</v>
      </c>
      <c r="B2645" s="8" t="s">
        <v>3085</v>
      </c>
      <c r="C2645" s="121" t="str">
        <f t="shared" si="102"/>
        <v>http://www.reno.va.gov/contact/phone_directory.asp</v>
      </c>
    </row>
    <row r="2646" ht="14.25" hidden="1" customHeight="1">
      <c r="A2646" s="8" t="s">
        <v>2305</v>
      </c>
      <c r="B2646" s="8" t="s">
        <v>3085</v>
      </c>
      <c r="C2646" s="121" t="str">
        <f t="shared" si="102"/>
        <v>http://www.reno.va.gov/contact/phone_directory.asp</v>
      </c>
    </row>
    <row r="2647" ht="14.25" hidden="1" customHeight="1">
      <c r="A2647" s="8" t="s">
        <v>1147</v>
      </c>
      <c r="B2647" s="8" t="s">
        <v>3085</v>
      </c>
      <c r="C2647" s="121" t="str">
        <f t="shared" si="102"/>
        <v>http://www.reno.va.gov/contact/phone_directory.asp</v>
      </c>
    </row>
    <row r="2648" ht="14.25" hidden="1" customHeight="1">
      <c r="A2648" s="8" t="s">
        <v>3088</v>
      </c>
      <c r="B2648" s="8" t="s">
        <v>3085</v>
      </c>
      <c r="C2648" s="121" t="str">
        <f t="shared" si="102"/>
        <v>http://www.reno.va.gov/contact/phone_directory.asp</v>
      </c>
    </row>
    <row r="2649" ht="14.25" hidden="1" customHeight="1">
      <c r="A2649" s="8" t="s">
        <v>670</v>
      </c>
      <c r="B2649" s="8" t="s">
        <v>3085</v>
      </c>
      <c r="C2649" s="121" t="str">
        <f t="shared" si="102"/>
        <v>http://www.reno.va.gov/contact/phone_directory.asp</v>
      </c>
    </row>
    <row r="2650" ht="14.25" hidden="1" customHeight="1">
      <c r="A2650" s="8" t="s">
        <v>697</v>
      </c>
      <c r="B2650" s="8" t="s">
        <v>3085</v>
      </c>
      <c r="C2650" s="121" t="str">
        <f t="shared" si="102"/>
        <v>http://www.reno.va.gov/contact/phone_directory.asp</v>
      </c>
    </row>
    <row r="2651" ht="14.25" hidden="1" customHeight="1">
      <c r="A2651" s="8" t="s">
        <v>3089</v>
      </c>
      <c r="B2651" s="8" t="s">
        <v>3085</v>
      </c>
      <c r="C2651" s="121" t="str">
        <f t="shared" si="102"/>
        <v>http://www.reno.va.gov/contact/phone_directory.asp</v>
      </c>
    </row>
    <row r="2652" ht="14.25" hidden="1" customHeight="1">
      <c r="A2652" s="8" t="s">
        <v>504</v>
      </c>
      <c r="B2652" s="8" t="s">
        <v>3085</v>
      </c>
      <c r="C2652" s="121" t="str">
        <f t="shared" si="102"/>
        <v>http://www.reno.va.gov/contact/phone_directory.asp</v>
      </c>
    </row>
    <row r="2653" ht="14.25" hidden="1" customHeight="1">
      <c r="A2653" s="8" t="s">
        <v>3090</v>
      </c>
      <c r="B2653" s="8" t="s">
        <v>3085</v>
      </c>
      <c r="C2653" s="121" t="str">
        <f t="shared" si="102"/>
        <v>http://www.reno.va.gov/contact/phone_directory.asp</v>
      </c>
    </row>
    <row r="2654" ht="14.25" hidden="1" customHeight="1">
      <c r="A2654" s="8" t="s">
        <v>724</v>
      </c>
      <c r="B2654" s="8" t="s">
        <v>3085</v>
      </c>
      <c r="C2654" s="121" t="str">
        <f t="shared" si="102"/>
        <v>http://www.reno.va.gov/contact/phone_directory.asp</v>
      </c>
    </row>
    <row r="2655" ht="14.25" hidden="1" customHeight="1">
      <c r="A2655" s="8" t="s">
        <v>3091</v>
      </c>
      <c r="B2655" s="8" t="s">
        <v>3085</v>
      </c>
      <c r="C2655" s="121" t="str">
        <f t="shared" si="102"/>
        <v>http://www.reno.va.gov/contact/phone_directory.asp</v>
      </c>
    </row>
    <row r="2656" ht="14.25" hidden="1" customHeight="1">
      <c r="A2656" s="8" t="s">
        <v>405</v>
      </c>
      <c r="B2656" s="8" t="s">
        <v>3085</v>
      </c>
      <c r="C2656" s="121" t="str">
        <f t="shared" si="102"/>
        <v>http://www.reno.va.gov/contact/phone_directory.asp</v>
      </c>
    </row>
    <row r="2657" ht="14.25" hidden="1" customHeight="1">
      <c r="A2657" s="8" t="s">
        <v>378</v>
      </c>
      <c r="B2657" s="8" t="s">
        <v>3085</v>
      </c>
      <c r="C2657" s="121" t="str">
        <f t="shared" si="102"/>
        <v>http://www.reno.va.gov/contact/phone_directory.asp</v>
      </c>
    </row>
    <row r="2658" ht="14.25" hidden="1" customHeight="1">
      <c r="A2658" s="8" t="s">
        <v>846</v>
      </c>
      <c r="B2658" s="8" t="s">
        <v>3093</v>
      </c>
      <c r="C2658" s="121" t="str">
        <f t="shared" ref="C2658:C2690" si="103">HYPERLINK("http://www.richmond.va.gov/contact/phone_directory.asp")</f>
        <v>http://www.richmond.va.gov/contact/phone_directory.asp</v>
      </c>
    </row>
    <row r="2659" ht="14.25" hidden="1" customHeight="1">
      <c r="A2659" s="8" t="s">
        <v>624</v>
      </c>
      <c r="B2659" s="8" t="s">
        <v>3093</v>
      </c>
      <c r="C2659" s="121" t="str">
        <f t="shared" si="103"/>
        <v>http://www.richmond.va.gov/contact/phone_directory.asp</v>
      </c>
    </row>
    <row r="2660" ht="14.25" hidden="1" customHeight="1">
      <c r="A2660" s="8" t="s">
        <v>3095</v>
      </c>
      <c r="B2660" s="8" t="s">
        <v>3093</v>
      </c>
      <c r="C2660" s="121" t="str">
        <f t="shared" si="103"/>
        <v>http://www.richmond.va.gov/contact/phone_directory.asp</v>
      </c>
    </row>
    <row r="2661" ht="14.25" hidden="1" customHeight="1">
      <c r="A2661" s="8" t="s">
        <v>828</v>
      </c>
      <c r="B2661" s="8" t="s">
        <v>3093</v>
      </c>
      <c r="C2661" s="121" t="str">
        <f t="shared" si="103"/>
        <v>http://www.richmond.va.gov/contact/phone_directory.asp</v>
      </c>
    </row>
    <row r="2662" ht="14.25" hidden="1" customHeight="1">
      <c r="A2662" s="8" t="s">
        <v>631</v>
      </c>
      <c r="B2662" s="8" t="s">
        <v>3093</v>
      </c>
      <c r="C2662" s="121" t="str">
        <f t="shared" si="103"/>
        <v>http://www.richmond.va.gov/contact/phone_directory.asp</v>
      </c>
    </row>
    <row r="2663" ht="14.25" hidden="1" customHeight="1">
      <c r="A2663" s="8" t="s">
        <v>864</v>
      </c>
      <c r="B2663" s="8" t="s">
        <v>3093</v>
      </c>
      <c r="C2663" s="121" t="str">
        <f t="shared" si="103"/>
        <v>http://www.richmond.va.gov/contact/phone_directory.asp</v>
      </c>
    </row>
    <row r="2664" ht="14.25" hidden="1" customHeight="1">
      <c r="A2664" s="8" t="s">
        <v>638</v>
      </c>
      <c r="B2664" s="8" t="s">
        <v>3093</v>
      </c>
      <c r="C2664" s="121" t="str">
        <f t="shared" si="103"/>
        <v>http://www.richmond.va.gov/contact/phone_directory.asp</v>
      </c>
    </row>
    <row r="2665" ht="14.25" hidden="1" customHeight="1">
      <c r="A2665" s="8" t="s">
        <v>478</v>
      </c>
      <c r="B2665" s="8" t="s">
        <v>3093</v>
      </c>
      <c r="C2665" s="121" t="str">
        <f t="shared" si="103"/>
        <v>http://www.richmond.va.gov/contact/phone_directory.asp</v>
      </c>
    </row>
    <row r="2666" ht="14.25" hidden="1" customHeight="1">
      <c r="A2666" s="8" t="s">
        <v>517</v>
      </c>
      <c r="B2666" s="8" t="s">
        <v>3093</v>
      </c>
      <c r="C2666" s="121" t="str">
        <f t="shared" si="103"/>
        <v>http://www.richmond.va.gov/contact/phone_directory.asp</v>
      </c>
    </row>
    <row r="2667" ht="14.25" hidden="1" customHeight="1">
      <c r="A2667" s="8" t="s">
        <v>2087</v>
      </c>
      <c r="B2667" s="8" t="s">
        <v>3093</v>
      </c>
      <c r="C2667" s="121" t="str">
        <f t="shared" si="103"/>
        <v>http://www.richmond.va.gov/contact/phone_directory.asp</v>
      </c>
    </row>
    <row r="2668" ht="14.25" hidden="1" customHeight="1">
      <c r="A2668" s="8" t="s">
        <v>1671</v>
      </c>
      <c r="B2668" s="8" t="s">
        <v>3093</v>
      </c>
      <c r="C2668" s="121" t="str">
        <f t="shared" si="103"/>
        <v>http://www.richmond.va.gov/contact/phone_directory.asp</v>
      </c>
    </row>
    <row r="2669" ht="14.25" hidden="1" customHeight="1">
      <c r="A2669" s="8" t="s">
        <v>3098</v>
      </c>
      <c r="B2669" s="8" t="s">
        <v>3093</v>
      </c>
      <c r="C2669" s="121" t="str">
        <f t="shared" si="103"/>
        <v>http://www.richmond.va.gov/contact/phone_directory.asp</v>
      </c>
    </row>
    <row r="2670" ht="14.25" hidden="1" customHeight="1">
      <c r="A2670" s="8" t="s">
        <v>663</v>
      </c>
      <c r="B2670" s="8" t="s">
        <v>3093</v>
      </c>
      <c r="C2670" s="121" t="str">
        <f t="shared" si="103"/>
        <v>http://www.richmond.va.gov/contact/phone_directory.asp</v>
      </c>
    </row>
    <row r="2671" ht="14.25" hidden="1" customHeight="1">
      <c r="A2671" s="8" t="s">
        <v>719</v>
      </c>
      <c r="B2671" s="8" t="s">
        <v>3093</v>
      </c>
      <c r="C2671" s="121" t="str">
        <f t="shared" si="103"/>
        <v>http://www.richmond.va.gov/contact/phone_directory.asp</v>
      </c>
    </row>
    <row r="2672" ht="14.25" hidden="1" customHeight="1">
      <c r="A2672" s="8" t="s">
        <v>1147</v>
      </c>
      <c r="B2672" s="8" t="s">
        <v>3093</v>
      </c>
      <c r="C2672" s="121" t="str">
        <f t="shared" si="103"/>
        <v>http://www.richmond.va.gov/contact/phone_directory.asp</v>
      </c>
    </row>
    <row r="2673" ht="14.25" hidden="1" customHeight="1">
      <c r="A2673" s="8" t="s">
        <v>437</v>
      </c>
      <c r="B2673" s="8" t="s">
        <v>3093</v>
      </c>
      <c r="C2673" s="121" t="str">
        <f t="shared" si="103"/>
        <v>http://www.richmond.va.gov/contact/phone_directory.asp</v>
      </c>
    </row>
    <row r="2674" ht="14.25" hidden="1" customHeight="1">
      <c r="A2674" s="8" t="s">
        <v>683</v>
      </c>
      <c r="B2674" s="8" t="s">
        <v>3093</v>
      </c>
      <c r="C2674" s="121" t="str">
        <f t="shared" si="103"/>
        <v>http://www.richmond.va.gov/contact/phone_directory.asp</v>
      </c>
    </row>
    <row r="2675" ht="14.25" hidden="1" customHeight="1">
      <c r="A2675" s="8" t="s">
        <v>3100</v>
      </c>
      <c r="B2675" s="8" t="s">
        <v>3093</v>
      </c>
      <c r="C2675" s="121" t="str">
        <f t="shared" si="103"/>
        <v>http://www.richmond.va.gov/contact/phone_directory.asp</v>
      </c>
    </row>
    <row r="2676" ht="14.25" hidden="1" customHeight="1">
      <c r="A2676" s="8" t="s">
        <v>1172</v>
      </c>
      <c r="B2676" s="8" t="s">
        <v>3093</v>
      </c>
      <c r="C2676" s="121" t="str">
        <f t="shared" si="103"/>
        <v>http://www.richmond.va.gov/contact/phone_directory.asp</v>
      </c>
    </row>
    <row r="2677" ht="14.25" hidden="1" customHeight="1">
      <c r="A2677" s="8" t="s">
        <v>691</v>
      </c>
      <c r="B2677" s="8" t="s">
        <v>3093</v>
      </c>
      <c r="C2677" s="121" t="str">
        <f t="shared" si="103"/>
        <v>http://www.richmond.va.gov/contact/phone_directory.asp</v>
      </c>
    </row>
    <row r="2678" ht="14.25" hidden="1" customHeight="1">
      <c r="A2678" s="8" t="s">
        <v>839</v>
      </c>
      <c r="B2678" s="8" t="s">
        <v>3093</v>
      </c>
      <c r="C2678" s="121" t="str">
        <f t="shared" si="103"/>
        <v>http://www.richmond.va.gov/contact/phone_directory.asp</v>
      </c>
    </row>
    <row r="2679" ht="14.25" hidden="1" customHeight="1">
      <c r="A2679" s="8" t="s">
        <v>3102</v>
      </c>
      <c r="B2679" s="8" t="s">
        <v>3093</v>
      </c>
      <c r="C2679" s="121" t="str">
        <f t="shared" si="103"/>
        <v>http://www.richmond.va.gov/contact/phone_directory.asp</v>
      </c>
    </row>
    <row r="2680" ht="14.25" hidden="1" customHeight="1">
      <c r="A2680" s="8" t="s">
        <v>907</v>
      </c>
      <c r="B2680" s="8" t="s">
        <v>3093</v>
      </c>
      <c r="C2680" s="121" t="str">
        <f t="shared" si="103"/>
        <v>http://www.richmond.va.gov/contact/phone_directory.asp</v>
      </c>
    </row>
    <row r="2681" ht="14.25" hidden="1" customHeight="1">
      <c r="A2681" s="8" t="s">
        <v>1284</v>
      </c>
      <c r="B2681" s="8" t="s">
        <v>3093</v>
      </c>
      <c r="C2681" s="121" t="str">
        <f t="shared" si="103"/>
        <v>http://www.richmond.va.gov/contact/phone_directory.asp</v>
      </c>
    </row>
    <row r="2682" ht="14.25" hidden="1" customHeight="1">
      <c r="A2682" s="8" t="s">
        <v>353</v>
      </c>
      <c r="B2682" s="8" t="s">
        <v>3093</v>
      </c>
      <c r="C2682" s="121" t="str">
        <f t="shared" si="103"/>
        <v>http://www.richmond.va.gov/contact/phone_directory.asp</v>
      </c>
    </row>
    <row r="2683" ht="14.25" hidden="1" customHeight="1">
      <c r="A2683" s="8" t="s">
        <v>457</v>
      </c>
      <c r="B2683" s="8" t="s">
        <v>3093</v>
      </c>
      <c r="C2683" s="121" t="str">
        <f t="shared" si="103"/>
        <v>http://www.richmond.va.gov/contact/phone_directory.asp</v>
      </c>
    </row>
    <row r="2684" ht="14.25" hidden="1" customHeight="1">
      <c r="A2684" s="8" t="s">
        <v>708</v>
      </c>
      <c r="B2684" s="8" t="s">
        <v>3093</v>
      </c>
      <c r="C2684" s="121" t="str">
        <f t="shared" si="103"/>
        <v>http://www.richmond.va.gov/contact/phone_directory.asp</v>
      </c>
    </row>
    <row r="2685" ht="14.25" hidden="1" customHeight="1">
      <c r="A2685" s="8" t="s">
        <v>1054</v>
      </c>
      <c r="B2685" s="8" t="s">
        <v>3093</v>
      </c>
      <c r="C2685" s="121" t="str">
        <f t="shared" si="103"/>
        <v>http://www.richmond.va.gov/contact/phone_directory.asp</v>
      </c>
    </row>
    <row r="2686" ht="14.25" hidden="1" customHeight="1">
      <c r="A2686" s="8" t="s">
        <v>712</v>
      </c>
      <c r="B2686" s="8" t="s">
        <v>3093</v>
      </c>
      <c r="C2686" s="121" t="str">
        <f t="shared" si="103"/>
        <v>http://www.richmond.va.gov/contact/phone_directory.asp</v>
      </c>
    </row>
    <row r="2687" ht="14.25" hidden="1" customHeight="1">
      <c r="A2687" s="8" t="s">
        <v>724</v>
      </c>
      <c r="B2687" s="8" t="s">
        <v>3093</v>
      </c>
      <c r="C2687" s="121" t="str">
        <f t="shared" si="103"/>
        <v>http://www.richmond.va.gov/contact/phone_directory.asp</v>
      </c>
    </row>
    <row r="2688" ht="14.25" hidden="1" customHeight="1">
      <c r="A2688" s="8" t="s">
        <v>1869</v>
      </c>
      <c r="B2688" s="8" t="s">
        <v>3093</v>
      </c>
      <c r="C2688" s="121" t="str">
        <f t="shared" si="103"/>
        <v>http://www.richmond.va.gov/contact/phone_directory.asp</v>
      </c>
    </row>
    <row r="2689" ht="14.25" hidden="1" customHeight="1">
      <c r="A2689" s="8" t="s">
        <v>469</v>
      </c>
      <c r="B2689" s="8" t="s">
        <v>3093</v>
      </c>
      <c r="C2689" s="121" t="str">
        <f t="shared" si="103"/>
        <v>http://www.richmond.va.gov/contact/phone_directory.asp</v>
      </c>
    </row>
    <row r="2690" ht="14.25" hidden="1" customHeight="1">
      <c r="A2690" s="8" t="s">
        <v>1690</v>
      </c>
      <c r="B2690" s="8" t="s">
        <v>3093</v>
      </c>
      <c r="C2690" s="121" t="str">
        <f t="shared" si="103"/>
        <v>http://www.richmond.va.gov/contact/phone_directory.asp</v>
      </c>
    </row>
    <row r="2691" ht="14.25" hidden="1" customHeight="1">
      <c r="A2691" s="8" t="s">
        <v>624</v>
      </c>
      <c r="B2691" s="8" t="s">
        <v>3105</v>
      </c>
      <c r="C2691" s="121" t="str">
        <f t="shared" ref="C2691:C2721" si="104">HYPERLINK("http://www.roseburg.va.gov/contact/phone_directory.asp")</f>
        <v>http://www.roseburg.va.gov/contact/phone_directory.asp</v>
      </c>
    </row>
    <row r="2692" ht="14.25" hidden="1" customHeight="1">
      <c r="A2692" s="8" t="s">
        <v>631</v>
      </c>
      <c r="B2692" s="8" t="s">
        <v>3105</v>
      </c>
      <c r="C2692" s="121" t="str">
        <f t="shared" si="104"/>
        <v>http://www.roseburg.va.gov/contact/phone_directory.asp</v>
      </c>
    </row>
    <row r="2693" ht="14.25" hidden="1" customHeight="1">
      <c r="A2693" s="8" t="s">
        <v>864</v>
      </c>
      <c r="B2693" s="8" t="s">
        <v>3105</v>
      </c>
      <c r="C2693" s="121" t="str">
        <f t="shared" si="104"/>
        <v>http://www.roseburg.va.gov/contact/phone_directory.asp</v>
      </c>
    </row>
    <row r="2694" ht="14.25" hidden="1" customHeight="1">
      <c r="A2694" s="8" t="s">
        <v>978</v>
      </c>
      <c r="B2694" s="8" t="s">
        <v>3105</v>
      </c>
      <c r="C2694" s="121" t="str">
        <f t="shared" si="104"/>
        <v>http://www.roseburg.va.gov/contact/phone_directory.asp</v>
      </c>
    </row>
    <row r="2695" ht="14.25" hidden="1" customHeight="1">
      <c r="A2695" s="8" t="s">
        <v>2423</v>
      </c>
      <c r="B2695" s="8" t="s">
        <v>3105</v>
      </c>
      <c r="C2695" s="121" t="str">
        <f t="shared" si="104"/>
        <v>http://www.roseburg.va.gov/contact/phone_directory.asp</v>
      </c>
    </row>
    <row r="2696" ht="14.25" hidden="1" customHeight="1">
      <c r="A2696" s="8" t="s">
        <v>304</v>
      </c>
      <c r="B2696" s="8" t="s">
        <v>3105</v>
      </c>
      <c r="C2696" s="121" t="str">
        <f t="shared" si="104"/>
        <v>http://www.roseburg.va.gov/contact/phone_directory.asp</v>
      </c>
    </row>
    <row r="2697" ht="14.25" hidden="1" customHeight="1">
      <c r="A2697" s="8" t="s">
        <v>3108</v>
      </c>
      <c r="B2697" s="8" t="s">
        <v>3105</v>
      </c>
      <c r="C2697" s="121" t="str">
        <f t="shared" si="104"/>
        <v>http://www.roseburg.va.gov/contact/phone_directory.asp</v>
      </c>
    </row>
    <row r="2698" ht="14.25" hidden="1" customHeight="1">
      <c r="A2698" s="8" t="s">
        <v>663</v>
      </c>
      <c r="B2698" s="8" t="s">
        <v>3105</v>
      </c>
      <c r="C2698" s="121" t="str">
        <f t="shared" si="104"/>
        <v>http://www.roseburg.va.gov/contact/phone_directory.asp</v>
      </c>
    </row>
    <row r="2699" ht="14.25" hidden="1" customHeight="1">
      <c r="A2699" s="8" t="s">
        <v>1147</v>
      </c>
      <c r="B2699" s="8" t="s">
        <v>3105</v>
      </c>
      <c r="C2699" s="121" t="str">
        <f t="shared" si="104"/>
        <v>http://www.roseburg.va.gov/contact/phone_directory.asp</v>
      </c>
    </row>
    <row r="2700" ht="14.25" hidden="1" customHeight="1">
      <c r="A2700" s="8" t="s">
        <v>3109</v>
      </c>
      <c r="B2700" s="8" t="s">
        <v>3105</v>
      </c>
      <c r="C2700" s="121" t="str">
        <f t="shared" si="104"/>
        <v>http://www.roseburg.va.gov/contact/phone_directory.asp</v>
      </c>
    </row>
    <row r="2701" ht="14.25" hidden="1" customHeight="1">
      <c r="A2701" s="8" t="s">
        <v>3110</v>
      </c>
      <c r="B2701" s="8" t="s">
        <v>3105</v>
      </c>
      <c r="C2701" s="121" t="str">
        <f t="shared" si="104"/>
        <v>http://www.roseburg.va.gov/contact/phone_directory.asp</v>
      </c>
    </row>
    <row r="2702" ht="14.25" hidden="1" customHeight="1">
      <c r="A2702" s="8" t="s">
        <v>738</v>
      </c>
      <c r="B2702" s="8" t="s">
        <v>3105</v>
      </c>
      <c r="C2702" s="121" t="str">
        <f t="shared" si="104"/>
        <v>http://www.roseburg.va.gov/contact/phone_directory.asp</v>
      </c>
    </row>
    <row r="2703" ht="14.25" hidden="1" customHeight="1">
      <c r="A2703" s="8" t="s">
        <v>332</v>
      </c>
      <c r="B2703" s="8" t="s">
        <v>3105</v>
      </c>
      <c r="C2703" s="121" t="str">
        <f t="shared" si="104"/>
        <v>http://www.roseburg.va.gov/contact/phone_directory.asp</v>
      </c>
    </row>
    <row r="2704" ht="14.25" hidden="1" customHeight="1">
      <c r="A2704" s="8" t="s">
        <v>3111</v>
      </c>
      <c r="B2704" s="8" t="s">
        <v>3105</v>
      </c>
      <c r="C2704" s="121" t="str">
        <f t="shared" si="104"/>
        <v>http://www.roseburg.va.gov/contact/phone_directory.asp</v>
      </c>
    </row>
    <row r="2705" ht="14.25" hidden="1" customHeight="1">
      <c r="A2705" s="8" t="s">
        <v>3113</v>
      </c>
      <c r="B2705" s="8" t="s">
        <v>3105</v>
      </c>
      <c r="C2705" s="121" t="str">
        <f t="shared" si="104"/>
        <v>http://www.roseburg.va.gov/contact/phone_directory.asp</v>
      </c>
    </row>
    <row r="2706" ht="14.25" hidden="1" customHeight="1">
      <c r="A2706" s="8" t="s">
        <v>2096</v>
      </c>
      <c r="B2706" s="8" t="s">
        <v>3105</v>
      </c>
      <c r="C2706" s="121" t="str">
        <f t="shared" si="104"/>
        <v>http://www.roseburg.va.gov/contact/phone_directory.asp</v>
      </c>
    </row>
    <row r="2707" ht="14.25" hidden="1" customHeight="1">
      <c r="A2707" s="8" t="s">
        <v>697</v>
      </c>
      <c r="B2707" s="8" t="s">
        <v>3105</v>
      </c>
      <c r="C2707" s="121" t="str">
        <f t="shared" si="104"/>
        <v>http://www.roseburg.va.gov/contact/phone_directory.asp</v>
      </c>
    </row>
    <row r="2708" ht="14.25" hidden="1" customHeight="1">
      <c r="A2708" s="8" t="s">
        <v>450</v>
      </c>
      <c r="B2708" s="8" t="s">
        <v>3105</v>
      </c>
      <c r="C2708" s="121" t="str">
        <f t="shared" si="104"/>
        <v>http://www.roseburg.va.gov/contact/phone_directory.asp</v>
      </c>
    </row>
    <row r="2709" ht="14.25" hidden="1" customHeight="1">
      <c r="A2709" s="8" t="s">
        <v>791</v>
      </c>
      <c r="B2709" s="8" t="s">
        <v>3105</v>
      </c>
      <c r="C2709" s="121" t="str">
        <f t="shared" si="104"/>
        <v>http://www.roseburg.va.gov/contact/phone_directory.asp</v>
      </c>
    </row>
    <row r="2710" ht="14.25" hidden="1" customHeight="1">
      <c r="A2710" s="8" t="s">
        <v>3114</v>
      </c>
      <c r="B2710" s="8" t="s">
        <v>3105</v>
      </c>
      <c r="C2710" s="121" t="str">
        <f t="shared" si="104"/>
        <v>http://www.roseburg.va.gov/contact/phone_directory.asp</v>
      </c>
    </row>
    <row r="2711" ht="14.25" hidden="1" customHeight="1">
      <c r="A2711" s="8" t="s">
        <v>3115</v>
      </c>
      <c r="B2711" s="8" t="s">
        <v>3105</v>
      </c>
      <c r="C2711" s="121" t="str">
        <f t="shared" si="104"/>
        <v>http://www.roseburg.va.gov/contact/phone_directory.asp</v>
      </c>
    </row>
    <row r="2712" ht="14.25" hidden="1" customHeight="1">
      <c r="A2712" s="8" t="s">
        <v>3116</v>
      </c>
      <c r="B2712" s="8" t="s">
        <v>3105</v>
      </c>
      <c r="C2712" s="121" t="str">
        <f t="shared" si="104"/>
        <v>http://www.roseburg.va.gov/contact/phone_directory.asp</v>
      </c>
    </row>
    <row r="2713" ht="14.25" hidden="1" customHeight="1">
      <c r="A2713" s="8" t="s">
        <v>712</v>
      </c>
      <c r="B2713" s="8" t="s">
        <v>3105</v>
      </c>
      <c r="C2713" s="121" t="str">
        <f t="shared" si="104"/>
        <v>http://www.roseburg.va.gov/contact/phone_directory.asp</v>
      </c>
    </row>
    <row r="2714" ht="14.25" hidden="1" customHeight="1">
      <c r="A2714" s="8" t="s">
        <v>1429</v>
      </c>
      <c r="B2714" s="8" t="s">
        <v>3105</v>
      </c>
      <c r="C2714" s="121" t="str">
        <f t="shared" si="104"/>
        <v>http://www.roseburg.va.gov/contact/phone_directory.asp</v>
      </c>
    </row>
    <row r="2715" ht="14.25" hidden="1" customHeight="1">
      <c r="A2715" s="8" t="s">
        <v>3117</v>
      </c>
      <c r="B2715" s="8" t="s">
        <v>3105</v>
      </c>
      <c r="C2715" s="121" t="str">
        <f t="shared" si="104"/>
        <v>http://www.roseburg.va.gov/contact/phone_directory.asp</v>
      </c>
    </row>
    <row r="2716" ht="14.25" hidden="1" customHeight="1">
      <c r="A2716" s="8" t="s">
        <v>1180</v>
      </c>
      <c r="B2716" s="8" t="s">
        <v>3105</v>
      </c>
      <c r="C2716" s="121" t="str">
        <f t="shared" si="104"/>
        <v>http://www.roseburg.va.gov/contact/phone_directory.asp</v>
      </c>
    </row>
    <row r="2717" ht="14.25" hidden="1" customHeight="1">
      <c r="A2717" s="8" t="s">
        <v>722</v>
      </c>
      <c r="B2717" s="8" t="s">
        <v>3105</v>
      </c>
      <c r="C2717" s="121" t="str">
        <f t="shared" si="104"/>
        <v>http://www.roseburg.va.gov/contact/phone_directory.asp</v>
      </c>
    </row>
    <row r="2718" ht="14.25" hidden="1" customHeight="1">
      <c r="A2718" s="8" t="s">
        <v>727</v>
      </c>
      <c r="B2718" s="8" t="s">
        <v>3105</v>
      </c>
      <c r="C2718" s="121" t="str">
        <f t="shared" si="104"/>
        <v>http://www.roseburg.va.gov/contact/phone_directory.asp</v>
      </c>
    </row>
    <row r="2719" ht="14.25" hidden="1" customHeight="1">
      <c r="A2719" s="8" t="s">
        <v>724</v>
      </c>
      <c r="B2719" s="8" t="s">
        <v>3105</v>
      </c>
      <c r="C2719" s="121" t="str">
        <f t="shared" si="104"/>
        <v>http://www.roseburg.va.gov/contact/phone_directory.asp</v>
      </c>
    </row>
    <row r="2720" ht="14.25" hidden="1" customHeight="1">
      <c r="A2720" s="8" t="s">
        <v>3119</v>
      </c>
      <c r="B2720" s="8" t="s">
        <v>3105</v>
      </c>
      <c r="C2720" s="121" t="str">
        <f t="shared" si="104"/>
        <v>http://www.roseburg.va.gov/contact/phone_directory.asp</v>
      </c>
    </row>
    <row r="2721" ht="14.25" hidden="1" customHeight="1">
      <c r="A2721" s="8" t="s">
        <v>518</v>
      </c>
      <c r="B2721" s="8" t="s">
        <v>3105</v>
      </c>
      <c r="C2721" s="121" t="str">
        <f t="shared" si="104"/>
        <v>http://www.roseburg.va.gov/contact/phone_directory.asp</v>
      </c>
    </row>
    <row r="2722" ht="14.25" hidden="1" customHeight="1">
      <c r="A2722" s="8" t="s">
        <v>3120</v>
      </c>
      <c r="B2722" s="8" t="s">
        <v>3121</v>
      </c>
      <c r="C2722" s="121" t="str">
        <f t="shared" ref="C2722:C2755" si="105">HYPERLINK("http://www.saginaw.va.gov/contact/phone_directory.asp")</f>
        <v>http://www.saginaw.va.gov/contact/phone_directory.asp</v>
      </c>
    </row>
    <row r="2723" ht="14.25" hidden="1" customHeight="1">
      <c r="A2723" s="8" t="s">
        <v>624</v>
      </c>
      <c r="B2723" s="8" t="s">
        <v>3121</v>
      </c>
      <c r="C2723" s="121" t="str">
        <f t="shared" si="105"/>
        <v>http://www.saginaw.va.gov/contact/phone_directory.asp</v>
      </c>
    </row>
    <row r="2724" ht="14.25" hidden="1" customHeight="1">
      <c r="A2724" s="8" t="s">
        <v>636</v>
      </c>
      <c r="B2724" s="8" t="s">
        <v>3121</v>
      </c>
      <c r="C2724" s="121" t="str">
        <f t="shared" si="105"/>
        <v>http://www.saginaw.va.gov/contact/phone_directory.asp</v>
      </c>
    </row>
    <row r="2725" ht="14.25" hidden="1" customHeight="1">
      <c r="A2725" s="8" t="s">
        <v>864</v>
      </c>
      <c r="B2725" s="8" t="s">
        <v>3121</v>
      </c>
      <c r="C2725" s="121" t="str">
        <f t="shared" si="105"/>
        <v>http://www.saginaw.va.gov/contact/phone_directory.asp</v>
      </c>
    </row>
    <row r="2726" ht="14.25" hidden="1" customHeight="1">
      <c r="A2726" s="8" t="s">
        <v>3122</v>
      </c>
      <c r="B2726" s="8" t="s">
        <v>3121</v>
      </c>
      <c r="C2726" s="121" t="str">
        <f t="shared" si="105"/>
        <v>http://www.saginaw.va.gov/contact/phone_directory.asp</v>
      </c>
    </row>
    <row r="2727" ht="14.25" hidden="1" customHeight="1">
      <c r="A2727" s="8" t="s">
        <v>638</v>
      </c>
      <c r="B2727" s="8" t="s">
        <v>3121</v>
      </c>
      <c r="C2727" s="121" t="str">
        <f t="shared" si="105"/>
        <v>http://www.saginaw.va.gov/contact/phone_directory.asp</v>
      </c>
    </row>
    <row r="2728" ht="14.25" hidden="1" customHeight="1">
      <c r="A2728" s="8" t="s">
        <v>455</v>
      </c>
      <c r="B2728" s="8" t="s">
        <v>3121</v>
      </c>
      <c r="C2728" s="121" t="str">
        <f t="shared" si="105"/>
        <v>http://www.saginaw.va.gov/contact/phone_directory.asp</v>
      </c>
    </row>
    <row r="2729" ht="14.25" hidden="1" customHeight="1">
      <c r="A2729" s="8" t="s">
        <v>663</v>
      </c>
      <c r="B2729" s="8" t="s">
        <v>3121</v>
      </c>
      <c r="C2729" s="121" t="str">
        <f t="shared" si="105"/>
        <v>http://www.saginaw.va.gov/contact/phone_directory.asp</v>
      </c>
    </row>
    <row r="2730" ht="14.25" hidden="1" customHeight="1">
      <c r="A2730" s="8" t="s">
        <v>1963</v>
      </c>
      <c r="B2730" s="8" t="s">
        <v>3121</v>
      </c>
      <c r="C2730" s="121" t="str">
        <f t="shared" si="105"/>
        <v>http://www.saginaw.va.gov/contact/phone_directory.asp</v>
      </c>
    </row>
    <row r="2731" ht="14.25" hidden="1" customHeight="1">
      <c r="A2731" s="8" t="s">
        <v>3124</v>
      </c>
      <c r="B2731" s="8" t="s">
        <v>3121</v>
      </c>
      <c r="C2731" s="121" t="str">
        <f t="shared" si="105"/>
        <v>http://www.saginaw.va.gov/contact/phone_directory.asp</v>
      </c>
    </row>
    <row r="2732" ht="14.25" hidden="1" customHeight="1">
      <c r="A2732" s="8" t="s">
        <v>3125</v>
      </c>
      <c r="B2732" s="8" t="s">
        <v>3121</v>
      </c>
      <c r="C2732" s="121" t="str">
        <f t="shared" si="105"/>
        <v>http://www.saginaw.va.gov/contact/phone_directory.asp</v>
      </c>
    </row>
    <row r="2733" ht="14.25" hidden="1" customHeight="1">
      <c r="A2733" s="8" t="s">
        <v>1145</v>
      </c>
      <c r="B2733" s="8" t="s">
        <v>3121</v>
      </c>
      <c r="C2733" s="121" t="str">
        <f t="shared" si="105"/>
        <v>http://www.saginaw.va.gov/contact/phone_directory.asp</v>
      </c>
    </row>
    <row r="2734" ht="14.25" hidden="1" customHeight="1">
      <c r="A2734" s="8" t="s">
        <v>3127</v>
      </c>
      <c r="B2734" s="8" t="s">
        <v>3121</v>
      </c>
      <c r="C2734" s="121" t="str">
        <f t="shared" si="105"/>
        <v>http://www.saginaw.va.gov/contact/phone_directory.asp</v>
      </c>
    </row>
    <row r="2735" ht="14.25" hidden="1" customHeight="1">
      <c r="A2735" s="8" t="s">
        <v>395</v>
      </c>
      <c r="B2735" s="8" t="s">
        <v>3121</v>
      </c>
      <c r="C2735" s="121" t="str">
        <f t="shared" si="105"/>
        <v>http://www.saginaw.va.gov/contact/phone_directory.asp</v>
      </c>
    </row>
    <row r="2736" ht="14.25" hidden="1" customHeight="1">
      <c r="A2736" s="8" t="s">
        <v>1249</v>
      </c>
      <c r="B2736" s="8" t="s">
        <v>3121</v>
      </c>
      <c r="C2736" s="121" t="str">
        <f t="shared" si="105"/>
        <v>http://www.saginaw.va.gov/contact/phone_directory.asp</v>
      </c>
    </row>
    <row r="2737" ht="14.25" hidden="1" customHeight="1">
      <c r="A2737" s="8" t="s">
        <v>691</v>
      </c>
      <c r="B2737" s="8" t="s">
        <v>3121</v>
      </c>
      <c r="C2737" s="121" t="str">
        <f t="shared" si="105"/>
        <v>http://www.saginaw.va.gov/contact/phone_directory.asp</v>
      </c>
    </row>
    <row r="2738" ht="14.25" hidden="1" customHeight="1">
      <c r="A2738" s="8" t="s">
        <v>3129</v>
      </c>
      <c r="B2738" s="8" t="s">
        <v>3121</v>
      </c>
      <c r="C2738" s="121" t="str">
        <f t="shared" si="105"/>
        <v>http://www.saginaw.va.gov/contact/phone_directory.asp</v>
      </c>
    </row>
    <row r="2739" ht="14.25" hidden="1" customHeight="1">
      <c r="A2739" s="8" t="s">
        <v>1719</v>
      </c>
      <c r="B2739" s="8" t="s">
        <v>3121</v>
      </c>
      <c r="C2739" s="121" t="str">
        <f t="shared" si="105"/>
        <v>http://www.saginaw.va.gov/contact/phone_directory.asp</v>
      </c>
    </row>
    <row r="2740" ht="14.25" hidden="1" customHeight="1">
      <c r="A2740" s="8" t="s">
        <v>907</v>
      </c>
      <c r="B2740" s="8" t="s">
        <v>3121</v>
      </c>
      <c r="C2740" s="121" t="str">
        <f t="shared" si="105"/>
        <v>http://www.saginaw.va.gov/contact/phone_directory.asp</v>
      </c>
    </row>
    <row r="2741" ht="14.25" hidden="1" customHeight="1">
      <c r="A2741" s="8" t="s">
        <v>697</v>
      </c>
      <c r="B2741" s="8" t="s">
        <v>3121</v>
      </c>
      <c r="C2741" s="121" t="str">
        <f t="shared" si="105"/>
        <v>http://www.saginaw.va.gov/contact/phone_directory.asp</v>
      </c>
    </row>
    <row r="2742" ht="14.25" hidden="1" customHeight="1">
      <c r="A2742" s="8" t="s">
        <v>3131</v>
      </c>
      <c r="B2742" s="8" t="s">
        <v>3121</v>
      </c>
      <c r="C2742" s="121" t="str">
        <f t="shared" si="105"/>
        <v>http://www.saginaw.va.gov/contact/phone_directory.asp</v>
      </c>
    </row>
    <row r="2743" ht="14.25" hidden="1" customHeight="1">
      <c r="A2743" s="8" t="s">
        <v>3133</v>
      </c>
      <c r="B2743" s="8" t="s">
        <v>3121</v>
      </c>
      <c r="C2743" s="121" t="str">
        <f t="shared" si="105"/>
        <v>http://www.saginaw.va.gov/contact/phone_directory.asp</v>
      </c>
    </row>
    <row r="2744" ht="14.25" hidden="1" customHeight="1">
      <c r="A2744" s="8" t="s">
        <v>504</v>
      </c>
      <c r="B2744" s="8" t="s">
        <v>3121</v>
      </c>
      <c r="C2744" s="121" t="str">
        <f t="shared" si="105"/>
        <v>http://www.saginaw.va.gov/contact/phone_directory.asp</v>
      </c>
    </row>
    <row r="2745" ht="14.25" hidden="1" customHeight="1">
      <c r="A2745" s="8" t="s">
        <v>717</v>
      </c>
      <c r="B2745" s="8" t="s">
        <v>3121</v>
      </c>
      <c r="C2745" s="121" t="str">
        <f t="shared" si="105"/>
        <v>http://www.saginaw.va.gov/contact/phone_directory.asp</v>
      </c>
    </row>
    <row r="2746" ht="14.25" hidden="1" customHeight="1">
      <c r="A2746" s="8" t="s">
        <v>708</v>
      </c>
      <c r="B2746" s="8" t="s">
        <v>3121</v>
      </c>
      <c r="C2746" s="121" t="str">
        <f t="shared" si="105"/>
        <v>http://www.saginaw.va.gov/contact/phone_directory.asp</v>
      </c>
    </row>
    <row r="2747" ht="14.25" hidden="1" customHeight="1">
      <c r="A2747" s="8" t="s">
        <v>349</v>
      </c>
      <c r="B2747" s="8" t="s">
        <v>3121</v>
      </c>
      <c r="C2747" s="121" t="str">
        <f t="shared" si="105"/>
        <v>http://www.saginaw.va.gov/contact/phone_directory.asp</v>
      </c>
    </row>
    <row r="2748" ht="14.25" hidden="1" customHeight="1">
      <c r="A2748" s="8" t="s">
        <v>1054</v>
      </c>
      <c r="B2748" s="8" t="s">
        <v>3121</v>
      </c>
      <c r="C2748" s="121" t="str">
        <f t="shared" si="105"/>
        <v>http://www.saginaw.va.gov/contact/phone_directory.asp</v>
      </c>
    </row>
    <row r="2749" ht="14.25" hidden="1" customHeight="1">
      <c r="A2749" s="8" t="s">
        <v>712</v>
      </c>
      <c r="B2749" s="8" t="s">
        <v>3121</v>
      </c>
      <c r="C2749" s="121" t="str">
        <f t="shared" si="105"/>
        <v>http://www.saginaw.va.gov/contact/phone_directory.asp</v>
      </c>
    </row>
    <row r="2750" ht="14.25" hidden="1" customHeight="1">
      <c r="A2750" s="8" t="s">
        <v>1450</v>
      </c>
      <c r="B2750" s="8" t="s">
        <v>3121</v>
      </c>
      <c r="C2750" s="121" t="str">
        <f t="shared" si="105"/>
        <v>http://www.saginaw.va.gov/contact/phone_directory.asp</v>
      </c>
    </row>
    <row r="2751" ht="14.25" hidden="1" customHeight="1">
      <c r="A2751" s="8" t="s">
        <v>3135</v>
      </c>
      <c r="B2751" s="8" t="s">
        <v>3121</v>
      </c>
      <c r="C2751" s="121" t="str">
        <f t="shared" si="105"/>
        <v>http://www.saginaw.va.gov/contact/phone_directory.asp</v>
      </c>
    </row>
    <row r="2752" ht="14.25" hidden="1" customHeight="1">
      <c r="A2752" s="8" t="s">
        <v>3136</v>
      </c>
      <c r="B2752" s="8" t="s">
        <v>3121</v>
      </c>
      <c r="C2752" s="121" t="str">
        <f t="shared" si="105"/>
        <v>http://www.saginaw.va.gov/contact/phone_directory.asp</v>
      </c>
    </row>
    <row r="2753" ht="14.25" hidden="1" customHeight="1">
      <c r="A2753" s="8" t="s">
        <v>3137</v>
      </c>
      <c r="B2753" s="8" t="s">
        <v>3121</v>
      </c>
      <c r="C2753" s="121" t="str">
        <f t="shared" si="105"/>
        <v>http://www.saginaw.va.gov/contact/phone_directory.asp</v>
      </c>
    </row>
    <row r="2754" ht="14.25" hidden="1" customHeight="1">
      <c r="A2754" s="8" t="s">
        <v>729</v>
      </c>
      <c r="B2754" s="8" t="s">
        <v>3121</v>
      </c>
      <c r="C2754" s="121" t="str">
        <f t="shared" si="105"/>
        <v>http://www.saginaw.va.gov/contact/phone_directory.asp</v>
      </c>
    </row>
    <row r="2755" ht="14.25" hidden="1" customHeight="1">
      <c r="A2755" s="8" t="s">
        <v>518</v>
      </c>
      <c r="B2755" s="8" t="s">
        <v>3121</v>
      </c>
      <c r="C2755" s="121" t="str">
        <f t="shared" si="105"/>
        <v>http://www.saginaw.va.gov/contact/phone_directory.asp</v>
      </c>
    </row>
    <row r="2756" ht="14.25" hidden="1" customHeight="1">
      <c r="A2756" s="8" t="s">
        <v>475</v>
      </c>
      <c r="B2756" s="8" t="s">
        <v>3138</v>
      </c>
      <c r="C2756" s="121" t="str">
        <f t="shared" ref="C2756:C2778" si="106">HYPERLINK("http://www.salem.va.gov/contact/phone_directory.asp")</f>
        <v>http://www.salem.va.gov/contact/phone_directory.asp</v>
      </c>
    </row>
    <row r="2757" ht="14.25" hidden="1" customHeight="1">
      <c r="A2757" s="8" t="s">
        <v>624</v>
      </c>
      <c r="B2757" s="8" t="s">
        <v>3138</v>
      </c>
      <c r="C2757" s="121" t="str">
        <f t="shared" si="106"/>
        <v>http://www.salem.va.gov/contact/phone_directory.asp</v>
      </c>
    </row>
    <row r="2758" ht="14.25" hidden="1" customHeight="1">
      <c r="A2758" s="8" t="s">
        <v>864</v>
      </c>
      <c r="B2758" s="8" t="s">
        <v>3138</v>
      </c>
      <c r="C2758" s="121" t="str">
        <f t="shared" si="106"/>
        <v>http://www.salem.va.gov/contact/phone_directory.asp</v>
      </c>
    </row>
    <row r="2759" ht="14.25" hidden="1" customHeight="1">
      <c r="A2759" s="8" t="s">
        <v>638</v>
      </c>
      <c r="B2759" s="8" t="s">
        <v>3138</v>
      </c>
      <c r="C2759" s="121" t="str">
        <f t="shared" si="106"/>
        <v>http://www.salem.va.gov/contact/phone_directory.asp</v>
      </c>
    </row>
    <row r="2760" ht="14.25" hidden="1" customHeight="1">
      <c r="A2760" s="8" t="s">
        <v>484</v>
      </c>
      <c r="B2760" s="8" t="s">
        <v>3138</v>
      </c>
      <c r="C2760" s="121" t="str">
        <f t="shared" si="106"/>
        <v>http://www.salem.va.gov/contact/phone_directory.asp</v>
      </c>
    </row>
    <row r="2761" ht="14.25" hidden="1" customHeight="1">
      <c r="A2761" s="8" t="s">
        <v>478</v>
      </c>
      <c r="B2761" s="8" t="s">
        <v>3138</v>
      </c>
      <c r="C2761" s="121" t="str">
        <f t="shared" si="106"/>
        <v>http://www.salem.va.gov/contact/phone_directory.asp</v>
      </c>
    </row>
    <row r="2762" ht="14.25" hidden="1" customHeight="1">
      <c r="A2762" s="8" t="s">
        <v>3140</v>
      </c>
      <c r="B2762" s="8" t="s">
        <v>3138</v>
      </c>
      <c r="C2762" s="121" t="str">
        <f t="shared" si="106"/>
        <v>http://www.salem.va.gov/contact/phone_directory.asp</v>
      </c>
    </row>
    <row r="2763" ht="14.25" hidden="1" customHeight="1">
      <c r="A2763" s="8" t="s">
        <v>455</v>
      </c>
      <c r="B2763" s="8" t="s">
        <v>3138</v>
      </c>
      <c r="C2763" s="121" t="str">
        <f t="shared" si="106"/>
        <v>http://www.salem.va.gov/contact/phone_directory.asp</v>
      </c>
    </row>
    <row r="2764" ht="14.25" hidden="1" customHeight="1">
      <c r="A2764" s="8" t="s">
        <v>663</v>
      </c>
      <c r="B2764" s="8" t="s">
        <v>3138</v>
      </c>
      <c r="C2764" s="121" t="str">
        <f t="shared" si="106"/>
        <v>http://www.salem.va.gov/contact/phone_directory.asp</v>
      </c>
    </row>
    <row r="2765" ht="14.25" hidden="1" customHeight="1">
      <c r="A2765" s="8" t="s">
        <v>1965</v>
      </c>
      <c r="B2765" s="8" t="s">
        <v>3138</v>
      </c>
      <c r="C2765" s="121" t="str">
        <f t="shared" si="106"/>
        <v>http://www.salem.va.gov/contact/phone_directory.asp</v>
      </c>
    </row>
    <row r="2766" ht="14.25" hidden="1" customHeight="1">
      <c r="A2766" s="8" t="s">
        <v>2297</v>
      </c>
      <c r="B2766" s="8" t="s">
        <v>3138</v>
      </c>
      <c r="C2766" s="121" t="str">
        <f t="shared" si="106"/>
        <v>http://www.salem.va.gov/contact/phone_directory.asp</v>
      </c>
    </row>
    <row r="2767" ht="14.25" hidden="1" customHeight="1">
      <c r="A2767" s="8" t="s">
        <v>683</v>
      </c>
      <c r="B2767" s="8" t="s">
        <v>3138</v>
      </c>
      <c r="C2767" s="121" t="str">
        <f t="shared" si="106"/>
        <v>http://www.salem.va.gov/contact/phone_directory.asp</v>
      </c>
    </row>
    <row r="2768" ht="14.25" hidden="1" customHeight="1">
      <c r="A2768" s="8" t="s">
        <v>1231</v>
      </c>
      <c r="B2768" s="8" t="s">
        <v>3138</v>
      </c>
      <c r="C2768" s="121" t="str">
        <f t="shared" si="106"/>
        <v>http://www.salem.va.gov/contact/phone_directory.asp</v>
      </c>
    </row>
    <row r="2769" ht="14.25" hidden="1" customHeight="1">
      <c r="A2769" s="8" t="s">
        <v>691</v>
      </c>
      <c r="B2769" s="8" t="s">
        <v>3138</v>
      </c>
      <c r="C2769" s="121" t="str">
        <f t="shared" si="106"/>
        <v>http://www.salem.va.gov/contact/phone_directory.asp</v>
      </c>
    </row>
    <row r="2770" ht="14.25" hidden="1" customHeight="1">
      <c r="A2770" s="8" t="s">
        <v>1721</v>
      </c>
      <c r="B2770" s="8" t="s">
        <v>3138</v>
      </c>
      <c r="C2770" s="121" t="str">
        <f t="shared" si="106"/>
        <v>http://www.salem.va.gov/contact/phone_directory.asp</v>
      </c>
    </row>
    <row r="2771" ht="14.25" hidden="1" customHeight="1">
      <c r="A2771" s="8" t="s">
        <v>907</v>
      </c>
      <c r="B2771" s="8" t="s">
        <v>3138</v>
      </c>
      <c r="C2771" s="121" t="str">
        <f t="shared" si="106"/>
        <v>http://www.salem.va.gov/contact/phone_directory.asp</v>
      </c>
    </row>
    <row r="2772" ht="14.25" hidden="1" customHeight="1">
      <c r="A2772" s="8" t="s">
        <v>697</v>
      </c>
      <c r="B2772" s="8" t="s">
        <v>3138</v>
      </c>
      <c r="C2772" s="121" t="str">
        <f t="shared" si="106"/>
        <v>http://www.salem.va.gov/contact/phone_directory.asp</v>
      </c>
    </row>
    <row r="2773" ht="14.25" hidden="1" customHeight="1">
      <c r="A2773" s="8" t="s">
        <v>3141</v>
      </c>
      <c r="B2773" s="8" t="s">
        <v>3138</v>
      </c>
      <c r="C2773" s="121" t="str">
        <f t="shared" si="106"/>
        <v>http://www.salem.va.gov/contact/phone_directory.asp</v>
      </c>
    </row>
    <row r="2774" ht="14.25" hidden="1" customHeight="1">
      <c r="A2774" s="8" t="s">
        <v>708</v>
      </c>
      <c r="B2774" s="8" t="s">
        <v>3138</v>
      </c>
      <c r="C2774" s="121" t="str">
        <f t="shared" si="106"/>
        <v>http://www.salem.va.gov/contact/phone_directory.asp</v>
      </c>
    </row>
    <row r="2775" ht="14.25" hidden="1" customHeight="1">
      <c r="A2775" s="8" t="s">
        <v>1054</v>
      </c>
      <c r="B2775" s="8" t="s">
        <v>3138</v>
      </c>
      <c r="C2775" s="121" t="str">
        <f t="shared" si="106"/>
        <v>http://www.salem.va.gov/contact/phone_directory.asp</v>
      </c>
    </row>
    <row r="2776" ht="14.25" hidden="1" customHeight="1">
      <c r="A2776" s="8" t="s">
        <v>3142</v>
      </c>
      <c r="B2776" s="8" t="s">
        <v>3138</v>
      </c>
      <c r="C2776" s="121" t="str">
        <f t="shared" si="106"/>
        <v>http://www.salem.va.gov/contact/phone_directory.asp</v>
      </c>
    </row>
    <row r="2777" ht="14.25" hidden="1" customHeight="1">
      <c r="A2777" s="8" t="s">
        <v>724</v>
      </c>
      <c r="B2777" s="8" t="s">
        <v>3138</v>
      </c>
      <c r="C2777" s="121" t="str">
        <f t="shared" si="106"/>
        <v>http://www.salem.va.gov/contact/phone_directory.asp</v>
      </c>
    </row>
    <row r="2778" ht="14.25" hidden="1" customHeight="1">
      <c r="A2778" s="8" t="s">
        <v>1690</v>
      </c>
      <c r="B2778" s="8" t="s">
        <v>3138</v>
      </c>
      <c r="C2778" s="121" t="str">
        <f t="shared" si="106"/>
        <v>http://www.salem.va.gov/contact/phone_directory.asp</v>
      </c>
    </row>
    <row r="2779" ht="14.25" hidden="1" customHeight="1">
      <c r="A2779" s="8" t="s">
        <v>3145</v>
      </c>
      <c r="B2779" s="8" t="s">
        <v>3147</v>
      </c>
      <c r="C2779" s="121" t="str">
        <f t="shared" ref="C2779:C2931" si="107">HYPERLINK("http://www.salisbury.va.gov/contact/phone_directory.asp")</f>
        <v>http://www.salisbury.va.gov/contact/phone_directory.asp</v>
      </c>
    </row>
    <row r="2780" ht="14.25" hidden="1" customHeight="1">
      <c r="A2780" s="8" t="s">
        <v>3149</v>
      </c>
      <c r="B2780" s="8" t="s">
        <v>3147</v>
      </c>
      <c r="C2780" s="121" t="str">
        <f t="shared" si="107"/>
        <v>http://www.salisbury.va.gov/contact/phone_directory.asp</v>
      </c>
    </row>
    <row r="2781" ht="14.25" hidden="1" customHeight="1">
      <c r="A2781" s="8" t="s">
        <v>3151</v>
      </c>
      <c r="B2781" s="8" t="s">
        <v>3147</v>
      </c>
      <c r="C2781" s="121" t="str">
        <f t="shared" si="107"/>
        <v>http://www.salisbury.va.gov/contact/phone_directory.asp</v>
      </c>
    </row>
    <row r="2782" ht="14.25" hidden="1" customHeight="1">
      <c r="A2782" s="8" t="s">
        <v>3153</v>
      </c>
      <c r="B2782" s="8" t="s">
        <v>3147</v>
      </c>
      <c r="C2782" s="121" t="str">
        <f t="shared" si="107"/>
        <v>http://www.salisbury.va.gov/contact/phone_directory.asp</v>
      </c>
    </row>
    <row r="2783" ht="14.25" hidden="1" customHeight="1">
      <c r="A2783" s="8" t="s">
        <v>624</v>
      </c>
      <c r="B2783" s="8" t="s">
        <v>3147</v>
      </c>
      <c r="C2783" s="121" t="str">
        <f t="shared" si="107"/>
        <v>http://www.salisbury.va.gov/contact/phone_directory.asp</v>
      </c>
    </row>
    <row r="2784" ht="14.25" hidden="1" customHeight="1">
      <c r="A2784" s="8" t="s">
        <v>3154</v>
      </c>
      <c r="B2784" s="8" t="s">
        <v>3147</v>
      </c>
      <c r="C2784" s="121" t="str">
        <f t="shared" si="107"/>
        <v>http://www.salisbury.va.gov/contact/phone_directory.asp</v>
      </c>
    </row>
    <row r="2785" ht="14.25" hidden="1" customHeight="1">
      <c r="A2785" s="8" t="s">
        <v>3155</v>
      </c>
      <c r="B2785" s="8" t="s">
        <v>3147</v>
      </c>
      <c r="C2785" s="121" t="str">
        <f t="shared" si="107"/>
        <v>http://www.salisbury.va.gov/contact/phone_directory.asp</v>
      </c>
    </row>
    <row r="2786" ht="14.25" hidden="1" customHeight="1">
      <c r="A2786" s="8" t="s">
        <v>3157</v>
      </c>
      <c r="B2786" s="8" t="s">
        <v>3147</v>
      </c>
      <c r="C2786" s="121" t="str">
        <f t="shared" si="107"/>
        <v>http://www.salisbury.va.gov/contact/phone_directory.asp</v>
      </c>
    </row>
    <row r="2787" ht="14.25" hidden="1" customHeight="1">
      <c r="A2787" s="8" t="s">
        <v>3158</v>
      </c>
      <c r="B2787" s="8" t="s">
        <v>3147</v>
      </c>
      <c r="C2787" s="121" t="str">
        <f t="shared" si="107"/>
        <v>http://www.salisbury.va.gov/contact/phone_directory.asp</v>
      </c>
    </row>
    <row r="2788" ht="14.25" hidden="1" customHeight="1">
      <c r="A2788" s="8" t="s">
        <v>3159</v>
      </c>
      <c r="B2788" s="8" t="s">
        <v>3147</v>
      </c>
      <c r="C2788" s="121" t="str">
        <f t="shared" si="107"/>
        <v>http://www.salisbury.va.gov/contact/phone_directory.asp</v>
      </c>
    </row>
    <row r="2789" ht="14.25" hidden="1" customHeight="1">
      <c r="A2789" s="8" t="s">
        <v>3160</v>
      </c>
      <c r="B2789" s="8" t="s">
        <v>3147</v>
      </c>
      <c r="C2789" s="121" t="str">
        <f t="shared" si="107"/>
        <v>http://www.salisbury.va.gov/contact/phone_directory.asp</v>
      </c>
    </row>
    <row r="2790" ht="14.25" hidden="1" customHeight="1">
      <c r="A2790" s="8" t="s">
        <v>3161</v>
      </c>
      <c r="B2790" s="8" t="s">
        <v>3147</v>
      </c>
      <c r="C2790" s="121" t="str">
        <f t="shared" si="107"/>
        <v>http://www.salisbury.va.gov/contact/phone_directory.asp</v>
      </c>
    </row>
    <row r="2791" ht="14.25" hidden="1" customHeight="1">
      <c r="A2791" s="8" t="s">
        <v>631</v>
      </c>
      <c r="B2791" s="8" t="s">
        <v>3147</v>
      </c>
      <c r="C2791" s="121" t="str">
        <f t="shared" si="107"/>
        <v>http://www.salisbury.va.gov/contact/phone_directory.asp</v>
      </c>
    </row>
    <row r="2792" ht="14.25" hidden="1" customHeight="1">
      <c r="A2792" s="8" t="s">
        <v>3163</v>
      </c>
      <c r="B2792" s="8" t="s">
        <v>3147</v>
      </c>
      <c r="C2792" s="121" t="str">
        <f t="shared" si="107"/>
        <v>http://www.salisbury.va.gov/contact/phone_directory.asp</v>
      </c>
    </row>
    <row r="2793" ht="14.25" hidden="1" customHeight="1">
      <c r="A2793" s="8" t="s">
        <v>3164</v>
      </c>
      <c r="B2793" s="8" t="s">
        <v>3147</v>
      </c>
      <c r="C2793" s="121" t="str">
        <f t="shared" si="107"/>
        <v>http://www.salisbury.va.gov/contact/phone_directory.asp</v>
      </c>
    </row>
    <row r="2794" ht="14.25" hidden="1" customHeight="1">
      <c r="A2794" s="8" t="s">
        <v>3166</v>
      </c>
      <c r="B2794" s="8" t="s">
        <v>3147</v>
      </c>
      <c r="C2794" s="121" t="str">
        <f t="shared" si="107"/>
        <v>http://www.salisbury.va.gov/contact/phone_directory.asp</v>
      </c>
    </row>
    <row r="2795" ht="14.25" hidden="1" customHeight="1">
      <c r="A2795" s="8" t="s">
        <v>864</v>
      </c>
      <c r="B2795" s="8" t="s">
        <v>3147</v>
      </c>
      <c r="C2795" s="121" t="str">
        <f t="shared" si="107"/>
        <v>http://www.salisbury.va.gov/contact/phone_directory.asp</v>
      </c>
    </row>
    <row r="2796" ht="14.25" hidden="1" customHeight="1">
      <c r="A2796" s="8" t="s">
        <v>3168</v>
      </c>
      <c r="B2796" s="8" t="s">
        <v>3147</v>
      </c>
      <c r="C2796" s="121" t="str">
        <f t="shared" si="107"/>
        <v>http://www.salisbury.va.gov/contact/phone_directory.asp</v>
      </c>
    </row>
    <row r="2797" ht="14.25" hidden="1" customHeight="1">
      <c r="A2797" s="8" t="s">
        <v>659</v>
      </c>
      <c r="B2797" s="8" t="s">
        <v>3147</v>
      </c>
      <c r="C2797" s="121" t="str">
        <f t="shared" si="107"/>
        <v>http://www.salisbury.va.gov/contact/phone_directory.asp</v>
      </c>
    </row>
    <row r="2798" ht="14.25" hidden="1" customHeight="1">
      <c r="A2798" s="8" t="s">
        <v>3169</v>
      </c>
      <c r="B2798" s="8" t="s">
        <v>3147</v>
      </c>
      <c r="C2798" s="121" t="str">
        <f t="shared" si="107"/>
        <v>http://www.salisbury.va.gov/contact/phone_directory.asp</v>
      </c>
    </row>
    <row r="2799" ht="14.25" hidden="1" customHeight="1">
      <c r="A2799" s="8" t="s">
        <v>638</v>
      </c>
      <c r="B2799" s="8" t="s">
        <v>3147</v>
      </c>
      <c r="C2799" s="121" t="str">
        <f t="shared" si="107"/>
        <v>http://www.salisbury.va.gov/contact/phone_directory.asp</v>
      </c>
    </row>
    <row r="2800" ht="14.25" hidden="1" customHeight="1">
      <c r="A2800" s="8" t="s">
        <v>3170</v>
      </c>
      <c r="B2800" s="8" t="s">
        <v>3147</v>
      </c>
      <c r="C2800" s="121" t="str">
        <f t="shared" si="107"/>
        <v>http://www.salisbury.va.gov/contact/phone_directory.asp</v>
      </c>
    </row>
    <row r="2801" ht="14.25" hidden="1" customHeight="1">
      <c r="A2801" s="8" t="s">
        <v>3171</v>
      </c>
      <c r="B2801" s="8" t="s">
        <v>3147</v>
      </c>
      <c r="C2801" s="121" t="str">
        <f t="shared" si="107"/>
        <v>http://www.salisbury.va.gov/contact/phone_directory.asp</v>
      </c>
    </row>
    <row r="2802" ht="14.25" hidden="1" customHeight="1">
      <c r="A2802" s="8" t="s">
        <v>3173</v>
      </c>
      <c r="B2802" s="8" t="s">
        <v>3147</v>
      </c>
      <c r="C2802" s="121" t="str">
        <f t="shared" si="107"/>
        <v>http://www.salisbury.va.gov/contact/phone_directory.asp</v>
      </c>
    </row>
    <row r="2803" ht="14.25" hidden="1" customHeight="1">
      <c r="A2803" s="8" t="s">
        <v>3174</v>
      </c>
      <c r="B2803" s="8" t="s">
        <v>3147</v>
      </c>
      <c r="C2803" s="121" t="str">
        <f t="shared" si="107"/>
        <v>http://www.salisbury.va.gov/contact/phone_directory.asp</v>
      </c>
    </row>
    <row r="2804" ht="14.25" hidden="1" customHeight="1">
      <c r="A2804" s="8" t="s">
        <v>3176</v>
      </c>
      <c r="B2804" s="8" t="s">
        <v>3147</v>
      </c>
      <c r="C2804" s="121" t="str">
        <f t="shared" si="107"/>
        <v>http://www.salisbury.va.gov/contact/phone_directory.asp</v>
      </c>
    </row>
    <row r="2805" ht="14.25" hidden="1" customHeight="1">
      <c r="A2805" s="8" t="s">
        <v>497</v>
      </c>
      <c r="B2805" s="8" t="s">
        <v>3147</v>
      </c>
      <c r="C2805" s="121" t="str">
        <f t="shared" si="107"/>
        <v>http://www.salisbury.va.gov/contact/phone_directory.asp</v>
      </c>
    </row>
    <row r="2806" ht="14.25" hidden="1" customHeight="1">
      <c r="A2806" s="8" t="s">
        <v>3178</v>
      </c>
      <c r="B2806" s="8" t="s">
        <v>3147</v>
      </c>
      <c r="C2806" s="121" t="str">
        <f t="shared" si="107"/>
        <v>http://www.salisbury.va.gov/contact/phone_directory.asp</v>
      </c>
    </row>
    <row r="2807" ht="14.25" hidden="1" customHeight="1">
      <c r="A2807" s="8" t="s">
        <v>3179</v>
      </c>
      <c r="B2807" s="8" t="s">
        <v>3147</v>
      </c>
      <c r="C2807" s="121" t="str">
        <f t="shared" si="107"/>
        <v>http://www.salisbury.va.gov/contact/phone_directory.asp</v>
      </c>
    </row>
    <row r="2808" ht="14.25" hidden="1" customHeight="1">
      <c r="A2808" s="8" t="s">
        <v>495</v>
      </c>
      <c r="B2808" s="8" t="s">
        <v>3147</v>
      </c>
      <c r="C2808" s="121" t="str">
        <f t="shared" si="107"/>
        <v>http://www.salisbury.va.gov/contact/phone_directory.asp</v>
      </c>
    </row>
    <row r="2809" ht="14.25" hidden="1" customHeight="1">
      <c r="A2809" s="8" t="s">
        <v>3180</v>
      </c>
      <c r="B2809" s="8" t="s">
        <v>3147</v>
      </c>
      <c r="C2809" s="121" t="str">
        <f t="shared" si="107"/>
        <v>http://www.salisbury.va.gov/contact/phone_directory.asp</v>
      </c>
    </row>
    <row r="2810" ht="14.25" hidden="1" customHeight="1">
      <c r="A2810" s="8" t="s">
        <v>3181</v>
      </c>
      <c r="B2810" s="8" t="s">
        <v>3147</v>
      </c>
      <c r="C2810" s="121" t="str">
        <f t="shared" si="107"/>
        <v>http://www.salisbury.va.gov/contact/phone_directory.asp</v>
      </c>
    </row>
    <row r="2811" ht="14.25" hidden="1" customHeight="1">
      <c r="A2811" s="8" t="s">
        <v>3183</v>
      </c>
      <c r="B2811" s="8" t="s">
        <v>3147</v>
      </c>
      <c r="C2811" s="121" t="str">
        <f t="shared" si="107"/>
        <v>http://www.salisbury.va.gov/contact/phone_directory.asp</v>
      </c>
    </row>
    <row r="2812" ht="14.25" hidden="1" customHeight="1">
      <c r="A2812" s="8" t="s">
        <v>517</v>
      </c>
      <c r="B2812" s="8" t="s">
        <v>3147</v>
      </c>
      <c r="C2812" s="121" t="str">
        <f t="shared" si="107"/>
        <v>http://www.salisbury.va.gov/contact/phone_directory.asp</v>
      </c>
    </row>
    <row r="2813" ht="14.25" hidden="1" customHeight="1">
      <c r="A2813" s="8" t="s">
        <v>3184</v>
      </c>
      <c r="B2813" s="8" t="s">
        <v>3147</v>
      </c>
      <c r="C2813" s="121" t="str">
        <f t="shared" si="107"/>
        <v>http://www.salisbury.va.gov/contact/phone_directory.asp</v>
      </c>
    </row>
    <row r="2814" ht="14.25" hidden="1" customHeight="1">
      <c r="A2814" s="8" t="s">
        <v>3185</v>
      </c>
      <c r="B2814" s="8" t="s">
        <v>3147</v>
      </c>
      <c r="C2814" s="121" t="str">
        <f t="shared" si="107"/>
        <v>http://www.salisbury.va.gov/contact/phone_directory.asp</v>
      </c>
    </row>
    <row r="2815" ht="14.25" hidden="1" customHeight="1">
      <c r="A2815" s="8" t="s">
        <v>3187</v>
      </c>
      <c r="B2815" s="8" t="s">
        <v>3147</v>
      </c>
      <c r="C2815" s="121" t="str">
        <f t="shared" si="107"/>
        <v>http://www.salisbury.va.gov/contact/phone_directory.asp</v>
      </c>
    </row>
    <row r="2816" ht="14.25" hidden="1" customHeight="1">
      <c r="A2816" s="8" t="s">
        <v>3188</v>
      </c>
      <c r="B2816" s="8" t="s">
        <v>3147</v>
      </c>
      <c r="C2816" s="121" t="str">
        <f t="shared" si="107"/>
        <v>http://www.salisbury.va.gov/contact/phone_directory.asp</v>
      </c>
    </row>
    <row r="2817" ht="14.25" hidden="1" customHeight="1">
      <c r="A2817" s="8" t="s">
        <v>3190</v>
      </c>
      <c r="B2817" s="8" t="s">
        <v>3147</v>
      </c>
      <c r="C2817" s="121" t="str">
        <f t="shared" si="107"/>
        <v>http://www.salisbury.va.gov/contact/phone_directory.asp</v>
      </c>
    </row>
    <row r="2818" ht="14.25" hidden="1" customHeight="1">
      <c r="A2818" s="8" t="s">
        <v>3191</v>
      </c>
      <c r="B2818" s="8" t="s">
        <v>3147</v>
      </c>
      <c r="C2818" s="121" t="str">
        <f t="shared" si="107"/>
        <v>http://www.salisbury.va.gov/contact/phone_directory.asp</v>
      </c>
    </row>
    <row r="2819" ht="14.25" hidden="1" customHeight="1">
      <c r="A2819" s="8" t="s">
        <v>538</v>
      </c>
      <c r="B2819" s="8" t="s">
        <v>3147</v>
      </c>
      <c r="C2819" s="121" t="str">
        <f t="shared" si="107"/>
        <v>http://www.salisbury.va.gov/contact/phone_directory.asp</v>
      </c>
    </row>
    <row r="2820" ht="14.25" hidden="1" customHeight="1">
      <c r="A2820" s="8" t="s">
        <v>3193</v>
      </c>
      <c r="B2820" s="8" t="s">
        <v>3147</v>
      </c>
      <c r="C2820" s="121" t="str">
        <f t="shared" si="107"/>
        <v>http://www.salisbury.va.gov/contact/phone_directory.asp</v>
      </c>
    </row>
    <row r="2821" ht="14.25" hidden="1" customHeight="1">
      <c r="A2821" s="8" t="s">
        <v>1644</v>
      </c>
      <c r="B2821" s="8" t="s">
        <v>3147</v>
      </c>
      <c r="C2821" s="121" t="str">
        <f t="shared" si="107"/>
        <v>http://www.salisbury.va.gov/contact/phone_directory.asp</v>
      </c>
    </row>
    <row r="2822" ht="14.25" hidden="1" customHeight="1">
      <c r="A2822" s="8" t="s">
        <v>3195</v>
      </c>
      <c r="B2822" s="8" t="s">
        <v>3147</v>
      </c>
      <c r="C2822" s="121" t="str">
        <f t="shared" si="107"/>
        <v>http://www.salisbury.va.gov/contact/phone_directory.asp</v>
      </c>
    </row>
    <row r="2823" ht="14.25" hidden="1" customHeight="1">
      <c r="A2823" s="8" t="s">
        <v>3196</v>
      </c>
      <c r="B2823" s="8" t="s">
        <v>3147</v>
      </c>
      <c r="C2823" s="121" t="str">
        <f t="shared" si="107"/>
        <v>http://www.salisbury.va.gov/contact/phone_directory.asp</v>
      </c>
    </row>
    <row r="2824" ht="14.25" hidden="1" customHeight="1">
      <c r="A2824" s="8" t="s">
        <v>3197</v>
      </c>
      <c r="B2824" s="8" t="s">
        <v>3147</v>
      </c>
      <c r="C2824" s="121" t="str">
        <f t="shared" si="107"/>
        <v>http://www.salisbury.va.gov/contact/phone_directory.asp</v>
      </c>
    </row>
    <row r="2825" ht="14.25" hidden="1" customHeight="1">
      <c r="A2825" s="8" t="s">
        <v>3198</v>
      </c>
      <c r="B2825" s="8" t="s">
        <v>3147</v>
      </c>
      <c r="C2825" s="121" t="str">
        <f t="shared" si="107"/>
        <v>http://www.salisbury.va.gov/contact/phone_directory.asp</v>
      </c>
    </row>
    <row r="2826" ht="14.25" hidden="1" customHeight="1">
      <c r="A2826" s="8" t="s">
        <v>3200</v>
      </c>
      <c r="B2826" s="8" t="s">
        <v>3147</v>
      </c>
      <c r="C2826" s="121" t="str">
        <f t="shared" si="107"/>
        <v>http://www.salisbury.va.gov/contact/phone_directory.asp</v>
      </c>
    </row>
    <row r="2827" ht="14.25" hidden="1" customHeight="1">
      <c r="A2827" s="8" t="s">
        <v>1138</v>
      </c>
      <c r="B2827" s="8" t="s">
        <v>3147</v>
      </c>
      <c r="C2827" s="121" t="str">
        <f t="shared" si="107"/>
        <v>http://www.salisbury.va.gov/contact/phone_directory.asp</v>
      </c>
    </row>
    <row r="2828" ht="14.25" hidden="1" customHeight="1">
      <c r="A2828" s="8" t="s">
        <v>3201</v>
      </c>
      <c r="B2828" s="8" t="s">
        <v>3147</v>
      </c>
      <c r="C2828" s="121" t="str">
        <f t="shared" si="107"/>
        <v>http://www.salisbury.va.gov/contact/phone_directory.asp</v>
      </c>
    </row>
    <row r="2829" ht="14.25" hidden="1" customHeight="1">
      <c r="A2829" s="8" t="s">
        <v>588</v>
      </c>
      <c r="B2829" s="8" t="s">
        <v>3147</v>
      </c>
      <c r="C2829" s="121" t="str">
        <f t="shared" si="107"/>
        <v>http://www.salisbury.va.gov/contact/phone_directory.asp</v>
      </c>
    </row>
    <row r="2830" ht="14.25" hidden="1" customHeight="1">
      <c r="A2830" s="8" t="s">
        <v>3203</v>
      </c>
      <c r="B2830" s="8" t="s">
        <v>3147</v>
      </c>
      <c r="C2830" s="121" t="str">
        <f t="shared" si="107"/>
        <v>http://www.salisbury.va.gov/contact/phone_directory.asp</v>
      </c>
    </row>
    <row r="2831" ht="14.25" hidden="1" customHeight="1">
      <c r="A2831" s="8" t="s">
        <v>3204</v>
      </c>
      <c r="B2831" s="8" t="s">
        <v>3147</v>
      </c>
      <c r="C2831" s="121" t="str">
        <f t="shared" si="107"/>
        <v>http://www.salisbury.va.gov/contact/phone_directory.asp</v>
      </c>
    </row>
    <row r="2832" ht="14.25" hidden="1" customHeight="1">
      <c r="A2832" s="8" t="s">
        <v>431</v>
      </c>
      <c r="B2832" s="8" t="s">
        <v>3147</v>
      </c>
      <c r="C2832" s="121" t="str">
        <f t="shared" si="107"/>
        <v>http://www.salisbury.va.gov/contact/phone_directory.asp</v>
      </c>
    </row>
    <row r="2833" ht="14.25" hidden="1" customHeight="1">
      <c r="A2833" s="8" t="s">
        <v>2496</v>
      </c>
      <c r="B2833" s="8" t="s">
        <v>3147</v>
      </c>
      <c r="C2833" s="121" t="str">
        <f t="shared" si="107"/>
        <v>http://www.salisbury.va.gov/contact/phone_directory.asp</v>
      </c>
    </row>
    <row r="2834" ht="14.25" hidden="1" customHeight="1">
      <c r="A2834" s="8" t="s">
        <v>3207</v>
      </c>
      <c r="B2834" s="8" t="s">
        <v>3147</v>
      </c>
      <c r="C2834" s="121" t="str">
        <f t="shared" si="107"/>
        <v>http://www.salisbury.va.gov/contact/phone_directory.asp</v>
      </c>
    </row>
    <row r="2835" ht="14.25" hidden="1" customHeight="1">
      <c r="A2835" s="8" t="s">
        <v>437</v>
      </c>
      <c r="B2835" s="8" t="s">
        <v>3147</v>
      </c>
      <c r="C2835" s="121" t="str">
        <f t="shared" si="107"/>
        <v>http://www.salisbury.va.gov/contact/phone_directory.asp</v>
      </c>
    </row>
    <row r="2836" ht="14.25" hidden="1" customHeight="1">
      <c r="A2836" s="8" t="s">
        <v>3209</v>
      </c>
      <c r="B2836" s="8" t="s">
        <v>3147</v>
      </c>
      <c r="C2836" s="121" t="str">
        <f t="shared" si="107"/>
        <v>http://www.salisbury.va.gov/contact/phone_directory.asp</v>
      </c>
    </row>
    <row r="2837" ht="14.25" hidden="1" customHeight="1">
      <c r="A2837" s="8" t="s">
        <v>670</v>
      </c>
      <c r="B2837" s="8" t="s">
        <v>3147</v>
      </c>
      <c r="C2837" s="121" t="str">
        <f t="shared" si="107"/>
        <v>http://www.salisbury.va.gov/contact/phone_directory.asp</v>
      </c>
    </row>
    <row r="2838" ht="14.25" hidden="1" customHeight="1">
      <c r="A2838" s="8" t="s">
        <v>579</v>
      </c>
      <c r="B2838" s="8" t="s">
        <v>3147</v>
      </c>
      <c r="C2838" s="121" t="str">
        <f t="shared" si="107"/>
        <v>http://www.salisbury.va.gov/contact/phone_directory.asp</v>
      </c>
    </row>
    <row r="2839" ht="14.25" hidden="1" customHeight="1">
      <c r="A2839" s="8" t="s">
        <v>3211</v>
      </c>
      <c r="B2839" s="8" t="s">
        <v>3147</v>
      </c>
      <c r="C2839" s="121" t="str">
        <f t="shared" si="107"/>
        <v>http://www.salisbury.va.gov/contact/phone_directory.asp</v>
      </c>
    </row>
    <row r="2840" ht="14.25" hidden="1" customHeight="1">
      <c r="A2840" s="8" t="s">
        <v>3212</v>
      </c>
      <c r="B2840" s="8" t="s">
        <v>3147</v>
      </c>
      <c r="C2840" s="121" t="str">
        <f t="shared" si="107"/>
        <v>http://www.salisbury.va.gov/contact/phone_directory.asp</v>
      </c>
    </row>
    <row r="2841" ht="14.25" hidden="1" customHeight="1">
      <c r="A2841" s="8" t="s">
        <v>3214</v>
      </c>
      <c r="B2841" s="8" t="s">
        <v>3147</v>
      </c>
      <c r="C2841" s="121" t="str">
        <f t="shared" si="107"/>
        <v>http://www.salisbury.va.gov/contact/phone_directory.asp</v>
      </c>
    </row>
    <row r="2842" ht="14.25" hidden="1" customHeight="1">
      <c r="A2842" s="8" t="s">
        <v>3215</v>
      </c>
      <c r="B2842" s="8" t="s">
        <v>3147</v>
      </c>
      <c r="C2842" s="121" t="str">
        <f t="shared" si="107"/>
        <v>http://www.salisbury.va.gov/contact/phone_directory.asp</v>
      </c>
    </row>
    <row r="2843" ht="14.25" hidden="1" customHeight="1">
      <c r="A2843" s="8" t="s">
        <v>3216</v>
      </c>
      <c r="B2843" s="8" t="s">
        <v>3147</v>
      </c>
      <c r="C2843" s="121" t="str">
        <f t="shared" si="107"/>
        <v>http://www.salisbury.va.gov/contact/phone_directory.asp</v>
      </c>
    </row>
    <row r="2844" ht="14.25" hidden="1" customHeight="1">
      <c r="A2844" s="8" t="s">
        <v>2279</v>
      </c>
      <c r="B2844" s="8" t="s">
        <v>3147</v>
      </c>
      <c r="C2844" s="121" t="str">
        <f t="shared" si="107"/>
        <v>http://www.salisbury.va.gov/contact/phone_directory.asp</v>
      </c>
    </row>
    <row r="2845" ht="14.25" hidden="1" customHeight="1">
      <c r="A2845" s="8" t="s">
        <v>1016</v>
      </c>
      <c r="B2845" s="8" t="s">
        <v>3147</v>
      </c>
      <c r="C2845" s="121" t="str">
        <f t="shared" si="107"/>
        <v>http://www.salisbury.va.gov/contact/phone_directory.asp</v>
      </c>
    </row>
    <row r="2846" ht="14.25" hidden="1" customHeight="1">
      <c r="A2846" s="8" t="s">
        <v>3218</v>
      </c>
      <c r="B2846" s="8" t="s">
        <v>3147</v>
      </c>
      <c r="C2846" s="121" t="str">
        <f t="shared" si="107"/>
        <v>http://www.salisbury.va.gov/contact/phone_directory.asp</v>
      </c>
    </row>
    <row r="2847" ht="14.25" hidden="1" customHeight="1">
      <c r="A2847" s="8" t="s">
        <v>3219</v>
      </c>
      <c r="B2847" s="8" t="s">
        <v>3147</v>
      </c>
      <c r="C2847" s="121" t="str">
        <f t="shared" si="107"/>
        <v>http://www.salisbury.va.gov/contact/phone_directory.asp</v>
      </c>
    </row>
    <row r="2848" ht="14.25" hidden="1" customHeight="1">
      <c r="A2848" s="8" t="s">
        <v>324</v>
      </c>
      <c r="B2848" s="8" t="s">
        <v>3147</v>
      </c>
      <c r="C2848" s="121" t="str">
        <f t="shared" si="107"/>
        <v>http://www.salisbury.va.gov/contact/phone_directory.asp</v>
      </c>
    </row>
    <row r="2849" ht="14.25" hidden="1" customHeight="1">
      <c r="A2849" s="8" t="s">
        <v>326</v>
      </c>
      <c r="B2849" s="8" t="s">
        <v>3147</v>
      </c>
      <c r="C2849" s="121" t="str">
        <f t="shared" si="107"/>
        <v>http://www.salisbury.va.gov/contact/phone_directory.asp</v>
      </c>
    </row>
    <row r="2850" ht="14.25" hidden="1" customHeight="1">
      <c r="A2850" s="8" t="s">
        <v>494</v>
      </c>
      <c r="B2850" s="8" t="s">
        <v>3147</v>
      </c>
      <c r="C2850" s="121" t="str">
        <f t="shared" si="107"/>
        <v>http://www.salisbury.va.gov/contact/phone_directory.asp</v>
      </c>
    </row>
    <row r="2851" ht="14.25" hidden="1" customHeight="1">
      <c r="A2851" s="8" t="s">
        <v>3221</v>
      </c>
      <c r="B2851" s="8" t="s">
        <v>3147</v>
      </c>
      <c r="C2851" s="121" t="str">
        <f t="shared" si="107"/>
        <v>http://www.salisbury.va.gov/contact/phone_directory.asp</v>
      </c>
    </row>
    <row r="2852" ht="14.25" hidden="1" customHeight="1">
      <c r="A2852" s="8" t="s">
        <v>3223</v>
      </c>
      <c r="B2852" s="8" t="s">
        <v>3147</v>
      </c>
      <c r="C2852" s="121" t="str">
        <f t="shared" si="107"/>
        <v>http://www.salisbury.va.gov/contact/phone_directory.asp</v>
      </c>
    </row>
    <row r="2853" ht="14.25" hidden="1" customHeight="1">
      <c r="A2853" s="8" t="s">
        <v>3224</v>
      </c>
      <c r="B2853" s="8" t="s">
        <v>3147</v>
      </c>
      <c r="C2853" s="121" t="str">
        <f t="shared" si="107"/>
        <v>http://www.salisbury.va.gov/contact/phone_directory.asp</v>
      </c>
    </row>
    <row r="2854" ht="14.25" hidden="1" customHeight="1">
      <c r="A2854" s="8" t="s">
        <v>3225</v>
      </c>
      <c r="B2854" s="8" t="s">
        <v>3147</v>
      </c>
      <c r="C2854" s="121" t="str">
        <f t="shared" si="107"/>
        <v>http://www.salisbury.va.gov/contact/phone_directory.asp</v>
      </c>
    </row>
    <row r="2855" ht="14.25" hidden="1" customHeight="1">
      <c r="A2855" s="8" t="s">
        <v>3226</v>
      </c>
      <c r="B2855" s="8" t="s">
        <v>3147</v>
      </c>
      <c r="C2855" s="121" t="str">
        <f t="shared" si="107"/>
        <v>http://www.salisbury.va.gov/contact/phone_directory.asp</v>
      </c>
    </row>
    <row r="2856" ht="14.25" hidden="1" customHeight="1">
      <c r="A2856" s="8" t="s">
        <v>3228</v>
      </c>
      <c r="B2856" s="8" t="s">
        <v>3147</v>
      </c>
      <c r="C2856" s="121" t="str">
        <f t="shared" si="107"/>
        <v>http://www.salisbury.va.gov/contact/phone_directory.asp</v>
      </c>
    </row>
    <row r="2857" ht="14.25" hidden="1" customHeight="1">
      <c r="A2857" s="8" t="s">
        <v>3229</v>
      </c>
      <c r="B2857" s="8" t="s">
        <v>3147</v>
      </c>
      <c r="C2857" s="121" t="str">
        <f t="shared" si="107"/>
        <v>http://www.salisbury.va.gov/contact/phone_directory.asp</v>
      </c>
    </row>
    <row r="2858" ht="14.25" hidden="1" customHeight="1">
      <c r="A2858" s="8" t="s">
        <v>3230</v>
      </c>
      <c r="B2858" s="8" t="s">
        <v>3147</v>
      </c>
      <c r="C2858" s="121" t="str">
        <f t="shared" si="107"/>
        <v>http://www.salisbury.va.gov/contact/phone_directory.asp</v>
      </c>
    </row>
    <row r="2859" ht="14.25" hidden="1" customHeight="1">
      <c r="A2859" s="8" t="s">
        <v>3232</v>
      </c>
      <c r="B2859" s="8" t="s">
        <v>3147</v>
      </c>
      <c r="C2859" s="121" t="str">
        <f t="shared" si="107"/>
        <v>http://www.salisbury.va.gov/contact/phone_directory.asp</v>
      </c>
    </row>
    <row r="2860" ht="14.25" hidden="1" customHeight="1">
      <c r="A2860" s="8" t="s">
        <v>3233</v>
      </c>
      <c r="B2860" s="8" t="s">
        <v>3147</v>
      </c>
      <c r="C2860" s="121" t="str">
        <f t="shared" si="107"/>
        <v>http://www.salisbury.va.gov/contact/phone_directory.asp</v>
      </c>
    </row>
    <row r="2861" ht="14.25" hidden="1" customHeight="1">
      <c r="A2861" s="8" t="s">
        <v>3234</v>
      </c>
      <c r="B2861" s="8" t="s">
        <v>3147</v>
      </c>
      <c r="C2861" s="121" t="str">
        <f t="shared" si="107"/>
        <v>http://www.salisbury.va.gov/contact/phone_directory.asp</v>
      </c>
    </row>
    <row r="2862" ht="14.25" hidden="1" customHeight="1">
      <c r="A2862" s="8" t="s">
        <v>761</v>
      </c>
      <c r="B2862" s="8" t="s">
        <v>3147</v>
      </c>
      <c r="C2862" s="121" t="str">
        <f t="shared" si="107"/>
        <v>http://www.salisbury.va.gov/contact/phone_directory.asp</v>
      </c>
    </row>
    <row r="2863" ht="14.25" hidden="1" customHeight="1">
      <c r="A2863" s="8" t="s">
        <v>3235</v>
      </c>
      <c r="B2863" s="8" t="s">
        <v>3147</v>
      </c>
      <c r="C2863" s="121" t="str">
        <f t="shared" si="107"/>
        <v>http://www.salisbury.va.gov/contact/phone_directory.asp</v>
      </c>
    </row>
    <row r="2864" ht="14.25" hidden="1" customHeight="1">
      <c r="A2864" s="8" t="s">
        <v>3236</v>
      </c>
      <c r="B2864" s="8" t="s">
        <v>3147</v>
      </c>
      <c r="C2864" s="121" t="str">
        <f t="shared" si="107"/>
        <v>http://www.salisbury.va.gov/contact/phone_directory.asp</v>
      </c>
    </row>
    <row r="2865" ht="14.25" hidden="1" customHeight="1">
      <c r="A2865" s="8" t="s">
        <v>3238</v>
      </c>
      <c r="B2865" s="8" t="s">
        <v>3147</v>
      </c>
      <c r="C2865" s="121" t="str">
        <f t="shared" si="107"/>
        <v>http://www.salisbury.va.gov/contact/phone_directory.asp</v>
      </c>
    </row>
    <row r="2866" ht="14.25" hidden="1" customHeight="1">
      <c r="A2866" s="8" t="s">
        <v>3239</v>
      </c>
      <c r="B2866" s="8" t="s">
        <v>3147</v>
      </c>
      <c r="C2866" s="121" t="str">
        <f t="shared" si="107"/>
        <v>http://www.salisbury.va.gov/contact/phone_directory.asp</v>
      </c>
    </row>
    <row r="2867" ht="14.25" hidden="1" customHeight="1">
      <c r="A2867" s="8" t="s">
        <v>3111</v>
      </c>
      <c r="B2867" s="8" t="s">
        <v>3147</v>
      </c>
      <c r="C2867" s="121" t="str">
        <f t="shared" si="107"/>
        <v>http://www.salisbury.va.gov/contact/phone_directory.asp</v>
      </c>
    </row>
    <row r="2868" ht="14.25" hidden="1" customHeight="1">
      <c r="A2868" s="8" t="s">
        <v>3240</v>
      </c>
      <c r="B2868" s="8" t="s">
        <v>3147</v>
      </c>
      <c r="C2868" s="121" t="str">
        <f t="shared" si="107"/>
        <v>http://www.salisbury.va.gov/contact/phone_directory.asp</v>
      </c>
    </row>
    <row r="2869" ht="14.25" hidden="1" customHeight="1">
      <c r="A2869" s="8" t="s">
        <v>3241</v>
      </c>
      <c r="B2869" s="8" t="s">
        <v>3147</v>
      </c>
      <c r="C2869" s="121" t="str">
        <f t="shared" si="107"/>
        <v>http://www.salisbury.va.gov/contact/phone_directory.asp</v>
      </c>
    </row>
    <row r="2870" ht="14.25" hidden="1" customHeight="1">
      <c r="A2870" s="8" t="s">
        <v>3242</v>
      </c>
      <c r="B2870" s="8" t="s">
        <v>3147</v>
      </c>
      <c r="C2870" s="121" t="str">
        <f t="shared" si="107"/>
        <v>http://www.salisbury.va.gov/contact/phone_directory.asp</v>
      </c>
    </row>
    <row r="2871" ht="14.25" hidden="1" customHeight="1">
      <c r="A2871" s="8" t="s">
        <v>3243</v>
      </c>
      <c r="B2871" s="8" t="s">
        <v>3147</v>
      </c>
      <c r="C2871" s="121" t="str">
        <f t="shared" si="107"/>
        <v>http://www.salisbury.va.gov/contact/phone_directory.asp</v>
      </c>
    </row>
    <row r="2872" ht="14.25" hidden="1" customHeight="1">
      <c r="A2872" s="8" t="s">
        <v>2775</v>
      </c>
      <c r="B2872" s="8" t="s">
        <v>3147</v>
      </c>
      <c r="C2872" s="121" t="str">
        <f t="shared" si="107"/>
        <v>http://www.salisbury.va.gov/contact/phone_directory.asp</v>
      </c>
    </row>
    <row r="2873" ht="14.25" hidden="1" customHeight="1">
      <c r="A2873" s="8" t="s">
        <v>697</v>
      </c>
      <c r="B2873" s="8" t="s">
        <v>3147</v>
      </c>
      <c r="C2873" s="121" t="str">
        <f t="shared" si="107"/>
        <v>http://www.salisbury.va.gov/contact/phone_directory.asp</v>
      </c>
    </row>
    <row r="2874" ht="14.25" hidden="1" customHeight="1">
      <c r="A2874" s="8" t="s">
        <v>3245</v>
      </c>
      <c r="B2874" s="8" t="s">
        <v>3147</v>
      </c>
      <c r="C2874" s="121" t="str">
        <f t="shared" si="107"/>
        <v>http://www.salisbury.va.gov/contact/phone_directory.asp</v>
      </c>
    </row>
    <row r="2875" ht="14.25" hidden="1" customHeight="1">
      <c r="A2875" s="8" t="s">
        <v>343</v>
      </c>
      <c r="B2875" s="8" t="s">
        <v>3147</v>
      </c>
      <c r="C2875" s="121" t="str">
        <f t="shared" si="107"/>
        <v>http://www.salisbury.va.gov/contact/phone_directory.asp</v>
      </c>
    </row>
    <row r="2876" ht="14.25" hidden="1" customHeight="1">
      <c r="A2876" s="8" t="s">
        <v>450</v>
      </c>
      <c r="B2876" s="8" t="s">
        <v>3147</v>
      </c>
      <c r="C2876" s="121" t="str">
        <f t="shared" si="107"/>
        <v>http://www.salisbury.va.gov/contact/phone_directory.asp</v>
      </c>
    </row>
    <row r="2877" ht="14.25" hidden="1" customHeight="1">
      <c r="A2877" s="8" t="s">
        <v>1960</v>
      </c>
      <c r="B2877" s="8" t="s">
        <v>3147</v>
      </c>
      <c r="C2877" s="121" t="str">
        <f t="shared" si="107"/>
        <v>http://www.salisbury.va.gov/contact/phone_directory.asp</v>
      </c>
    </row>
    <row r="2878" ht="14.25" hidden="1" customHeight="1">
      <c r="A2878" s="8" t="s">
        <v>3248</v>
      </c>
      <c r="B2878" s="8" t="s">
        <v>3147</v>
      </c>
      <c r="C2878" s="121" t="str">
        <f t="shared" si="107"/>
        <v>http://www.salisbury.va.gov/contact/phone_directory.asp</v>
      </c>
    </row>
    <row r="2879" ht="14.25" hidden="1" customHeight="1">
      <c r="A2879" s="8" t="s">
        <v>3249</v>
      </c>
      <c r="B2879" s="8" t="s">
        <v>3147</v>
      </c>
      <c r="C2879" s="121" t="str">
        <f t="shared" si="107"/>
        <v>http://www.salisbury.va.gov/contact/phone_directory.asp</v>
      </c>
    </row>
    <row r="2880" ht="14.25" hidden="1" customHeight="1">
      <c r="A2880" s="8" t="s">
        <v>3251</v>
      </c>
      <c r="B2880" s="8" t="s">
        <v>3147</v>
      </c>
      <c r="C2880" s="121" t="str">
        <f t="shared" si="107"/>
        <v>http://www.salisbury.va.gov/contact/phone_directory.asp</v>
      </c>
    </row>
    <row r="2881" ht="14.25" hidden="1" customHeight="1">
      <c r="A2881" s="8" t="s">
        <v>3252</v>
      </c>
      <c r="B2881" s="8" t="s">
        <v>3147</v>
      </c>
      <c r="C2881" s="121" t="str">
        <f t="shared" si="107"/>
        <v>http://www.salisbury.va.gov/contact/phone_directory.asp</v>
      </c>
    </row>
    <row r="2882" ht="14.25" hidden="1" customHeight="1">
      <c r="A2882" s="8" t="s">
        <v>3253</v>
      </c>
      <c r="B2882" s="8" t="s">
        <v>3147</v>
      </c>
      <c r="C2882" s="121" t="str">
        <f t="shared" si="107"/>
        <v>http://www.salisbury.va.gov/contact/phone_directory.asp</v>
      </c>
    </row>
    <row r="2883" ht="14.25" hidden="1" customHeight="1">
      <c r="A2883" s="8" t="s">
        <v>963</v>
      </c>
      <c r="B2883" s="8" t="s">
        <v>3147</v>
      </c>
      <c r="C2883" s="121" t="str">
        <f t="shared" si="107"/>
        <v>http://www.salisbury.va.gov/contact/phone_directory.asp</v>
      </c>
    </row>
    <row r="2884" ht="14.25" hidden="1" customHeight="1">
      <c r="A2884" s="8" t="s">
        <v>3255</v>
      </c>
      <c r="B2884" s="8" t="s">
        <v>3147</v>
      </c>
      <c r="C2884" s="121" t="str">
        <f t="shared" si="107"/>
        <v>http://www.salisbury.va.gov/contact/phone_directory.asp</v>
      </c>
    </row>
    <row r="2885" ht="14.25" hidden="1" customHeight="1">
      <c r="A2885" s="8" t="s">
        <v>3256</v>
      </c>
      <c r="B2885" s="8" t="s">
        <v>3147</v>
      </c>
      <c r="C2885" s="121" t="str">
        <f t="shared" si="107"/>
        <v>http://www.salisbury.va.gov/contact/phone_directory.asp</v>
      </c>
    </row>
    <row r="2886" ht="14.25" hidden="1" customHeight="1">
      <c r="A2886" s="8" t="s">
        <v>1661</v>
      </c>
      <c r="B2886" s="8" t="s">
        <v>3147</v>
      </c>
      <c r="C2886" s="121" t="str">
        <f t="shared" si="107"/>
        <v>http://www.salisbury.va.gov/contact/phone_directory.asp</v>
      </c>
    </row>
    <row r="2887" ht="14.25" hidden="1" customHeight="1">
      <c r="A2887" s="8" t="s">
        <v>504</v>
      </c>
      <c r="B2887" s="8" t="s">
        <v>3147</v>
      </c>
      <c r="C2887" s="121" t="str">
        <f t="shared" si="107"/>
        <v>http://www.salisbury.va.gov/contact/phone_directory.asp</v>
      </c>
    </row>
    <row r="2888" ht="14.25" hidden="1" customHeight="1">
      <c r="A2888" s="8" t="s">
        <v>3258</v>
      </c>
      <c r="B2888" s="8" t="s">
        <v>3147</v>
      </c>
      <c r="C2888" s="121" t="str">
        <f t="shared" si="107"/>
        <v>http://www.salisbury.va.gov/contact/phone_directory.asp</v>
      </c>
    </row>
    <row r="2889" ht="14.25" hidden="1" customHeight="1">
      <c r="A2889" s="8" t="s">
        <v>3259</v>
      </c>
      <c r="B2889" s="8" t="s">
        <v>3147</v>
      </c>
      <c r="C2889" s="121" t="str">
        <f t="shared" si="107"/>
        <v>http://www.salisbury.va.gov/contact/phone_directory.asp</v>
      </c>
    </row>
    <row r="2890" ht="14.25" hidden="1" customHeight="1">
      <c r="A2890" s="8" t="s">
        <v>1207</v>
      </c>
      <c r="B2890" s="8" t="s">
        <v>3147</v>
      </c>
      <c r="C2890" s="121" t="str">
        <f t="shared" si="107"/>
        <v>http://www.salisbury.va.gov/contact/phone_directory.asp</v>
      </c>
    </row>
    <row r="2891" ht="14.25" hidden="1" customHeight="1">
      <c r="A2891" s="8" t="s">
        <v>3261</v>
      </c>
      <c r="B2891" s="8" t="s">
        <v>3147</v>
      </c>
      <c r="C2891" s="121" t="str">
        <f t="shared" si="107"/>
        <v>http://www.salisbury.va.gov/contact/phone_directory.asp</v>
      </c>
    </row>
    <row r="2892" ht="14.25" hidden="1" customHeight="1">
      <c r="A2892" s="8" t="s">
        <v>3262</v>
      </c>
      <c r="B2892" s="8" t="s">
        <v>3147</v>
      </c>
      <c r="C2892" s="121" t="str">
        <f t="shared" si="107"/>
        <v>http://www.salisbury.va.gov/contact/phone_directory.asp</v>
      </c>
    </row>
    <row r="2893" ht="14.25" hidden="1" customHeight="1">
      <c r="A2893" s="8" t="s">
        <v>3263</v>
      </c>
      <c r="B2893" s="8" t="s">
        <v>3147</v>
      </c>
      <c r="C2893" s="121" t="str">
        <f t="shared" si="107"/>
        <v>http://www.salisbury.va.gov/contact/phone_directory.asp</v>
      </c>
    </row>
    <row r="2894" ht="14.25" hidden="1" customHeight="1">
      <c r="A2894" s="8" t="s">
        <v>3265</v>
      </c>
      <c r="B2894" s="8" t="s">
        <v>3147</v>
      </c>
      <c r="C2894" s="121" t="str">
        <f t="shared" si="107"/>
        <v>http://www.salisbury.va.gov/contact/phone_directory.asp</v>
      </c>
    </row>
    <row r="2895" ht="14.25" hidden="1" customHeight="1">
      <c r="A2895" s="8" t="s">
        <v>3266</v>
      </c>
      <c r="B2895" s="8" t="s">
        <v>3147</v>
      </c>
      <c r="C2895" s="121" t="str">
        <f t="shared" si="107"/>
        <v>http://www.salisbury.va.gov/contact/phone_directory.asp</v>
      </c>
    </row>
    <row r="2896" ht="14.25" hidden="1" customHeight="1">
      <c r="A2896" s="8" t="s">
        <v>3268</v>
      </c>
      <c r="B2896" s="8" t="s">
        <v>3147</v>
      </c>
      <c r="C2896" s="121" t="str">
        <f t="shared" si="107"/>
        <v>http://www.salisbury.va.gov/contact/phone_directory.asp</v>
      </c>
    </row>
    <row r="2897" ht="14.25" hidden="1" customHeight="1">
      <c r="A2897" s="8" t="s">
        <v>349</v>
      </c>
      <c r="B2897" s="8" t="s">
        <v>3147</v>
      </c>
      <c r="C2897" s="121" t="str">
        <f t="shared" si="107"/>
        <v>http://www.salisbury.va.gov/contact/phone_directory.asp</v>
      </c>
    </row>
    <row r="2898" ht="14.25" hidden="1" customHeight="1">
      <c r="A2898" s="8" t="s">
        <v>1054</v>
      </c>
      <c r="B2898" s="8" t="s">
        <v>3147</v>
      </c>
      <c r="C2898" s="121" t="str">
        <f t="shared" si="107"/>
        <v>http://www.salisbury.va.gov/contact/phone_directory.asp</v>
      </c>
    </row>
    <row r="2899" ht="14.25" hidden="1" customHeight="1">
      <c r="A2899" s="8" t="s">
        <v>1171</v>
      </c>
      <c r="B2899" s="8" t="s">
        <v>3147</v>
      </c>
      <c r="C2899" s="121" t="str">
        <f t="shared" si="107"/>
        <v>http://www.salisbury.va.gov/contact/phone_directory.asp</v>
      </c>
    </row>
    <row r="2900" ht="14.25" hidden="1" customHeight="1">
      <c r="A2900" s="8" t="s">
        <v>3270</v>
      </c>
      <c r="B2900" s="8" t="s">
        <v>3147</v>
      </c>
      <c r="C2900" s="121" t="str">
        <f t="shared" si="107"/>
        <v>http://www.salisbury.va.gov/contact/phone_directory.asp</v>
      </c>
    </row>
    <row r="2901" ht="14.25" hidden="1" customHeight="1">
      <c r="A2901" s="8" t="s">
        <v>3271</v>
      </c>
      <c r="B2901" s="8" t="s">
        <v>3147</v>
      </c>
      <c r="C2901" s="121" t="str">
        <f t="shared" si="107"/>
        <v>http://www.salisbury.va.gov/contact/phone_directory.asp</v>
      </c>
    </row>
    <row r="2902" ht="14.25" hidden="1" customHeight="1">
      <c r="A2902" s="8" t="s">
        <v>712</v>
      </c>
      <c r="B2902" s="8" t="s">
        <v>3147</v>
      </c>
      <c r="C2902" s="121" t="str">
        <f t="shared" si="107"/>
        <v>http://www.salisbury.va.gov/contact/phone_directory.asp</v>
      </c>
    </row>
    <row r="2903" ht="14.25" hidden="1" customHeight="1">
      <c r="A2903" s="8" t="s">
        <v>3273</v>
      </c>
      <c r="B2903" s="8" t="s">
        <v>3147</v>
      </c>
      <c r="C2903" s="121" t="str">
        <f t="shared" si="107"/>
        <v>http://www.salisbury.va.gov/contact/phone_directory.asp</v>
      </c>
    </row>
    <row r="2904" ht="14.25" hidden="1" customHeight="1">
      <c r="A2904" s="8" t="s">
        <v>925</v>
      </c>
      <c r="B2904" s="8" t="s">
        <v>3147</v>
      </c>
      <c r="C2904" s="121" t="str">
        <f t="shared" si="107"/>
        <v>http://www.salisbury.va.gov/contact/phone_directory.asp</v>
      </c>
    </row>
    <row r="2905" ht="14.25" hidden="1" customHeight="1">
      <c r="A2905" s="8" t="s">
        <v>364</v>
      </c>
      <c r="B2905" s="8" t="s">
        <v>3147</v>
      </c>
      <c r="C2905" s="121" t="str">
        <f t="shared" si="107"/>
        <v>http://www.salisbury.va.gov/contact/phone_directory.asp</v>
      </c>
    </row>
    <row r="2906" ht="14.25" hidden="1" customHeight="1">
      <c r="A2906" s="8" t="s">
        <v>3275</v>
      </c>
      <c r="B2906" s="8" t="s">
        <v>3147</v>
      </c>
      <c r="C2906" s="121" t="str">
        <f t="shared" si="107"/>
        <v>http://www.salisbury.va.gov/contact/phone_directory.asp</v>
      </c>
    </row>
    <row r="2907" ht="14.25" hidden="1" customHeight="1">
      <c r="A2907" s="8" t="s">
        <v>1232</v>
      </c>
      <c r="B2907" s="8" t="s">
        <v>3147</v>
      </c>
      <c r="C2907" s="121" t="str">
        <f t="shared" si="107"/>
        <v>http://www.salisbury.va.gov/contact/phone_directory.asp</v>
      </c>
    </row>
    <row r="2908" ht="14.25" hidden="1" customHeight="1">
      <c r="A2908" s="8" t="s">
        <v>722</v>
      </c>
      <c r="B2908" s="8" t="s">
        <v>3147</v>
      </c>
      <c r="C2908" s="121" t="str">
        <f t="shared" si="107"/>
        <v>http://www.salisbury.va.gov/contact/phone_directory.asp</v>
      </c>
    </row>
    <row r="2909" ht="14.25" hidden="1" customHeight="1">
      <c r="A2909" s="8" t="s">
        <v>3278</v>
      </c>
      <c r="B2909" s="8" t="s">
        <v>3147</v>
      </c>
      <c r="C2909" s="121" t="str">
        <f t="shared" si="107"/>
        <v>http://www.salisbury.va.gov/contact/phone_directory.asp</v>
      </c>
    </row>
    <row r="2910" ht="14.25" hidden="1" customHeight="1">
      <c r="A2910" s="8" t="s">
        <v>3279</v>
      </c>
      <c r="B2910" s="8" t="s">
        <v>3147</v>
      </c>
      <c r="C2910" s="121" t="str">
        <f t="shared" si="107"/>
        <v>http://www.salisbury.va.gov/contact/phone_directory.asp</v>
      </c>
    </row>
    <row r="2911" ht="14.25" hidden="1" customHeight="1">
      <c r="A2911" s="8" t="s">
        <v>3280</v>
      </c>
      <c r="B2911" s="8" t="s">
        <v>3147</v>
      </c>
      <c r="C2911" s="121" t="str">
        <f t="shared" si="107"/>
        <v>http://www.salisbury.va.gov/contact/phone_directory.asp</v>
      </c>
    </row>
    <row r="2912" ht="14.25" hidden="1" customHeight="1">
      <c r="A2912" s="8" t="s">
        <v>3282</v>
      </c>
      <c r="B2912" s="8" t="s">
        <v>3147</v>
      </c>
      <c r="C2912" s="121" t="str">
        <f t="shared" si="107"/>
        <v>http://www.salisbury.va.gov/contact/phone_directory.asp</v>
      </c>
    </row>
    <row r="2913" ht="14.25" hidden="1" customHeight="1">
      <c r="A2913" s="8" t="s">
        <v>3283</v>
      </c>
      <c r="B2913" s="8" t="s">
        <v>3147</v>
      </c>
      <c r="C2913" s="121" t="str">
        <f t="shared" si="107"/>
        <v>http://www.salisbury.va.gov/contact/phone_directory.asp</v>
      </c>
    </row>
    <row r="2914" ht="14.25" hidden="1" customHeight="1">
      <c r="A2914" s="8" t="s">
        <v>3284</v>
      </c>
      <c r="B2914" s="8" t="s">
        <v>3147</v>
      </c>
      <c r="C2914" s="121" t="str">
        <f t="shared" si="107"/>
        <v>http://www.salisbury.va.gov/contact/phone_directory.asp</v>
      </c>
    </row>
    <row r="2915" ht="14.25" hidden="1" customHeight="1">
      <c r="A2915" s="8" t="s">
        <v>3285</v>
      </c>
      <c r="B2915" s="8" t="s">
        <v>3147</v>
      </c>
      <c r="C2915" s="121" t="str">
        <f t="shared" si="107"/>
        <v>http://www.salisbury.va.gov/contact/phone_directory.asp</v>
      </c>
    </row>
    <row r="2916" ht="14.25" hidden="1" customHeight="1">
      <c r="A2916" s="8" t="s">
        <v>724</v>
      </c>
      <c r="B2916" s="8" t="s">
        <v>3147</v>
      </c>
      <c r="C2916" s="121" t="str">
        <f t="shared" si="107"/>
        <v>http://www.salisbury.va.gov/contact/phone_directory.asp</v>
      </c>
    </row>
    <row r="2917" ht="14.25" hidden="1" customHeight="1">
      <c r="A2917" s="8" t="s">
        <v>3287</v>
      </c>
      <c r="B2917" s="8" t="s">
        <v>3147</v>
      </c>
      <c r="C2917" s="121" t="str">
        <f t="shared" si="107"/>
        <v>http://www.salisbury.va.gov/contact/phone_directory.asp</v>
      </c>
    </row>
    <row r="2918" ht="14.25" hidden="1" customHeight="1">
      <c r="A2918" s="8" t="s">
        <v>935</v>
      </c>
      <c r="B2918" s="8" t="s">
        <v>3147</v>
      </c>
      <c r="C2918" s="121" t="str">
        <f t="shared" si="107"/>
        <v>http://www.salisbury.va.gov/contact/phone_directory.asp</v>
      </c>
    </row>
    <row r="2919" ht="14.25" hidden="1" customHeight="1">
      <c r="A2919" s="8" t="s">
        <v>3288</v>
      </c>
      <c r="B2919" s="8" t="s">
        <v>3147</v>
      </c>
      <c r="C2919" s="121" t="str">
        <f t="shared" si="107"/>
        <v>http://www.salisbury.va.gov/contact/phone_directory.asp</v>
      </c>
    </row>
    <row r="2920" ht="14.25" hidden="1" customHeight="1">
      <c r="A2920" s="8" t="s">
        <v>3289</v>
      </c>
      <c r="B2920" s="8" t="s">
        <v>3147</v>
      </c>
      <c r="C2920" s="121" t="str">
        <f t="shared" si="107"/>
        <v>http://www.salisbury.va.gov/contact/phone_directory.asp</v>
      </c>
    </row>
    <row r="2921" ht="14.25" hidden="1" customHeight="1">
      <c r="A2921" s="8" t="s">
        <v>3291</v>
      </c>
      <c r="B2921" s="8" t="s">
        <v>3147</v>
      </c>
      <c r="C2921" s="121" t="str">
        <f t="shared" si="107"/>
        <v>http://www.salisbury.va.gov/contact/phone_directory.asp</v>
      </c>
    </row>
    <row r="2922" ht="14.25" hidden="1" customHeight="1">
      <c r="A2922" s="8" t="s">
        <v>3292</v>
      </c>
      <c r="B2922" s="8" t="s">
        <v>3147</v>
      </c>
      <c r="C2922" s="121" t="str">
        <f t="shared" si="107"/>
        <v>http://www.salisbury.va.gov/contact/phone_directory.asp</v>
      </c>
    </row>
    <row r="2923" ht="14.25" hidden="1" customHeight="1">
      <c r="A2923" s="8" t="s">
        <v>3293</v>
      </c>
      <c r="B2923" s="8" t="s">
        <v>3147</v>
      </c>
      <c r="C2923" s="121" t="str">
        <f t="shared" si="107"/>
        <v>http://www.salisbury.va.gov/contact/phone_directory.asp</v>
      </c>
    </row>
    <row r="2924" ht="14.25" hidden="1" customHeight="1">
      <c r="A2924" s="8" t="s">
        <v>3294</v>
      </c>
      <c r="B2924" s="8" t="s">
        <v>3147</v>
      </c>
      <c r="C2924" s="121" t="str">
        <f t="shared" si="107"/>
        <v>http://www.salisbury.va.gov/contact/phone_directory.asp</v>
      </c>
    </row>
    <row r="2925" ht="14.25" hidden="1" customHeight="1">
      <c r="A2925" s="8" t="s">
        <v>569</v>
      </c>
      <c r="B2925" s="8" t="s">
        <v>3147</v>
      </c>
      <c r="C2925" s="121" t="str">
        <f t="shared" si="107"/>
        <v>http://www.salisbury.va.gov/contact/phone_directory.asp</v>
      </c>
    </row>
    <row r="2926" ht="14.25" hidden="1" customHeight="1">
      <c r="A2926" s="8" t="s">
        <v>3295</v>
      </c>
      <c r="B2926" s="8" t="s">
        <v>3147</v>
      </c>
      <c r="C2926" s="121" t="str">
        <f t="shared" si="107"/>
        <v>http://www.salisbury.va.gov/contact/phone_directory.asp</v>
      </c>
    </row>
    <row r="2927" ht="14.25" hidden="1" customHeight="1">
      <c r="A2927" s="8" t="s">
        <v>3296</v>
      </c>
      <c r="B2927" s="8" t="s">
        <v>3147</v>
      </c>
      <c r="C2927" s="121" t="str">
        <f t="shared" si="107"/>
        <v>http://www.salisbury.va.gov/contact/phone_directory.asp</v>
      </c>
    </row>
    <row r="2928" ht="14.25" hidden="1" customHeight="1">
      <c r="A2928" s="8" t="s">
        <v>3297</v>
      </c>
      <c r="B2928" s="8" t="s">
        <v>3147</v>
      </c>
      <c r="C2928" s="121" t="str">
        <f t="shared" si="107"/>
        <v>http://www.salisbury.va.gov/contact/phone_directory.asp</v>
      </c>
    </row>
    <row r="2929" ht="14.25" hidden="1" customHeight="1">
      <c r="A2929" s="8" t="s">
        <v>3298</v>
      </c>
      <c r="B2929" s="8" t="s">
        <v>3147</v>
      </c>
      <c r="C2929" s="121" t="str">
        <f t="shared" si="107"/>
        <v>http://www.salisbury.va.gov/contact/phone_directory.asp</v>
      </c>
    </row>
    <row r="2930" ht="14.25" hidden="1" customHeight="1">
      <c r="A2930" s="8" t="s">
        <v>3299</v>
      </c>
      <c r="B2930" s="8" t="s">
        <v>3147</v>
      </c>
      <c r="C2930" s="121" t="str">
        <f t="shared" si="107"/>
        <v>http://www.salisbury.va.gov/contact/phone_directory.asp</v>
      </c>
    </row>
    <row r="2931" ht="14.25" hidden="1" customHeight="1">
      <c r="A2931" s="8" t="s">
        <v>518</v>
      </c>
      <c r="B2931" s="8" t="s">
        <v>3147</v>
      </c>
      <c r="C2931" s="121" t="str">
        <f t="shared" si="107"/>
        <v>http://www.salisbury.va.gov/contact/phone_directory.asp</v>
      </c>
    </row>
    <row r="2932" ht="14.25" hidden="1" customHeight="1">
      <c r="A2932" s="8" t="s">
        <v>3301</v>
      </c>
      <c r="B2932" s="8" t="s">
        <v>3302</v>
      </c>
      <c r="C2932" s="121" t="str">
        <f t="shared" ref="C2932:C2954" si="108">HYPERLINK("http://www.saltlakecity.va.gov/contact/phone_directory.asp")</f>
        <v>http://www.saltlakecity.va.gov/contact/phone_directory.asp</v>
      </c>
    </row>
    <row r="2933" ht="14.25" hidden="1" customHeight="1">
      <c r="A2933" s="8" t="s">
        <v>624</v>
      </c>
      <c r="B2933" s="8" t="s">
        <v>3302</v>
      </c>
      <c r="C2933" s="121" t="str">
        <f t="shared" si="108"/>
        <v>http://www.saltlakecity.va.gov/contact/phone_directory.asp</v>
      </c>
    </row>
    <row r="2934" ht="14.25" hidden="1" customHeight="1">
      <c r="A2934" s="8" t="s">
        <v>639</v>
      </c>
      <c r="B2934" s="8" t="s">
        <v>3302</v>
      </c>
      <c r="C2934" s="121" t="str">
        <f t="shared" si="108"/>
        <v>http://www.saltlakecity.va.gov/contact/phone_directory.asp</v>
      </c>
    </row>
    <row r="2935" ht="14.25" hidden="1" customHeight="1">
      <c r="A2935" s="8" t="s">
        <v>1532</v>
      </c>
      <c r="B2935" s="8" t="s">
        <v>3302</v>
      </c>
      <c r="C2935" s="121" t="str">
        <f t="shared" si="108"/>
        <v>http://www.saltlakecity.va.gov/contact/phone_directory.asp</v>
      </c>
    </row>
    <row r="2936" ht="14.25" hidden="1" customHeight="1">
      <c r="A2936" s="8" t="s">
        <v>300</v>
      </c>
      <c r="B2936" s="8" t="s">
        <v>3302</v>
      </c>
      <c r="C2936" s="121" t="str">
        <f t="shared" si="108"/>
        <v>http://www.saltlakecity.va.gov/contact/phone_directory.asp</v>
      </c>
    </row>
    <row r="2937" ht="14.25" hidden="1" customHeight="1">
      <c r="A2937" s="8" t="s">
        <v>484</v>
      </c>
      <c r="B2937" s="8" t="s">
        <v>3302</v>
      </c>
      <c r="C2937" s="121" t="str">
        <f t="shared" si="108"/>
        <v>http://www.saltlakecity.va.gov/contact/phone_directory.asp</v>
      </c>
    </row>
    <row r="2938" ht="14.25" hidden="1" customHeight="1">
      <c r="A2938" s="8" t="s">
        <v>425</v>
      </c>
      <c r="B2938" s="8" t="s">
        <v>3302</v>
      </c>
      <c r="C2938" s="121" t="str">
        <f t="shared" si="108"/>
        <v>http://www.saltlakecity.va.gov/contact/phone_directory.asp</v>
      </c>
    </row>
    <row r="2939" ht="14.25" hidden="1" customHeight="1">
      <c r="A2939" s="8" t="s">
        <v>872</v>
      </c>
      <c r="B2939" s="8" t="s">
        <v>3302</v>
      </c>
      <c r="C2939" s="121" t="str">
        <f t="shared" si="108"/>
        <v>http://www.saltlakecity.va.gov/contact/phone_directory.asp</v>
      </c>
    </row>
    <row r="2940" ht="14.25" hidden="1" customHeight="1">
      <c r="A2940" s="8" t="s">
        <v>2459</v>
      </c>
      <c r="B2940" s="8" t="s">
        <v>3302</v>
      </c>
      <c r="C2940" s="121" t="str">
        <f t="shared" si="108"/>
        <v>http://www.saltlakecity.va.gov/contact/phone_directory.asp</v>
      </c>
    </row>
    <row r="2941" ht="14.25" hidden="1" customHeight="1">
      <c r="A2941" s="8" t="s">
        <v>2628</v>
      </c>
      <c r="B2941" s="8" t="s">
        <v>3302</v>
      </c>
      <c r="C2941" s="121" t="str">
        <f t="shared" si="108"/>
        <v>http://www.saltlakecity.va.gov/contact/phone_directory.asp</v>
      </c>
    </row>
    <row r="2942" ht="14.25" hidden="1" customHeight="1">
      <c r="A2942" s="8" t="s">
        <v>3307</v>
      </c>
      <c r="B2942" s="8" t="s">
        <v>3302</v>
      </c>
      <c r="C2942" s="121" t="str">
        <f t="shared" si="108"/>
        <v>http://www.saltlakecity.va.gov/contact/phone_directory.asp</v>
      </c>
    </row>
    <row r="2943" ht="14.25" hidden="1" customHeight="1">
      <c r="A2943" s="8" t="s">
        <v>674</v>
      </c>
      <c r="B2943" s="8" t="s">
        <v>3302</v>
      </c>
      <c r="C2943" s="121" t="str">
        <f t="shared" si="108"/>
        <v>http://www.saltlakecity.va.gov/contact/phone_directory.asp</v>
      </c>
    </row>
    <row r="2944" ht="14.25" hidden="1" customHeight="1">
      <c r="A2944" s="8" t="s">
        <v>312</v>
      </c>
      <c r="B2944" s="8" t="s">
        <v>3302</v>
      </c>
      <c r="C2944" s="121" t="str">
        <f t="shared" si="108"/>
        <v>http://www.saltlakecity.va.gov/contact/phone_directory.asp</v>
      </c>
    </row>
    <row r="2945" ht="14.25" hidden="1" customHeight="1">
      <c r="A2945" s="8" t="s">
        <v>670</v>
      </c>
      <c r="B2945" s="8" t="s">
        <v>3302</v>
      </c>
      <c r="C2945" s="121" t="str">
        <f t="shared" si="108"/>
        <v>http://www.saltlakecity.va.gov/contact/phone_directory.asp</v>
      </c>
    </row>
    <row r="2946" ht="14.25" hidden="1" customHeight="1">
      <c r="A2946" s="8" t="s">
        <v>1892</v>
      </c>
      <c r="B2946" s="8" t="s">
        <v>3302</v>
      </c>
      <c r="C2946" s="121" t="str">
        <f t="shared" si="108"/>
        <v>http://www.saltlakecity.va.gov/contact/phone_directory.asp</v>
      </c>
    </row>
    <row r="2947" ht="14.25" hidden="1" customHeight="1">
      <c r="A2947" s="8" t="s">
        <v>775</v>
      </c>
      <c r="B2947" s="8" t="s">
        <v>3302</v>
      </c>
      <c r="C2947" s="121" t="str">
        <f t="shared" si="108"/>
        <v>http://www.saltlakecity.va.gov/contact/phone_directory.asp</v>
      </c>
    </row>
    <row r="2948" ht="14.25" hidden="1" customHeight="1">
      <c r="A2948" s="8" t="s">
        <v>504</v>
      </c>
      <c r="B2948" s="8" t="s">
        <v>3302</v>
      </c>
      <c r="C2948" s="121" t="str">
        <f t="shared" si="108"/>
        <v>http://www.saltlakecity.va.gov/contact/phone_directory.asp</v>
      </c>
    </row>
    <row r="2949" ht="14.25" hidden="1" customHeight="1">
      <c r="A2949" s="8" t="s">
        <v>1067</v>
      </c>
      <c r="B2949" s="8" t="s">
        <v>3302</v>
      </c>
      <c r="C2949" s="121" t="str">
        <f t="shared" si="108"/>
        <v>http://www.saltlakecity.va.gov/contact/phone_directory.asp</v>
      </c>
    </row>
    <row r="2950" ht="14.25" hidden="1" customHeight="1">
      <c r="A2950" s="8" t="s">
        <v>708</v>
      </c>
      <c r="B2950" s="8" t="s">
        <v>3302</v>
      </c>
      <c r="C2950" s="121" t="str">
        <f t="shared" si="108"/>
        <v>http://www.saltlakecity.va.gov/contact/phone_directory.asp</v>
      </c>
    </row>
    <row r="2951" ht="14.25" hidden="1" customHeight="1">
      <c r="A2951" s="8" t="s">
        <v>355</v>
      </c>
      <c r="B2951" s="8" t="s">
        <v>3302</v>
      </c>
      <c r="C2951" s="121" t="str">
        <f t="shared" si="108"/>
        <v>http://www.saltlakecity.va.gov/contact/phone_directory.asp</v>
      </c>
    </row>
    <row r="2952" ht="14.25" hidden="1" customHeight="1">
      <c r="A2952" s="8" t="s">
        <v>3309</v>
      </c>
      <c r="B2952" s="8" t="s">
        <v>3302</v>
      </c>
      <c r="C2952" s="121" t="str">
        <f t="shared" si="108"/>
        <v>http://www.saltlakecity.va.gov/contact/phone_directory.asp</v>
      </c>
    </row>
    <row r="2953" ht="14.25" hidden="1" customHeight="1">
      <c r="A2953" s="8" t="s">
        <v>741</v>
      </c>
      <c r="B2953" s="8" t="s">
        <v>3302</v>
      </c>
      <c r="C2953" s="121" t="str">
        <f t="shared" si="108"/>
        <v>http://www.saltlakecity.va.gov/contact/phone_directory.asp</v>
      </c>
    </row>
    <row r="2954" ht="14.25" hidden="1" customHeight="1">
      <c r="A2954" s="8" t="s">
        <v>1473</v>
      </c>
      <c r="B2954" s="8" t="s">
        <v>3302</v>
      </c>
      <c r="C2954" s="121" t="str">
        <f t="shared" si="108"/>
        <v>http://www.saltlakecity.va.gov/contact/phone_directory.asp</v>
      </c>
    </row>
    <row r="2955" ht="14.25" hidden="1" customHeight="1">
      <c r="A2955" s="8" t="s">
        <v>618</v>
      </c>
      <c r="B2955" s="8" t="s">
        <v>3310</v>
      </c>
      <c r="C2955" s="121" t="str">
        <f t="shared" ref="C2955:C2979" si="109">HYPERLINK("http://www.sandiego.va.gov/contact/phone_directory.asp")</f>
        <v>http://www.sandiego.va.gov/contact/phone_directory.asp</v>
      </c>
    </row>
    <row r="2956" ht="14.25" hidden="1" customHeight="1">
      <c r="A2956" s="8" t="s">
        <v>624</v>
      </c>
      <c r="B2956" s="8" t="s">
        <v>3310</v>
      </c>
      <c r="C2956" s="121" t="str">
        <f t="shared" si="109"/>
        <v>http://www.sandiego.va.gov/contact/phone_directory.asp</v>
      </c>
    </row>
    <row r="2957" ht="14.25" hidden="1" customHeight="1">
      <c r="A2957" s="8" t="s">
        <v>636</v>
      </c>
      <c r="B2957" s="8" t="s">
        <v>3310</v>
      </c>
      <c r="C2957" s="121" t="str">
        <f t="shared" si="109"/>
        <v>http://www.sandiego.va.gov/contact/phone_directory.asp</v>
      </c>
    </row>
    <row r="2958" ht="14.25" hidden="1" customHeight="1">
      <c r="A2958" s="8" t="s">
        <v>3312</v>
      </c>
      <c r="B2958" s="8" t="s">
        <v>3310</v>
      </c>
      <c r="C2958" s="121" t="str">
        <f t="shared" si="109"/>
        <v>http://www.sandiego.va.gov/contact/phone_directory.asp</v>
      </c>
    </row>
    <row r="2959" ht="14.25" hidden="1" customHeight="1">
      <c r="A2959" s="8" t="s">
        <v>872</v>
      </c>
      <c r="B2959" s="8" t="s">
        <v>3310</v>
      </c>
      <c r="C2959" s="121" t="str">
        <f t="shared" si="109"/>
        <v>http://www.sandiego.va.gov/contact/phone_directory.asp</v>
      </c>
    </row>
    <row r="2960" ht="14.25" hidden="1" customHeight="1">
      <c r="A2960" s="8" t="s">
        <v>3313</v>
      </c>
      <c r="B2960" s="8" t="s">
        <v>3310</v>
      </c>
      <c r="C2960" s="121" t="str">
        <f t="shared" si="109"/>
        <v>http://www.sandiego.va.gov/contact/phone_directory.asp</v>
      </c>
    </row>
    <row r="2961" ht="14.25" hidden="1" customHeight="1">
      <c r="A2961" s="8" t="s">
        <v>3314</v>
      </c>
      <c r="B2961" s="8" t="s">
        <v>3310</v>
      </c>
      <c r="C2961" s="121" t="str">
        <f t="shared" si="109"/>
        <v>http://www.sandiego.va.gov/contact/phone_directory.asp</v>
      </c>
    </row>
    <row r="2962" ht="14.25" hidden="1" customHeight="1">
      <c r="A2962" s="8" t="s">
        <v>312</v>
      </c>
      <c r="B2962" s="8" t="s">
        <v>3310</v>
      </c>
      <c r="C2962" s="121" t="str">
        <f t="shared" si="109"/>
        <v>http://www.sandiego.va.gov/contact/phone_directory.asp</v>
      </c>
    </row>
    <row r="2963" ht="14.25" hidden="1" customHeight="1">
      <c r="A2963" s="8" t="s">
        <v>670</v>
      </c>
      <c r="B2963" s="8" t="s">
        <v>3310</v>
      </c>
      <c r="C2963" s="121" t="str">
        <f t="shared" si="109"/>
        <v>http://www.sandiego.va.gov/contact/phone_directory.asp</v>
      </c>
    </row>
    <row r="2964" ht="14.25" hidden="1" customHeight="1">
      <c r="A2964" s="8" t="s">
        <v>3315</v>
      </c>
      <c r="B2964" s="8" t="s">
        <v>3310</v>
      </c>
      <c r="C2964" s="121" t="str">
        <f t="shared" si="109"/>
        <v>http://www.sandiego.va.gov/contact/phone_directory.asp</v>
      </c>
    </row>
    <row r="2965" ht="14.25" hidden="1" customHeight="1">
      <c r="A2965" s="8" t="s">
        <v>683</v>
      </c>
      <c r="B2965" s="8" t="s">
        <v>3310</v>
      </c>
      <c r="C2965" s="121" t="str">
        <f t="shared" si="109"/>
        <v>http://www.sandiego.va.gov/contact/phone_directory.asp</v>
      </c>
    </row>
    <row r="2966" ht="14.25" hidden="1" customHeight="1">
      <c r="A2966" s="8" t="s">
        <v>3316</v>
      </c>
      <c r="B2966" s="8" t="s">
        <v>3310</v>
      </c>
      <c r="C2966" s="121" t="str">
        <f t="shared" si="109"/>
        <v>http://www.sandiego.va.gov/contact/phone_directory.asp</v>
      </c>
    </row>
    <row r="2967" ht="14.25" hidden="1" customHeight="1">
      <c r="A2967" s="8" t="s">
        <v>3317</v>
      </c>
      <c r="B2967" s="8" t="s">
        <v>3310</v>
      </c>
      <c r="C2967" s="121" t="str">
        <f t="shared" si="109"/>
        <v>http://www.sandiego.va.gov/contact/phone_directory.asp</v>
      </c>
    </row>
    <row r="2968" ht="14.25" hidden="1" customHeight="1">
      <c r="A2968" s="8" t="s">
        <v>694</v>
      </c>
      <c r="B2968" s="8" t="s">
        <v>3310</v>
      </c>
      <c r="C2968" s="121" t="str">
        <f t="shared" si="109"/>
        <v>http://www.sandiego.va.gov/contact/phone_directory.asp</v>
      </c>
    </row>
    <row r="2969" ht="14.25" hidden="1" customHeight="1">
      <c r="A2969" s="8" t="s">
        <v>2096</v>
      </c>
      <c r="B2969" s="8" t="s">
        <v>3310</v>
      </c>
      <c r="C2969" s="121" t="str">
        <f t="shared" si="109"/>
        <v>http://www.sandiego.va.gov/contact/phone_directory.asp</v>
      </c>
    </row>
    <row r="2970" ht="14.25" hidden="1" customHeight="1">
      <c r="A2970" s="8" t="s">
        <v>713</v>
      </c>
      <c r="B2970" s="8" t="s">
        <v>3310</v>
      </c>
      <c r="C2970" s="121" t="str">
        <f t="shared" si="109"/>
        <v>http://www.sandiego.va.gov/contact/phone_directory.asp</v>
      </c>
    </row>
    <row r="2971" ht="14.25" hidden="1" customHeight="1">
      <c r="A2971" s="8" t="s">
        <v>778</v>
      </c>
      <c r="B2971" s="8" t="s">
        <v>3310</v>
      </c>
      <c r="C2971" s="121" t="str">
        <f t="shared" si="109"/>
        <v>http://www.sandiego.va.gov/contact/phone_directory.asp</v>
      </c>
    </row>
    <row r="2972" ht="14.25" hidden="1" customHeight="1">
      <c r="A2972" s="8" t="s">
        <v>778</v>
      </c>
      <c r="B2972" s="8" t="s">
        <v>3310</v>
      </c>
      <c r="C2972" s="121" t="str">
        <f t="shared" si="109"/>
        <v>http://www.sandiego.va.gov/contact/phone_directory.asp</v>
      </c>
    </row>
    <row r="2973" ht="14.25" hidden="1" customHeight="1">
      <c r="A2973" s="8" t="s">
        <v>504</v>
      </c>
      <c r="B2973" s="8" t="s">
        <v>3310</v>
      </c>
      <c r="C2973" s="121" t="str">
        <f t="shared" si="109"/>
        <v>http://www.sandiego.va.gov/contact/phone_directory.asp</v>
      </c>
    </row>
    <row r="2974" ht="14.25" hidden="1" customHeight="1">
      <c r="A2974" s="8" t="s">
        <v>717</v>
      </c>
      <c r="B2974" s="8" t="s">
        <v>3310</v>
      </c>
      <c r="C2974" s="121" t="str">
        <f t="shared" si="109"/>
        <v>http://www.sandiego.va.gov/contact/phone_directory.asp</v>
      </c>
    </row>
    <row r="2975" ht="14.25" hidden="1" customHeight="1">
      <c r="A2975" s="8" t="s">
        <v>688</v>
      </c>
      <c r="B2975" s="8" t="s">
        <v>3310</v>
      </c>
      <c r="C2975" s="121" t="str">
        <f t="shared" si="109"/>
        <v>http://www.sandiego.va.gov/contact/phone_directory.asp</v>
      </c>
    </row>
    <row r="2976" ht="14.25" hidden="1" customHeight="1">
      <c r="A2976" s="8" t="s">
        <v>3319</v>
      </c>
      <c r="B2976" s="8" t="s">
        <v>3310</v>
      </c>
      <c r="C2976" s="121" t="str">
        <f t="shared" si="109"/>
        <v>http://www.sandiego.va.gov/contact/phone_directory.asp</v>
      </c>
    </row>
    <row r="2977" ht="14.25" hidden="1" customHeight="1">
      <c r="A2977" s="8" t="s">
        <v>3320</v>
      </c>
      <c r="B2977" s="8" t="s">
        <v>3310</v>
      </c>
      <c r="C2977" s="121" t="str">
        <f t="shared" si="109"/>
        <v>http://www.sandiego.va.gov/contact/phone_directory.asp</v>
      </c>
    </row>
    <row r="2978" ht="14.25" hidden="1" customHeight="1">
      <c r="A2978" s="8" t="s">
        <v>1090</v>
      </c>
      <c r="B2978" s="8" t="s">
        <v>3310</v>
      </c>
      <c r="C2978" s="121" t="str">
        <f t="shared" si="109"/>
        <v>http://www.sandiego.va.gov/contact/phone_directory.asp</v>
      </c>
    </row>
    <row r="2979" ht="14.25" hidden="1" customHeight="1">
      <c r="A2979" s="8" t="s">
        <v>518</v>
      </c>
      <c r="B2979" s="8" t="s">
        <v>3310</v>
      </c>
      <c r="C2979" s="121" t="str">
        <f t="shared" si="109"/>
        <v>http://www.sandiego.va.gov/contact/phone_directory.asp</v>
      </c>
    </row>
    <row r="2980" ht="14.25" hidden="1" customHeight="1">
      <c r="A2980" s="8" t="s">
        <v>3321</v>
      </c>
      <c r="B2980" s="8" t="s">
        <v>3322</v>
      </c>
      <c r="C2980" s="121" t="str">
        <f t="shared" ref="C2980:C3041" si="110">HYPERLINK("http://www.sanfrancisco.va.gov/contact/phone_directory.asp")</f>
        <v>http://www.sanfrancisco.va.gov/contact/phone_directory.asp</v>
      </c>
    </row>
    <row r="2981" ht="14.25" hidden="1" customHeight="1">
      <c r="A2981" s="8" t="s">
        <v>618</v>
      </c>
      <c r="B2981" s="8" t="s">
        <v>3322</v>
      </c>
      <c r="C2981" s="121" t="str">
        <f t="shared" si="110"/>
        <v>http://www.sanfrancisco.va.gov/contact/phone_directory.asp</v>
      </c>
    </row>
    <row r="2982" ht="14.25" hidden="1" customHeight="1">
      <c r="A2982" s="8" t="s">
        <v>1417</v>
      </c>
      <c r="B2982" s="8" t="s">
        <v>3322</v>
      </c>
      <c r="C2982" s="121" t="str">
        <f t="shared" si="110"/>
        <v>http://www.sanfrancisco.va.gov/contact/phone_directory.asp</v>
      </c>
    </row>
    <row r="2983" ht="14.25" hidden="1" customHeight="1">
      <c r="A2983" s="8" t="s">
        <v>639</v>
      </c>
      <c r="B2983" s="8" t="s">
        <v>3322</v>
      </c>
      <c r="C2983" s="121" t="str">
        <f t="shared" si="110"/>
        <v>http://www.sanfrancisco.va.gov/contact/phone_directory.asp</v>
      </c>
    </row>
    <row r="2984" ht="14.25" hidden="1" customHeight="1">
      <c r="A2984" s="8" t="s">
        <v>414</v>
      </c>
      <c r="B2984" s="8" t="s">
        <v>3322</v>
      </c>
      <c r="C2984" s="121" t="str">
        <f t="shared" si="110"/>
        <v>http://www.sanfrancisco.va.gov/contact/phone_directory.asp</v>
      </c>
    </row>
    <row r="2985" ht="14.25" hidden="1" customHeight="1">
      <c r="A2985" s="8" t="s">
        <v>477</v>
      </c>
      <c r="B2985" s="8" t="s">
        <v>3322</v>
      </c>
      <c r="C2985" s="121" t="str">
        <f t="shared" si="110"/>
        <v>http://www.sanfrancisco.va.gov/contact/phone_directory.asp</v>
      </c>
    </row>
    <row r="2986" ht="14.25" hidden="1" customHeight="1">
      <c r="A2986" s="8" t="s">
        <v>478</v>
      </c>
      <c r="B2986" s="8" t="s">
        <v>3322</v>
      </c>
      <c r="C2986" s="121" t="str">
        <f t="shared" si="110"/>
        <v>http://www.sanfrancisco.va.gov/contact/phone_directory.asp</v>
      </c>
    </row>
    <row r="2987" ht="14.25" hidden="1" customHeight="1">
      <c r="A2987" s="8" t="s">
        <v>3324</v>
      </c>
      <c r="B2987" s="8" t="s">
        <v>3322</v>
      </c>
      <c r="C2987" s="121" t="str">
        <f t="shared" si="110"/>
        <v>http://www.sanfrancisco.va.gov/contact/phone_directory.asp</v>
      </c>
    </row>
    <row r="2988" ht="14.25" hidden="1" customHeight="1">
      <c r="A2988" s="8" t="s">
        <v>455</v>
      </c>
      <c r="B2988" s="8" t="s">
        <v>3322</v>
      </c>
      <c r="C2988" s="121" t="str">
        <f t="shared" si="110"/>
        <v>http://www.sanfrancisco.va.gov/contact/phone_directory.asp</v>
      </c>
    </row>
    <row r="2989" ht="14.25" hidden="1" customHeight="1">
      <c r="A2989" s="8" t="s">
        <v>3325</v>
      </c>
      <c r="B2989" s="8" t="s">
        <v>3322</v>
      </c>
      <c r="C2989" s="121" t="str">
        <f t="shared" si="110"/>
        <v>http://www.sanfrancisco.va.gov/contact/phone_directory.asp</v>
      </c>
    </row>
    <row r="2990" ht="14.25" hidden="1" customHeight="1">
      <c r="A2990" s="8" t="s">
        <v>517</v>
      </c>
      <c r="B2990" s="8" t="s">
        <v>3322</v>
      </c>
      <c r="C2990" s="121" t="str">
        <f t="shared" si="110"/>
        <v>http://www.sanfrancisco.va.gov/contact/phone_directory.asp</v>
      </c>
    </row>
    <row r="2991" ht="14.25" hidden="1" customHeight="1">
      <c r="A2991" s="8" t="s">
        <v>1297</v>
      </c>
      <c r="B2991" s="8" t="s">
        <v>3322</v>
      </c>
      <c r="C2991" s="121" t="str">
        <f t="shared" si="110"/>
        <v>http://www.sanfrancisco.va.gov/contact/phone_directory.asp</v>
      </c>
    </row>
    <row r="2992" ht="14.25" hidden="1" customHeight="1">
      <c r="A2992" s="8" t="s">
        <v>3326</v>
      </c>
      <c r="B2992" s="8" t="s">
        <v>3322</v>
      </c>
      <c r="C2992" s="121" t="str">
        <f t="shared" si="110"/>
        <v>http://www.sanfrancisco.va.gov/contact/phone_directory.asp</v>
      </c>
    </row>
    <row r="2993" ht="14.25" hidden="1" customHeight="1">
      <c r="A2993" s="8" t="s">
        <v>2305</v>
      </c>
      <c r="B2993" s="8" t="s">
        <v>3322</v>
      </c>
      <c r="C2993" s="121" t="str">
        <f t="shared" si="110"/>
        <v>http://www.sanfrancisco.va.gov/contact/phone_directory.asp</v>
      </c>
    </row>
    <row r="2994" ht="14.25" hidden="1" customHeight="1">
      <c r="A2994" s="8" t="s">
        <v>3327</v>
      </c>
      <c r="B2994" s="8" t="s">
        <v>3322</v>
      </c>
      <c r="C2994" s="121" t="str">
        <f t="shared" si="110"/>
        <v>http://www.sanfrancisco.va.gov/contact/phone_directory.asp</v>
      </c>
    </row>
    <row r="2995" ht="14.25" hidden="1" customHeight="1">
      <c r="A2995" s="8" t="s">
        <v>719</v>
      </c>
      <c r="B2995" s="8" t="s">
        <v>3322</v>
      </c>
      <c r="C2995" s="121" t="str">
        <f t="shared" si="110"/>
        <v>http://www.sanfrancisco.va.gov/contact/phone_directory.asp</v>
      </c>
    </row>
    <row r="2996" ht="14.25" hidden="1" customHeight="1">
      <c r="A2996" s="8" t="s">
        <v>2494</v>
      </c>
      <c r="B2996" s="8" t="s">
        <v>3322</v>
      </c>
      <c r="C2996" s="121" t="str">
        <f t="shared" si="110"/>
        <v>http://www.sanfrancisco.va.gov/contact/phone_directory.asp</v>
      </c>
    </row>
    <row r="2997" ht="14.25" hidden="1" customHeight="1">
      <c r="A2997" s="8" t="s">
        <v>1143</v>
      </c>
      <c r="B2997" s="8" t="s">
        <v>3322</v>
      </c>
      <c r="C2997" s="121" t="str">
        <f t="shared" si="110"/>
        <v>http://www.sanfrancisco.va.gov/contact/phone_directory.asp</v>
      </c>
    </row>
    <row r="2998" ht="14.25" hidden="1" customHeight="1">
      <c r="A2998" s="8" t="s">
        <v>3328</v>
      </c>
      <c r="B2998" s="8" t="s">
        <v>3322</v>
      </c>
      <c r="C2998" s="121" t="str">
        <f t="shared" si="110"/>
        <v>http://www.sanfrancisco.va.gov/contact/phone_directory.asp</v>
      </c>
    </row>
    <row r="2999" ht="14.25" hidden="1" customHeight="1">
      <c r="A2999" s="8" t="s">
        <v>696</v>
      </c>
      <c r="B2999" s="8" t="s">
        <v>3322</v>
      </c>
      <c r="C2999" s="121" t="str">
        <f t="shared" si="110"/>
        <v>http://www.sanfrancisco.va.gov/contact/phone_directory.asp</v>
      </c>
    </row>
    <row r="3000" ht="14.25" hidden="1" customHeight="1">
      <c r="A3000" s="8" t="s">
        <v>3329</v>
      </c>
      <c r="B3000" s="8" t="s">
        <v>3322</v>
      </c>
      <c r="C3000" s="121" t="str">
        <f t="shared" si="110"/>
        <v>http://www.sanfrancisco.va.gov/contact/phone_directory.asp</v>
      </c>
    </row>
    <row r="3001" ht="14.25" hidden="1" customHeight="1">
      <c r="A3001" s="8" t="s">
        <v>670</v>
      </c>
      <c r="B3001" s="8" t="s">
        <v>3322</v>
      </c>
      <c r="C3001" s="121" t="str">
        <f t="shared" si="110"/>
        <v>http://www.sanfrancisco.va.gov/contact/phone_directory.asp</v>
      </c>
    </row>
    <row r="3002" ht="14.25" hidden="1" customHeight="1">
      <c r="A3002" s="8" t="s">
        <v>1482</v>
      </c>
      <c r="B3002" s="8" t="s">
        <v>3322</v>
      </c>
      <c r="C3002" s="121" t="str">
        <f t="shared" si="110"/>
        <v>http://www.sanfrancisco.va.gov/contact/phone_directory.asp</v>
      </c>
    </row>
    <row r="3003" ht="14.25" hidden="1" customHeight="1">
      <c r="A3003" s="8" t="s">
        <v>1676</v>
      </c>
      <c r="B3003" s="8" t="s">
        <v>3322</v>
      </c>
      <c r="C3003" s="121" t="str">
        <f t="shared" si="110"/>
        <v>http://www.sanfrancisco.va.gov/contact/phone_directory.asp</v>
      </c>
    </row>
    <row r="3004" ht="14.25" hidden="1" customHeight="1">
      <c r="A3004" s="8" t="s">
        <v>683</v>
      </c>
      <c r="B3004" s="8" t="s">
        <v>3322</v>
      </c>
      <c r="C3004" s="121" t="str">
        <f t="shared" si="110"/>
        <v>http://www.sanfrancisco.va.gov/contact/phone_directory.asp</v>
      </c>
    </row>
    <row r="3005" ht="14.25" hidden="1" customHeight="1">
      <c r="A3005" s="8" t="s">
        <v>3330</v>
      </c>
      <c r="B3005" s="8" t="s">
        <v>3322</v>
      </c>
      <c r="C3005" s="121" t="str">
        <f t="shared" si="110"/>
        <v>http://www.sanfrancisco.va.gov/contact/phone_directory.asp</v>
      </c>
    </row>
    <row r="3006" ht="14.25" hidden="1" customHeight="1">
      <c r="A3006" s="8" t="s">
        <v>3331</v>
      </c>
      <c r="B3006" s="8" t="s">
        <v>3322</v>
      </c>
      <c r="C3006" s="121" t="str">
        <f t="shared" si="110"/>
        <v>http://www.sanfrancisco.va.gov/contact/phone_directory.asp</v>
      </c>
    </row>
    <row r="3007" ht="14.25" hidden="1" customHeight="1">
      <c r="A3007" s="8" t="s">
        <v>3332</v>
      </c>
      <c r="B3007" s="8" t="s">
        <v>3322</v>
      </c>
      <c r="C3007" s="121" t="str">
        <f t="shared" si="110"/>
        <v>http://www.sanfrancisco.va.gov/contact/phone_directory.asp</v>
      </c>
    </row>
    <row r="3008" ht="14.25" hidden="1" customHeight="1">
      <c r="A3008" s="8" t="s">
        <v>3333</v>
      </c>
      <c r="B3008" s="8" t="s">
        <v>3322</v>
      </c>
      <c r="C3008" s="121" t="str">
        <f t="shared" si="110"/>
        <v>http://www.sanfrancisco.va.gov/contact/phone_directory.asp</v>
      </c>
    </row>
    <row r="3009" ht="14.25" hidden="1" customHeight="1">
      <c r="A3009" s="8" t="s">
        <v>3334</v>
      </c>
      <c r="B3009" s="8" t="s">
        <v>3322</v>
      </c>
      <c r="C3009" s="121" t="str">
        <f t="shared" si="110"/>
        <v>http://www.sanfrancisco.va.gov/contact/phone_directory.asp</v>
      </c>
    </row>
    <row r="3010" ht="14.25" hidden="1" customHeight="1">
      <c r="A3010" s="8" t="s">
        <v>1487</v>
      </c>
      <c r="B3010" s="8" t="s">
        <v>3322</v>
      </c>
      <c r="C3010" s="121" t="str">
        <f t="shared" si="110"/>
        <v>http://www.sanfrancisco.va.gov/contact/phone_directory.asp</v>
      </c>
    </row>
    <row r="3011" ht="14.25" hidden="1" customHeight="1">
      <c r="A3011" s="8" t="s">
        <v>1172</v>
      </c>
      <c r="B3011" s="8" t="s">
        <v>3322</v>
      </c>
      <c r="C3011" s="121" t="str">
        <f t="shared" si="110"/>
        <v>http://www.sanfrancisco.va.gov/contact/phone_directory.asp</v>
      </c>
    </row>
    <row r="3012" ht="14.25" hidden="1" customHeight="1">
      <c r="A3012" s="8" t="s">
        <v>2205</v>
      </c>
      <c r="B3012" s="8" t="s">
        <v>3322</v>
      </c>
      <c r="C3012" s="121" t="str">
        <f t="shared" si="110"/>
        <v>http://www.sanfrancisco.va.gov/contact/phone_directory.asp</v>
      </c>
    </row>
    <row r="3013" ht="14.25" hidden="1" customHeight="1">
      <c r="A3013" s="8" t="s">
        <v>603</v>
      </c>
      <c r="B3013" s="8" t="s">
        <v>3322</v>
      </c>
      <c r="C3013" s="121" t="str">
        <f t="shared" si="110"/>
        <v>http://www.sanfrancisco.va.gov/contact/phone_directory.asp</v>
      </c>
    </row>
    <row r="3014" ht="14.25" hidden="1" customHeight="1">
      <c r="A3014" s="8" t="s">
        <v>900</v>
      </c>
      <c r="B3014" s="8" t="s">
        <v>3322</v>
      </c>
      <c r="C3014" s="121" t="str">
        <f t="shared" si="110"/>
        <v>http://www.sanfrancisco.va.gov/contact/phone_directory.asp</v>
      </c>
    </row>
    <row r="3015" ht="14.25" hidden="1" customHeight="1">
      <c r="A3015" s="8" t="s">
        <v>839</v>
      </c>
      <c r="B3015" s="8" t="s">
        <v>3322</v>
      </c>
      <c r="C3015" s="121" t="str">
        <f t="shared" si="110"/>
        <v>http://www.sanfrancisco.va.gov/contact/phone_directory.asp</v>
      </c>
    </row>
    <row r="3016" ht="14.25" hidden="1" customHeight="1">
      <c r="A3016" s="8" t="s">
        <v>3335</v>
      </c>
      <c r="B3016" s="8" t="s">
        <v>3322</v>
      </c>
      <c r="C3016" s="121" t="str">
        <f t="shared" si="110"/>
        <v>http://www.sanfrancisco.va.gov/contact/phone_directory.asp</v>
      </c>
    </row>
    <row r="3017" ht="14.25" hidden="1" customHeight="1">
      <c r="A3017" s="8" t="s">
        <v>901</v>
      </c>
      <c r="B3017" s="8" t="s">
        <v>3322</v>
      </c>
      <c r="C3017" s="121" t="str">
        <f t="shared" si="110"/>
        <v>http://www.sanfrancisco.va.gov/contact/phone_directory.asp</v>
      </c>
    </row>
    <row r="3018" ht="14.25" hidden="1" customHeight="1">
      <c r="A3018" s="8" t="s">
        <v>338</v>
      </c>
      <c r="B3018" s="8" t="s">
        <v>3322</v>
      </c>
      <c r="C3018" s="121" t="str">
        <f t="shared" si="110"/>
        <v>http://www.sanfrancisco.va.gov/contact/phone_directory.asp</v>
      </c>
    </row>
    <row r="3019" ht="14.25" hidden="1" customHeight="1">
      <c r="A3019" s="8" t="s">
        <v>449</v>
      </c>
      <c r="B3019" s="8" t="s">
        <v>3322</v>
      </c>
      <c r="C3019" s="121" t="str">
        <f t="shared" si="110"/>
        <v>http://www.sanfrancisco.va.gov/contact/phone_directory.asp</v>
      </c>
    </row>
    <row r="3020" ht="14.25" hidden="1" customHeight="1">
      <c r="A3020" s="8" t="s">
        <v>3336</v>
      </c>
      <c r="B3020" s="8" t="s">
        <v>3322</v>
      </c>
      <c r="C3020" s="121" t="str">
        <f t="shared" si="110"/>
        <v>http://www.sanfrancisco.va.gov/contact/phone_directory.asp</v>
      </c>
    </row>
    <row r="3021" ht="14.25" hidden="1" customHeight="1">
      <c r="A3021" s="8" t="s">
        <v>2775</v>
      </c>
      <c r="B3021" s="8" t="s">
        <v>3322</v>
      </c>
      <c r="C3021" s="121" t="str">
        <f t="shared" si="110"/>
        <v>http://www.sanfrancisco.va.gov/contact/phone_directory.asp</v>
      </c>
    </row>
    <row r="3022" ht="14.25" hidden="1" customHeight="1">
      <c r="A3022" s="8" t="s">
        <v>500</v>
      </c>
      <c r="B3022" s="8" t="s">
        <v>3322</v>
      </c>
      <c r="C3022" s="121" t="str">
        <f t="shared" si="110"/>
        <v>http://www.sanfrancisco.va.gov/contact/phone_directory.asp</v>
      </c>
    </row>
    <row r="3023" ht="14.25" hidden="1" customHeight="1">
      <c r="A3023" s="8" t="s">
        <v>3337</v>
      </c>
      <c r="B3023" s="8" t="s">
        <v>3322</v>
      </c>
      <c r="C3023" s="121" t="str">
        <f t="shared" si="110"/>
        <v>http://www.sanfrancisco.va.gov/contact/phone_directory.asp</v>
      </c>
    </row>
    <row r="3024" ht="14.25" hidden="1" customHeight="1">
      <c r="A3024" s="8" t="s">
        <v>608</v>
      </c>
      <c r="B3024" s="8" t="s">
        <v>3322</v>
      </c>
      <c r="C3024" s="121" t="str">
        <f t="shared" si="110"/>
        <v>http://www.sanfrancisco.va.gov/contact/phone_directory.asp</v>
      </c>
    </row>
    <row r="3025" ht="14.25" hidden="1" customHeight="1">
      <c r="A3025" s="8" t="s">
        <v>1427</v>
      </c>
      <c r="B3025" s="8" t="s">
        <v>3322</v>
      </c>
      <c r="C3025" s="121" t="str">
        <f t="shared" si="110"/>
        <v>http://www.sanfrancisco.va.gov/contact/phone_directory.asp</v>
      </c>
    </row>
    <row r="3026" ht="14.25" hidden="1" customHeight="1">
      <c r="A3026" s="8" t="s">
        <v>3338</v>
      </c>
      <c r="B3026" s="8" t="s">
        <v>3322</v>
      </c>
      <c r="C3026" s="121" t="str">
        <f t="shared" si="110"/>
        <v>http://www.sanfrancisco.va.gov/contact/phone_directory.asp</v>
      </c>
    </row>
    <row r="3027" ht="14.25" hidden="1" customHeight="1">
      <c r="A3027" s="8" t="s">
        <v>3339</v>
      </c>
      <c r="B3027" s="8" t="s">
        <v>3322</v>
      </c>
      <c r="C3027" s="121" t="str">
        <f t="shared" si="110"/>
        <v>http://www.sanfrancisco.va.gov/contact/phone_directory.asp</v>
      </c>
    </row>
    <row r="3028" ht="14.25" hidden="1" customHeight="1">
      <c r="A3028" s="8" t="s">
        <v>684</v>
      </c>
      <c r="B3028" s="8" t="s">
        <v>3322</v>
      </c>
      <c r="C3028" s="121" t="str">
        <f t="shared" si="110"/>
        <v>http://www.sanfrancisco.va.gov/contact/phone_directory.asp</v>
      </c>
    </row>
    <row r="3029" ht="14.25" hidden="1" customHeight="1">
      <c r="A3029" s="8" t="s">
        <v>1338</v>
      </c>
      <c r="B3029" s="8" t="s">
        <v>3322</v>
      </c>
      <c r="C3029" s="121" t="str">
        <f t="shared" si="110"/>
        <v>http://www.sanfrancisco.va.gov/contact/phone_directory.asp</v>
      </c>
    </row>
    <row r="3030" ht="14.25" hidden="1" customHeight="1">
      <c r="A3030" s="8" t="s">
        <v>708</v>
      </c>
      <c r="B3030" s="8" t="s">
        <v>3322</v>
      </c>
      <c r="C3030" s="121" t="str">
        <f t="shared" si="110"/>
        <v>http://www.sanfrancisco.va.gov/contact/phone_directory.asp</v>
      </c>
    </row>
    <row r="3031" ht="14.25" hidden="1" customHeight="1">
      <c r="A3031" s="8" t="s">
        <v>1730</v>
      </c>
      <c r="B3031" s="8" t="s">
        <v>3322</v>
      </c>
      <c r="C3031" s="121" t="str">
        <f t="shared" si="110"/>
        <v>http://www.sanfrancisco.va.gov/contact/phone_directory.asp</v>
      </c>
    </row>
    <row r="3032" ht="14.25" hidden="1" customHeight="1">
      <c r="A3032" s="8" t="s">
        <v>1171</v>
      </c>
      <c r="B3032" s="8" t="s">
        <v>3322</v>
      </c>
      <c r="C3032" s="121" t="str">
        <f t="shared" si="110"/>
        <v>http://www.sanfrancisco.va.gov/contact/phone_directory.asp</v>
      </c>
    </row>
    <row r="3033" ht="14.25" hidden="1" customHeight="1">
      <c r="A3033" s="8" t="s">
        <v>3340</v>
      </c>
      <c r="B3033" s="8" t="s">
        <v>3322</v>
      </c>
      <c r="C3033" s="121" t="str">
        <f t="shared" si="110"/>
        <v>http://www.sanfrancisco.va.gov/contact/phone_directory.asp</v>
      </c>
    </row>
    <row r="3034" ht="14.25" hidden="1" customHeight="1">
      <c r="A3034" s="8" t="s">
        <v>3341</v>
      </c>
      <c r="B3034" s="8" t="s">
        <v>3322</v>
      </c>
      <c r="C3034" s="121" t="str">
        <f t="shared" si="110"/>
        <v>http://www.sanfrancisco.va.gov/contact/phone_directory.asp</v>
      </c>
    </row>
    <row r="3035" ht="14.25" hidden="1" customHeight="1">
      <c r="A3035" s="8" t="s">
        <v>3342</v>
      </c>
      <c r="B3035" s="8" t="s">
        <v>3322</v>
      </c>
      <c r="C3035" s="121" t="str">
        <f t="shared" si="110"/>
        <v>http://www.sanfrancisco.va.gov/contact/phone_directory.asp</v>
      </c>
    </row>
    <row r="3036" ht="14.25" hidden="1" customHeight="1">
      <c r="A3036" s="8" t="s">
        <v>804</v>
      </c>
      <c r="B3036" s="8" t="s">
        <v>3322</v>
      </c>
      <c r="C3036" s="121" t="str">
        <f t="shared" si="110"/>
        <v>http://www.sanfrancisco.va.gov/contact/phone_directory.asp</v>
      </c>
    </row>
    <row r="3037" ht="14.25" hidden="1" customHeight="1">
      <c r="A3037" s="8" t="s">
        <v>3343</v>
      </c>
      <c r="B3037" s="8" t="s">
        <v>3322</v>
      </c>
      <c r="C3037" s="121" t="str">
        <f t="shared" si="110"/>
        <v>http://www.sanfrancisco.va.gov/contact/phone_directory.asp</v>
      </c>
    </row>
    <row r="3038" ht="14.25" hidden="1" customHeight="1">
      <c r="A3038" s="8" t="s">
        <v>3344</v>
      </c>
      <c r="B3038" s="8" t="s">
        <v>3322</v>
      </c>
      <c r="C3038" s="121" t="str">
        <f t="shared" si="110"/>
        <v>http://www.sanfrancisco.va.gov/contact/phone_directory.asp</v>
      </c>
    </row>
    <row r="3039" ht="14.25" hidden="1" customHeight="1">
      <c r="A3039" s="8" t="s">
        <v>469</v>
      </c>
      <c r="B3039" s="8" t="s">
        <v>3322</v>
      </c>
      <c r="C3039" s="121" t="str">
        <f t="shared" si="110"/>
        <v>http://www.sanfrancisco.va.gov/contact/phone_directory.asp</v>
      </c>
    </row>
    <row r="3040" ht="14.25" hidden="1" customHeight="1">
      <c r="A3040" s="8" t="s">
        <v>518</v>
      </c>
      <c r="B3040" s="8" t="s">
        <v>3322</v>
      </c>
      <c r="C3040" s="121" t="str">
        <f t="shared" si="110"/>
        <v>http://www.sanfrancisco.va.gov/contact/phone_directory.asp</v>
      </c>
    </row>
    <row r="3041" ht="14.25" hidden="1" customHeight="1">
      <c r="A3041" s="8" t="s">
        <v>2734</v>
      </c>
      <c r="B3041" s="8" t="s">
        <v>3322</v>
      </c>
      <c r="C3041" s="121" t="str">
        <f t="shared" si="110"/>
        <v>http://www.sanfrancisco.va.gov/contact/phone_directory.asp</v>
      </c>
    </row>
    <row r="3042" ht="14.25" hidden="1" customHeight="1">
      <c r="A3042" s="8" t="s">
        <v>624</v>
      </c>
      <c r="B3042" s="8" t="s">
        <v>3345</v>
      </c>
      <c r="C3042" s="121" t="str">
        <f t="shared" ref="C3042:C3059" si="111">HYPERLINK("http://www.sheridan.va.gov/contact/phone_directory.asp")</f>
        <v>http://www.sheridan.va.gov/contact/phone_directory.asp</v>
      </c>
    </row>
    <row r="3043" ht="14.25" hidden="1" customHeight="1">
      <c r="A3043" s="8" t="s">
        <v>631</v>
      </c>
      <c r="B3043" s="8" t="s">
        <v>3345</v>
      </c>
      <c r="C3043" s="121" t="str">
        <f t="shared" si="111"/>
        <v>http://www.sheridan.va.gov/contact/phone_directory.asp</v>
      </c>
    </row>
    <row r="3044" ht="14.25" hidden="1" customHeight="1">
      <c r="A3044" s="8" t="s">
        <v>638</v>
      </c>
      <c r="B3044" s="8" t="s">
        <v>3345</v>
      </c>
      <c r="C3044" s="121" t="str">
        <f t="shared" si="111"/>
        <v>http://www.sheridan.va.gov/contact/phone_directory.asp</v>
      </c>
    </row>
    <row r="3045" ht="14.25" hidden="1" customHeight="1">
      <c r="A3045" s="8" t="s">
        <v>478</v>
      </c>
      <c r="B3045" s="8" t="s">
        <v>3345</v>
      </c>
      <c r="C3045" s="121" t="str">
        <f t="shared" si="111"/>
        <v>http://www.sheridan.va.gov/contact/phone_directory.asp</v>
      </c>
    </row>
    <row r="3046" ht="14.25" hidden="1" customHeight="1">
      <c r="A3046" s="8" t="s">
        <v>455</v>
      </c>
      <c r="B3046" s="8" t="s">
        <v>3345</v>
      </c>
      <c r="C3046" s="121" t="str">
        <f t="shared" si="111"/>
        <v>http://www.sheridan.va.gov/contact/phone_directory.asp</v>
      </c>
    </row>
    <row r="3047" ht="14.25" hidden="1" customHeight="1">
      <c r="A3047" s="8" t="s">
        <v>2423</v>
      </c>
      <c r="B3047" s="8" t="s">
        <v>3345</v>
      </c>
      <c r="C3047" s="121" t="str">
        <f t="shared" si="111"/>
        <v>http://www.sheridan.va.gov/contact/phone_directory.asp</v>
      </c>
    </row>
    <row r="3048" ht="14.25" hidden="1" customHeight="1">
      <c r="A3048" s="8" t="s">
        <v>663</v>
      </c>
      <c r="B3048" s="8" t="s">
        <v>3345</v>
      </c>
      <c r="C3048" s="121" t="str">
        <f t="shared" si="111"/>
        <v>http://www.sheridan.va.gov/contact/phone_directory.asp</v>
      </c>
    </row>
    <row r="3049" ht="14.25" hidden="1" customHeight="1">
      <c r="A3049" s="8" t="s">
        <v>3348</v>
      </c>
      <c r="B3049" s="8" t="s">
        <v>3345</v>
      </c>
      <c r="C3049" s="121" t="str">
        <f t="shared" si="111"/>
        <v>http://www.sheridan.va.gov/contact/phone_directory.asp</v>
      </c>
    </row>
    <row r="3050" ht="14.25" hidden="1" customHeight="1">
      <c r="A3050" s="8" t="s">
        <v>437</v>
      </c>
      <c r="B3050" s="8" t="s">
        <v>3345</v>
      </c>
      <c r="C3050" s="121" t="str">
        <f t="shared" si="111"/>
        <v>http://www.sheridan.va.gov/contact/phone_directory.asp</v>
      </c>
    </row>
    <row r="3051" ht="14.25" hidden="1" customHeight="1">
      <c r="A3051" s="8" t="s">
        <v>683</v>
      </c>
      <c r="B3051" s="8" t="s">
        <v>3345</v>
      </c>
      <c r="C3051" s="121" t="str">
        <f t="shared" si="111"/>
        <v>http://www.sheridan.va.gov/contact/phone_directory.asp</v>
      </c>
    </row>
    <row r="3052" ht="14.25" hidden="1" customHeight="1">
      <c r="A3052" s="8" t="s">
        <v>691</v>
      </c>
      <c r="B3052" s="8" t="s">
        <v>3345</v>
      </c>
      <c r="C3052" s="121" t="str">
        <f t="shared" si="111"/>
        <v>http://www.sheridan.va.gov/contact/phone_directory.asp</v>
      </c>
    </row>
    <row r="3053" ht="14.25" hidden="1" customHeight="1">
      <c r="A3053" s="8" t="s">
        <v>3349</v>
      </c>
      <c r="B3053" s="8" t="s">
        <v>3345</v>
      </c>
      <c r="C3053" s="121" t="str">
        <f t="shared" si="111"/>
        <v>http://www.sheridan.va.gov/contact/phone_directory.asp</v>
      </c>
    </row>
    <row r="3054" ht="14.25" hidden="1" customHeight="1">
      <c r="A3054" s="8" t="s">
        <v>694</v>
      </c>
      <c r="B3054" s="8" t="s">
        <v>3345</v>
      </c>
      <c r="C3054" s="121" t="str">
        <f t="shared" si="111"/>
        <v>http://www.sheridan.va.gov/contact/phone_directory.asp</v>
      </c>
    </row>
    <row r="3055" ht="14.25" hidden="1" customHeight="1">
      <c r="A3055" s="8" t="s">
        <v>697</v>
      </c>
      <c r="B3055" s="8" t="s">
        <v>3345</v>
      </c>
      <c r="C3055" s="121" t="str">
        <f t="shared" si="111"/>
        <v>http://www.sheridan.va.gov/contact/phone_directory.asp</v>
      </c>
    </row>
    <row r="3056" ht="14.25" hidden="1" customHeight="1">
      <c r="A3056" s="8" t="s">
        <v>708</v>
      </c>
      <c r="B3056" s="8" t="s">
        <v>3345</v>
      </c>
      <c r="C3056" s="121" t="str">
        <f t="shared" si="111"/>
        <v>http://www.sheridan.va.gov/contact/phone_directory.asp</v>
      </c>
    </row>
    <row r="3057" ht="14.25" hidden="1" customHeight="1">
      <c r="A3057" s="8" t="s">
        <v>712</v>
      </c>
      <c r="B3057" s="8" t="s">
        <v>3345</v>
      </c>
      <c r="C3057" s="121" t="str">
        <f t="shared" si="111"/>
        <v>http://www.sheridan.va.gov/contact/phone_directory.asp</v>
      </c>
    </row>
    <row r="3058" ht="14.25" hidden="1" customHeight="1">
      <c r="A3058" s="8" t="s">
        <v>724</v>
      </c>
      <c r="B3058" s="8" t="s">
        <v>3345</v>
      </c>
      <c r="C3058" s="121" t="str">
        <f t="shared" si="111"/>
        <v>http://www.sheridan.va.gov/contact/phone_directory.asp</v>
      </c>
    </row>
    <row r="3059" ht="14.25" hidden="1" customHeight="1">
      <c r="A3059" s="8" t="s">
        <v>1367</v>
      </c>
      <c r="B3059" s="8" t="s">
        <v>3345</v>
      </c>
      <c r="C3059" s="121" t="str">
        <f t="shared" si="111"/>
        <v>http://www.sheridan.va.gov/contact/phone_directory.asp</v>
      </c>
    </row>
    <row r="3060" ht="14.25" hidden="1" customHeight="1">
      <c r="A3060" s="8" t="s">
        <v>624</v>
      </c>
      <c r="B3060" s="8" t="s">
        <v>3351</v>
      </c>
      <c r="C3060" s="121" t="str">
        <f t="shared" ref="C3060:C3068" si="112">HYPERLINK("http://www.shreveport.va.gov/contact/phone_directory.asp")</f>
        <v>http://www.shreveport.va.gov/contact/phone_directory.asp</v>
      </c>
    </row>
    <row r="3061" ht="14.25" hidden="1" customHeight="1">
      <c r="A3061" s="8" t="s">
        <v>631</v>
      </c>
      <c r="B3061" s="8" t="s">
        <v>3351</v>
      </c>
      <c r="C3061" s="121" t="str">
        <f t="shared" si="112"/>
        <v>http://www.shreveport.va.gov/contact/phone_directory.asp</v>
      </c>
    </row>
    <row r="3062" ht="14.25" hidden="1" customHeight="1">
      <c r="A3062" s="8" t="s">
        <v>1856</v>
      </c>
      <c r="B3062" s="8" t="s">
        <v>3351</v>
      </c>
      <c r="C3062" s="121" t="str">
        <f t="shared" si="112"/>
        <v>http://www.shreveport.va.gov/contact/phone_directory.asp</v>
      </c>
    </row>
    <row r="3063" ht="14.25" hidden="1" customHeight="1">
      <c r="A3063" s="8" t="s">
        <v>638</v>
      </c>
      <c r="B3063" s="8" t="s">
        <v>3351</v>
      </c>
      <c r="C3063" s="121" t="str">
        <f t="shared" si="112"/>
        <v>http://www.shreveport.va.gov/contact/phone_directory.asp</v>
      </c>
    </row>
    <row r="3064" ht="14.25" hidden="1" customHeight="1">
      <c r="A3064" s="8" t="s">
        <v>1827</v>
      </c>
      <c r="B3064" s="8" t="s">
        <v>3351</v>
      </c>
      <c r="C3064" s="121" t="str">
        <f t="shared" si="112"/>
        <v>http://www.shreveport.va.gov/contact/phone_directory.asp</v>
      </c>
    </row>
    <row r="3065" ht="14.25" hidden="1" customHeight="1">
      <c r="A3065" s="8" t="s">
        <v>872</v>
      </c>
      <c r="B3065" s="8" t="s">
        <v>3351</v>
      </c>
      <c r="C3065" s="121" t="str">
        <f t="shared" si="112"/>
        <v>http://www.shreveport.va.gov/contact/phone_directory.asp</v>
      </c>
    </row>
    <row r="3066" ht="14.25" hidden="1" customHeight="1">
      <c r="A3066" s="8" t="s">
        <v>663</v>
      </c>
      <c r="B3066" s="8" t="s">
        <v>3351</v>
      </c>
      <c r="C3066" s="121" t="str">
        <f t="shared" si="112"/>
        <v>http://www.shreveport.va.gov/contact/phone_directory.asp</v>
      </c>
    </row>
    <row r="3067" ht="14.25" hidden="1" customHeight="1">
      <c r="A3067" s="8" t="s">
        <v>1626</v>
      </c>
      <c r="B3067" s="8" t="s">
        <v>3351</v>
      </c>
      <c r="C3067" s="121" t="str">
        <f t="shared" si="112"/>
        <v>http://www.shreveport.va.gov/contact/phone_directory.asp</v>
      </c>
    </row>
    <row r="3068" ht="14.25" hidden="1" customHeight="1">
      <c r="A3068" s="8" t="s">
        <v>708</v>
      </c>
      <c r="B3068" s="8" t="s">
        <v>3351</v>
      </c>
      <c r="C3068" s="121" t="str">
        <f t="shared" si="112"/>
        <v>http://www.shreveport.va.gov/contact/phone_directory.asp</v>
      </c>
    </row>
    <row r="3069" ht="14.25" hidden="1" customHeight="1">
      <c r="A3069" s="8" t="s">
        <v>2261</v>
      </c>
      <c r="B3069" s="8" t="s">
        <v>3354</v>
      </c>
      <c r="C3069" s="121" t="str">
        <f t="shared" ref="C3069:C3094" si="113">HYPERLINK("http://www.siouxfalls.va.gov/contact/phone_directory.asp")</f>
        <v>http://www.siouxfalls.va.gov/contact/phone_directory.asp</v>
      </c>
    </row>
    <row r="3070" ht="14.25" hidden="1" customHeight="1">
      <c r="A3070" s="8" t="s">
        <v>624</v>
      </c>
      <c r="B3070" s="8" t="s">
        <v>3354</v>
      </c>
      <c r="C3070" s="121" t="str">
        <f t="shared" si="113"/>
        <v>http://www.siouxfalls.va.gov/contact/phone_directory.asp</v>
      </c>
    </row>
    <row r="3071" ht="14.25" hidden="1" customHeight="1">
      <c r="A3071" s="8" t="s">
        <v>633</v>
      </c>
      <c r="B3071" s="8" t="s">
        <v>3354</v>
      </c>
      <c r="C3071" s="121" t="str">
        <f t="shared" si="113"/>
        <v>http://www.siouxfalls.va.gov/contact/phone_directory.asp</v>
      </c>
    </row>
    <row r="3072" ht="14.25" hidden="1" customHeight="1">
      <c r="A3072" s="8" t="s">
        <v>828</v>
      </c>
      <c r="B3072" s="8" t="s">
        <v>3354</v>
      </c>
      <c r="C3072" s="121" t="str">
        <f t="shared" si="113"/>
        <v>http://www.siouxfalls.va.gov/contact/phone_directory.asp</v>
      </c>
    </row>
    <row r="3073" ht="14.25" hidden="1" customHeight="1">
      <c r="A3073" s="8" t="s">
        <v>631</v>
      </c>
      <c r="B3073" s="8" t="s">
        <v>3354</v>
      </c>
      <c r="C3073" s="121" t="str">
        <f t="shared" si="113"/>
        <v>http://www.siouxfalls.va.gov/contact/phone_directory.asp</v>
      </c>
    </row>
    <row r="3074" ht="14.25" hidden="1" customHeight="1">
      <c r="A3074" s="8" t="s">
        <v>638</v>
      </c>
      <c r="B3074" s="8" t="s">
        <v>3354</v>
      </c>
      <c r="C3074" s="121" t="str">
        <f t="shared" si="113"/>
        <v>http://www.siouxfalls.va.gov/contact/phone_directory.asp</v>
      </c>
    </row>
    <row r="3075" ht="14.25" hidden="1" customHeight="1">
      <c r="A3075" s="8" t="s">
        <v>478</v>
      </c>
      <c r="B3075" s="8" t="s">
        <v>3354</v>
      </c>
      <c r="C3075" s="121" t="str">
        <f t="shared" si="113"/>
        <v>http://www.siouxfalls.va.gov/contact/phone_directory.asp</v>
      </c>
    </row>
    <row r="3076" ht="14.25" hidden="1" customHeight="1">
      <c r="A3076" s="8" t="s">
        <v>455</v>
      </c>
      <c r="B3076" s="8" t="s">
        <v>3354</v>
      </c>
      <c r="C3076" s="121" t="str">
        <f t="shared" si="113"/>
        <v>http://www.siouxfalls.va.gov/contact/phone_directory.asp</v>
      </c>
    </row>
    <row r="3077" ht="14.25" hidden="1" customHeight="1">
      <c r="A3077" s="8" t="s">
        <v>872</v>
      </c>
      <c r="B3077" s="8" t="s">
        <v>3354</v>
      </c>
      <c r="C3077" s="121" t="str">
        <f t="shared" si="113"/>
        <v>http://www.siouxfalls.va.gov/contact/phone_directory.asp</v>
      </c>
    </row>
    <row r="3078" ht="14.25" hidden="1" customHeight="1">
      <c r="A3078" s="8" t="s">
        <v>304</v>
      </c>
      <c r="B3078" s="8" t="s">
        <v>3354</v>
      </c>
      <c r="C3078" s="121" t="str">
        <f t="shared" si="113"/>
        <v>http://www.siouxfalls.va.gov/contact/phone_directory.asp</v>
      </c>
    </row>
    <row r="3079" ht="14.25" hidden="1" customHeight="1">
      <c r="A3079" s="8" t="s">
        <v>663</v>
      </c>
      <c r="B3079" s="8" t="s">
        <v>3354</v>
      </c>
      <c r="C3079" s="121" t="str">
        <f t="shared" si="113"/>
        <v>http://www.siouxfalls.va.gov/contact/phone_directory.asp</v>
      </c>
    </row>
    <row r="3080" ht="14.25" hidden="1" customHeight="1">
      <c r="A3080" s="8" t="s">
        <v>309</v>
      </c>
      <c r="B3080" s="8" t="s">
        <v>3354</v>
      </c>
      <c r="C3080" s="121" t="str">
        <f t="shared" si="113"/>
        <v>http://www.siouxfalls.va.gov/contact/phone_directory.asp</v>
      </c>
    </row>
    <row r="3081" ht="14.25" hidden="1" customHeight="1">
      <c r="A3081" s="8" t="s">
        <v>3359</v>
      </c>
      <c r="B3081" s="8" t="s">
        <v>3354</v>
      </c>
      <c r="C3081" s="121" t="str">
        <f t="shared" si="113"/>
        <v>http://www.siouxfalls.va.gov/contact/phone_directory.asp</v>
      </c>
    </row>
    <row r="3082" ht="14.25" hidden="1" customHeight="1">
      <c r="A3082" s="8" t="s">
        <v>683</v>
      </c>
      <c r="B3082" s="8" t="s">
        <v>3354</v>
      </c>
      <c r="C3082" s="121" t="str">
        <f t="shared" si="113"/>
        <v>http://www.siouxfalls.va.gov/contact/phone_directory.asp</v>
      </c>
    </row>
    <row r="3083" ht="14.25" hidden="1" customHeight="1">
      <c r="A3083" s="8" t="s">
        <v>1172</v>
      </c>
      <c r="B3083" s="8" t="s">
        <v>3354</v>
      </c>
      <c r="C3083" s="121" t="str">
        <f t="shared" si="113"/>
        <v>http://www.siouxfalls.va.gov/contact/phone_directory.asp</v>
      </c>
    </row>
    <row r="3084" ht="14.25" hidden="1" customHeight="1">
      <c r="A3084" s="8" t="s">
        <v>691</v>
      </c>
      <c r="B3084" s="8" t="s">
        <v>3354</v>
      </c>
      <c r="C3084" s="121" t="str">
        <f t="shared" si="113"/>
        <v>http://www.siouxfalls.va.gov/contact/phone_directory.asp</v>
      </c>
    </row>
    <row r="3085" ht="14.25" hidden="1" customHeight="1">
      <c r="A3085" s="8" t="s">
        <v>603</v>
      </c>
      <c r="B3085" s="8" t="s">
        <v>3354</v>
      </c>
      <c r="C3085" s="121" t="str">
        <f t="shared" si="113"/>
        <v>http://www.siouxfalls.va.gov/contact/phone_directory.asp</v>
      </c>
    </row>
    <row r="3086" ht="14.25" hidden="1" customHeight="1">
      <c r="A3086" s="8" t="s">
        <v>1940</v>
      </c>
      <c r="B3086" s="8" t="s">
        <v>3354</v>
      </c>
      <c r="C3086" s="121" t="str">
        <f t="shared" si="113"/>
        <v>http://www.siouxfalls.va.gov/contact/phone_directory.asp</v>
      </c>
    </row>
    <row r="3087" ht="14.25" hidden="1" customHeight="1">
      <c r="A3087" s="8" t="s">
        <v>1280</v>
      </c>
      <c r="B3087" s="8" t="s">
        <v>3354</v>
      </c>
      <c r="C3087" s="121" t="str">
        <f t="shared" si="113"/>
        <v>http://www.siouxfalls.va.gov/contact/phone_directory.asp</v>
      </c>
    </row>
    <row r="3088" ht="14.25" hidden="1" customHeight="1">
      <c r="A3088" s="8" t="s">
        <v>697</v>
      </c>
      <c r="B3088" s="8" t="s">
        <v>3354</v>
      </c>
      <c r="C3088" s="121" t="str">
        <f t="shared" si="113"/>
        <v>http://www.siouxfalls.va.gov/contact/phone_directory.asp</v>
      </c>
    </row>
    <row r="3089" ht="14.25" hidden="1" customHeight="1">
      <c r="A3089" s="8" t="s">
        <v>348</v>
      </c>
      <c r="B3089" s="8" t="s">
        <v>3354</v>
      </c>
      <c r="C3089" s="121" t="str">
        <f t="shared" si="113"/>
        <v>http://www.siouxfalls.va.gov/contact/phone_directory.asp</v>
      </c>
    </row>
    <row r="3090" ht="14.25" hidden="1" customHeight="1">
      <c r="A3090" s="8" t="s">
        <v>708</v>
      </c>
      <c r="B3090" s="8" t="s">
        <v>3354</v>
      </c>
      <c r="C3090" s="121" t="str">
        <f t="shared" si="113"/>
        <v>http://www.siouxfalls.va.gov/contact/phone_directory.asp</v>
      </c>
    </row>
    <row r="3091" ht="14.25" hidden="1" customHeight="1">
      <c r="A3091" s="8" t="s">
        <v>712</v>
      </c>
      <c r="B3091" s="8" t="s">
        <v>3354</v>
      </c>
      <c r="C3091" s="121" t="str">
        <f t="shared" si="113"/>
        <v>http://www.siouxfalls.va.gov/contact/phone_directory.asp</v>
      </c>
    </row>
    <row r="3092" ht="14.25" hidden="1" customHeight="1">
      <c r="A3092" s="8" t="s">
        <v>3363</v>
      </c>
      <c r="B3092" s="8" t="s">
        <v>3354</v>
      </c>
      <c r="C3092" s="121" t="str">
        <f t="shared" si="113"/>
        <v>http://www.siouxfalls.va.gov/contact/phone_directory.asp</v>
      </c>
    </row>
    <row r="3093" ht="14.25" hidden="1" customHeight="1">
      <c r="A3093" s="8" t="s">
        <v>724</v>
      </c>
      <c r="B3093" s="8" t="s">
        <v>3354</v>
      </c>
      <c r="C3093" s="121" t="str">
        <f t="shared" si="113"/>
        <v>http://www.siouxfalls.va.gov/contact/phone_directory.asp</v>
      </c>
    </row>
    <row r="3094" ht="14.25" hidden="1" customHeight="1">
      <c r="A3094" s="8" t="s">
        <v>518</v>
      </c>
      <c r="B3094" s="8" t="s">
        <v>3354</v>
      </c>
      <c r="C3094" s="121" t="str">
        <f t="shared" si="113"/>
        <v>http://www.siouxfalls.va.gov/contact/phone_directory.asp</v>
      </c>
    </row>
    <row r="3095" ht="14.25" hidden="1" customHeight="1">
      <c r="A3095" s="8" t="s">
        <v>624</v>
      </c>
      <c r="B3095" s="8" t="s">
        <v>3365</v>
      </c>
      <c r="C3095" s="121" t="str">
        <f t="shared" ref="C3095:C3106" si="114">HYPERLINK("http://www.southernoregon.va.gov/contact/phone_directory.asp")</f>
        <v>http://www.southernoregon.va.gov/contact/phone_directory.asp</v>
      </c>
    </row>
    <row r="3096" ht="14.25" hidden="1" customHeight="1">
      <c r="A3096" s="8" t="s">
        <v>631</v>
      </c>
      <c r="B3096" s="8" t="s">
        <v>3365</v>
      </c>
      <c r="C3096" s="121" t="str">
        <f t="shared" si="114"/>
        <v>http://www.southernoregon.va.gov/contact/phone_directory.asp</v>
      </c>
    </row>
    <row r="3097" ht="14.25" hidden="1" customHeight="1">
      <c r="A3097" s="8" t="s">
        <v>864</v>
      </c>
      <c r="B3097" s="8" t="s">
        <v>3365</v>
      </c>
      <c r="C3097" s="121" t="str">
        <f t="shared" si="114"/>
        <v>http://www.southernoregon.va.gov/contact/phone_directory.asp</v>
      </c>
    </row>
    <row r="3098" ht="14.25" hidden="1" customHeight="1">
      <c r="A3098" s="8" t="s">
        <v>1811</v>
      </c>
      <c r="B3098" s="8" t="s">
        <v>3365</v>
      </c>
      <c r="C3098" s="121" t="str">
        <f t="shared" si="114"/>
        <v>http://www.southernoregon.va.gov/contact/phone_directory.asp</v>
      </c>
    </row>
    <row r="3099" ht="14.25" hidden="1" customHeight="1">
      <c r="A3099" s="8" t="s">
        <v>455</v>
      </c>
      <c r="B3099" s="8" t="s">
        <v>3365</v>
      </c>
      <c r="C3099" s="121" t="str">
        <f t="shared" si="114"/>
        <v>http://www.southernoregon.va.gov/contact/phone_directory.asp</v>
      </c>
    </row>
    <row r="3100" ht="14.25" hidden="1" customHeight="1">
      <c r="A3100" s="8" t="s">
        <v>663</v>
      </c>
      <c r="B3100" s="8" t="s">
        <v>3365</v>
      </c>
      <c r="C3100" s="121" t="str">
        <f t="shared" si="114"/>
        <v>http://www.southernoregon.va.gov/contact/phone_directory.asp</v>
      </c>
    </row>
    <row r="3101" ht="14.25" hidden="1" customHeight="1">
      <c r="A3101" s="8" t="s">
        <v>907</v>
      </c>
      <c r="B3101" s="8" t="s">
        <v>3365</v>
      </c>
      <c r="C3101" s="121" t="str">
        <f t="shared" si="114"/>
        <v>http://www.southernoregon.va.gov/contact/phone_directory.asp</v>
      </c>
    </row>
    <row r="3102" ht="14.25" hidden="1" customHeight="1">
      <c r="A3102" s="8" t="s">
        <v>697</v>
      </c>
      <c r="B3102" s="8" t="s">
        <v>3365</v>
      </c>
      <c r="C3102" s="121" t="str">
        <f t="shared" si="114"/>
        <v>http://www.southernoregon.va.gov/contact/phone_directory.asp</v>
      </c>
    </row>
    <row r="3103" ht="14.25" hidden="1" customHeight="1">
      <c r="A3103" s="8" t="s">
        <v>708</v>
      </c>
      <c r="B3103" s="8" t="s">
        <v>3365</v>
      </c>
      <c r="C3103" s="121" t="str">
        <f t="shared" si="114"/>
        <v>http://www.southernoregon.va.gov/contact/phone_directory.asp</v>
      </c>
    </row>
    <row r="3104" ht="14.25" hidden="1" customHeight="1">
      <c r="A3104" s="8" t="s">
        <v>724</v>
      </c>
      <c r="B3104" s="8" t="s">
        <v>3365</v>
      </c>
      <c r="C3104" s="121" t="str">
        <f t="shared" si="114"/>
        <v>http://www.southernoregon.va.gov/contact/phone_directory.asp</v>
      </c>
    </row>
    <row r="3105" ht="14.25" hidden="1" customHeight="1">
      <c r="A3105" s="8" t="s">
        <v>518</v>
      </c>
      <c r="B3105" s="8" t="s">
        <v>3365</v>
      </c>
      <c r="C3105" s="121" t="str">
        <f t="shared" si="114"/>
        <v>http://www.southernoregon.va.gov/contact/phone_directory.asp</v>
      </c>
    </row>
    <row r="3106" ht="14.25" hidden="1" customHeight="1">
      <c r="A3106" s="8" t="s">
        <v>2734</v>
      </c>
      <c r="B3106" s="8" t="s">
        <v>3365</v>
      </c>
      <c r="C3106" s="121" t="str">
        <f t="shared" si="114"/>
        <v>http://www.southernoregon.va.gov/contact/phone_directory.asp</v>
      </c>
    </row>
    <row r="3107" ht="14.25" hidden="1" customHeight="1">
      <c r="A3107" s="8" t="s">
        <v>3369</v>
      </c>
      <c r="B3107" s="8" t="s">
        <v>3370</v>
      </c>
      <c r="C3107" s="121" t="str">
        <f>HYPERLINK("http://www.southtexas.va.gov/contact/phone_directory.asp")</f>
        <v>http://www.southtexas.va.gov/contact/phone_directory.asp</v>
      </c>
    </row>
    <row r="3108" ht="14.25" hidden="1" customHeight="1">
      <c r="A3108" s="8" t="s">
        <v>478</v>
      </c>
      <c r="B3108" s="8" t="s">
        <v>3372</v>
      </c>
      <c r="C3108" s="121" t="str">
        <f t="shared" ref="C3108:C3116" si="115">HYPERLINK("http://www.spokane.va.gov/contact/phone_directory.asp")</f>
        <v>http://www.spokane.va.gov/contact/phone_directory.asp</v>
      </c>
    </row>
    <row r="3109" ht="14.25" hidden="1" customHeight="1">
      <c r="A3109" s="8" t="s">
        <v>308</v>
      </c>
      <c r="B3109" s="8" t="s">
        <v>3372</v>
      </c>
      <c r="C3109" s="121" t="str">
        <f t="shared" si="115"/>
        <v>http://www.spokane.va.gov/contact/phone_directory.asp</v>
      </c>
    </row>
    <row r="3110" ht="14.25" hidden="1" customHeight="1">
      <c r="A3110" s="8" t="s">
        <v>323</v>
      </c>
      <c r="B3110" s="8" t="s">
        <v>3372</v>
      </c>
      <c r="C3110" s="121" t="str">
        <f t="shared" si="115"/>
        <v>http://www.spokane.va.gov/contact/phone_directory.asp</v>
      </c>
    </row>
    <row r="3111" ht="14.25" hidden="1" customHeight="1">
      <c r="A3111" s="8" t="s">
        <v>3374</v>
      </c>
      <c r="B3111" s="8" t="s">
        <v>3372</v>
      </c>
      <c r="C3111" s="121" t="str">
        <f t="shared" si="115"/>
        <v>http://www.spokane.va.gov/contact/phone_directory.asp</v>
      </c>
    </row>
    <row r="3112" ht="14.25" hidden="1" customHeight="1">
      <c r="A3112" s="8" t="s">
        <v>3375</v>
      </c>
      <c r="B3112" s="8" t="s">
        <v>3372</v>
      </c>
      <c r="C3112" s="121" t="str">
        <f t="shared" si="115"/>
        <v>http://www.spokane.va.gov/contact/phone_directory.asp</v>
      </c>
    </row>
    <row r="3113" ht="14.25" hidden="1" customHeight="1">
      <c r="A3113" s="8" t="s">
        <v>3376</v>
      </c>
      <c r="B3113" s="8" t="s">
        <v>3372</v>
      </c>
      <c r="C3113" s="121" t="str">
        <f t="shared" si="115"/>
        <v>http://www.spokane.va.gov/contact/phone_directory.asp</v>
      </c>
    </row>
    <row r="3114" ht="14.25" hidden="1" customHeight="1">
      <c r="A3114" s="8" t="s">
        <v>724</v>
      </c>
      <c r="B3114" s="8" t="s">
        <v>3372</v>
      </c>
      <c r="C3114" s="121" t="str">
        <f t="shared" si="115"/>
        <v>http://www.spokane.va.gov/contact/phone_directory.asp</v>
      </c>
    </row>
    <row r="3115" ht="14.25" hidden="1" customHeight="1">
      <c r="A3115" s="8" t="s">
        <v>3377</v>
      </c>
      <c r="B3115" s="8" t="s">
        <v>3372</v>
      </c>
      <c r="C3115" s="121" t="str">
        <f t="shared" si="115"/>
        <v>http://www.spokane.va.gov/contact/phone_directory.asp</v>
      </c>
    </row>
    <row r="3116" ht="14.25" hidden="1" customHeight="1">
      <c r="A3116" s="8" t="s">
        <v>2984</v>
      </c>
      <c r="B3116" s="8" t="s">
        <v>3372</v>
      </c>
      <c r="C3116" s="121" t="str">
        <f t="shared" si="115"/>
        <v>http://www.spokane.va.gov/contact/phone_directory.asp</v>
      </c>
    </row>
    <row r="3117" ht="14.25" hidden="1" customHeight="1">
      <c r="A3117" s="8" t="s">
        <v>407</v>
      </c>
      <c r="B3117" s="8" t="s">
        <v>3379</v>
      </c>
      <c r="C3117" s="121" t="str">
        <f t="shared" ref="C3117:C3154" si="116">HYPERLINK("http://www.stcloud.va.gov/contact/phone_directory.asp")</f>
        <v>http://www.stcloud.va.gov/contact/phone_directory.asp</v>
      </c>
    </row>
    <row r="3118" ht="14.25" hidden="1" customHeight="1">
      <c r="A3118" s="8" t="s">
        <v>3380</v>
      </c>
      <c r="B3118" s="8" t="s">
        <v>3379</v>
      </c>
      <c r="C3118" s="121" t="str">
        <f t="shared" si="116"/>
        <v>http://www.stcloud.va.gov/contact/phone_directory.asp</v>
      </c>
    </row>
    <row r="3119" ht="14.25" hidden="1" customHeight="1">
      <c r="A3119" s="8" t="s">
        <v>624</v>
      </c>
      <c r="B3119" s="8" t="s">
        <v>3379</v>
      </c>
      <c r="C3119" s="121" t="str">
        <f t="shared" si="116"/>
        <v>http://www.stcloud.va.gov/contact/phone_directory.asp</v>
      </c>
    </row>
    <row r="3120" ht="14.25" hidden="1" customHeight="1">
      <c r="A3120" s="8" t="s">
        <v>631</v>
      </c>
      <c r="B3120" s="8" t="s">
        <v>3379</v>
      </c>
      <c r="C3120" s="121" t="str">
        <f t="shared" si="116"/>
        <v>http://www.stcloud.va.gov/contact/phone_directory.asp</v>
      </c>
    </row>
    <row r="3121" ht="14.25" hidden="1" customHeight="1">
      <c r="A3121" s="8" t="s">
        <v>3382</v>
      </c>
      <c r="B3121" s="8" t="s">
        <v>3379</v>
      </c>
      <c r="C3121" s="121" t="str">
        <f t="shared" si="116"/>
        <v>http://www.stcloud.va.gov/contact/phone_directory.asp</v>
      </c>
    </row>
    <row r="3122" ht="14.25" hidden="1" customHeight="1">
      <c r="A3122" s="8" t="s">
        <v>477</v>
      </c>
      <c r="B3122" s="8" t="s">
        <v>3379</v>
      </c>
      <c r="C3122" s="121" t="str">
        <f t="shared" si="116"/>
        <v>http://www.stcloud.va.gov/contact/phone_directory.asp</v>
      </c>
    </row>
    <row r="3123" ht="14.25" hidden="1" customHeight="1">
      <c r="A3123" s="8" t="s">
        <v>478</v>
      </c>
      <c r="B3123" s="8" t="s">
        <v>3379</v>
      </c>
      <c r="C3123" s="121" t="str">
        <f t="shared" si="116"/>
        <v>http://www.stcloud.va.gov/contact/phone_directory.asp</v>
      </c>
    </row>
    <row r="3124" ht="14.25" hidden="1" customHeight="1">
      <c r="A3124" s="8" t="s">
        <v>3384</v>
      </c>
      <c r="B3124" s="8" t="s">
        <v>3379</v>
      </c>
      <c r="C3124" s="121" t="str">
        <f t="shared" si="116"/>
        <v>http://www.stcloud.va.gov/contact/phone_directory.asp</v>
      </c>
    </row>
    <row r="3125" ht="14.25" hidden="1" customHeight="1">
      <c r="A3125" s="8" t="s">
        <v>692</v>
      </c>
      <c r="B3125" s="8" t="s">
        <v>3379</v>
      </c>
      <c r="C3125" s="121" t="str">
        <f t="shared" si="116"/>
        <v>http://www.stcloud.va.gov/contact/phone_directory.asp</v>
      </c>
    </row>
    <row r="3126" ht="14.25" hidden="1" customHeight="1">
      <c r="A3126" s="8" t="s">
        <v>3385</v>
      </c>
      <c r="B3126" s="8" t="s">
        <v>3379</v>
      </c>
      <c r="C3126" s="121" t="str">
        <f t="shared" si="116"/>
        <v>http://www.stcloud.va.gov/contact/phone_directory.asp</v>
      </c>
    </row>
    <row r="3127" ht="14.25" hidden="1" customHeight="1">
      <c r="A3127" s="8" t="s">
        <v>1671</v>
      </c>
      <c r="B3127" s="8" t="s">
        <v>3379</v>
      </c>
      <c r="C3127" s="121" t="str">
        <f t="shared" si="116"/>
        <v>http://www.stcloud.va.gov/contact/phone_directory.asp</v>
      </c>
    </row>
    <row r="3128" ht="14.25" hidden="1" customHeight="1">
      <c r="A3128" s="8" t="s">
        <v>3386</v>
      </c>
      <c r="B3128" s="8" t="s">
        <v>3379</v>
      </c>
      <c r="C3128" s="121" t="str">
        <f t="shared" si="116"/>
        <v>http://www.stcloud.va.gov/contact/phone_directory.asp</v>
      </c>
    </row>
    <row r="3129" ht="14.25" hidden="1" customHeight="1">
      <c r="A3129" s="8" t="s">
        <v>663</v>
      </c>
      <c r="B3129" s="8" t="s">
        <v>3379</v>
      </c>
      <c r="C3129" s="121" t="str">
        <f t="shared" si="116"/>
        <v>http://www.stcloud.va.gov/contact/phone_directory.asp</v>
      </c>
    </row>
    <row r="3130" ht="14.25" hidden="1" customHeight="1">
      <c r="A3130" s="8" t="s">
        <v>3387</v>
      </c>
      <c r="B3130" s="8" t="s">
        <v>3379</v>
      </c>
      <c r="C3130" s="121" t="str">
        <f t="shared" si="116"/>
        <v>http://www.stcloud.va.gov/contact/phone_directory.asp</v>
      </c>
    </row>
    <row r="3131" ht="14.25" hidden="1" customHeight="1">
      <c r="A3131" s="8" t="s">
        <v>1147</v>
      </c>
      <c r="B3131" s="8" t="s">
        <v>3379</v>
      </c>
      <c r="C3131" s="121" t="str">
        <f t="shared" si="116"/>
        <v>http://www.stcloud.va.gov/contact/phone_directory.asp</v>
      </c>
    </row>
    <row r="3132" ht="14.25" hidden="1" customHeight="1">
      <c r="A3132" s="8" t="s">
        <v>431</v>
      </c>
      <c r="B3132" s="8" t="s">
        <v>3379</v>
      </c>
      <c r="C3132" s="121" t="str">
        <f t="shared" si="116"/>
        <v>http://www.stcloud.va.gov/contact/phone_directory.asp</v>
      </c>
    </row>
    <row r="3133" ht="14.25" hidden="1" customHeight="1">
      <c r="A3133" s="8" t="s">
        <v>437</v>
      </c>
      <c r="B3133" s="8" t="s">
        <v>3379</v>
      </c>
      <c r="C3133" s="121" t="str">
        <f t="shared" si="116"/>
        <v>http://www.stcloud.va.gov/contact/phone_directory.asp</v>
      </c>
    </row>
    <row r="3134" ht="14.25" hidden="1" customHeight="1">
      <c r="A3134" s="8" t="s">
        <v>3390</v>
      </c>
      <c r="B3134" s="8" t="s">
        <v>3379</v>
      </c>
      <c r="C3134" s="121" t="str">
        <f t="shared" si="116"/>
        <v>http://www.stcloud.va.gov/contact/phone_directory.asp</v>
      </c>
    </row>
    <row r="3135" ht="14.25" hidden="1" customHeight="1">
      <c r="A3135" s="8" t="s">
        <v>1654</v>
      </c>
      <c r="B3135" s="8" t="s">
        <v>3379</v>
      </c>
      <c r="C3135" s="121" t="str">
        <f t="shared" si="116"/>
        <v>http://www.stcloud.va.gov/contact/phone_directory.asp</v>
      </c>
    </row>
    <row r="3136" ht="14.25" hidden="1" customHeight="1">
      <c r="A3136" s="8" t="s">
        <v>325</v>
      </c>
      <c r="B3136" s="8" t="s">
        <v>3379</v>
      </c>
      <c r="C3136" s="121" t="str">
        <f t="shared" si="116"/>
        <v>http://www.stcloud.va.gov/contact/phone_directory.asp</v>
      </c>
    </row>
    <row r="3137" ht="14.25" hidden="1" customHeight="1">
      <c r="A3137" s="8" t="s">
        <v>691</v>
      </c>
      <c r="B3137" s="8" t="s">
        <v>3379</v>
      </c>
      <c r="C3137" s="121" t="str">
        <f t="shared" si="116"/>
        <v>http://www.stcloud.va.gov/contact/phone_directory.asp</v>
      </c>
    </row>
    <row r="3138" ht="14.25" hidden="1" customHeight="1">
      <c r="A3138" s="8" t="s">
        <v>334</v>
      </c>
      <c r="B3138" s="8" t="s">
        <v>3379</v>
      </c>
      <c r="C3138" s="121" t="str">
        <f t="shared" si="116"/>
        <v>http://www.stcloud.va.gov/contact/phone_directory.asp</v>
      </c>
    </row>
    <row r="3139" ht="14.25" hidden="1" customHeight="1">
      <c r="A3139" s="8" t="s">
        <v>907</v>
      </c>
      <c r="B3139" s="8" t="s">
        <v>3379</v>
      </c>
      <c r="C3139" s="121" t="str">
        <f t="shared" si="116"/>
        <v>http://www.stcloud.va.gov/contact/phone_directory.asp</v>
      </c>
    </row>
    <row r="3140" ht="14.25" hidden="1" customHeight="1">
      <c r="A3140" s="8" t="s">
        <v>348</v>
      </c>
      <c r="B3140" s="8" t="s">
        <v>3379</v>
      </c>
      <c r="C3140" s="121" t="str">
        <f t="shared" si="116"/>
        <v>http://www.stcloud.va.gov/contact/phone_directory.asp</v>
      </c>
    </row>
    <row r="3141" ht="14.25" hidden="1" customHeight="1">
      <c r="A3141" s="8" t="s">
        <v>778</v>
      </c>
      <c r="B3141" s="8" t="s">
        <v>3379</v>
      </c>
      <c r="C3141" s="121" t="str">
        <f t="shared" si="116"/>
        <v>http://www.stcloud.va.gov/contact/phone_directory.asp</v>
      </c>
    </row>
    <row r="3142" ht="14.25" hidden="1" customHeight="1">
      <c r="A3142" s="8" t="s">
        <v>708</v>
      </c>
      <c r="B3142" s="8" t="s">
        <v>3379</v>
      </c>
      <c r="C3142" s="121" t="str">
        <f t="shared" si="116"/>
        <v>http://www.stcloud.va.gov/contact/phone_directory.asp</v>
      </c>
    </row>
    <row r="3143" ht="14.25" hidden="1" customHeight="1">
      <c r="A3143" s="8" t="s">
        <v>1054</v>
      </c>
      <c r="B3143" s="8" t="s">
        <v>3379</v>
      </c>
      <c r="C3143" s="121" t="str">
        <f t="shared" si="116"/>
        <v>http://www.stcloud.va.gov/contact/phone_directory.asp</v>
      </c>
    </row>
    <row r="3144" ht="14.25" hidden="1" customHeight="1">
      <c r="A3144" s="8" t="s">
        <v>364</v>
      </c>
      <c r="B3144" s="8" t="s">
        <v>3379</v>
      </c>
      <c r="C3144" s="121" t="str">
        <f t="shared" si="116"/>
        <v>http://www.stcloud.va.gov/contact/phone_directory.asp</v>
      </c>
    </row>
    <row r="3145" ht="14.25" hidden="1" customHeight="1">
      <c r="A3145" s="8" t="s">
        <v>564</v>
      </c>
      <c r="B3145" s="8" t="s">
        <v>3379</v>
      </c>
      <c r="C3145" s="121" t="str">
        <f t="shared" si="116"/>
        <v>http://www.stcloud.va.gov/contact/phone_directory.asp</v>
      </c>
    </row>
    <row r="3146" ht="14.25" hidden="1" customHeight="1">
      <c r="A3146" s="8" t="s">
        <v>3395</v>
      </c>
      <c r="B3146" s="8" t="s">
        <v>3379</v>
      </c>
      <c r="C3146" s="121" t="str">
        <f t="shared" si="116"/>
        <v>http://www.stcloud.va.gov/contact/phone_directory.asp</v>
      </c>
    </row>
    <row r="3147" ht="14.25" hidden="1" customHeight="1">
      <c r="A3147" s="8" t="s">
        <v>724</v>
      </c>
      <c r="B3147" s="8" t="s">
        <v>3379</v>
      </c>
      <c r="C3147" s="121" t="str">
        <f t="shared" si="116"/>
        <v>http://www.stcloud.va.gov/contact/phone_directory.asp</v>
      </c>
    </row>
    <row r="3148" ht="14.25" hidden="1" customHeight="1">
      <c r="A3148" s="8" t="s">
        <v>3396</v>
      </c>
      <c r="B3148" s="8" t="s">
        <v>3379</v>
      </c>
      <c r="C3148" s="121" t="str">
        <f t="shared" si="116"/>
        <v>http://www.stcloud.va.gov/contact/phone_directory.asp</v>
      </c>
    </row>
    <row r="3149" ht="14.25" hidden="1" customHeight="1">
      <c r="A3149" s="8" t="s">
        <v>3398</v>
      </c>
      <c r="B3149" s="8" t="s">
        <v>3379</v>
      </c>
      <c r="C3149" s="121" t="str">
        <f t="shared" si="116"/>
        <v>http://www.stcloud.va.gov/contact/phone_directory.asp</v>
      </c>
    </row>
    <row r="3150" ht="14.25" hidden="1" customHeight="1">
      <c r="A3150" s="8" t="s">
        <v>3399</v>
      </c>
      <c r="B3150" s="8" t="s">
        <v>3379</v>
      </c>
      <c r="C3150" s="121" t="str">
        <f t="shared" si="116"/>
        <v>http://www.stcloud.va.gov/contact/phone_directory.asp</v>
      </c>
    </row>
    <row r="3151" ht="14.25" hidden="1" customHeight="1">
      <c r="A3151" s="8" t="s">
        <v>3401</v>
      </c>
      <c r="B3151" s="8" t="s">
        <v>3379</v>
      </c>
      <c r="C3151" s="121" t="str">
        <f t="shared" si="116"/>
        <v>http://www.stcloud.va.gov/contact/phone_directory.asp</v>
      </c>
    </row>
    <row r="3152" ht="14.25" hidden="1" customHeight="1">
      <c r="A3152" s="8" t="s">
        <v>1181</v>
      </c>
      <c r="B3152" s="8" t="s">
        <v>3379</v>
      </c>
      <c r="C3152" s="121" t="str">
        <f t="shared" si="116"/>
        <v>http://www.stcloud.va.gov/contact/phone_directory.asp</v>
      </c>
    </row>
    <row r="3153" ht="14.25" hidden="1" customHeight="1">
      <c r="A3153" s="8" t="s">
        <v>3403</v>
      </c>
      <c r="B3153" s="8" t="s">
        <v>3379</v>
      </c>
      <c r="C3153" s="121" t="str">
        <f t="shared" si="116"/>
        <v>http://www.stcloud.va.gov/contact/phone_directory.asp</v>
      </c>
    </row>
    <row r="3154" ht="14.25" hidden="1" customHeight="1">
      <c r="A3154" s="8" t="s">
        <v>1824</v>
      </c>
      <c r="B3154" s="8" t="s">
        <v>3379</v>
      </c>
      <c r="C3154" s="121" t="str">
        <f t="shared" si="116"/>
        <v>http://www.stcloud.va.gov/contact/phone_directory.asp</v>
      </c>
    </row>
    <row r="3155" ht="14.25" hidden="1" customHeight="1">
      <c r="A3155" s="8" t="s">
        <v>3405</v>
      </c>
      <c r="B3155" s="8" t="s">
        <v>3406</v>
      </c>
      <c r="C3155" s="121" t="str">
        <f t="shared" ref="C3155:C3177" si="117">HYPERLINK("http://www.stlouis.va.gov/contact/phone_directory.asp")</f>
        <v>http://www.stlouis.va.gov/contact/phone_directory.asp</v>
      </c>
    </row>
    <row r="3156" ht="14.25" hidden="1" customHeight="1">
      <c r="A3156" s="8" t="s">
        <v>475</v>
      </c>
      <c r="B3156" s="8" t="s">
        <v>3406</v>
      </c>
      <c r="C3156" s="121" t="str">
        <f t="shared" si="117"/>
        <v>http://www.stlouis.va.gov/contact/phone_directory.asp</v>
      </c>
    </row>
    <row r="3157" ht="14.25" hidden="1" customHeight="1">
      <c r="A3157" s="8" t="s">
        <v>3409</v>
      </c>
      <c r="B3157" s="8" t="s">
        <v>3406</v>
      </c>
      <c r="C3157" s="121" t="str">
        <f t="shared" si="117"/>
        <v>http://www.stlouis.va.gov/contact/phone_directory.asp</v>
      </c>
    </row>
    <row r="3158" ht="14.25" hidden="1" customHeight="1">
      <c r="A3158" s="8" t="s">
        <v>624</v>
      </c>
      <c r="B3158" s="8" t="s">
        <v>3406</v>
      </c>
      <c r="C3158" s="121" t="str">
        <f t="shared" si="117"/>
        <v>http://www.stlouis.va.gov/contact/phone_directory.asp</v>
      </c>
    </row>
    <row r="3159" ht="14.25" hidden="1" customHeight="1">
      <c r="A3159" s="8" t="s">
        <v>998</v>
      </c>
      <c r="B3159" s="8" t="s">
        <v>3406</v>
      </c>
      <c r="C3159" s="121" t="str">
        <f t="shared" si="117"/>
        <v>http://www.stlouis.va.gov/contact/phone_directory.asp</v>
      </c>
    </row>
    <row r="3160" ht="14.25" hidden="1" customHeight="1">
      <c r="A3160" s="8" t="s">
        <v>864</v>
      </c>
      <c r="B3160" s="8" t="s">
        <v>3406</v>
      </c>
      <c r="C3160" s="121" t="str">
        <f t="shared" si="117"/>
        <v>http://www.stlouis.va.gov/contact/phone_directory.asp</v>
      </c>
    </row>
    <row r="3161" ht="14.25" hidden="1" customHeight="1">
      <c r="A3161" s="8" t="s">
        <v>3411</v>
      </c>
      <c r="B3161" s="8" t="s">
        <v>3406</v>
      </c>
      <c r="C3161" s="121" t="str">
        <f t="shared" si="117"/>
        <v>http://www.stlouis.va.gov/contact/phone_directory.asp</v>
      </c>
    </row>
    <row r="3162" ht="14.25" hidden="1" customHeight="1">
      <c r="A3162" s="8" t="s">
        <v>663</v>
      </c>
      <c r="B3162" s="8" t="s">
        <v>3406</v>
      </c>
      <c r="C3162" s="121" t="str">
        <f t="shared" si="117"/>
        <v>http://www.stlouis.va.gov/contact/phone_directory.asp</v>
      </c>
    </row>
    <row r="3163" ht="14.25" hidden="1" customHeight="1">
      <c r="A3163" s="8" t="s">
        <v>3412</v>
      </c>
      <c r="B3163" s="8" t="s">
        <v>3406</v>
      </c>
      <c r="C3163" s="121" t="str">
        <f t="shared" si="117"/>
        <v>http://www.stlouis.va.gov/contact/phone_directory.asp</v>
      </c>
    </row>
    <row r="3164" ht="14.25" hidden="1" customHeight="1">
      <c r="A3164" s="8" t="s">
        <v>431</v>
      </c>
      <c r="B3164" s="8" t="s">
        <v>3406</v>
      </c>
      <c r="C3164" s="121" t="str">
        <f t="shared" si="117"/>
        <v>http://www.stlouis.va.gov/contact/phone_directory.asp</v>
      </c>
    </row>
    <row r="3165" ht="14.25" hidden="1" customHeight="1">
      <c r="A3165" s="8" t="s">
        <v>3413</v>
      </c>
      <c r="B3165" s="8" t="s">
        <v>3406</v>
      </c>
      <c r="C3165" s="121" t="str">
        <f t="shared" si="117"/>
        <v>http://www.stlouis.va.gov/contact/phone_directory.asp</v>
      </c>
    </row>
    <row r="3166" ht="14.25" hidden="1" customHeight="1">
      <c r="A3166" s="8" t="s">
        <v>670</v>
      </c>
      <c r="B3166" s="8" t="s">
        <v>3406</v>
      </c>
      <c r="C3166" s="121" t="str">
        <f t="shared" si="117"/>
        <v>http://www.stlouis.va.gov/contact/phone_directory.asp</v>
      </c>
    </row>
    <row r="3167" ht="14.25" hidden="1" customHeight="1">
      <c r="A3167" s="8" t="s">
        <v>356</v>
      </c>
      <c r="B3167" s="8" t="s">
        <v>3406</v>
      </c>
      <c r="C3167" s="121" t="str">
        <f t="shared" si="117"/>
        <v>http://www.stlouis.va.gov/contact/phone_directory.asp</v>
      </c>
    </row>
    <row r="3168" ht="14.25" hidden="1" customHeight="1">
      <c r="A3168" s="8" t="s">
        <v>3414</v>
      </c>
      <c r="B3168" s="8" t="s">
        <v>3406</v>
      </c>
      <c r="C3168" s="121" t="str">
        <f t="shared" si="117"/>
        <v>http://www.stlouis.va.gov/contact/phone_directory.asp</v>
      </c>
    </row>
    <row r="3169" ht="14.25" hidden="1" customHeight="1">
      <c r="A3169" s="8" t="s">
        <v>1873</v>
      </c>
      <c r="B3169" s="8" t="s">
        <v>3406</v>
      </c>
      <c r="C3169" s="121" t="str">
        <f t="shared" si="117"/>
        <v>http://www.stlouis.va.gov/contact/phone_directory.asp</v>
      </c>
    </row>
    <row r="3170" ht="14.25" hidden="1" customHeight="1">
      <c r="A3170" s="8" t="s">
        <v>3416</v>
      </c>
      <c r="B3170" s="8" t="s">
        <v>3406</v>
      </c>
      <c r="C3170" s="121" t="str">
        <f t="shared" si="117"/>
        <v>http://www.stlouis.va.gov/contact/phone_directory.asp</v>
      </c>
    </row>
    <row r="3171" ht="14.25" hidden="1" customHeight="1">
      <c r="A3171" s="8" t="s">
        <v>3417</v>
      </c>
      <c r="B3171" s="8" t="s">
        <v>3406</v>
      </c>
      <c r="C3171" s="121" t="str">
        <f t="shared" si="117"/>
        <v>http://www.stlouis.va.gov/contact/phone_directory.asp</v>
      </c>
    </row>
    <row r="3172" ht="14.25" hidden="1" customHeight="1">
      <c r="A3172" s="8" t="s">
        <v>504</v>
      </c>
      <c r="B3172" s="8" t="s">
        <v>3406</v>
      </c>
      <c r="C3172" s="121" t="str">
        <f t="shared" si="117"/>
        <v>http://www.stlouis.va.gov/contact/phone_directory.asp</v>
      </c>
    </row>
    <row r="3173" ht="14.25" hidden="1" customHeight="1">
      <c r="A3173" s="8" t="s">
        <v>708</v>
      </c>
      <c r="B3173" s="8" t="s">
        <v>3406</v>
      </c>
      <c r="C3173" s="121" t="str">
        <f t="shared" si="117"/>
        <v>http://www.stlouis.va.gov/contact/phone_directory.asp</v>
      </c>
    </row>
    <row r="3174" ht="14.25" hidden="1" customHeight="1">
      <c r="A3174" s="8" t="s">
        <v>1869</v>
      </c>
      <c r="B3174" s="8" t="s">
        <v>3406</v>
      </c>
      <c r="C3174" s="121" t="str">
        <f t="shared" si="117"/>
        <v>http://www.stlouis.va.gov/contact/phone_directory.asp</v>
      </c>
    </row>
    <row r="3175" ht="14.25" hidden="1" customHeight="1">
      <c r="A3175" s="8" t="s">
        <v>1686</v>
      </c>
      <c r="B3175" s="8" t="s">
        <v>3406</v>
      </c>
      <c r="C3175" s="121" t="str">
        <f t="shared" si="117"/>
        <v>http://www.stlouis.va.gov/contact/phone_directory.asp</v>
      </c>
    </row>
    <row r="3176" ht="14.25" hidden="1" customHeight="1">
      <c r="A3176" s="8" t="s">
        <v>518</v>
      </c>
      <c r="B3176" s="8" t="s">
        <v>3406</v>
      </c>
      <c r="C3176" s="121" t="str">
        <f t="shared" si="117"/>
        <v>http://www.stlouis.va.gov/contact/phone_directory.asp</v>
      </c>
    </row>
    <row r="3177" ht="14.25" hidden="1" customHeight="1">
      <c r="A3177" s="8" t="s">
        <v>1047</v>
      </c>
      <c r="B3177" s="8" t="s">
        <v>3406</v>
      </c>
      <c r="C3177" s="121" t="str">
        <f t="shared" si="117"/>
        <v>http://www.stlouis.va.gov/contact/phone_directory.asp</v>
      </c>
    </row>
    <row r="3178" ht="14.25" hidden="1" customHeight="1">
      <c r="A3178" s="8" t="s">
        <v>3419</v>
      </c>
      <c r="B3178" s="8" t="s">
        <v>3420</v>
      </c>
      <c r="C3178" s="121" t="str">
        <f t="shared" ref="C3178:C3207" si="118">HYPERLINK("http://www.syracuse.va.gov/contact/phone_directory.asp")</f>
        <v>http://www.syracuse.va.gov/contact/phone_directory.asp</v>
      </c>
    </row>
    <row r="3179" ht="14.25" hidden="1" customHeight="1">
      <c r="A3179" s="8" t="s">
        <v>618</v>
      </c>
      <c r="B3179" s="8" t="s">
        <v>3420</v>
      </c>
      <c r="C3179" s="121" t="str">
        <f t="shared" si="118"/>
        <v>http://www.syracuse.va.gov/contact/phone_directory.asp</v>
      </c>
    </row>
    <row r="3180" ht="14.25" hidden="1" customHeight="1">
      <c r="A3180" s="8" t="s">
        <v>864</v>
      </c>
      <c r="B3180" s="8" t="s">
        <v>3420</v>
      </c>
      <c r="C3180" s="121" t="str">
        <f t="shared" si="118"/>
        <v>http://www.syracuse.va.gov/contact/phone_directory.asp</v>
      </c>
    </row>
    <row r="3181" ht="14.25" hidden="1" customHeight="1">
      <c r="A3181" s="8" t="s">
        <v>455</v>
      </c>
      <c r="B3181" s="8" t="s">
        <v>3420</v>
      </c>
      <c r="C3181" s="121" t="str">
        <f t="shared" si="118"/>
        <v>http://www.syracuse.va.gov/contact/phone_directory.asp</v>
      </c>
    </row>
    <row r="3182" ht="14.25" hidden="1" customHeight="1">
      <c r="A3182" s="8" t="s">
        <v>1883</v>
      </c>
      <c r="B3182" s="8" t="s">
        <v>3420</v>
      </c>
      <c r="C3182" s="121" t="str">
        <f t="shared" si="118"/>
        <v>http://www.syracuse.va.gov/contact/phone_directory.asp</v>
      </c>
    </row>
    <row r="3183" ht="14.25" hidden="1" customHeight="1">
      <c r="A3183" s="8" t="s">
        <v>1598</v>
      </c>
      <c r="B3183" s="8" t="s">
        <v>3420</v>
      </c>
      <c r="C3183" s="121" t="str">
        <f t="shared" si="118"/>
        <v>http://www.syracuse.va.gov/contact/phone_directory.asp</v>
      </c>
    </row>
    <row r="3184" ht="14.25" hidden="1" customHeight="1">
      <c r="A3184" s="8" t="s">
        <v>663</v>
      </c>
      <c r="B3184" s="8" t="s">
        <v>3420</v>
      </c>
      <c r="C3184" s="121" t="str">
        <f t="shared" si="118"/>
        <v>http://www.syracuse.va.gov/contact/phone_directory.asp</v>
      </c>
    </row>
    <row r="3185" ht="14.25" hidden="1" customHeight="1">
      <c r="A3185" s="8" t="s">
        <v>3423</v>
      </c>
      <c r="B3185" s="8" t="s">
        <v>3420</v>
      </c>
      <c r="C3185" s="121" t="str">
        <f t="shared" si="118"/>
        <v>http://www.syracuse.va.gov/contact/phone_directory.asp</v>
      </c>
    </row>
    <row r="3186" ht="14.25" hidden="1" customHeight="1">
      <c r="A3186" s="8" t="s">
        <v>3424</v>
      </c>
      <c r="B3186" s="8" t="s">
        <v>3420</v>
      </c>
      <c r="C3186" s="121" t="str">
        <f t="shared" si="118"/>
        <v>http://www.syracuse.va.gov/contact/phone_directory.asp</v>
      </c>
    </row>
    <row r="3187" ht="14.25" hidden="1" customHeight="1">
      <c r="A3187" s="8" t="s">
        <v>1600</v>
      </c>
      <c r="B3187" s="8" t="s">
        <v>3420</v>
      </c>
      <c r="C3187" s="121" t="str">
        <f t="shared" si="118"/>
        <v>http://www.syracuse.va.gov/contact/phone_directory.asp</v>
      </c>
    </row>
    <row r="3188" ht="14.25" hidden="1" customHeight="1">
      <c r="A3188" s="8" t="s">
        <v>3425</v>
      </c>
      <c r="B3188" s="8" t="s">
        <v>3420</v>
      </c>
      <c r="C3188" s="121" t="str">
        <f t="shared" si="118"/>
        <v>http://www.syracuse.va.gov/contact/phone_directory.asp</v>
      </c>
    </row>
    <row r="3189" ht="14.25" hidden="1" customHeight="1">
      <c r="A3189" s="8" t="s">
        <v>670</v>
      </c>
      <c r="B3189" s="8" t="s">
        <v>3420</v>
      </c>
      <c r="C3189" s="121" t="str">
        <f t="shared" si="118"/>
        <v>http://www.syracuse.va.gov/contact/phone_directory.asp</v>
      </c>
    </row>
    <row r="3190" ht="14.25" hidden="1" customHeight="1">
      <c r="A3190" s="8" t="s">
        <v>3426</v>
      </c>
      <c r="B3190" s="8" t="s">
        <v>3420</v>
      </c>
      <c r="C3190" s="121" t="str">
        <f t="shared" si="118"/>
        <v>http://www.syracuse.va.gov/contact/phone_directory.asp</v>
      </c>
    </row>
    <row r="3191" ht="14.25" hidden="1" customHeight="1">
      <c r="A3191" s="8" t="s">
        <v>325</v>
      </c>
      <c r="B3191" s="8" t="s">
        <v>3420</v>
      </c>
      <c r="C3191" s="121" t="str">
        <f t="shared" si="118"/>
        <v>http://www.syracuse.va.gov/contact/phone_directory.asp</v>
      </c>
    </row>
    <row r="3192" ht="14.25" hidden="1" customHeight="1">
      <c r="A3192" s="8" t="s">
        <v>2463</v>
      </c>
      <c r="B3192" s="8" t="s">
        <v>3420</v>
      </c>
      <c r="C3192" s="121" t="str">
        <f t="shared" si="118"/>
        <v>http://www.syracuse.va.gov/contact/phone_directory.asp</v>
      </c>
    </row>
    <row r="3193" ht="14.25" hidden="1" customHeight="1">
      <c r="A3193" s="8" t="s">
        <v>1891</v>
      </c>
      <c r="B3193" s="8" t="s">
        <v>3420</v>
      </c>
      <c r="C3193" s="121" t="str">
        <f t="shared" si="118"/>
        <v>http://www.syracuse.va.gov/contact/phone_directory.asp</v>
      </c>
    </row>
    <row r="3194" ht="14.25" hidden="1" customHeight="1">
      <c r="A3194" s="8" t="s">
        <v>1610</v>
      </c>
      <c r="B3194" s="8" t="s">
        <v>3420</v>
      </c>
      <c r="C3194" s="121" t="str">
        <f t="shared" si="118"/>
        <v>http://www.syracuse.va.gov/contact/phone_directory.asp</v>
      </c>
    </row>
    <row r="3195" ht="14.25" hidden="1" customHeight="1">
      <c r="A3195" s="8" t="s">
        <v>3428</v>
      </c>
      <c r="B3195" s="8" t="s">
        <v>3420</v>
      </c>
      <c r="C3195" s="121" t="str">
        <f t="shared" si="118"/>
        <v>http://www.syracuse.va.gov/contact/phone_directory.asp</v>
      </c>
    </row>
    <row r="3196" ht="14.25" hidden="1" customHeight="1">
      <c r="A3196" s="8" t="s">
        <v>3429</v>
      </c>
      <c r="B3196" s="8" t="s">
        <v>3420</v>
      </c>
      <c r="C3196" s="121" t="str">
        <f t="shared" si="118"/>
        <v>http://www.syracuse.va.gov/contact/phone_directory.asp</v>
      </c>
    </row>
    <row r="3197" ht="14.25" hidden="1" customHeight="1">
      <c r="A3197" s="8" t="s">
        <v>713</v>
      </c>
      <c r="B3197" s="8" t="s">
        <v>3420</v>
      </c>
      <c r="C3197" s="121" t="str">
        <f t="shared" si="118"/>
        <v>http://www.syracuse.va.gov/contact/phone_directory.asp</v>
      </c>
    </row>
    <row r="3198" ht="14.25" hidden="1" customHeight="1">
      <c r="A3198" s="8" t="s">
        <v>504</v>
      </c>
      <c r="B3198" s="8" t="s">
        <v>3420</v>
      </c>
      <c r="C3198" s="121" t="str">
        <f t="shared" si="118"/>
        <v>http://www.syracuse.va.gov/contact/phone_directory.asp</v>
      </c>
    </row>
    <row r="3199" ht="14.25" hidden="1" customHeight="1">
      <c r="A3199" s="8" t="s">
        <v>708</v>
      </c>
      <c r="B3199" s="8" t="s">
        <v>3420</v>
      </c>
      <c r="C3199" s="121" t="str">
        <f t="shared" si="118"/>
        <v>http://www.syracuse.va.gov/contact/phone_directory.asp</v>
      </c>
    </row>
    <row r="3200" ht="14.25" hidden="1" customHeight="1">
      <c r="A3200" s="8" t="s">
        <v>508</v>
      </c>
      <c r="B3200" s="8" t="s">
        <v>3420</v>
      </c>
      <c r="C3200" s="121" t="str">
        <f t="shared" si="118"/>
        <v>http://www.syracuse.va.gov/contact/phone_directory.asp</v>
      </c>
    </row>
    <row r="3201" ht="14.25" hidden="1" customHeight="1">
      <c r="A3201" s="8" t="s">
        <v>1714</v>
      </c>
      <c r="B3201" s="8" t="s">
        <v>3420</v>
      </c>
      <c r="C3201" s="121" t="str">
        <f t="shared" si="118"/>
        <v>http://www.syracuse.va.gov/contact/phone_directory.asp</v>
      </c>
    </row>
    <row r="3202" ht="14.25" hidden="1" customHeight="1">
      <c r="A3202" s="8" t="s">
        <v>1616</v>
      </c>
      <c r="B3202" s="8" t="s">
        <v>3420</v>
      </c>
      <c r="C3202" s="121" t="str">
        <f t="shared" si="118"/>
        <v>http://www.syracuse.va.gov/contact/phone_directory.asp</v>
      </c>
    </row>
    <row r="3203" ht="14.25" hidden="1" customHeight="1">
      <c r="A3203" s="8" t="s">
        <v>3432</v>
      </c>
      <c r="B3203" s="8" t="s">
        <v>3420</v>
      </c>
      <c r="C3203" s="121" t="str">
        <f t="shared" si="118"/>
        <v>http://www.syracuse.va.gov/contact/phone_directory.asp</v>
      </c>
    </row>
    <row r="3204" ht="14.25" hidden="1" customHeight="1">
      <c r="A3204" s="8" t="s">
        <v>3433</v>
      </c>
      <c r="B3204" s="8" t="s">
        <v>3420</v>
      </c>
      <c r="C3204" s="121" t="str">
        <f t="shared" si="118"/>
        <v>http://www.syracuse.va.gov/contact/phone_directory.asp</v>
      </c>
    </row>
    <row r="3205" ht="14.25" hidden="1" customHeight="1">
      <c r="A3205" s="8" t="s">
        <v>3434</v>
      </c>
      <c r="B3205" s="8" t="s">
        <v>3420</v>
      </c>
      <c r="C3205" s="121" t="str">
        <f t="shared" si="118"/>
        <v>http://www.syracuse.va.gov/contact/phone_directory.asp</v>
      </c>
    </row>
    <row r="3206" ht="14.25" hidden="1" customHeight="1">
      <c r="A3206" s="8" t="s">
        <v>1620</v>
      </c>
      <c r="B3206" s="8" t="s">
        <v>3420</v>
      </c>
      <c r="C3206" s="121" t="str">
        <f t="shared" si="118"/>
        <v>http://www.syracuse.va.gov/contact/phone_directory.asp</v>
      </c>
    </row>
    <row r="3207" ht="14.25" hidden="1" customHeight="1">
      <c r="A3207" s="8" t="s">
        <v>1367</v>
      </c>
      <c r="B3207" s="8" t="s">
        <v>3420</v>
      </c>
      <c r="C3207" s="121" t="str">
        <f t="shared" si="118"/>
        <v>http://www.syracuse.va.gov/contact/phone_directory.asp</v>
      </c>
    </row>
    <row r="3208" ht="14.25" hidden="1" customHeight="1">
      <c r="A3208" s="8" t="s">
        <v>624</v>
      </c>
      <c r="B3208" s="8" t="s">
        <v>3436</v>
      </c>
      <c r="C3208" s="121" t="str">
        <f t="shared" ref="C3208:C3222" si="119">HYPERLINK("http://www.tampa.va.gov/contact/phone_directory.asp")</f>
        <v>http://www.tampa.va.gov/contact/phone_directory.asp</v>
      </c>
    </row>
    <row r="3209" ht="14.25" hidden="1" customHeight="1">
      <c r="A3209" s="8" t="s">
        <v>631</v>
      </c>
      <c r="B3209" s="8" t="s">
        <v>3436</v>
      </c>
      <c r="C3209" s="121" t="str">
        <f t="shared" si="119"/>
        <v>http://www.tampa.va.gov/contact/phone_directory.asp</v>
      </c>
    </row>
    <row r="3210" ht="14.25" hidden="1" customHeight="1">
      <c r="A3210" s="8" t="s">
        <v>478</v>
      </c>
      <c r="B3210" s="8" t="s">
        <v>3436</v>
      </c>
      <c r="C3210" s="121" t="str">
        <f t="shared" si="119"/>
        <v>http://www.tampa.va.gov/contact/phone_directory.asp</v>
      </c>
    </row>
    <row r="3211" ht="14.25" hidden="1" customHeight="1">
      <c r="A3211" s="8" t="s">
        <v>3439</v>
      </c>
      <c r="B3211" s="8" t="s">
        <v>3436</v>
      </c>
      <c r="C3211" s="121" t="str">
        <f t="shared" si="119"/>
        <v>http://www.tampa.va.gov/contact/phone_directory.asp</v>
      </c>
    </row>
    <row r="3212" ht="14.25" hidden="1" customHeight="1">
      <c r="A3212" s="8" t="s">
        <v>3440</v>
      </c>
      <c r="B3212" s="8" t="s">
        <v>3436</v>
      </c>
      <c r="C3212" s="121" t="str">
        <f t="shared" si="119"/>
        <v>http://www.tampa.va.gov/contact/phone_directory.asp</v>
      </c>
    </row>
    <row r="3213" ht="14.25" hidden="1" customHeight="1">
      <c r="A3213" s="8" t="s">
        <v>1963</v>
      </c>
      <c r="B3213" s="8" t="s">
        <v>3436</v>
      </c>
      <c r="C3213" s="121" t="str">
        <f t="shared" si="119"/>
        <v>http://www.tampa.va.gov/contact/phone_directory.asp</v>
      </c>
    </row>
    <row r="3214" ht="14.25" hidden="1" customHeight="1">
      <c r="A3214" s="8" t="s">
        <v>3441</v>
      </c>
      <c r="B3214" s="8" t="s">
        <v>3436</v>
      </c>
      <c r="C3214" s="121" t="str">
        <f t="shared" si="119"/>
        <v>http://www.tampa.va.gov/contact/phone_directory.asp</v>
      </c>
    </row>
    <row r="3215" ht="14.25" hidden="1" customHeight="1">
      <c r="A3215" s="8" t="s">
        <v>2024</v>
      </c>
      <c r="B3215" s="8" t="s">
        <v>3436</v>
      </c>
      <c r="C3215" s="121" t="str">
        <f t="shared" si="119"/>
        <v>http://www.tampa.va.gov/contact/phone_directory.asp</v>
      </c>
    </row>
    <row r="3216" ht="14.25" hidden="1" customHeight="1">
      <c r="A3216" s="8" t="s">
        <v>3443</v>
      </c>
      <c r="B3216" s="8" t="s">
        <v>3436</v>
      </c>
      <c r="C3216" s="121" t="str">
        <f t="shared" si="119"/>
        <v>http://www.tampa.va.gov/contact/phone_directory.asp</v>
      </c>
    </row>
    <row r="3217" ht="14.25" hidden="1" customHeight="1">
      <c r="A3217" s="8" t="s">
        <v>441</v>
      </c>
      <c r="B3217" s="8" t="s">
        <v>3436</v>
      </c>
      <c r="C3217" s="121" t="str">
        <f t="shared" si="119"/>
        <v>http://www.tampa.va.gov/contact/phone_directory.asp</v>
      </c>
    </row>
    <row r="3218" ht="14.25" hidden="1" customHeight="1">
      <c r="A3218" s="8" t="s">
        <v>691</v>
      </c>
      <c r="B3218" s="8" t="s">
        <v>3436</v>
      </c>
      <c r="C3218" s="121" t="str">
        <f t="shared" si="119"/>
        <v>http://www.tampa.va.gov/contact/phone_directory.asp</v>
      </c>
    </row>
    <row r="3219" ht="14.25" hidden="1" customHeight="1">
      <c r="A3219" s="8" t="s">
        <v>3445</v>
      </c>
      <c r="B3219" s="8" t="s">
        <v>3436</v>
      </c>
      <c r="C3219" s="121" t="str">
        <f t="shared" si="119"/>
        <v>http://www.tampa.va.gov/contact/phone_directory.asp</v>
      </c>
    </row>
    <row r="3220" ht="14.25" hidden="1" customHeight="1">
      <c r="A3220" s="8" t="s">
        <v>697</v>
      </c>
      <c r="B3220" s="8" t="s">
        <v>3436</v>
      </c>
      <c r="C3220" s="121" t="str">
        <f t="shared" si="119"/>
        <v>http://www.tampa.va.gov/contact/phone_directory.asp</v>
      </c>
    </row>
    <row r="3221" ht="14.25" hidden="1" customHeight="1">
      <c r="A3221" s="8" t="s">
        <v>708</v>
      </c>
      <c r="B3221" s="8" t="s">
        <v>3436</v>
      </c>
      <c r="C3221" s="121" t="str">
        <f t="shared" si="119"/>
        <v>http://www.tampa.va.gov/contact/phone_directory.asp</v>
      </c>
    </row>
    <row r="3222" ht="14.25" hidden="1" customHeight="1">
      <c r="A3222" s="8" t="s">
        <v>1690</v>
      </c>
      <c r="B3222" s="8" t="s">
        <v>3436</v>
      </c>
      <c r="C3222" s="121" t="str">
        <f t="shared" si="119"/>
        <v>http://www.tampa.va.gov/contact/phone_directory.asp</v>
      </c>
    </row>
    <row r="3223" ht="14.25" hidden="1" customHeight="1">
      <c r="A3223" s="8" t="s">
        <v>639</v>
      </c>
      <c r="B3223" s="8" t="s">
        <v>3446</v>
      </c>
      <c r="C3223" s="121" t="str">
        <f t="shared" ref="C3223:C3240" si="120">HYPERLINK("http://www.tennesseevalley.va.gov/contact/phone_directory.asp")</f>
        <v>http://www.tennesseevalley.va.gov/contact/phone_directory.asp</v>
      </c>
    </row>
    <row r="3224" ht="14.25" hidden="1" customHeight="1">
      <c r="A3224" s="8" t="s">
        <v>484</v>
      </c>
      <c r="B3224" s="8" t="s">
        <v>3446</v>
      </c>
      <c r="C3224" s="121" t="str">
        <f t="shared" si="120"/>
        <v>http://www.tennesseevalley.va.gov/contact/phone_directory.asp</v>
      </c>
    </row>
    <row r="3225" ht="14.25" hidden="1" customHeight="1">
      <c r="A3225" s="8" t="s">
        <v>3447</v>
      </c>
      <c r="B3225" s="8" t="s">
        <v>3446</v>
      </c>
      <c r="C3225" s="121" t="str">
        <f t="shared" si="120"/>
        <v>http://www.tennesseevalley.va.gov/contact/phone_directory.asp</v>
      </c>
    </row>
    <row r="3226" ht="14.25" hidden="1" customHeight="1">
      <c r="A3226" s="8" t="s">
        <v>468</v>
      </c>
      <c r="B3226" s="8" t="s">
        <v>3446</v>
      </c>
      <c r="C3226" s="121" t="str">
        <f t="shared" si="120"/>
        <v>http://www.tennesseevalley.va.gov/contact/phone_directory.asp</v>
      </c>
    </row>
    <row r="3227" ht="14.25" hidden="1" customHeight="1">
      <c r="A3227" s="8" t="s">
        <v>3448</v>
      </c>
      <c r="B3227" s="8" t="s">
        <v>3446</v>
      </c>
      <c r="C3227" s="121" t="str">
        <f t="shared" si="120"/>
        <v>http://www.tennesseevalley.va.gov/contact/phone_directory.asp</v>
      </c>
    </row>
    <row r="3228" ht="14.25" hidden="1" customHeight="1">
      <c r="A3228" s="8" t="s">
        <v>3449</v>
      </c>
      <c r="B3228" s="8" t="s">
        <v>3446</v>
      </c>
      <c r="C3228" s="121" t="str">
        <f t="shared" si="120"/>
        <v>http://www.tennesseevalley.va.gov/contact/phone_directory.asp</v>
      </c>
    </row>
    <row r="3229" ht="14.25" hidden="1" customHeight="1">
      <c r="A3229" s="8" t="s">
        <v>2601</v>
      </c>
      <c r="B3229" s="8" t="s">
        <v>3446</v>
      </c>
      <c r="C3229" s="121" t="str">
        <f t="shared" si="120"/>
        <v>http://www.tennesseevalley.va.gov/contact/phone_directory.asp</v>
      </c>
    </row>
    <row r="3230" ht="14.25" hidden="1" customHeight="1">
      <c r="A3230" s="8" t="s">
        <v>3450</v>
      </c>
      <c r="B3230" s="8" t="s">
        <v>3446</v>
      </c>
      <c r="C3230" s="121" t="str">
        <f t="shared" si="120"/>
        <v>http://www.tennesseevalley.va.gov/contact/phone_directory.asp</v>
      </c>
    </row>
    <row r="3231" ht="14.25" hidden="1" customHeight="1">
      <c r="A3231" s="8" t="s">
        <v>1564</v>
      </c>
      <c r="B3231" s="8" t="s">
        <v>3446</v>
      </c>
      <c r="C3231" s="121" t="str">
        <f t="shared" si="120"/>
        <v>http://www.tennesseevalley.va.gov/contact/phone_directory.asp</v>
      </c>
    </row>
    <row r="3232" ht="14.25" hidden="1" customHeight="1">
      <c r="A3232" s="8" t="s">
        <v>683</v>
      </c>
      <c r="B3232" s="8" t="s">
        <v>3446</v>
      </c>
      <c r="C3232" s="121" t="str">
        <f t="shared" si="120"/>
        <v>http://www.tennesseevalley.va.gov/contact/phone_directory.asp</v>
      </c>
    </row>
    <row r="3233" ht="14.25" hidden="1" customHeight="1">
      <c r="A3233" s="8" t="s">
        <v>1655</v>
      </c>
      <c r="B3233" s="8" t="s">
        <v>3446</v>
      </c>
      <c r="C3233" s="121" t="str">
        <f t="shared" si="120"/>
        <v>http://www.tennesseevalley.va.gov/contact/phone_directory.asp</v>
      </c>
    </row>
    <row r="3234" ht="14.25" hidden="1" customHeight="1">
      <c r="A3234" s="8" t="s">
        <v>3451</v>
      </c>
      <c r="B3234" s="8" t="s">
        <v>3446</v>
      </c>
      <c r="C3234" s="121" t="str">
        <f t="shared" si="120"/>
        <v>http://www.tennesseevalley.va.gov/contact/phone_directory.asp</v>
      </c>
    </row>
    <row r="3235" ht="14.25" hidden="1" customHeight="1">
      <c r="A3235" s="8" t="s">
        <v>3452</v>
      </c>
      <c r="B3235" s="8" t="s">
        <v>3446</v>
      </c>
      <c r="C3235" s="121" t="str">
        <f t="shared" si="120"/>
        <v>http://www.tennesseevalley.va.gov/contact/phone_directory.asp</v>
      </c>
    </row>
    <row r="3236" ht="14.25" hidden="1" customHeight="1">
      <c r="A3236" s="8" t="s">
        <v>775</v>
      </c>
      <c r="B3236" s="8" t="s">
        <v>3446</v>
      </c>
      <c r="C3236" s="121" t="str">
        <f t="shared" si="120"/>
        <v>http://www.tennesseevalley.va.gov/contact/phone_directory.asp</v>
      </c>
    </row>
    <row r="3237" ht="14.25" hidden="1" customHeight="1">
      <c r="A3237" s="8" t="s">
        <v>3454</v>
      </c>
      <c r="B3237" s="8" t="s">
        <v>3446</v>
      </c>
      <c r="C3237" s="121" t="str">
        <f t="shared" si="120"/>
        <v>http://www.tennesseevalley.va.gov/contact/phone_directory.asp</v>
      </c>
    </row>
    <row r="3238" ht="14.25" hidden="1" customHeight="1">
      <c r="A3238" s="8" t="s">
        <v>684</v>
      </c>
      <c r="B3238" s="8" t="s">
        <v>3446</v>
      </c>
      <c r="C3238" s="121" t="str">
        <f t="shared" si="120"/>
        <v>http://www.tennesseevalley.va.gov/contact/phone_directory.asp</v>
      </c>
    </row>
    <row r="3239" ht="14.25" hidden="1" customHeight="1">
      <c r="A3239" s="8" t="s">
        <v>2512</v>
      </c>
      <c r="B3239" s="8" t="s">
        <v>3446</v>
      </c>
      <c r="C3239" s="121" t="str">
        <f t="shared" si="120"/>
        <v>http://www.tennesseevalley.va.gov/contact/phone_directory.asp</v>
      </c>
    </row>
    <row r="3240" ht="14.25" hidden="1" customHeight="1">
      <c r="A3240" s="8" t="s">
        <v>405</v>
      </c>
      <c r="B3240" s="8" t="s">
        <v>3446</v>
      </c>
      <c r="C3240" s="121" t="str">
        <f t="shared" si="120"/>
        <v>http://www.tennesseevalley.va.gov/contact/phone_directory.asp</v>
      </c>
    </row>
    <row r="3241" ht="14.25" hidden="1" customHeight="1">
      <c r="A3241" s="8" t="s">
        <v>3458</v>
      </c>
      <c r="B3241" s="8" t="s">
        <v>3459</v>
      </c>
      <c r="C3241" s="121" t="str">
        <f t="shared" ref="C3241:C3254" si="121">HYPERLINK("http://www.texasvalley.va.gov/contact/phone_directory.asp")</f>
        <v>http://www.texasvalley.va.gov/contact/phone_directory.asp</v>
      </c>
    </row>
    <row r="3242" ht="14.25" hidden="1" customHeight="1">
      <c r="A3242" s="8" t="s">
        <v>3460</v>
      </c>
      <c r="B3242" s="8" t="s">
        <v>3459</v>
      </c>
      <c r="C3242" s="121" t="str">
        <f t="shared" si="121"/>
        <v>http://www.texasvalley.va.gov/contact/phone_directory.asp</v>
      </c>
    </row>
    <row r="3243" ht="14.25" hidden="1" customHeight="1">
      <c r="A3243" s="8" t="s">
        <v>3461</v>
      </c>
      <c r="B3243" s="8" t="s">
        <v>3459</v>
      </c>
      <c r="C3243" s="121" t="str">
        <f t="shared" si="121"/>
        <v>http://www.texasvalley.va.gov/contact/phone_directory.asp</v>
      </c>
    </row>
    <row r="3244" ht="14.25" hidden="1" customHeight="1">
      <c r="A3244" s="8" t="s">
        <v>3463</v>
      </c>
      <c r="B3244" s="8" t="s">
        <v>3459</v>
      </c>
      <c r="C3244" s="121" t="str">
        <f t="shared" si="121"/>
        <v>http://www.texasvalley.va.gov/contact/phone_directory.asp</v>
      </c>
    </row>
    <row r="3245" ht="14.25" hidden="1" customHeight="1">
      <c r="A3245" s="8" t="s">
        <v>639</v>
      </c>
      <c r="B3245" s="8" t="s">
        <v>3459</v>
      </c>
      <c r="C3245" s="121" t="str">
        <f t="shared" si="121"/>
        <v>http://www.texasvalley.va.gov/contact/phone_directory.asp</v>
      </c>
    </row>
    <row r="3246" ht="14.25" hidden="1" customHeight="1">
      <c r="A3246" s="8" t="s">
        <v>638</v>
      </c>
      <c r="B3246" s="8" t="s">
        <v>3459</v>
      </c>
      <c r="C3246" s="121" t="str">
        <f t="shared" si="121"/>
        <v>http://www.texasvalley.va.gov/contact/phone_directory.asp</v>
      </c>
    </row>
    <row r="3247" ht="14.25" hidden="1" customHeight="1">
      <c r="A3247" s="8" t="s">
        <v>663</v>
      </c>
      <c r="B3247" s="8" t="s">
        <v>3459</v>
      </c>
      <c r="C3247" s="121" t="str">
        <f t="shared" si="121"/>
        <v>http://www.texasvalley.va.gov/contact/phone_directory.asp</v>
      </c>
    </row>
    <row r="3248" ht="14.25" hidden="1" customHeight="1">
      <c r="A3248" s="8" t="s">
        <v>684</v>
      </c>
      <c r="B3248" s="8" t="s">
        <v>3459</v>
      </c>
      <c r="C3248" s="121" t="str">
        <f t="shared" si="121"/>
        <v>http://www.texasvalley.va.gov/contact/phone_directory.asp</v>
      </c>
    </row>
    <row r="3249" ht="14.25" hidden="1" customHeight="1">
      <c r="A3249" s="8" t="s">
        <v>3466</v>
      </c>
      <c r="B3249" s="8" t="s">
        <v>3459</v>
      </c>
      <c r="C3249" s="121" t="str">
        <f t="shared" si="121"/>
        <v>http://www.texasvalley.va.gov/contact/phone_directory.asp</v>
      </c>
    </row>
    <row r="3250" ht="14.25" hidden="1" customHeight="1">
      <c r="A3250" s="8" t="s">
        <v>3467</v>
      </c>
      <c r="B3250" s="8" t="s">
        <v>3459</v>
      </c>
      <c r="C3250" s="121" t="str">
        <f t="shared" si="121"/>
        <v>http://www.texasvalley.va.gov/contact/phone_directory.asp</v>
      </c>
    </row>
    <row r="3251" ht="14.25" hidden="1" customHeight="1">
      <c r="A3251" s="8" t="s">
        <v>3468</v>
      </c>
      <c r="B3251" s="8" t="s">
        <v>3459</v>
      </c>
      <c r="C3251" s="121" t="str">
        <f t="shared" si="121"/>
        <v>http://www.texasvalley.va.gov/contact/phone_directory.asp</v>
      </c>
    </row>
    <row r="3252" ht="14.25" hidden="1" customHeight="1">
      <c r="A3252" s="8" t="s">
        <v>3469</v>
      </c>
      <c r="B3252" s="8" t="s">
        <v>3459</v>
      </c>
      <c r="C3252" s="121" t="str">
        <f t="shared" si="121"/>
        <v>http://www.texasvalley.va.gov/contact/phone_directory.asp</v>
      </c>
    </row>
    <row r="3253" ht="14.25" hidden="1" customHeight="1">
      <c r="A3253" s="8" t="s">
        <v>3470</v>
      </c>
      <c r="B3253" s="8" t="s">
        <v>3459</v>
      </c>
      <c r="C3253" s="121" t="str">
        <f t="shared" si="121"/>
        <v>http://www.texasvalley.va.gov/contact/phone_directory.asp</v>
      </c>
    </row>
    <row r="3254" ht="14.25" hidden="1" customHeight="1">
      <c r="A3254" s="8" t="s">
        <v>518</v>
      </c>
      <c r="B3254" s="8" t="s">
        <v>3459</v>
      </c>
      <c r="C3254" s="121" t="str">
        <f t="shared" si="121"/>
        <v>http://www.texasvalley.va.gov/contact/phone_directory.asp</v>
      </c>
    </row>
    <row r="3255" ht="14.25" hidden="1" customHeight="1">
      <c r="A3255" s="8" t="s">
        <v>2498</v>
      </c>
      <c r="B3255" s="8" t="s">
        <v>3473</v>
      </c>
      <c r="C3255" s="121" t="str">
        <f t="shared" ref="C3255:C3274" si="122">HYPERLINK("http://www.tomah.va.gov/contact/phone_directory.asp")</f>
        <v>http://www.tomah.va.gov/contact/phone_directory.asp</v>
      </c>
    </row>
    <row r="3256" ht="14.25" hidden="1" customHeight="1">
      <c r="A3256" s="8" t="s">
        <v>631</v>
      </c>
      <c r="B3256" s="8" t="s">
        <v>3473</v>
      </c>
      <c r="C3256" s="121" t="str">
        <f t="shared" si="122"/>
        <v>http://www.tomah.va.gov/contact/phone_directory.asp</v>
      </c>
    </row>
    <row r="3257" ht="14.25" hidden="1" customHeight="1">
      <c r="A3257" s="8" t="s">
        <v>864</v>
      </c>
      <c r="B3257" s="8" t="s">
        <v>3473</v>
      </c>
      <c r="C3257" s="121" t="str">
        <f t="shared" si="122"/>
        <v>http://www.tomah.va.gov/contact/phone_directory.asp</v>
      </c>
    </row>
    <row r="3258" ht="14.25" hidden="1" customHeight="1">
      <c r="A3258" s="8" t="s">
        <v>638</v>
      </c>
      <c r="B3258" s="8" t="s">
        <v>3473</v>
      </c>
      <c r="C3258" s="121" t="str">
        <f t="shared" si="122"/>
        <v>http://www.tomah.va.gov/contact/phone_directory.asp</v>
      </c>
    </row>
    <row r="3259" ht="14.25" hidden="1" customHeight="1">
      <c r="A3259" s="8" t="s">
        <v>478</v>
      </c>
      <c r="B3259" s="8" t="s">
        <v>3473</v>
      </c>
      <c r="C3259" s="121" t="str">
        <f t="shared" si="122"/>
        <v>http://www.tomah.va.gov/contact/phone_directory.asp</v>
      </c>
    </row>
    <row r="3260" ht="14.25" hidden="1" customHeight="1">
      <c r="A3260" s="8" t="s">
        <v>497</v>
      </c>
      <c r="B3260" s="8" t="s">
        <v>3473</v>
      </c>
      <c r="C3260" s="121" t="str">
        <f t="shared" si="122"/>
        <v>http://www.tomah.va.gov/contact/phone_directory.asp</v>
      </c>
    </row>
    <row r="3261" ht="14.25" hidden="1" customHeight="1">
      <c r="A3261" s="8" t="s">
        <v>455</v>
      </c>
      <c r="B3261" s="8" t="s">
        <v>3473</v>
      </c>
      <c r="C3261" s="121" t="str">
        <f t="shared" si="122"/>
        <v>http://www.tomah.va.gov/contact/phone_directory.asp</v>
      </c>
    </row>
    <row r="3262" ht="14.25" hidden="1" customHeight="1">
      <c r="A3262" s="8" t="s">
        <v>2423</v>
      </c>
      <c r="B3262" s="8" t="s">
        <v>3473</v>
      </c>
      <c r="C3262" s="121" t="str">
        <f t="shared" si="122"/>
        <v>http://www.tomah.va.gov/contact/phone_directory.asp</v>
      </c>
    </row>
    <row r="3263" ht="14.25" hidden="1" customHeight="1">
      <c r="A3263" s="8" t="s">
        <v>663</v>
      </c>
      <c r="B3263" s="8" t="s">
        <v>3473</v>
      </c>
      <c r="C3263" s="121" t="str">
        <f t="shared" si="122"/>
        <v>http://www.tomah.va.gov/contact/phone_directory.asp</v>
      </c>
    </row>
    <row r="3264" ht="14.25" hidden="1" customHeight="1">
      <c r="A3264" s="8" t="s">
        <v>683</v>
      </c>
      <c r="B3264" s="8" t="s">
        <v>3473</v>
      </c>
      <c r="C3264" s="121" t="str">
        <f t="shared" si="122"/>
        <v>http://www.tomah.va.gov/contact/phone_directory.asp</v>
      </c>
    </row>
    <row r="3265" ht="14.25" hidden="1" customHeight="1">
      <c r="A3265" s="8" t="s">
        <v>3477</v>
      </c>
      <c r="B3265" s="8" t="s">
        <v>3473</v>
      </c>
      <c r="C3265" s="121" t="str">
        <f t="shared" si="122"/>
        <v>http://www.tomah.va.gov/contact/phone_directory.asp</v>
      </c>
    </row>
    <row r="3266" ht="14.25" hidden="1" customHeight="1">
      <c r="A3266" s="8" t="s">
        <v>691</v>
      </c>
      <c r="B3266" s="8" t="s">
        <v>3473</v>
      </c>
      <c r="C3266" s="121" t="str">
        <f t="shared" si="122"/>
        <v>http://www.tomah.va.gov/contact/phone_directory.asp</v>
      </c>
    </row>
    <row r="3267" ht="14.25" hidden="1" customHeight="1">
      <c r="A3267" s="8" t="s">
        <v>1655</v>
      </c>
      <c r="B3267" s="8" t="s">
        <v>3473</v>
      </c>
      <c r="C3267" s="121" t="str">
        <f t="shared" si="122"/>
        <v>http://www.tomah.va.gov/contact/phone_directory.asp</v>
      </c>
    </row>
    <row r="3268" ht="14.25" hidden="1" customHeight="1">
      <c r="A3268" s="8" t="s">
        <v>697</v>
      </c>
      <c r="B3268" s="8" t="s">
        <v>3473</v>
      </c>
      <c r="C3268" s="121" t="str">
        <f t="shared" si="122"/>
        <v>http://www.tomah.va.gov/contact/phone_directory.asp</v>
      </c>
    </row>
    <row r="3269" ht="14.25" hidden="1" customHeight="1">
      <c r="A3269" s="8" t="s">
        <v>1891</v>
      </c>
      <c r="B3269" s="8" t="s">
        <v>3473</v>
      </c>
      <c r="C3269" s="121" t="str">
        <f t="shared" si="122"/>
        <v>http://www.tomah.va.gov/contact/phone_directory.asp</v>
      </c>
    </row>
    <row r="3270" ht="14.25" hidden="1" customHeight="1">
      <c r="A3270" s="8" t="s">
        <v>708</v>
      </c>
      <c r="B3270" s="8" t="s">
        <v>3473</v>
      </c>
      <c r="C3270" s="121" t="str">
        <f t="shared" si="122"/>
        <v>http://www.tomah.va.gov/contact/phone_directory.asp</v>
      </c>
    </row>
    <row r="3271" ht="14.25" hidden="1" customHeight="1">
      <c r="A3271" s="8" t="s">
        <v>1054</v>
      </c>
      <c r="B3271" s="8" t="s">
        <v>3473</v>
      </c>
      <c r="C3271" s="121" t="str">
        <f t="shared" si="122"/>
        <v>http://www.tomah.va.gov/contact/phone_directory.asp</v>
      </c>
    </row>
    <row r="3272" ht="14.25" hidden="1" customHeight="1">
      <c r="A3272" s="8" t="s">
        <v>712</v>
      </c>
      <c r="B3272" s="8" t="s">
        <v>3473</v>
      </c>
      <c r="C3272" s="121" t="str">
        <f t="shared" si="122"/>
        <v>http://www.tomah.va.gov/contact/phone_directory.asp</v>
      </c>
    </row>
    <row r="3273" ht="14.25" hidden="1" customHeight="1">
      <c r="A3273" s="8" t="s">
        <v>724</v>
      </c>
      <c r="B3273" s="8" t="s">
        <v>3473</v>
      </c>
      <c r="C3273" s="121" t="str">
        <f t="shared" si="122"/>
        <v>http://www.tomah.va.gov/contact/phone_directory.asp</v>
      </c>
    </row>
    <row r="3274" ht="14.25" hidden="1" customHeight="1">
      <c r="A3274" s="8" t="s">
        <v>518</v>
      </c>
      <c r="B3274" s="8" t="s">
        <v>3473</v>
      </c>
      <c r="C3274" s="121" t="str">
        <f t="shared" si="122"/>
        <v>http://www.tomah.va.gov/contact/phone_directory.asp</v>
      </c>
    </row>
    <row r="3275" ht="14.25" hidden="1" customHeight="1">
      <c r="A3275" s="8" t="s">
        <v>3481</v>
      </c>
      <c r="B3275" s="8" t="s">
        <v>3482</v>
      </c>
      <c r="C3275" s="121" t="str">
        <f t="shared" ref="C3275:C3290" si="123">HYPERLINK("http://www.topeka.va.gov/contact/phone_directory.asp")</f>
        <v>http://www.topeka.va.gov/contact/phone_directory.asp</v>
      </c>
    </row>
    <row r="3276" ht="14.25" hidden="1" customHeight="1">
      <c r="A3276" s="8" t="s">
        <v>2498</v>
      </c>
      <c r="B3276" s="8" t="s">
        <v>3482</v>
      </c>
      <c r="C3276" s="121" t="str">
        <f t="shared" si="123"/>
        <v>http://www.topeka.va.gov/contact/phone_directory.asp</v>
      </c>
    </row>
    <row r="3277" ht="14.25" hidden="1" customHeight="1">
      <c r="A3277" s="8" t="s">
        <v>626</v>
      </c>
      <c r="B3277" s="8" t="s">
        <v>3482</v>
      </c>
      <c r="C3277" s="121" t="str">
        <f t="shared" si="123"/>
        <v>http://www.topeka.va.gov/contact/phone_directory.asp</v>
      </c>
    </row>
    <row r="3278" ht="14.25" hidden="1" customHeight="1">
      <c r="A3278" s="8" t="s">
        <v>624</v>
      </c>
      <c r="B3278" s="8" t="s">
        <v>3482</v>
      </c>
      <c r="C3278" s="121" t="str">
        <f t="shared" si="123"/>
        <v>http://www.topeka.va.gov/contact/phone_directory.asp</v>
      </c>
    </row>
    <row r="3279" ht="14.25" hidden="1" customHeight="1">
      <c r="A3279" s="8" t="s">
        <v>998</v>
      </c>
      <c r="B3279" s="8" t="s">
        <v>3482</v>
      </c>
      <c r="C3279" s="121" t="str">
        <f t="shared" si="123"/>
        <v>http://www.topeka.va.gov/contact/phone_directory.asp</v>
      </c>
    </row>
    <row r="3280" ht="14.25" hidden="1" customHeight="1">
      <c r="A3280" s="8" t="s">
        <v>864</v>
      </c>
      <c r="B3280" s="8" t="s">
        <v>3482</v>
      </c>
      <c r="C3280" s="121" t="str">
        <f t="shared" si="123"/>
        <v>http://www.topeka.va.gov/contact/phone_directory.asp</v>
      </c>
    </row>
    <row r="3281" ht="14.25" hidden="1" customHeight="1">
      <c r="A3281" s="8" t="s">
        <v>1546</v>
      </c>
      <c r="B3281" s="8" t="s">
        <v>3482</v>
      </c>
      <c r="C3281" s="121" t="str">
        <f t="shared" si="123"/>
        <v>http://www.topeka.va.gov/contact/phone_directory.asp</v>
      </c>
    </row>
    <row r="3282" ht="14.25" hidden="1" customHeight="1">
      <c r="A3282" s="8" t="s">
        <v>663</v>
      </c>
      <c r="B3282" s="8" t="s">
        <v>3482</v>
      </c>
      <c r="C3282" s="121" t="str">
        <f t="shared" si="123"/>
        <v>http://www.topeka.va.gov/contact/phone_directory.asp</v>
      </c>
    </row>
    <row r="3283" ht="14.25" hidden="1" customHeight="1">
      <c r="A3283" s="8" t="s">
        <v>2503</v>
      </c>
      <c r="B3283" s="8" t="s">
        <v>3482</v>
      </c>
      <c r="C3283" s="121" t="str">
        <f t="shared" si="123"/>
        <v>http://www.topeka.va.gov/contact/phone_directory.asp</v>
      </c>
    </row>
    <row r="3284" ht="14.25" hidden="1" customHeight="1">
      <c r="A3284" s="8" t="s">
        <v>670</v>
      </c>
      <c r="B3284" s="8" t="s">
        <v>3482</v>
      </c>
      <c r="C3284" s="121" t="str">
        <f t="shared" si="123"/>
        <v>http://www.topeka.va.gov/contact/phone_directory.asp</v>
      </c>
    </row>
    <row r="3285" ht="14.25" hidden="1" customHeight="1">
      <c r="A3285" s="8" t="s">
        <v>691</v>
      </c>
      <c r="B3285" s="8" t="s">
        <v>3482</v>
      </c>
      <c r="C3285" s="121" t="str">
        <f t="shared" si="123"/>
        <v>http://www.topeka.va.gov/contact/phone_directory.asp</v>
      </c>
    </row>
    <row r="3286" ht="14.25" hidden="1" customHeight="1">
      <c r="A3286" s="8" t="s">
        <v>1891</v>
      </c>
      <c r="B3286" s="8" t="s">
        <v>3482</v>
      </c>
      <c r="C3286" s="121" t="str">
        <f t="shared" si="123"/>
        <v>http://www.topeka.va.gov/contact/phone_directory.asp</v>
      </c>
    </row>
    <row r="3287" ht="14.25" hidden="1" customHeight="1">
      <c r="A3287" s="8" t="s">
        <v>708</v>
      </c>
      <c r="B3287" s="8" t="s">
        <v>3482</v>
      </c>
      <c r="C3287" s="121" t="str">
        <f t="shared" si="123"/>
        <v>http://www.topeka.va.gov/contact/phone_directory.asp</v>
      </c>
    </row>
    <row r="3288" ht="14.25" hidden="1" customHeight="1">
      <c r="A3288" s="8" t="s">
        <v>3489</v>
      </c>
      <c r="B3288" s="8" t="s">
        <v>3482</v>
      </c>
      <c r="C3288" s="121" t="str">
        <f t="shared" si="123"/>
        <v>http://www.topeka.va.gov/contact/phone_directory.asp</v>
      </c>
    </row>
    <row r="3289" ht="14.25" hidden="1" customHeight="1">
      <c r="A3289" s="8" t="s">
        <v>1686</v>
      </c>
      <c r="B3289" s="8" t="s">
        <v>3482</v>
      </c>
      <c r="C3289" s="121" t="str">
        <f t="shared" si="123"/>
        <v>http://www.topeka.va.gov/contact/phone_directory.asp</v>
      </c>
    </row>
    <row r="3290" ht="14.25" hidden="1" customHeight="1">
      <c r="A3290" s="8" t="s">
        <v>2504</v>
      </c>
      <c r="B3290" s="8" t="s">
        <v>3482</v>
      </c>
      <c r="C3290" s="121" t="str">
        <f t="shared" si="123"/>
        <v>http://www.topeka.va.gov/contact/phone_directory.asp</v>
      </c>
    </row>
    <row r="3291" ht="14.25" hidden="1" customHeight="1">
      <c r="A3291" s="8" t="s">
        <v>3491</v>
      </c>
      <c r="B3291" s="8" t="s">
        <v>3492</v>
      </c>
      <c r="C3291" s="121" t="str">
        <f t="shared" ref="C3291:C3336" si="124">HYPERLINK("http://www.tucson.va.gov/contact/phone_directory.asp")</f>
        <v>http://www.tucson.va.gov/contact/phone_directory.asp</v>
      </c>
    </row>
    <row r="3292" ht="14.25" hidden="1" customHeight="1">
      <c r="A3292" s="8" t="s">
        <v>2286</v>
      </c>
      <c r="B3292" s="8" t="s">
        <v>3492</v>
      </c>
      <c r="C3292" s="121" t="str">
        <f t="shared" si="124"/>
        <v>http://www.tucson.va.gov/contact/phone_directory.asp</v>
      </c>
    </row>
    <row r="3293" ht="14.25" hidden="1" customHeight="1">
      <c r="A3293" s="8" t="s">
        <v>3493</v>
      </c>
      <c r="B3293" s="8" t="s">
        <v>3492</v>
      </c>
      <c r="C3293" s="121" t="str">
        <f t="shared" si="124"/>
        <v>http://www.tucson.va.gov/contact/phone_directory.asp</v>
      </c>
    </row>
    <row r="3294" ht="14.25" hidden="1" customHeight="1">
      <c r="A3294" s="8" t="s">
        <v>3495</v>
      </c>
      <c r="B3294" s="8" t="s">
        <v>3492</v>
      </c>
      <c r="C3294" s="121" t="str">
        <f t="shared" si="124"/>
        <v>http://www.tucson.va.gov/contact/phone_directory.asp</v>
      </c>
    </row>
    <row r="3295" ht="14.25" hidden="1" customHeight="1">
      <c r="A3295" s="8" t="s">
        <v>480</v>
      </c>
      <c r="B3295" s="8" t="s">
        <v>3492</v>
      </c>
      <c r="C3295" s="121" t="str">
        <f t="shared" si="124"/>
        <v>http://www.tucson.va.gov/contact/phone_directory.asp</v>
      </c>
    </row>
    <row r="3296" ht="14.25" hidden="1" customHeight="1">
      <c r="A3296" s="8" t="s">
        <v>2389</v>
      </c>
      <c r="B3296" s="8" t="s">
        <v>3492</v>
      </c>
      <c r="C3296" s="121" t="str">
        <f t="shared" si="124"/>
        <v>http://www.tucson.va.gov/contact/phone_directory.asp</v>
      </c>
    </row>
    <row r="3297" ht="14.25" hidden="1" customHeight="1">
      <c r="A3297" s="8" t="s">
        <v>1827</v>
      </c>
      <c r="B3297" s="8" t="s">
        <v>3492</v>
      </c>
      <c r="C3297" s="121" t="str">
        <f t="shared" si="124"/>
        <v>http://www.tucson.va.gov/contact/phone_directory.asp</v>
      </c>
    </row>
    <row r="3298" ht="14.25" hidden="1" customHeight="1">
      <c r="A3298" s="8" t="s">
        <v>872</v>
      </c>
      <c r="B3298" s="8" t="s">
        <v>3492</v>
      </c>
      <c r="C3298" s="121" t="str">
        <f t="shared" si="124"/>
        <v>http://www.tucson.va.gov/contact/phone_directory.asp</v>
      </c>
    </row>
    <row r="3299" ht="14.25" hidden="1" customHeight="1">
      <c r="A3299" s="8" t="s">
        <v>483</v>
      </c>
      <c r="B3299" s="8" t="s">
        <v>3492</v>
      </c>
      <c r="C3299" s="121" t="str">
        <f t="shared" si="124"/>
        <v>http://www.tucson.va.gov/contact/phone_directory.asp</v>
      </c>
    </row>
    <row r="3300" ht="14.25" hidden="1" customHeight="1">
      <c r="A3300" s="8" t="s">
        <v>1963</v>
      </c>
      <c r="B3300" s="8" t="s">
        <v>3492</v>
      </c>
      <c r="C3300" s="121" t="str">
        <f t="shared" si="124"/>
        <v>http://www.tucson.va.gov/contact/phone_directory.asp</v>
      </c>
    </row>
    <row r="3301" ht="14.25" hidden="1" customHeight="1">
      <c r="A3301" s="8" t="s">
        <v>2305</v>
      </c>
      <c r="B3301" s="8" t="s">
        <v>3492</v>
      </c>
      <c r="C3301" s="121" t="str">
        <f t="shared" si="124"/>
        <v>http://www.tucson.va.gov/contact/phone_directory.asp</v>
      </c>
    </row>
    <row r="3302" ht="14.25" hidden="1" customHeight="1">
      <c r="A3302" s="8" t="s">
        <v>486</v>
      </c>
      <c r="B3302" s="8" t="s">
        <v>3492</v>
      </c>
      <c r="C3302" s="121" t="str">
        <f t="shared" si="124"/>
        <v>http://www.tucson.va.gov/contact/phone_directory.asp</v>
      </c>
    </row>
    <row r="3303" ht="14.25" hidden="1" customHeight="1">
      <c r="A3303" s="8" t="s">
        <v>3498</v>
      </c>
      <c r="B3303" s="8" t="s">
        <v>3492</v>
      </c>
      <c r="C3303" s="121" t="str">
        <f t="shared" si="124"/>
        <v>http://www.tucson.va.gov/contact/phone_directory.asp</v>
      </c>
    </row>
    <row r="3304" ht="14.25" hidden="1" customHeight="1">
      <c r="A3304" s="8" t="s">
        <v>1623</v>
      </c>
      <c r="B3304" s="8" t="s">
        <v>3492</v>
      </c>
      <c r="C3304" s="121" t="str">
        <f t="shared" si="124"/>
        <v>http://www.tucson.va.gov/contact/phone_directory.asp</v>
      </c>
    </row>
    <row r="3305" ht="14.25" hidden="1" customHeight="1">
      <c r="A3305" s="8" t="s">
        <v>3499</v>
      </c>
      <c r="B3305" s="8" t="s">
        <v>3492</v>
      </c>
      <c r="C3305" s="121" t="str">
        <f t="shared" si="124"/>
        <v>http://www.tucson.va.gov/contact/phone_directory.asp</v>
      </c>
    </row>
    <row r="3306" ht="14.25" hidden="1" customHeight="1">
      <c r="A3306" s="8" t="s">
        <v>3500</v>
      </c>
      <c r="B3306" s="8" t="s">
        <v>3492</v>
      </c>
      <c r="C3306" s="121" t="str">
        <f t="shared" si="124"/>
        <v>http://www.tucson.va.gov/contact/phone_directory.asp</v>
      </c>
    </row>
    <row r="3307" ht="14.25" hidden="1" customHeight="1">
      <c r="A3307" s="8" t="s">
        <v>431</v>
      </c>
      <c r="B3307" s="8" t="s">
        <v>3492</v>
      </c>
      <c r="C3307" s="121" t="str">
        <f t="shared" si="124"/>
        <v>http://www.tucson.va.gov/contact/phone_directory.asp</v>
      </c>
    </row>
    <row r="3308" ht="14.25" hidden="1" customHeight="1">
      <c r="A3308" s="8" t="s">
        <v>489</v>
      </c>
      <c r="B3308" s="8" t="s">
        <v>3492</v>
      </c>
      <c r="C3308" s="121" t="str">
        <f t="shared" si="124"/>
        <v>http://www.tucson.va.gov/contact/phone_directory.asp</v>
      </c>
    </row>
    <row r="3309" ht="14.25" hidden="1" customHeight="1">
      <c r="A3309" s="8" t="s">
        <v>437</v>
      </c>
      <c r="B3309" s="8" t="s">
        <v>3492</v>
      </c>
      <c r="C3309" s="121" t="str">
        <f t="shared" si="124"/>
        <v>http://www.tucson.va.gov/contact/phone_directory.asp</v>
      </c>
    </row>
    <row r="3310" ht="14.25" hidden="1" customHeight="1">
      <c r="A3310" s="8" t="s">
        <v>3503</v>
      </c>
      <c r="B3310" s="8" t="s">
        <v>3492</v>
      </c>
      <c r="C3310" s="121" t="str">
        <f t="shared" si="124"/>
        <v>http://www.tucson.va.gov/contact/phone_directory.asp</v>
      </c>
    </row>
    <row r="3311" ht="14.25" hidden="1" customHeight="1">
      <c r="A3311" s="8" t="s">
        <v>3504</v>
      </c>
      <c r="B3311" s="8" t="s">
        <v>3492</v>
      </c>
      <c r="C3311" s="121" t="str">
        <f t="shared" si="124"/>
        <v>http://www.tucson.va.gov/contact/phone_directory.asp</v>
      </c>
    </row>
    <row r="3312" ht="14.25" hidden="1" customHeight="1">
      <c r="A3312" s="8" t="s">
        <v>324</v>
      </c>
      <c r="B3312" s="8" t="s">
        <v>3492</v>
      </c>
      <c r="C3312" s="121" t="str">
        <f t="shared" si="124"/>
        <v>http://www.tucson.va.gov/contact/phone_directory.asp</v>
      </c>
    </row>
    <row r="3313" ht="14.25" hidden="1" customHeight="1">
      <c r="A3313" s="8" t="s">
        <v>494</v>
      </c>
      <c r="B3313" s="8" t="s">
        <v>3492</v>
      </c>
      <c r="C3313" s="121" t="str">
        <f t="shared" si="124"/>
        <v>http://www.tucson.va.gov/contact/phone_directory.asp</v>
      </c>
    </row>
    <row r="3314" ht="14.25" hidden="1" customHeight="1">
      <c r="A3314" s="8" t="s">
        <v>1626</v>
      </c>
      <c r="B3314" s="8" t="s">
        <v>3492</v>
      </c>
      <c r="C3314" s="121" t="str">
        <f t="shared" si="124"/>
        <v>http://www.tucson.va.gov/contact/phone_directory.asp</v>
      </c>
    </row>
    <row r="3315" ht="14.25" hidden="1" customHeight="1">
      <c r="A3315" s="8" t="s">
        <v>3507</v>
      </c>
      <c r="B3315" s="8" t="s">
        <v>3492</v>
      </c>
      <c r="C3315" s="121" t="str">
        <f t="shared" si="124"/>
        <v>http://www.tucson.va.gov/contact/phone_directory.asp</v>
      </c>
    </row>
    <row r="3316" ht="14.25" hidden="1" customHeight="1">
      <c r="A3316" s="8" t="s">
        <v>3508</v>
      </c>
      <c r="B3316" s="8" t="s">
        <v>3492</v>
      </c>
      <c r="C3316" s="121" t="str">
        <f t="shared" si="124"/>
        <v>http://www.tucson.va.gov/contact/phone_directory.asp</v>
      </c>
    </row>
    <row r="3317" ht="14.25" hidden="1" customHeight="1">
      <c r="A3317" s="8" t="s">
        <v>335</v>
      </c>
      <c r="B3317" s="8" t="s">
        <v>3492</v>
      </c>
      <c r="C3317" s="121" t="str">
        <f t="shared" si="124"/>
        <v>http://www.tucson.va.gov/contact/phone_directory.asp</v>
      </c>
    </row>
    <row r="3318" ht="14.25" hidden="1" customHeight="1">
      <c r="A3318" s="8" t="s">
        <v>356</v>
      </c>
      <c r="B3318" s="8" t="s">
        <v>3492</v>
      </c>
      <c r="C3318" s="121" t="str">
        <f t="shared" si="124"/>
        <v>http://www.tucson.va.gov/contact/phone_directory.asp</v>
      </c>
    </row>
    <row r="3319" ht="14.25" hidden="1" customHeight="1">
      <c r="A3319" s="8" t="s">
        <v>3511</v>
      </c>
      <c r="B3319" s="8" t="s">
        <v>3492</v>
      </c>
      <c r="C3319" s="121" t="str">
        <f t="shared" si="124"/>
        <v>http://www.tucson.va.gov/contact/phone_directory.asp</v>
      </c>
    </row>
    <row r="3320" ht="14.25" hidden="1" customHeight="1">
      <c r="A3320" s="8" t="s">
        <v>694</v>
      </c>
      <c r="B3320" s="8" t="s">
        <v>3492</v>
      </c>
      <c r="C3320" s="121" t="str">
        <f t="shared" si="124"/>
        <v>http://www.tucson.va.gov/contact/phone_directory.asp</v>
      </c>
    </row>
    <row r="3321" ht="14.25" hidden="1" customHeight="1">
      <c r="A3321" s="8" t="s">
        <v>3513</v>
      </c>
      <c r="B3321" s="8" t="s">
        <v>3492</v>
      </c>
      <c r="C3321" s="121" t="str">
        <f t="shared" si="124"/>
        <v>http://www.tucson.va.gov/contact/phone_directory.asp</v>
      </c>
    </row>
    <row r="3322" ht="14.25" hidden="1" customHeight="1">
      <c r="A3322" s="8" t="s">
        <v>3514</v>
      </c>
      <c r="B3322" s="8" t="s">
        <v>3492</v>
      </c>
      <c r="C3322" s="121" t="str">
        <f t="shared" si="124"/>
        <v>http://www.tucson.va.gov/contact/phone_directory.asp</v>
      </c>
    </row>
    <row r="3323" ht="14.25" hidden="1" customHeight="1">
      <c r="A3323" s="8" t="s">
        <v>504</v>
      </c>
      <c r="B3323" s="8" t="s">
        <v>3492</v>
      </c>
      <c r="C3323" s="121" t="str">
        <f t="shared" si="124"/>
        <v>http://www.tucson.va.gov/contact/phone_directory.asp</v>
      </c>
    </row>
    <row r="3324" ht="14.25" hidden="1" customHeight="1">
      <c r="A3324" s="8" t="s">
        <v>708</v>
      </c>
      <c r="B3324" s="8" t="s">
        <v>3492</v>
      </c>
      <c r="C3324" s="121" t="str">
        <f t="shared" si="124"/>
        <v>http://www.tucson.va.gov/contact/phone_directory.asp</v>
      </c>
    </row>
    <row r="3325" ht="14.25" hidden="1" customHeight="1">
      <c r="A3325" s="8" t="s">
        <v>3517</v>
      </c>
      <c r="B3325" s="8" t="s">
        <v>3492</v>
      </c>
      <c r="C3325" s="121" t="str">
        <f t="shared" si="124"/>
        <v>http://www.tucson.va.gov/contact/phone_directory.asp</v>
      </c>
    </row>
    <row r="3326" ht="14.25" hidden="1" customHeight="1">
      <c r="A3326" s="8" t="s">
        <v>3518</v>
      </c>
      <c r="B3326" s="8" t="s">
        <v>3492</v>
      </c>
      <c r="C3326" s="121" t="str">
        <f t="shared" si="124"/>
        <v>http://www.tucson.va.gov/contact/phone_directory.asp</v>
      </c>
    </row>
    <row r="3327" ht="14.25" hidden="1" customHeight="1">
      <c r="A3327" s="8" t="s">
        <v>3519</v>
      </c>
      <c r="B3327" s="8" t="s">
        <v>3492</v>
      </c>
      <c r="C3327" s="121" t="str">
        <f t="shared" si="124"/>
        <v>http://www.tucson.va.gov/contact/phone_directory.asp</v>
      </c>
    </row>
    <row r="3328" ht="14.25" hidden="1" customHeight="1">
      <c r="A3328" s="8" t="s">
        <v>3520</v>
      </c>
      <c r="B3328" s="8" t="s">
        <v>3492</v>
      </c>
      <c r="C3328" s="121" t="str">
        <f t="shared" si="124"/>
        <v>http://www.tucson.va.gov/contact/phone_directory.asp</v>
      </c>
    </row>
    <row r="3329" ht="14.25" hidden="1" customHeight="1">
      <c r="A3329" s="8" t="s">
        <v>811</v>
      </c>
      <c r="B3329" s="8" t="s">
        <v>3492</v>
      </c>
      <c r="C3329" s="121" t="str">
        <f t="shared" si="124"/>
        <v>http://www.tucson.va.gov/contact/phone_directory.asp</v>
      </c>
    </row>
    <row r="3330" ht="14.25" hidden="1" customHeight="1">
      <c r="A3330" s="8" t="s">
        <v>512</v>
      </c>
      <c r="B3330" s="8" t="s">
        <v>3492</v>
      </c>
      <c r="C3330" s="121" t="str">
        <f t="shared" si="124"/>
        <v>http://www.tucson.va.gov/contact/phone_directory.asp</v>
      </c>
    </row>
    <row r="3331" ht="14.25" hidden="1" customHeight="1">
      <c r="A3331" s="8" t="s">
        <v>516</v>
      </c>
      <c r="B3331" s="8" t="s">
        <v>3492</v>
      </c>
      <c r="C3331" s="121" t="str">
        <f t="shared" si="124"/>
        <v>http://www.tucson.va.gov/contact/phone_directory.asp</v>
      </c>
    </row>
    <row r="3332" ht="14.25" hidden="1" customHeight="1">
      <c r="A3332" s="8" t="s">
        <v>3523</v>
      </c>
      <c r="B3332" s="8" t="s">
        <v>3492</v>
      </c>
      <c r="C3332" s="121" t="str">
        <f t="shared" si="124"/>
        <v>http://www.tucson.va.gov/contact/phone_directory.asp</v>
      </c>
    </row>
    <row r="3333" ht="14.25" hidden="1" customHeight="1">
      <c r="A3333" s="8" t="s">
        <v>518</v>
      </c>
      <c r="B3333" s="8" t="s">
        <v>3492</v>
      </c>
      <c r="C3333" s="121" t="str">
        <f t="shared" si="124"/>
        <v>http://www.tucson.va.gov/contact/phone_directory.asp</v>
      </c>
    </row>
    <row r="3334" ht="14.25" hidden="1" customHeight="1">
      <c r="A3334" s="8" t="s">
        <v>3524</v>
      </c>
      <c r="B3334" s="8" t="s">
        <v>3492</v>
      </c>
      <c r="C3334" s="121" t="str">
        <f t="shared" si="124"/>
        <v>http://www.tucson.va.gov/contact/phone_directory.asp</v>
      </c>
    </row>
    <row r="3335" ht="14.25" hidden="1" customHeight="1">
      <c r="A3335" s="8" t="s">
        <v>472</v>
      </c>
      <c r="B3335" s="8" t="s">
        <v>3492</v>
      </c>
      <c r="C3335" s="121" t="str">
        <f t="shared" si="124"/>
        <v>http://www.tucson.va.gov/contact/phone_directory.asp</v>
      </c>
    </row>
    <row r="3336" ht="14.25" hidden="1" customHeight="1">
      <c r="A3336" s="8" t="s">
        <v>3526</v>
      </c>
      <c r="B3336" s="8" t="s">
        <v>3492</v>
      </c>
      <c r="C3336" s="121" t="str">
        <f t="shared" si="124"/>
        <v>http://www.tucson.va.gov/contact/phone_directory.asp</v>
      </c>
    </row>
    <row r="3337" ht="14.25" hidden="1" customHeight="1">
      <c r="A3337" s="8" t="s">
        <v>624</v>
      </c>
      <c r="B3337" s="8" t="s">
        <v>3527</v>
      </c>
      <c r="C3337" s="121" t="str">
        <f t="shared" ref="C3337:C3353" si="125">HYPERLINK("http://www.tuscaloosa.va.gov/contact/phone_directory.asp")</f>
        <v>http://www.tuscaloosa.va.gov/contact/phone_directory.asp</v>
      </c>
    </row>
    <row r="3338" ht="14.25" hidden="1" customHeight="1">
      <c r="A3338" s="8" t="s">
        <v>3529</v>
      </c>
      <c r="B3338" s="8" t="s">
        <v>3527</v>
      </c>
      <c r="C3338" s="121" t="str">
        <f t="shared" si="125"/>
        <v>http://www.tuscaloosa.va.gov/contact/phone_directory.asp</v>
      </c>
    </row>
    <row r="3339" ht="14.25" hidden="1" customHeight="1">
      <c r="A3339" s="8" t="s">
        <v>1811</v>
      </c>
      <c r="B3339" s="8" t="s">
        <v>3527</v>
      </c>
      <c r="C3339" s="121" t="str">
        <f t="shared" si="125"/>
        <v>http://www.tuscaloosa.va.gov/contact/phone_directory.asp</v>
      </c>
    </row>
    <row r="3340" ht="14.25" hidden="1" customHeight="1">
      <c r="A3340" s="8" t="s">
        <v>3530</v>
      </c>
      <c r="B3340" s="8" t="s">
        <v>3527</v>
      </c>
      <c r="C3340" s="121" t="str">
        <f t="shared" si="125"/>
        <v>http://www.tuscaloosa.va.gov/contact/phone_directory.asp</v>
      </c>
    </row>
    <row r="3341" ht="14.25" hidden="1" customHeight="1">
      <c r="A3341" s="8" t="s">
        <v>2629</v>
      </c>
      <c r="B3341" s="8" t="s">
        <v>3527</v>
      </c>
      <c r="C3341" s="121" t="str">
        <f t="shared" si="125"/>
        <v>http://www.tuscaloosa.va.gov/contact/phone_directory.asp</v>
      </c>
    </row>
    <row r="3342" ht="14.25" hidden="1" customHeight="1">
      <c r="A3342" s="8" t="s">
        <v>312</v>
      </c>
      <c r="B3342" s="8" t="s">
        <v>3527</v>
      </c>
      <c r="C3342" s="121" t="str">
        <f t="shared" si="125"/>
        <v>http://www.tuscaloosa.va.gov/contact/phone_directory.asp</v>
      </c>
    </row>
    <row r="3343" ht="14.25" hidden="1" customHeight="1">
      <c r="A3343" s="8" t="s">
        <v>670</v>
      </c>
      <c r="B3343" s="8" t="s">
        <v>3527</v>
      </c>
      <c r="C3343" s="121" t="str">
        <f t="shared" si="125"/>
        <v>http://www.tuscaloosa.va.gov/contact/phone_directory.asp</v>
      </c>
    </row>
    <row r="3344" ht="14.25" hidden="1" customHeight="1">
      <c r="A3344" s="8" t="s">
        <v>683</v>
      </c>
      <c r="B3344" s="8" t="s">
        <v>3527</v>
      </c>
      <c r="C3344" s="121" t="str">
        <f t="shared" si="125"/>
        <v>http://www.tuscaloosa.va.gov/contact/phone_directory.asp</v>
      </c>
    </row>
    <row r="3345" ht="14.25" hidden="1" customHeight="1">
      <c r="A3345" s="8" t="s">
        <v>1028</v>
      </c>
      <c r="B3345" s="8" t="s">
        <v>3527</v>
      </c>
      <c r="C3345" s="121" t="str">
        <f t="shared" si="125"/>
        <v>http://www.tuscaloosa.va.gov/contact/phone_directory.asp</v>
      </c>
    </row>
    <row r="3346" ht="14.25" hidden="1" customHeight="1">
      <c r="A3346" s="8" t="s">
        <v>691</v>
      </c>
      <c r="B3346" s="8" t="s">
        <v>3527</v>
      </c>
      <c r="C3346" s="121" t="str">
        <f t="shared" si="125"/>
        <v>http://www.tuscaloosa.va.gov/contact/phone_directory.asp</v>
      </c>
    </row>
    <row r="3347" ht="14.25" hidden="1" customHeight="1">
      <c r="A3347" s="8" t="s">
        <v>3533</v>
      </c>
      <c r="B3347" s="8" t="s">
        <v>3527</v>
      </c>
      <c r="C3347" s="121" t="str">
        <f t="shared" si="125"/>
        <v>http://www.tuscaloosa.va.gov/contact/phone_directory.asp</v>
      </c>
    </row>
    <row r="3348" ht="14.25" hidden="1" customHeight="1">
      <c r="A3348" s="8" t="s">
        <v>1655</v>
      </c>
      <c r="B3348" s="8" t="s">
        <v>3527</v>
      </c>
      <c r="C3348" s="121" t="str">
        <f t="shared" si="125"/>
        <v>http://www.tuscaloosa.va.gov/contact/phone_directory.asp</v>
      </c>
    </row>
    <row r="3349" ht="14.25" hidden="1" customHeight="1">
      <c r="A3349" s="8" t="s">
        <v>335</v>
      </c>
      <c r="B3349" s="8" t="s">
        <v>3527</v>
      </c>
      <c r="C3349" s="121" t="str">
        <f t="shared" si="125"/>
        <v>http://www.tuscaloosa.va.gov/contact/phone_directory.asp</v>
      </c>
    </row>
    <row r="3350" ht="14.25" hidden="1" customHeight="1">
      <c r="A3350" s="8" t="s">
        <v>697</v>
      </c>
      <c r="B3350" s="8" t="s">
        <v>3527</v>
      </c>
      <c r="C3350" s="121" t="str">
        <f t="shared" si="125"/>
        <v>http://www.tuscaloosa.va.gov/contact/phone_directory.asp</v>
      </c>
    </row>
    <row r="3351" ht="14.25" hidden="1" customHeight="1">
      <c r="A3351" s="8" t="s">
        <v>1054</v>
      </c>
      <c r="B3351" s="8" t="s">
        <v>3527</v>
      </c>
      <c r="C3351" s="121" t="str">
        <f t="shared" si="125"/>
        <v>http://www.tuscaloosa.va.gov/contact/phone_directory.asp</v>
      </c>
    </row>
    <row r="3352" ht="14.25" hidden="1" customHeight="1">
      <c r="A3352" s="8" t="s">
        <v>712</v>
      </c>
      <c r="B3352" s="8" t="s">
        <v>3527</v>
      </c>
      <c r="C3352" s="121" t="str">
        <f t="shared" si="125"/>
        <v>http://www.tuscaloosa.va.gov/contact/phone_directory.asp</v>
      </c>
    </row>
    <row r="3353" ht="14.25" hidden="1" customHeight="1">
      <c r="A3353" s="8" t="s">
        <v>724</v>
      </c>
      <c r="B3353" s="8" t="s">
        <v>3527</v>
      </c>
      <c r="C3353" s="121" t="str">
        <f t="shared" si="125"/>
        <v>http://www.tuscaloosa.va.gov/contact/phone_directory.asp</v>
      </c>
    </row>
    <row r="3354" ht="14.25" hidden="1" customHeight="1">
      <c r="A3354" s="8" t="s">
        <v>3535</v>
      </c>
      <c r="B3354" s="8" t="s">
        <v>3536</v>
      </c>
      <c r="C3354" s="121" t="str">
        <f t="shared" ref="C3354:C3395" si="126">HYPERLINK("http://www.wallawalla.va.gov/contact/phone_directory.asp")</f>
        <v>http://www.wallawalla.va.gov/contact/phone_directory.asp</v>
      </c>
    </row>
    <row r="3355" ht="14.25" hidden="1" customHeight="1">
      <c r="A3355" s="8" t="s">
        <v>3538</v>
      </c>
      <c r="B3355" s="8" t="s">
        <v>3536</v>
      </c>
      <c r="C3355" s="121" t="str">
        <f t="shared" si="126"/>
        <v>http://www.wallawalla.va.gov/contact/phone_directory.asp</v>
      </c>
    </row>
    <row r="3356" ht="14.25" hidden="1" customHeight="1">
      <c r="A3356" s="8" t="s">
        <v>1532</v>
      </c>
      <c r="B3356" s="8" t="s">
        <v>3536</v>
      </c>
      <c r="C3356" s="121" t="str">
        <f t="shared" si="126"/>
        <v>http://www.wallawalla.va.gov/contact/phone_directory.asp</v>
      </c>
    </row>
    <row r="3357" ht="14.25" hidden="1" customHeight="1">
      <c r="A3357" s="8" t="s">
        <v>659</v>
      </c>
      <c r="B3357" s="8" t="s">
        <v>3536</v>
      </c>
      <c r="C3357" s="121" t="str">
        <f t="shared" si="126"/>
        <v>http://www.wallawalla.va.gov/contact/phone_directory.asp</v>
      </c>
    </row>
    <row r="3358" ht="14.25" hidden="1" customHeight="1">
      <c r="A3358" s="8" t="s">
        <v>3541</v>
      </c>
      <c r="B3358" s="8" t="s">
        <v>3536</v>
      </c>
      <c r="C3358" s="121" t="str">
        <f t="shared" si="126"/>
        <v>http://www.wallawalla.va.gov/contact/phone_directory.asp</v>
      </c>
    </row>
    <row r="3359" ht="14.25" hidden="1" customHeight="1">
      <c r="A3359" s="8" t="s">
        <v>468</v>
      </c>
      <c r="B3359" s="8" t="s">
        <v>3536</v>
      </c>
      <c r="C3359" s="121" t="str">
        <f t="shared" si="126"/>
        <v>http://www.wallawalla.va.gov/contact/phone_directory.asp</v>
      </c>
    </row>
    <row r="3360" ht="14.25" hidden="1" customHeight="1">
      <c r="A3360" s="8" t="s">
        <v>305</v>
      </c>
      <c r="B3360" s="8" t="s">
        <v>3536</v>
      </c>
      <c r="C3360" s="121" t="str">
        <f t="shared" si="126"/>
        <v>http://www.wallawalla.va.gov/contact/phone_directory.asp</v>
      </c>
    </row>
    <row r="3361" ht="14.25" hidden="1" customHeight="1">
      <c r="A3361" s="8" t="s">
        <v>3543</v>
      </c>
      <c r="B3361" s="8" t="s">
        <v>3536</v>
      </c>
      <c r="C3361" s="121" t="str">
        <f t="shared" si="126"/>
        <v>http://www.wallawalla.va.gov/contact/phone_directory.asp</v>
      </c>
    </row>
    <row r="3362" ht="14.25" hidden="1" customHeight="1">
      <c r="A3362" s="8" t="s">
        <v>3544</v>
      </c>
      <c r="B3362" s="8" t="s">
        <v>3536</v>
      </c>
      <c r="C3362" s="121" t="str">
        <f t="shared" si="126"/>
        <v>http://www.wallawalla.va.gov/contact/phone_directory.asp</v>
      </c>
    </row>
    <row r="3363" ht="14.25" hidden="1" customHeight="1">
      <c r="A3363" s="8" t="s">
        <v>663</v>
      </c>
      <c r="B3363" s="8" t="s">
        <v>3536</v>
      </c>
      <c r="C3363" s="121" t="str">
        <f t="shared" si="126"/>
        <v>http://www.wallawalla.va.gov/contact/phone_directory.asp</v>
      </c>
    </row>
    <row r="3364" ht="14.25" hidden="1" customHeight="1">
      <c r="A3364" s="8" t="s">
        <v>3545</v>
      </c>
      <c r="B3364" s="8" t="s">
        <v>3536</v>
      </c>
      <c r="C3364" s="121" t="str">
        <f t="shared" si="126"/>
        <v>http://www.wallawalla.va.gov/contact/phone_directory.asp</v>
      </c>
    </row>
    <row r="3365" ht="14.25" hidden="1" customHeight="1">
      <c r="A3365" s="8" t="s">
        <v>3359</v>
      </c>
      <c r="B3365" s="8" t="s">
        <v>3536</v>
      </c>
      <c r="C3365" s="121" t="str">
        <f t="shared" si="126"/>
        <v>http://www.wallawalla.va.gov/contact/phone_directory.asp</v>
      </c>
    </row>
    <row r="3366" ht="14.25" hidden="1" customHeight="1">
      <c r="A3366" s="8" t="s">
        <v>3313</v>
      </c>
      <c r="B3366" s="8" t="s">
        <v>3536</v>
      </c>
      <c r="C3366" s="121" t="str">
        <f t="shared" si="126"/>
        <v>http://www.wallawalla.va.gov/contact/phone_directory.asp</v>
      </c>
    </row>
    <row r="3367" ht="14.25" hidden="1" customHeight="1">
      <c r="A3367" s="8" t="s">
        <v>3546</v>
      </c>
      <c r="B3367" s="8" t="s">
        <v>3536</v>
      </c>
      <c r="C3367" s="121" t="str">
        <f t="shared" si="126"/>
        <v>http://www.wallawalla.va.gov/contact/phone_directory.asp</v>
      </c>
    </row>
    <row r="3368" ht="14.25" hidden="1" customHeight="1">
      <c r="A3368" s="8" t="s">
        <v>588</v>
      </c>
      <c r="B3368" s="8" t="s">
        <v>3536</v>
      </c>
      <c r="C3368" s="121" t="str">
        <f t="shared" si="126"/>
        <v>http://www.wallawalla.va.gov/contact/phone_directory.asp</v>
      </c>
    </row>
    <row r="3369" ht="14.25" hidden="1" customHeight="1">
      <c r="A3369" s="8" t="s">
        <v>3548</v>
      </c>
      <c r="B3369" s="8" t="s">
        <v>3536</v>
      </c>
      <c r="C3369" s="121" t="str">
        <f t="shared" si="126"/>
        <v>http://www.wallawalla.va.gov/contact/phone_directory.asp</v>
      </c>
    </row>
    <row r="3370" ht="14.25" hidden="1" customHeight="1">
      <c r="A3370" s="8" t="s">
        <v>670</v>
      </c>
      <c r="B3370" s="8" t="s">
        <v>3536</v>
      </c>
      <c r="C3370" s="121" t="str">
        <f t="shared" si="126"/>
        <v>http://www.wallawalla.va.gov/contact/phone_directory.asp</v>
      </c>
    </row>
    <row r="3371" ht="14.25" hidden="1" customHeight="1">
      <c r="A3371" s="8" t="s">
        <v>3549</v>
      </c>
      <c r="B3371" s="8" t="s">
        <v>3536</v>
      </c>
      <c r="C3371" s="121" t="str">
        <f t="shared" si="126"/>
        <v>http://www.wallawalla.va.gov/contact/phone_directory.asp</v>
      </c>
    </row>
    <row r="3372" ht="14.25" hidden="1" customHeight="1">
      <c r="A3372" s="8" t="s">
        <v>2092</v>
      </c>
      <c r="B3372" s="8" t="s">
        <v>3536</v>
      </c>
      <c r="C3372" s="121" t="str">
        <f t="shared" si="126"/>
        <v>http://www.wallawalla.va.gov/contact/phone_directory.asp</v>
      </c>
    </row>
    <row r="3373" ht="14.25" hidden="1" customHeight="1">
      <c r="A3373" s="8" t="s">
        <v>1654</v>
      </c>
      <c r="B3373" s="8" t="s">
        <v>3536</v>
      </c>
      <c r="C3373" s="121" t="str">
        <f t="shared" si="126"/>
        <v>http://www.wallawalla.va.gov/contact/phone_directory.asp</v>
      </c>
    </row>
    <row r="3374" ht="14.25" hidden="1" customHeight="1">
      <c r="A3374" s="8" t="s">
        <v>1487</v>
      </c>
      <c r="B3374" s="8" t="s">
        <v>3536</v>
      </c>
      <c r="C3374" s="121" t="str">
        <f t="shared" si="126"/>
        <v>http://www.wallawalla.va.gov/contact/phone_directory.asp</v>
      </c>
    </row>
    <row r="3375" ht="14.25" hidden="1" customHeight="1">
      <c r="A3375" s="8" t="s">
        <v>3551</v>
      </c>
      <c r="B3375" s="8" t="s">
        <v>3536</v>
      </c>
      <c r="C3375" s="121" t="str">
        <f t="shared" si="126"/>
        <v>http://www.wallawalla.va.gov/contact/phone_directory.asp</v>
      </c>
    </row>
    <row r="3376" ht="14.25" hidden="1" customHeight="1">
      <c r="A3376" s="8" t="s">
        <v>694</v>
      </c>
      <c r="B3376" s="8" t="s">
        <v>3536</v>
      </c>
      <c r="C3376" s="121" t="str">
        <f t="shared" si="126"/>
        <v>http://www.wallawalla.va.gov/contact/phone_directory.asp</v>
      </c>
    </row>
    <row r="3377" ht="14.25" hidden="1" customHeight="1">
      <c r="A3377" s="8" t="s">
        <v>2585</v>
      </c>
      <c r="B3377" s="8" t="s">
        <v>3536</v>
      </c>
      <c r="C3377" s="121" t="str">
        <f t="shared" si="126"/>
        <v>http://www.wallawalla.va.gov/contact/phone_directory.asp</v>
      </c>
    </row>
    <row r="3378" ht="14.25" hidden="1" customHeight="1">
      <c r="A3378" s="8" t="s">
        <v>3553</v>
      </c>
      <c r="B3378" s="8" t="s">
        <v>3536</v>
      </c>
      <c r="C3378" s="121" t="str">
        <f t="shared" si="126"/>
        <v>http://www.wallawalla.va.gov/contact/phone_directory.asp</v>
      </c>
    </row>
    <row r="3379" ht="14.25" hidden="1" customHeight="1">
      <c r="A3379" s="8" t="s">
        <v>778</v>
      </c>
      <c r="B3379" s="8" t="s">
        <v>3536</v>
      </c>
      <c r="C3379" s="121" t="str">
        <f t="shared" si="126"/>
        <v>http://www.wallawalla.va.gov/contact/phone_directory.asp</v>
      </c>
    </row>
    <row r="3380" ht="14.25" hidden="1" customHeight="1">
      <c r="A3380" s="8" t="s">
        <v>456</v>
      </c>
      <c r="B3380" s="8" t="s">
        <v>3536</v>
      </c>
      <c r="C3380" s="121" t="str">
        <f t="shared" si="126"/>
        <v>http://www.wallawalla.va.gov/contact/phone_directory.asp</v>
      </c>
    </row>
    <row r="3381" ht="14.25" hidden="1" customHeight="1">
      <c r="A3381" s="8" t="s">
        <v>703</v>
      </c>
      <c r="B3381" s="8" t="s">
        <v>3536</v>
      </c>
      <c r="C3381" s="121" t="str">
        <f t="shared" si="126"/>
        <v>http://www.wallawalla.va.gov/contact/phone_directory.asp</v>
      </c>
    </row>
    <row r="3382" ht="14.25" hidden="1" customHeight="1">
      <c r="A3382" s="8" t="s">
        <v>3555</v>
      </c>
      <c r="B3382" s="8" t="s">
        <v>3536</v>
      </c>
      <c r="C3382" s="121" t="str">
        <f t="shared" si="126"/>
        <v>http://www.wallawalla.va.gov/contact/phone_directory.asp</v>
      </c>
    </row>
    <row r="3383" ht="14.25" hidden="1" customHeight="1">
      <c r="A3383" s="8" t="s">
        <v>3114</v>
      </c>
      <c r="B3383" s="8" t="s">
        <v>3536</v>
      </c>
      <c r="C3383" s="121" t="str">
        <f t="shared" si="126"/>
        <v>http://www.wallawalla.va.gov/contact/phone_directory.asp</v>
      </c>
    </row>
    <row r="3384" ht="14.25" hidden="1" customHeight="1">
      <c r="A3384" s="8" t="s">
        <v>708</v>
      </c>
      <c r="B3384" s="8" t="s">
        <v>3536</v>
      </c>
      <c r="C3384" s="121" t="str">
        <f t="shared" si="126"/>
        <v>http://www.wallawalla.va.gov/contact/phone_directory.asp</v>
      </c>
    </row>
    <row r="3385" ht="14.25" hidden="1" customHeight="1">
      <c r="A3385" s="8" t="s">
        <v>3557</v>
      </c>
      <c r="B3385" s="8" t="s">
        <v>3536</v>
      </c>
      <c r="C3385" s="121" t="str">
        <f t="shared" si="126"/>
        <v>http://www.wallawalla.va.gov/contact/phone_directory.asp</v>
      </c>
    </row>
    <row r="3386" ht="14.25" hidden="1" customHeight="1">
      <c r="A3386" s="8" t="s">
        <v>724</v>
      </c>
      <c r="B3386" s="8" t="s">
        <v>3536</v>
      </c>
      <c r="C3386" s="121" t="str">
        <f t="shared" si="126"/>
        <v>http://www.wallawalla.va.gov/contact/phone_directory.asp</v>
      </c>
    </row>
    <row r="3387" ht="14.25" hidden="1" customHeight="1">
      <c r="A3387" s="8" t="s">
        <v>1202</v>
      </c>
      <c r="B3387" s="8" t="s">
        <v>3536</v>
      </c>
      <c r="C3387" s="121" t="str">
        <f t="shared" si="126"/>
        <v>http://www.wallawalla.va.gov/contact/phone_directory.asp</v>
      </c>
    </row>
    <row r="3388" ht="14.25" hidden="1" customHeight="1">
      <c r="A3388" s="8" t="s">
        <v>1869</v>
      </c>
      <c r="B3388" s="8" t="s">
        <v>3536</v>
      </c>
      <c r="C3388" s="121" t="str">
        <f t="shared" si="126"/>
        <v>http://www.wallawalla.va.gov/contact/phone_directory.asp</v>
      </c>
    </row>
    <row r="3389" ht="14.25" hidden="1" customHeight="1">
      <c r="A3389" s="8" t="s">
        <v>3559</v>
      </c>
      <c r="B3389" s="8" t="s">
        <v>3536</v>
      </c>
      <c r="C3389" s="121" t="str">
        <f t="shared" si="126"/>
        <v>http://www.wallawalla.va.gov/contact/phone_directory.asp</v>
      </c>
    </row>
    <row r="3390" ht="14.25" hidden="1" customHeight="1">
      <c r="A3390" s="8" t="s">
        <v>3560</v>
      </c>
      <c r="B3390" s="8" t="s">
        <v>3536</v>
      </c>
      <c r="C3390" s="121" t="str">
        <f t="shared" si="126"/>
        <v>http://www.wallawalla.va.gov/contact/phone_directory.asp</v>
      </c>
    </row>
    <row r="3391" ht="14.25" hidden="1" customHeight="1">
      <c r="A3391" s="8" t="s">
        <v>1104</v>
      </c>
      <c r="B3391" s="8" t="s">
        <v>3536</v>
      </c>
      <c r="C3391" s="121" t="str">
        <f t="shared" si="126"/>
        <v>http://www.wallawalla.va.gov/contact/phone_directory.asp</v>
      </c>
    </row>
    <row r="3392" ht="14.25" hidden="1" customHeight="1">
      <c r="A3392" s="8" t="s">
        <v>3562</v>
      </c>
      <c r="B3392" s="8" t="s">
        <v>3536</v>
      </c>
      <c r="C3392" s="121" t="str">
        <f t="shared" si="126"/>
        <v>http://www.wallawalla.va.gov/contact/phone_directory.asp</v>
      </c>
    </row>
    <row r="3393" ht="14.25" hidden="1" customHeight="1">
      <c r="A3393" s="8" t="s">
        <v>741</v>
      </c>
      <c r="B3393" s="8" t="s">
        <v>3536</v>
      </c>
      <c r="C3393" s="121" t="str">
        <f t="shared" si="126"/>
        <v>http://www.wallawalla.va.gov/contact/phone_directory.asp</v>
      </c>
    </row>
    <row r="3394" ht="14.25" hidden="1" customHeight="1">
      <c r="A3394" s="8" t="s">
        <v>2734</v>
      </c>
      <c r="B3394" s="8" t="s">
        <v>3536</v>
      </c>
      <c r="C3394" s="121" t="str">
        <f t="shared" si="126"/>
        <v>http://www.wallawalla.va.gov/contact/phone_directory.asp</v>
      </c>
    </row>
    <row r="3395" ht="14.25" hidden="1" customHeight="1">
      <c r="A3395" s="8" t="s">
        <v>3564</v>
      </c>
      <c r="B3395" s="8" t="s">
        <v>3536</v>
      </c>
      <c r="C3395" s="121" t="str">
        <f t="shared" si="126"/>
        <v>http://www.wallawalla.va.gov/contact/phone_directory.asp</v>
      </c>
    </row>
    <row r="3396" ht="14.25" hidden="1" customHeight="1">
      <c r="A3396" s="8" t="s">
        <v>3565</v>
      </c>
      <c r="B3396" s="8" t="s">
        <v>3566</v>
      </c>
      <c r="C3396" s="121" t="str">
        <f t="shared" ref="C3396:C3422" si="127">HYPERLINK("http://www.washingtondc.va.gov/contact/phone_directory.asp")</f>
        <v>http://www.washingtondc.va.gov/contact/phone_directory.asp</v>
      </c>
    </row>
    <row r="3397" ht="14.25" hidden="1" customHeight="1">
      <c r="A3397" s="8" t="s">
        <v>3567</v>
      </c>
      <c r="B3397" s="8" t="s">
        <v>3566</v>
      </c>
      <c r="C3397" s="121" t="str">
        <f t="shared" si="127"/>
        <v>http://www.washingtondc.va.gov/contact/phone_directory.asp</v>
      </c>
    </row>
    <row r="3398" ht="14.25" hidden="1" customHeight="1">
      <c r="A3398" s="8" t="s">
        <v>3568</v>
      </c>
      <c r="B3398" s="8" t="s">
        <v>3566</v>
      </c>
      <c r="C3398" s="121" t="str">
        <f t="shared" si="127"/>
        <v>http://www.washingtondc.va.gov/contact/phone_directory.asp</v>
      </c>
    </row>
    <row r="3399" ht="14.25" hidden="1" customHeight="1">
      <c r="A3399" s="8" t="s">
        <v>3569</v>
      </c>
      <c r="B3399" s="8" t="s">
        <v>3566</v>
      </c>
      <c r="C3399" s="121" t="str">
        <f t="shared" si="127"/>
        <v>http://www.washingtondc.va.gov/contact/phone_directory.asp</v>
      </c>
    </row>
    <row r="3400" ht="14.25" hidden="1" customHeight="1">
      <c r="A3400" s="8" t="s">
        <v>3572</v>
      </c>
      <c r="B3400" s="8" t="s">
        <v>3566</v>
      </c>
      <c r="C3400" s="121" t="str">
        <f t="shared" si="127"/>
        <v>http://www.washingtondc.va.gov/contact/phone_directory.asp</v>
      </c>
    </row>
    <row r="3401" ht="14.25" hidden="1" customHeight="1">
      <c r="A3401" s="8" t="s">
        <v>483</v>
      </c>
      <c r="B3401" s="8" t="s">
        <v>3566</v>
      </c>
      <c r="C3401" s="121" t="str">
        <f t="shared" si="127"/>
        <v>http://www.washingtondc.va.gov/contact/phone_directory.asp</v>
      </c>
    </row>
    <row r="3402" ht="14.25" hidden="1" customHeight="1">
      <c r="A3402" s="8" t="s">
        <v>303</v>
      </c>
      <c r="B3402" s="8" t="s">
        <v>3566</v>
      </c>
      <c r="C3402" s="121" t="str">
        <f t="shared" si="127"/>
        <v>http://www.washingtondc.va.gov/contact/phone_directory.asp</v>
      </c>
    </row>
    <row r="3403" ht="14.25" hidden="1" customHeight="1">
      <c r="A3403" s="8" t="s">
        <v>3573</v>
      </c>
      <c r="B3403" s="8" t="s">
        <v>3566</v>
      </c>
      <c r="C3403" s="121" t="str">
        <f t="shared" si="127"/>
        <v>http://www.washingtondc.va.gov/contact/phone_directory.asp</v>
      </c>
    </row>
    <row r="3404" ht="14.25" hidden="1" customHeight="1">
      <c r="A3404" s="8" t="s">
        <v>1963</v>
      </c>
      <c r="B3404" s="8" t="s">
        <v>3566</v>
      </c>
      <c r="C3404" s="121" t="str">
        <f t="shared" si="127"/>
        <v>http://www.washingtondc.va.gov/contact/phone_directory.asp</v>
      </c>
    </row>
    <row r="3405" ht="14.25" hidden="1" customHeight="1">
      <c r="A3405" s="8" t="s">
        <v>3576</v>
      </c>
      <c r="B3405" s="8" t="s">
        <v>3566</v>
      </c>
      <c r="C3405" s="121" t="str">
        <f t="shared" si="127"/>
        <v>http://www.washingtondc.va.gov/contact/phone_directory.asp</v>
      </c>
    </row>
    <row r="3406" ht="14.25" hidden="1" customHeight="1">
      <c r="A3406" s="8" t="s">
        <v>719</v>
      </c>
      <c r="B3406" s="8" t="s">
        <v>3566</v>
      </c>
      <c r="C3406" s="121" t="str">
        <f t="shared" si="127"/>
        <v>http://www.washingtondc.va.gov/contact/phone_directory.asp</v>
      </c>
    </row>
    <row r="3407" ht="14.25" hidden="1" customHeight="1">
      <c r="A3407" s="8" t="s">
        <v>3577</v>
      </c>
      <c r="B3407" s="8" t="s">
        <v>3566</v>
      </c>
      <c r="C3407" s="121" t="str">
        <f t="shared" si="127"/>
        <v>http://www.washingtondc.va.gov/contact/phone_directory.asp</v>
      </c>
    </row>
    <row r="3408" ht="14.25" hidden="1" customHeight="1">
      <c r="A3408" s="8" t="s">
        <v>1172</v>
      </c>
      <c r="B3408" s="8" t="s">
        <v>3566</v>
      </c>
      <c r="C3408" s="121" t="str">
        <f t="shared" si="127"/>
        <v>http://www.washingtondc.va.gov/contact/phone_directory.asp</v>
      </c>
    </row>
    <row r="3409" ht="14.25" hidden="1" customHeight="1">
      <c r="A3409" s="8" t="s">
        <v>839</v>
      </c>
      <c r="B3409" s="8" t="s">
        <v>3566</v>
      </c>
      <c r="C3409" s="121" t="str">
        <f t="shared" si="127"/>
        <v>http://www.washingtondc.va.gov/contact/phone_directory.asp</v>
      </c>
    </row>
    <row r="3410" ht="14.25" hidden="1" customHeight="1">
      <c r="A3410" s="8" t="s">
        <v>3579</v>
      </c>
      <c r="B3410" s="8" t="s">
        <v>3566</v>
      </c>
      <c r="C3410" s="121" t="str">
        <f t="shared" si="127"/>
        <v>http://www.washingtondc.va.gov/contact/phone_directory.asp</v>
      </c>
    </row>
    <row r="3411" ht="14.25" hidden="1" customHeight="1">
      <c r="A3411" s="8" t="s">
        <v>2519</v>
      </c>
      <c r="B3411" s="8" t="s">
        <v>3566</v>
      </c>
      <c r="C3411" s="121" t="str">
        <f t="shared" si="127"/>
        <v>http://www.washingtondc.va.gov/contact/phone_directory.asp</v>
      </c>
    </row>
    <row r="3412" ht="14.25" hidden="1" customHeight="1">
      <c r="A3412" s="8" t="s">
        <v>651</v>
      </c>
      <c r="B3412" s="8" t="s">
        <v>3566</v>
      </c>
      <c r="C3412" s="121" t="str">
        <f t="shared" si="127"/>
        <v>http://www.washingtondc.va.gov/contact/phone_directory.asp</v>
      </c>
    </row>
    <row r="3413" ht="14.25" hidden="1" customHeight="1">
      <c r="A3413" s="8" t="s">
        <v>775</v>
      </c>
      <c r="B3413" s="8" t="s">
        <v>3566</v>
      </c>
      <c r="C3413" s="121" t="str">
        <f t="shared" si="127"/>
        <v>http://www.washingtondc.va.gov/contact/phone_directory.asp</v>
      </c>
    </row>
    <row r="3414" ht="14.25" hidden="1" customHeight="1">
      <c r="A3414" s="8" t="s">
        <v>699</v>
      </c>
      <c r="B3414" s="8" t="s">
        <v>3566</v>
      </c>
      <c r="C3414" s="121" t="str">
        <f t="shared" si="127"/>
        <v>http://www.washingtondc.va.gov/contact/phone_directory.asp</v>
      </c>
    </row>
    <row r="3415" ht="14.25" hidden="1" customHeight="1">
      <c r="A3415" s="8" t="s">
        <v>3581</v>
      </c>
      <c r="B3415" s="8" t="s">
        <v>3566</v>
      </c>
      <c r="C3415" s="121" t="str">
        <f t="shared" si="127"/>
        <v>http://www.washingtondc.va.gov/contact/phone_directory.asp</v>
      </c>
    </row>
    <row r="3416" ht="14.25" hidden="1" customHeight="1">
      <c r="A3416" s="8" t="s">
        <v>3583</v>
      </c>
      <c r="B3416" s="8" t="s">
        <v>3566</v>
      </c>
      <c r="C3416" s="121" t="str">
        <f t="shared" si="127"/>
        <v>http://www.washingtondc.va.gov/contact/phone_directory.asp</v>
      </c>
    </row>
    <row r="3417" ht="14.25" hidden="1" customHeight="1">
      <c r="A3417" s="8" t="s">
        <v>2512</v>
      </c>
      <c r="B3417" s="8" t="s">
        <v>3566</v>
      </c>
      <c r="C3417" s="121" t="str">
        <f t="shared" si="127"/>
        <v>http://www.washingtondc.va.gov/contact/phone_directory.asp</v>
      </c>
    </row>
    <row r="3418" ht="14.25" hidden="1" customHeight="1">
      <c r="A3418" s="8" t="s">
        <v>3585</v>
      </c>
      <c r="B3418" s="8" t="s">
        <v>3566</v>
      </c>
      <c r="C3418" s="121" t="str">
        <f t="shared" si="127"/>
        <v>http://www.washingtondc.va.gov/contact/phone_directory.asp</v>
      </c>
    </row>
    <row r="3419" ht="14.25" hidden="1" customHeight="1">
      <c r="A3419" s="8" t="s">
        <v>3587</v>
      </c>
      <c r="B3419" s="8" t="s">
        <v>3566</v>
      </c>
      <c r="C3419" s="121" t="str">
        <f t="shared" si="127"/>
        <v>http://www.washingtondc.va.gov/contact/phone_directory.asp</v>
      </c>
    </row>
    <row r="3420" ht="14.25" hidden="1" customHeight="1">
      <c r="A3420" s="8" t="s">
        <v>3589</v>
      </c>
      <c r="B3420" s="8" t="s">
        <v>3566</v>
      </c>
      <c r="C3420" s="121" t="str">
        <f t="shared" si="127"/>
        <v>http://www.washingtondc.va.gov/contact/phone_directory.asp</v>
      </c>
    </row>
    <row r="3421" ht="14.25" hidden="1" customHeight="1">
      <c r="A3421" s="8" t="s">
        <v>518</v>
      </c>
      <c r="B3421" s="8" t="s">
        <v>3566</v>
      </c>
      <c r="C3421" s="121" t="str">
        <f t="shared" si="127"/>
        <v>http://www.washingtondc.va.gov/contact/phone_directory.asp</v>
      </c>
    </row>
    <row r="3422" ht="14.25" hidden="1" customHeight="1">
      <c r="A3422" s="8" t="s">
        <v>3590</v>
      </c>
      <c r="B3422" s="8" t="s">
        <v>3566</v>
      </c>
      <c r="C3422" s="121" t="str">
        <f t="shared" si="127"/>
        <v>http://www.washingtondc.va.gov/contact/phone_directory.asp</v>
      </c>
    </row>
    <row r="3423" ht="14.25" hidden="1" customHeight="1">
      <c r="A3423" s="8" t="s">
        <v>624</v>
      </c>
      <c r="B3423" s="8" t="s">
        <v>3592</v>
      </c>
      <c r="C3423" s="121" t="str">
        <f t="shared" ref="C3423:C3435" si="128">HYPERLINK("http://www.westpalmbeach.va.gov/contact/phone_directory.asp")</f>
        <v>http://www.westpalmbeach.va.gov/contact/phone_directory.asp</v>
      </c>
    </row>
    <row r="3424" ht="14.25" hidden="1" customHeight="1">
      <c r="A3424" s="8" t="s">
        <v>998</v>
      </c>
      <c r="B3424" s="8" t="s">
        <v>3592</v>
      </c>
      <c r="C3424" s="121" t="str">
        <f t="shared" si="128"/>
        <v>http://www.westpalmbeach.va.gov/contact/phone_directory.asp</v>
      </c>
    </row>
    <row r="3425" ht="14.25" hidden="1" customHeight="1">
      <c r="A3425" s="8" t="s">
        <v>3593</v>
      </c>
      <c r="B3425" s="8" t="s">
        <v>3592</v>
      </c>
      <c r="C3425" s="121" t="str">
        <f t="shared" si="128"/>
        <v>http://www.westpalmbeach.va.gov/contact/phone_directory.asp</v>
      </c>
    </row>
    <row r="3426" ht="14.25" hidden="1" customHeight="1">
      <c r="A3426" s="8" t="s">
        <v>872</v>
      </c>
      <c r="B3426" s="8" t="s">
        <v>3592</v>
      </c>
      <c r="C3426" s="121" t="str">
        <f t="shared" si="128"/>
        <v>http://www.westpalmbeach.va.gov/contact/phone_directory.asp</v>
      </c>
    </row>
    <row r="3427" ht="14.25" hidden="1" customHeight="1">
      <c r="A3427" s="8" t="s">
        <v>663</v>
      </c>
      <c r="B3427" s="8" t="s">
        <v>3592</v>
      </c>
      <c r="C3427" s="121" t="str">
        <f t="shared" si="128"/>
        <v>http://www.westpalmbeach.va.gov/contact/phone_directory.asp</v>
      </c>
    </row>
    <row r="3428" ht="14.25" hidden="1" customHeight="1">
      <c r="A3428" s="8" t="s">
        <v>660</v>
      </c>
      <c r="B3428" s="8" t="s">
        <v>3592</v>
      </c>
      <c r="C3428" s="121" t="str">
        <f t="shared" si="128"/>
        <v>http://www.westpalmbeach.va.gov/contact/phone_directory.asp</v>
      </c>
    </row>
    <row r="3429" ht="14.25" hidden="1" customHeight="1">
      <c r="A3429" s="8" t="s">
        <v>1249</v>
      </c>
      <c r="B3429" s="8" t="s">
        <v>3592</v>
      </c>
      <c r="C3429" s="121" t="str">
        <f t="shared" si="128"/>
        <v>http://www.westpalmbeach.va.gov/contact/phone_directory.asp</v>
      </c>
    </row>
    <row r="3430" ht="14.25" hidden="1" customHeight="1">
      <c r="A3430" s="8" t="s">
        <v>1263</v>
      </c>
      <c r="B3430" s="8" t="s">
        <v>3592</v>
      </c>
      <c r="C3430" s="121" t="str">
        <f t="shared" si="128"/>
        <v>http://www.westpalmbeach.va.gov/contact/phone_directory.asp</v>
      </c>
    </row>
    <row r="3431" ht="14.25" hidden="1" customHeight="1">
      <c r="A3431" s="8" t="s">
        <v>314</v>
      </c>
      <c r="B3431" s="8" t="s">
        <v>3592</v>
      </c>
      <c r="C3431" s="121" t="str">
        <f t="shared" si="128"/>
        <v>http://www.westpalmbeach.va.gov/contact/phone_directory.asp</v>
      </c>
    </row>
    <row r="3432" ht="14.25" hidden="1" customHeight="1">
      <c r="A3432" s="8" t="s">
        <v>688</v>
      </c>
      <c r="B3432" s="8" t="s">
        <v>3592</v>
      </c>
      <c r="C3432" s="121" t="str">
        <f t="shared" si="128"/>
        <v>http://www.westpalmbeach.va.gov/contact/phone_directory.asp</v>
      </c>
    </row>
    <row r="3433" ht="14.25" hidden="1" customHeight="1">
      <c r="A3433" s="8" t="s">
        <v>3600</v>
      </c>
      <c r="B3433" s="8" t="s">
        <v>3592</v>
      </c>
      <c r="C3433" s="121" t="str">
        <f t="shared" si="128"/>
        <v>http://www.westpalmbeach.va.gov/contact/phone_directory.asp</v>
      </c>
    </row>
    <row r="3434" ht="14.25" hidden="1" customHeight="1">
      <c r="A3434" s="8" t="s">
        <v>3601</v>
      </c>
      <c r="B3434" s="8" t="s">
        <v>3592</v>
      </c>
      <c r="C3434" s="121" t="str">
        <f t="shared" si="128"/>
        <v>http://www.westpalmbeach.va.gov/contact/phone_directory.asp</v>
      </c>
    </row>
    <row r="3435" ht="14.25" hidden="1" customHeight="1">
      <c r="A3435" s="8" t="s">
        <v>1690</v>
      </c>
      <c r="B3435" s="8" t="s">
        <v>3592</v>
      </c>
      <c r="C3435" s="121" t="str">
        <f t="shared" si="128"/>
        <v>http://www.westpalmbeach.va.gov/contact/phone_directory.asp</v>
      </c>
    </row>
    <row r="3436" ht="14.25" hidden="1" customHeight="1">
      <c r="A3436" s="8" t="s">
        <v>475</v>
      </c>
      <c r="B3436" s="8" t="s">
        <v>3603</v>
      </c>
      <c r="C3436" s="121" t="str">
        <f t="shared" ref="C3436:C3445" si="129">HYPERLINK("http://www.whiteriver.va.gov/contact/phone_directory.asp")</f>
        <v>http://www.whiteriver.va.gov/contact/phone_directory.asp</v>
      </c>
    </row>
    <row r="3437" ht="14.25" hidden="1" customHeight="1">
      <c r="A3437" s="8" t="s">
        <v>624</v>
      </c>
      <c r="B3437" s="8" t="s">
        <v>3603</v>
      </c>
      <c r="C3437" s="121" t="str">
        <f t="shared" si="129"/>
        <v>http://www.whiteriver.va.gov/contact/phone_directory.asp</v>
      </c>
    </row>
    <row r="3438" ht="14.25" hidden="1" customHeight="1">
      <c r="A3438" s="8" t="s">
        <v>998</v>
      </c>
      <c r="B3438" s="8" t="s">
        <v>3603</v>
      </c>
      <c r="C3438" s="121" t="str">
        <f t="shared" si="129"/>
        <v>http://www.whiteriver.va.gov/contact/phone_directory.asp</v>
      </c>
    </row>
    <row r="3439" ht="14.25" hidden="1" customHeight="1">
      <c r="A3439" s="8" t="s">
        <v>864</v>
      </c>
      <c r="B3439" s="8" t="s">
        <v>3603</v>
      </c>
      <c r="C3439" s="121" t="str">
        <f t="shared" si="129"/>
        <v>http://www.whiteriver.va.gov/contact/phone_directory.asp</v>
      </c>
    </row>
    <row r="3440" ht="14.25" hidden="1" customHeight="1">
      <c r="A3440" s="8" t="s">
        <v>3606</v>
      </c>
      <c r="B3440" s="8" t="s">
        <v>3603</v>
      </c>
      <c r="C3440" s="121" t="str">
        <f t="shared" si="129"/>
        <v>http://www.whiteriver.va.gov/contact/phone_directory.asp</v>
      </c>
    </row>
    <row r="3441" ht="14.25" hidden="1" customHeight="1">
      <c r="A3441" s="8" t="s">
        <v>663</v>
      </c>
      <c r="B3441" s="8" t="s">
        <v>3603</v>
      </c>
      <c r="C3441" s="121" t="str">
        <f t="shared" si="129"/>
        <v>http://www.whiteriver.va.gov/contact/phone_directory.asp</v>
      </c>
    </row>
    <row r="3442" ht="14.25" hidden="1" customHeight="1">
      <c r="A3442" s="8" t="s">
        <v>1891</v>
      </c>
      <c r="B3442" s="8" t="s">
        <v>3603</v>
      </c>
      <c r="C3442" s="121" t="str">
        <f t="shared" si="129"/>
        <v>http://www.whiteriver.va.gov/contact/phone_directory.asp</v>
      </c>
    </row>
    <row r="3443" ht="14.25" hidden="1" customHeight="1">
      <c r="A3443" s="8" t="s">
        <v>504</v>
      </c>
      <c r="B3443" s="8" t="s">
        <v>3603</v>
      </c>
      <c r="C3443" s="121" t="str">
        <f t="shared" si="129"/>
        <v>http://www.whiteriver.va.gov/contact/phone_directory.asp</v>
      </c>
    </row>
    <row r="3444" ht="14.25" hidden="1" customHeight="1">
      <c r="A3444" s="8" t="s">
        <v>405</v>
      </c>
      <c r="B3444" s="8" t="s">
        <v>3603</v>
      </c>
      <c r="C3444" s="121" t="str">
        <f t="shared" si="129"/>
        <v>http://www.whiteriver.va.gov/contact/phone_directory.asp</v>
      </c>
    </row>
    <row r="3445" ht="14.25" hidden="1" customHeight="1">
      <c r="A3445" s="8" t="s">
        <v>379</v>
      </c>
      <c r="B3445" s="8" t="s">
        <v>3603</v>
      </c>
      <c r="C3445" s="121" t="str">
        <f t="shared" si="129"/>
        <v>http://www.whiteriver.va.gov/contact/phone_directory.asp</v>
      </c>
    </row>
    <row r="3446" ht="14.25" hidden="1" customHeight="1">
      <c r="A3446" s="8" t="s">
        <v>639</v>
      </c>
      <c r="B3446" s="8" t="s">
        <v>3610</v>
      </c>
      <c r="C3446" s="121" t="str">
        <f t="shared" ref="C3446:C3454" si="130">HYPERLINK("http://www.wichita.va.gov/contact/phone_directory.asp")</f>
        <v>http://www.wichita.va.gov/contact/phone_directory.asp</v>
      </c>
    </row>
    <row r="3447" ht="14.25" hidden="1" customHeight="1">
      <c r="A3447" s="8" t="s">
        <v>478</v>
      </c>
      <c r="B3447" s="8" t="s">
        <v>3610</v>
      </c>
      <c r="C3447" s="121" t="str">
        <f t="shared" si="130"/>
        <v>http://www.wichita.va.gov/contact/phone_directory.asp</v>
      </c>
    </row>
    <row r="3448" ht="14.25" hidden="1" customHeight="1">
      <c r="A3448" s="8" t="s">
        <v>455</v>
      </c>
      <c r="B3448" s="8" t="s">
        <v>3610</v>
      </c>
      <c r="C3448" s="121" t="str">
        <f t="shared" si="130"/>
        <v>http://www.wichita.va.gov/contact/phone_directory.asp</v>
      </c>
    </row>
    <row r="3449" ht="14.25" hidden="1" customHeight="1">
      <c r="A3449" s="8" t="s">
        <v>663</v>
      </c>
      <c r="B3449" s="8" t="s">
        <v>3610</v>
      </c>
      <c r="C3449" s="121" t="str">
        <f t="shared" si="130"/>
        <v>http://www.wichita.va.gov/contact/phone_directory.asp</v>
      </c>
    </row>
    <row r="3450" ht="14.25" hidden="1" customHeight="1">
      <c r="A3450" s="8" t="s">
        <v>670</v>
      </c>
      <c r="B3450" s="8" t="s">
        <v>3610</v>
      </c>
      <c r="C3450" s="121" t="str">
        <f t="shared" si="130"/>
        <v>http://www.wichita.va.gov/contact/phone_directory.asp</v>
      </c>
    </row>
    <row r="3451" ht="14.25" hidden="1" customHeight="1">
      <c r="A3451" s="8" t="s">
        <v>694</v>
      </c>
      <c r="B3451" s="8" t="s">
        <v>3610</v>
      </c>
      <c r="C3451" s="121" t="str">
        <f t="shared" si="130"/>
        <v>http://www.wichita.va.gov/contact/phone_directory.asp</v>
      </c>
    </row>
    <row r="3452" ht="14.25" hidden="1" customHeight="1">
      <c r="A3452" s="8" t="s">
        <v>504</v>
      </c>
      <c r="B3452" s="8" t="s">
        <v>3610</v>
      </c>
      <c r="C3452" s="121" t="str">
        <f t="shared" si="130"/>
        <v>http://www.wichita.va.gov/contact/phone_directory.asp</v>
      </c>
    </row>
    <row r="3453" ht="14.25" hidden="1" customHeight="1">
      <c r="A3453" s="8" t="s">
        <v>724</v>
      </c>
      <c r="B3453" s="8" t="s">
        <v>3610</v>
      </c>
      <c r="C3453" s="121" t="str">
        <f t="shared" si="130"/>
        <v>http://www.wichita.va.gov/contact/phone_directory.asp</v>
      </c>
    </row>
    <row r="3454" ht="14.25" hidden="1" customHeight="1">
      <c r="A3454" s="8" t="s">
        <v>518</v>
      </c>
      <c r="B3454" s="8" t="s">
        <v>3610</v>
      </c>
      <c r="C3454" s="121" t="str">
        <f t="shared" si="130"/>
        <v>http://www.wichita.va.gov/contact/phone_directory.asp</v>
      </c>
    </row>
    <row r="3455" ht="14.25" hidden="1" customHeight="1">
      <c r="A3455" s="8" t="s">
        <v>1108</v>
      </c>
      <c r="B3455" s="8" t="s">
        <v>3612</v>
      </c>
      <c r="C3455" s="121" t="str">
        <f t="shared" ref="C3455:C3456" si="131">HYPERLINK("http://www.wilmington.va.gov/contact/phone_directory.asp")</f>
        <v>http://www.wilmington.va.gov/contact/phone_directory.asp</v>
      </c>
    </row>
    <row r="3456" ht="14.25" hidden="1" customHeight="1">
      <c r="A3456" s="8" t="s">
        <v>472</v>
      </c>
      <c r="B3456" s="8" t="s">
        <v>3612</v>
      </c>
      <c r="C3456" s="121" t="str">
        <f t="shared" si="131"/>
        <v>http://www.wilmington.va.gov/contact/phone_directory.asp</v>
      </c>
    </row>
  </sheetData>
  <autoFilter ref="$A$1:$G$3456">
    <filterColumn colId="1">
      <filters>
        <filter val="philadelphia"/>
      </filters>
    </filterColumn>
  </autoFilter>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3" width="5.38"/>
    <col customWidth="1" min="4" max="4" width="16.0"/>
    <col customWidth="1" min="5" max="5" width="24.75"/>
    <col customWidth="1" min="6" max="6" width="33.88"/>
    <col customWidth="1" min="7" max="26" width="7.63"/>
  </cols>
  <sheetData>
    <row r="1" ht="14.25" customHeight="1">
      <c r="A1" s="101"/>
      <c r="B1" s="240"/>
      <c r="C1" s="246"/>
      <c r="D1" s="101" t="s">
        <v>2660</v>
      </c>
      <c r="E1" s="101"/>
      <c r="F1" s="101"/>
      <c r="G1" s="101" t="s">
        <v>2661</v>
      </c>
      <c r="H1" s="101"/>
      <c r="I1" s="101"/>
      <c r="J1" s="101"/>
      <c r="K1" s="101"/>
      <c r="L1" s="101"/>
      <c r="M1" s="101"/>
      <c r="N1" s="101"/>
      <c r="O1" s="101"/>
      <c r="P1" s="101"/>
      <c r="Q1" s="101"/>
      <c r="R1" s="101"/>
      <c r="S1" s="101"/>
      <c r="T1" s="101"/>
      <c r="U1" s="101"/>
      <c r="V1" s="101"/>
      <c r="W1" s="101"/>
      <c r="X1" s="101"/>
      <c r="Y1" s="101"/>
      <c r="Z1" s="101"/>
    </row>
    <row r="2" ht="14.25" customHeight="1">
      <c r="A2" s="273" t="s">
        <v>2663</v>
      </c>
      <c r="B2" s="274" t="s">
        <v>2668</v>
      </c>
      <c r="C2" s="274" t="s">
        <v>2669</v>
      </c>
      <c r="D2" s="2" t="s">
        <v>2670</v>
      </c>
      <c r="E2" s="2" t="s">
        <v>2671</v>
      </c>
      <c r="F2" s="2" t="s">
        <v>2672</v>
      </c>
      <c r="G2" s="2"/>
      <c r="H2" s="2"/>
      <c r="I2" s="2"/>
      <c r="J2" s="2"/>
      <c r="K2" s="2"/>
      <c r="L2" s="2"/>
      <c r="M2" s="2"/>
      <c r="N2" s="2"/>
      <c r="O2" s="2"/>
      <c r="P2" s="2"/>
      <c r="Q2" s="2"/>
      <c r="R2" s="2"/>
      <c r="S2" s="2"/>
      <c r="T2" s="2"/>
      <c r="U2" s="2"/>
      <c r="V2" s="2"/>
      <c r="W2" s="2"/>
      <c r="X2" s="2"/>
      <c r="Y2" s="2"/>
      <c r="Z2" s="2"/>
    </row>
    <row r="3" ht="14.25" customHeight="1">
      <c r="B3" s="275"/>
      <c r="C3" s="276"/>
      <c r="D3" s="277" t="s">
        <v>2676</v>
      </c>
      <c r="E3" s="10"/>
      <c r="F3" s="10"/>
    </row>
    <row r="4" ht="14.25" customHeight="1">
      <c r="A4" s="8" t="s">
        <v>2678</v>
      </c>
      <c r="B4" s="278" t="s">
        <v>2679</v>
      </c>
      <c r="C4" s="276">
        <v>32.0</v>
      </c>
      <c r="D4" s="279" t="s">
        <v>2681</v>
      </c>
      <c r="E4" s="10" t="s">
        <v>2682</v>
      </c>
      <c r="F4" s="280" t="s">
        <v>2683</v>
      </c>
      <c r="G4" s="8" t="s">
        <v>2661</v>
      </c>
    </row>
    <row r="5" ht="14.25" customHeight="1">
      <c r="A5" s="8" t="s">
        <v>2678</v>
      </c>
      <c r="B5" s="278" t="s">
        <v>2679</v>
      </c>
      <c r="C5" s="276">
        <v>31.0</v>
      </c>
      <c r="D5" s="279" t="s">
        <v>2692</v>
      </c>
      <c r="E5" s="10" t="s">
        <v>2693</v>
      </c>
      <c r="F5" s="10" t="s">
        <v>2694</v>
      </c>
      <c r="G5" s="8" t="s">
        <v>2661</v>
      </c>
    </row>
    <row r="6" ht="14.25" customHeight="1">
      <c r="A6" s="8" t="s">
        <v>2678</v>
      </c>
      <c r="B6" s="278" t="s">
        <v>2679</v>
      </c>
      <c r="C6" s="276">
        <v>36.0</v>
      </c>
      <c r="D6" s="279" t="s">
        <v>2695</v>
      </c>
      <c r="E6" s="10" t="s">
        <v>2696</v>
      </c>
      <c r="F6" s="10" t="s">
        <v>2697</v>
      </c>
      <c r="G6" s="8" t="s">
        <v>2661</v>
      </c>
    </row>
    <row r="7" ht="14.25" customHeight="1">
      <c r="B7" s="278" t="s">
        <v>2679</v>
      </c>
      <c r="C7" s="276">
        <v>70.0</v>
      </c>
      <c r="D7" s="279" t="s">
        <v>2698</v>
      </c>
      <c r="E7" s="10" t="s">
        <v>2699</v>
      </c>
      <c r="F7" s="10" t="s">
        <v>2700</v>
      </c>
      <c r="G7" s="8" t="s">
        <v>2661</v>
      </c>
    </row>
    <row r="8" ht="14.25" customHeight="1">
      <c r="B8" s="275"/>
      <c r="C8" s="276"/>
      <c r="D8" s="279"/>
      <c r="E8" s="10"/>
      <c r="F8" s="10"/>
    </row>
    <row r="9" ht="14.25" customHeight="1">
      <c r="A9" s="105" t="s">
        <v>2678</v>
      </c>
      <c r="B9" s="278" t="s">
        <v>2679</v>
      </c>
      <c r="C9" s="276">
        <v>26.0</v>
      </c>
      <c r="D9" s="279" t="s">
        <v>57</v>
      </c>
      <c r="E9" s="10" t="s">
        <v>2701</v>
      </c>
      <c r="F9" s="10"/>
    </row>
    <row r="10" ht="14.25" customHeight="1">
      <c r="B10" s="275"/>
      <c r="C10" s="276"/>
      <c r="D10" s="279"/>
      <c r="E10" s="10"/>
      <c r="F10" s="10"/>
    </row>
    <row r="11" ht="14.25" customHeight="1">
      <c r="B11" s="275"/>
      <c r="C11" s="276"/>
      <c r="E11" s="10"/>
      <c r="F11" s="10"/>
    </row>
    <row r="12" ht="14.25" customHeight="1">
      <c r="B12" s="275"/>
      <c r="C12" s="276"/>
      <c r="D12" s="281" t="s">
        <v>2703</v>
      </c>
      <c r="E12" s="10"/>
      <c r="F12" s="10"/>
    </row>
    <row r="13" ht="14.25" customHeight="1">
      <c r="A13" s="8" t="s">
        <v>2705</v>
      </c>
      <c r="B13" s="278" t="s">
        <v>2679</v>
      </c>
      <c r="C13" s="276">
        <v>50.0</v>
      </c>
      <c r="D13" s="279" t="s">
        <v>2706</v>
      </c>
      <c r="E13" s="10" t="s">
        <v>2707</v>
      </c>
      <c r="F13" s="10" t="s">
        <v>2708</v>
      </c>
      <c r="G13" s="8" t="s">
        <v>2661</v>
      </c>
    </row>
    <row r="14" ht="14.25" customHeight="1">
      <c r="B14" s="275" t="s">
        <v>2679</v>
      </c>
      <c r="C14" s="276">
        <v>73.0</v>
      </c>
      <c r="D14" s="279" t="s">
        <v>2710</v>
      </c>
      <c r="E14" s="10" t="s">
        <v>2711</v>
      </c>
      <c r="F14" s="10" t="s">
        <v>2712</v>
      </c>
      <c r="G14" s="8" t="s">
        <v>2661</v>
      </c>
    </row>
    <row r="15" ht="14.25" customHeight="1">
      <c r="A15" s="8" t="s">
        <v>2713</v>
      </c>
      <c r="B15" s="275"/>
      <c r="C15" s="276">
        <v>100.0</v>
      </c>
      <c r="D15" s="279" t="s">
        <v>2714</v>
      </c>
      <c r="E15" s="10" t="s">
        <v>2715</v>
      </c>
      <c r="F15" s="10" t="s">
        <v>2716</v>
      </c>
      <c r="G15" s="8" t="s">
        <v>2661</v>
      </c>
    </row>
    <row r="16" ht="14.25" customHeight="1">
      <c r="A16" s="8" t="s">
        <v>2705</v>
      </c>
      <c r="B16" s="278" t="s">
        <v>2679</v>
      </c>
      <c r="C16" s="282">
        <v>49.0</v>
      </c>
      <c r="D16" s="279" t="s">
        <v>2719</v>
      </c>
      <c r="E16" s="10" t="s">
        <v>2720</v>
      </c>
      <c r="F16" s="10" t="s">
        <v>2721</v>
      </c>
      <c r="G16" s="8" t="s">
        <v>2661</v>
      </c>
    </row>
    <row r="17" ht="14.25" customHeight="1">
      <c r="A17" s="105" t="s">
        <v>2705</v>
      </c>
      <c r="B17" s="278" t="s">
        <v>2679</v>
      </c>
      <c r="C17" s="276">
        <v>34.0</v>
      </c>
      <c r="D17" s="279" t="s">
        <v>2723</v>
      </c>
      <c r="E17" s="10" t="s">
        <v>2724</v>
      </c>
      <c r="F17" s="10" t="s">
        <v>2725</v>
      </c>
      <c r="G17" s="8" t="s">
        <v>2661</v>
      </c>
    </row>
    <row r="18" ht="14.25" customHeight="1">
      <c r="B18" s="275"/>
      <c r="C18" s="276"/>
      <c r="D18" s="279"/>
      <c r="E18" s="10"/>
      <c r="F18" s="10"/>
    </row>
    <row r="19" ht="14.25" customHeight="1">
      <c r="B19" s="19"/>
      <c r="C19" s="235"/>
      <c r="E19" s="10"/>
      <c r="F19" s="10"/>
    </row>
    <row r="20" ht="14.25" customHeight="1">
      <c r="B20" s="19"/>
      <c r="C20" s="235"/>
      <c r="D20" s="279"/>
      <c r="E20" s="10"/>
      <c r="F20" s="10"/>
    </row>
    <row r="21" ht="14.25" customHeight="1">
      <c r="B21" s="19"/>
      <c r="C21" s="235"/>
      <c r="E21" s="10"/>
      <c r="F21" s="10"/>
    </row>
    <row r="22" ht="14.25" customHeight="1">
      <c r="B22" s="19"/>
      <c r="C22" s="235"/>
      <c r="E22" s="10"/>
      <c r="F22" s="10"/>
    </row>
    <row r="23" ht="14.25" customHeight="1">
      <c r="B23" s="19"/>
      <c r="C23" s="235"/>
      <c r="E23" s="10"/>
      <c r="F23" s="10"/>
    </row>
    <row r="24" ht="14.25" customHeight="1">
      <c r="B24" s="19"/>
      <c r="C24" s="235"/>
      <c r="E24" s="10"/>
      <c r="F24" s="10"/>
    </row>
    <row r="25" ht="14.25" customHeight="1">
      <c r="B25" s="19"/>
      <c r="C25" s="235"/>
      <c r="E25" s="10"/>
      <c r="F25" s="10"/>
    </row>
    <row r="26" ht="14.25" customHeight="1">
      <c r="B26" s="19"/>
      <c r="C26" s="235"/>
      <c r="E26" s="10"/>
      <c r="F26" s="10"/>
    </row>
    <row r="27" ht="14.25" customHeight="1">
      <c r="B27" s="19"/>
      <c r="C27" s="235"/>
      <c r="E27" s="10"/>
      <c r="F27" s="10"/>
    </row>
    <row r="28" ht="14.25" customHeight="1">
      <c r="B28" s="19"/>
      <c r="C28" s="235"/>
      <c r="E28" s="10"/>
      <c r="F28" s="10"/>
    </row>
    <row r="29" ht="14.25" customHeight="1">
      <c r="B29" s="19"/>
      <c r="C29" s="235"/>
      <c r="E29" s="10"/>
      <c r="F29" s="10"/>
    </row>
    <row r="30" ht="14.25" customHeight="1">
      <c r="B30" s="19"/>
      <c r="C30" s="235"/>
      <c r="E30" s="10"/>
      <c r="F30" s="10"/>
    </row>
    <row r="31" ht="14.25" customHeight="1">
      <c r="B31" s="19"/>
      <c r="C31" s="235"/>
      <c r="E31" s="10"/>
      <c r="F31" s="10"/>
    </row>
    <row r="32" ht="14.25" customHeight="1">
      <c r="B32" s="19"/>
      <c r="C32" s="235"/>
      <c r="E32" s="10"/>
      <c r="F32" s="10"/>
    </row>
    <row r="33" ht="14.25" customHeight="1">
      <c r="B33" s="19"/>
      <c r="C33" s="235"/>
      <c r="E33" s="10"/>
      <c r="F33" s="10"/>
    </row>
    <row r="34" ht="14.25" customHeight="1">
      <c r="B34" s="19"/>
      <c r="C34" s="235"/>
      <c r="E34" s="10"/>
      <c r="F34" s="10"/>
    </row>
    <row r="35" ht="14.25" customHeight="1">
      <c r="B35" s="19"/>
      <c r="C35" s="235"/>
      <c r="E35" s="10"/>
      <c r="F35" s="10"/>
    </row>
    <row r="36" ht="14.25" customHeight="1">
      <c r="B36" s="19"/>
      <c r="C36" s="235"/>
      <c r="E36" s="10"/>
      <c r="F36" s="10"/>
    </row>
    <row r="37" ht="14.25" customHeight="1">
      <c r="B37" s="19"/>
      <c r="C37" s="235"/>
      <c r="E37" s="10"/>
      <c r="F37" s="10"/>
    </row>
    <row r="38" ht="14.25" customHeight="1">
      <c r="B38" s="19"/>
      <c r="C38" s="235"/>
      <c r="E38" s="10"/>
      <c r="F38" s="10"/>
    </row>
    <row r="39" ht="14.25" customHeight="1">
      <c r="B39" s="19"/>
      <c r="C39" s="235"/>
      <c r="E39" s="10"/>
      <c r="F39" s="10"/>
    </row>
    <row r="40" ht="14.25" customHeight="1">
      <c r="B40" s="19"/>
      <c r="C40" s="235"/>
      <c r="E40" s="10"/>
      <c r="F40" s="10"/>
    </row>
    <row r="41" ht="14.25" customHeight="1">
      <c r="B41" s="19"/>
      <c r="C41" s="235"/>
      <c r="E41" s="10"/>
      <c r="F41" s="10"/>
    </row>
    <row r="42" ht="14.25" customHeight="1">
      <c r="B42" s="19"/>
      <c r="C42" s="235"/>
      <c r="E42" s="10"/>
      <c r="F42" s="10"/>
    </row>
    <row r="43" ht="14.25" customHeight="1">
      <c r="B43" s="19"/>
      <c r="C43" s="235"/>
      <c r="E43" s="10"/>
      <c r="F43" s="10"/>
    </row>
    <row r="44" ht="14.25" customHeight="1">
      <c r="B44" s="19"/>
      <c r="C44" s="235"/>
      <c r="E44" s="10"/>
      <c r="F44" s="10"/>
    </row>
    <row r="45" ht="14.25" customHeight="1">
      <c r="B45" s="19"/>
      <c r="C45" s="235"/>
      <c r="E45" s="10"/>
      <c r="F45" s="10"/>
    </row>
    <row r="46" ht="14.25" customHeight="1">
      <c r="B46" s="19"/>
      <c r="C46" s="235"/>
      <c r="E46" s="10"/>
      <c r="F46" s="10"/>
    </row>
    <row r="47" ht="14.25" customHeight="1">
      <c r="B47" s="19"/>
      <c r="C47" s="235"/>
      <c r="E47" s="10"/>
      <c r="F47" s="10"/>
    </row>
    <row r="48" ht="14.25" customHeight="1">
      <c r="B48" s="19"/>
      <c r="C48" s="235"/>
      <c r="E48" s="10"/>
      <c r="F48" s="10"/>
    </row>
    <row r="49" ht="14.25" customHeight="1">
      <c r="B49" s="19"/>
      <c r="C49" s="235"/>
      <c r="E49" s="10"/>
      <c r="F49" s="10"/>
    </row>
    <row r="50" ht="14.25" customHeight="1">
      <c r="B50" s="19"/>
      <c r="C50" s="235"/>
      <c r="E50" s="10"/>
      <c r="F50" s="10"/>
    </row>
    <row r="51" ht="14.25" customHeight="1">
      <c r="B51" s="19"/>
      <c r="C51" s="235"/>
      <c r="E51" s="10"/>
      <c r="F51" s="10"/>
    </row>
    <row r="52" ht="14.25" customHeight="1">
      <c r="B52" s="19"/>
      <c r="C52" s="235"/>
      <c r="E52" s="10"/>
      <c r="F52" s="10"/>
    </row>
    <row r="53" ht="14.25" customHeight="1">
      <c r="B53" s="19"/>
      <c r="C53" s="235"/>
      <c r="E53" s="10"/>
      <c r="F53" s="10"/>
    </row>
    <row r="54" ht="14.25" customHeight="1">
      <c r="B54" s="19"/>
      <c r="C54" s="235"/>
      <c r="E54" s="10"/>
      <c r="F54" s="10"/>
    </row>
    <row r="55" ht="14.25" customHeight="1">
      <c r="B55" s="19"/>
      <c r="C55" s="235"/>
      <c r="E55" s="10"/>
      <c r="F55" s="10"/>
    </row>
    <row r="56" ht="14.25" customHeight="1">
      <c r="B56" s="19"/>
      <c r="C56" s="235"/>
      <c r="E56" s="10"/>
      <c r="F56" s="10"/>
    </row>
    <row r="57" ht="14.25" customHeight="1">
      <c r="B57" s="19"/>
      <c r="C57" s="235"/>
      <c r="E57" s="10"/>
      <c r="F57" s="10"/>
    </row>
    <row r="58" ht="14.25" customHeight="1">
      <c r="B58" s="19"/>
      <c r="C58" s="235"/>
      <c r="E58" s="10"/>
      <c r="F58" s="10"/>
    </row>
    <row r="59" ht="14.25" customHeight="1">
      <c r="B59" s="19"/>
      <c r="C59" s="235"/>
      <c r="E59" s="10"/>
      <c r="F59" s="10"/>
    </row>
    <row r="60" ht="14.25" customHeight="1">
      <c r="B60" s="19"/>
      <c r="C60" s="235"/>
      <c r="E60" s="10"/>
      <c r="F60" s="10"/>
    </row>
    <row r="61" ht="14.25" customHeight="1">
      <c r="B61" s="19"/>
      <c r="C61" s="235"/>
      <c r="E61" s="10"/>
      <c r="F61" s="10"/>
    </row>
    <row r="62" ht="14.25" customHeight="1">
      <c r="B62" s="19"/>
      <c r="C62" s="235"/>
      <c r="E62" s="10"/>
      <c r="F62" s="10"/>
    </row>
    <row r="63" ht="14.25" customHeight="1">
      <c r="B63" s="19"/>
      <c r="C63" s="235"/>
      <c r="E63" s="10"/>
      <c r="F63" s="10"/>
    </row>
    <row r="64" ht="14.25" customHeight="1">
      <c r="B64" s="19"/>
      <c r="C64" s="235"/>
      <c r="E64" s="10"/>
      <c r="F64" s="10"/>
    </row>
    <row r="65" ht="14.25" customHeight="1">
      <c r="B65" s="19"/>
      <c r="C65" s="235"/>
      <c r="E65" s="10"/>
      <c r="F65" s="10"/>
    </row>
    <row r="66" ht="14.25" customHeight="1">
      <c r="B66" s="19"/>
      <c r="C66" s="235"/>
      <c r="E66" s="10"/>
      <c r="F66" s="10"/>
    </row>
    <row r="67" ht="14.25" customHeight="1">
      <c r="B67" s="19"/>
      <c r="C67" s="235"/>
      <c r="E67" s="10"/>
      <c r="F67" s="10"/>
    </row>
    <row r="68" ht="14.25" customHeight="1">
      <c r="B68" s="19"/>
      <c r="C68" s="235"/>
      <c r="E68" s="10"/>
      <c r="F68" s="10"/>
    </row>
    <row r="69" ht="14.25" customHeight="1">
      <c r="B69" s="19"/>
      <c r="C69" s="235"/>
      <c r="E69" s="10"/>
      <c r="F69" s="10"/>
    </row>
    <row r="70" ht="14.25" customHeight="1">
      <c r="B70" s="19"/>
      <c r="C70" s="235"/>
      <c r="E70" s="10"/>
      <c r="F70" s="10"/>
    </row>
    <row r="71" ht="14.25" customHeight="1">
      <c r="B71" s="19"/>
      <c r="C71" s="235"/>
      <c r="E71" s="10"/>
      <c r="F71" s="10"/>
    </row>
    <row r="72" ht="14.25" customHeight="1">
      <c r="B72" s="19"/>
      <c r="C72" s="235"/>
      <c r="E72" s="10"/>
      <c r="F72" s="10"/>
    </row>
    <row r="73" ht="14.25" customHeight="1">
      <c r="B73" s="19"/>
      <c r="C73" s="235"/>
      <c r="E73" s="10"/>
      <c r="F73" s="10"/>
    </row>
    <row r="74" ht="14.25" customHeight="1">
      <c r="B74" s="19"/>
      <c r="C74" s="235"/>
      <c r="E74" s="10"/>
      <c r="F74" s="10"/>
    </row>
    <row r="75" ht="14.25" customHeight="1">
      <c r="B75" s="19"/>
      <c r="C75" s="235"/>
      <c r="E75" s="10"/>
      <c r="F75" s="10"/>
    </row>
    <row r="76" ht="14.25" customHeight="1">
      <c r="B76" s="19"/>
      <c r="C76" s="235"/>
      <c r="E76" s="10"/>
      <c r="F76" s="10"/>
    </row>
    <row r="77" ht="14.25" customHeight="1">
      <c r="B77" s="19"/>
      <c r="C77" s="235"/>
      <c r="E77" s="10"/>
      <c r="F77" s="10"/>
    </row>
    <row r="78" ht="14.25" customHeight="1">
      <c r="B78" s="19"/>
      <c r="C78" s="235"/>
      <c r="E78" s="10"/>
      <c r="F78" s="10"/>
    </row>
    <row r="79" ht="14.25" customHeight="1">
      <c r="B79" s="19"/>
      <c r="C79" s="235"/>
      <c r="E79" s="10"/>
      <c r="F79" s="10"/>
    </row>
    <row r="80" ht="14.25" customHeight="1">
      <c r="B80" s="19"/>
      <c r="C80" s="235"/>
      <c r="E80" s="10"/>
      <c r="F80" s="10"/>
    </row>
    <row r="81" ht="14.25" customHeight="1">
      <c r="B81" s="19"/>
      <c r="C81" s="235"/>
      <c r="E81" s="10"/>
      <c r="F81" s="10"/>
    </row>
    <row r="82" ht="14.25" customHeight="1">
      <c r="B82" s="19"/>
      <c r="C82" s="235"/>
      <c r="E82" s="10"/>
      <c r="F82" s="10"/>
    </row>
    <row r="83" ht="14.25" customHeight="1">
      <c r="B83" s="19"/>
      <c r="C83" s="235"/>
      <c r="E83" s="10"/>
      <c r="F83" s="10"/>
    </row>
    <row r="84" ht="14.25" customHeight="1">
      <c r="B84" s="19"/>
      <c r="C84" s="235"/>
      <c r="E84" s="10"/>
      <c r="F84" s="10"/>
    </row>
    <row r="85" ht="14.25" customHeight="1">
      <c r="B85" s="19"/>
      <c r="C85" s="235"/>
      <c r="E85" s="10"/>
      <c r="F85" s="10"/>
    </row>
    <row r="86" ht="14.25" customHeight="1">
      <c r="B86" s="19"/>
      <c r="C86" s="235"/>
      <c r="E86" s="10"/>
      <c r="F86" s="10"/>
    </row>
    <row r="87" ht="14.25" customHeight="1">
      <c r="B87" s="19"/>
      <c r="C87" s="235"/>
      <c r="E87" s="10"/>
      <c r="F87" s="10"/>
    </row>
    <row r="88" ht="14.25" customHeight="1">
      <c r="B88" s="19"/>
      <c r="C88" s="235"/>
      <c r="E88" s="10"/>
      <c r="F88" s="10"/>
    </row>
    <row r="89" ht="14.25" customHeight="1">
      <c r="B89" s="19"/>
      <c r="C89" s="235"/>
      <c r="E89" s="10"/>
      <c r="F89" s="10"/>
    </row>
    <row r="90" ht="14.25" customHeight="1">
      <c r="B90" s="19"/>
      <c r="C90" s="235"/>
      <c r="E90" s="10"/>
      <c r="F90" s="10"/>
    </row>
    <row r="91" ht="14.25" customHeight="1">
      <c r="B91" s="19"/>
      <c r="C91" s="235"/>
      <c r="E91" s="10"/>
      <c r="F91" s="10"/>
    </row>
    <row r="92" ht="14.25" customHeight="1">
      <c r="B92" s="19"/>
      <c r="C92" s="235"/>
      <c r="E92" s="10"/>
      <c r="F92" s="10"/>
    </row>
    <row r="93" ht="14.25" customHeight="1">
      <c r="B93" s="19"/>
      <c r="C93" s="235"/>
      <c r="E93" s="10"/>
      <c r="F93" s="10"/>
    </row>
    <row r="94" ht="14.25" customHeight="1">
      <c r="B94" s="19"/>
      <c r="C94" s="235"/>
      <c r="E94" s="10"/>
      <c r="F94" s="10"/>
    </row>
    <row r="95" ht="14.25" customHeight="1">
      <c r="B95" s="19"/>
      <c r="C95" s="235"/>
      <c r="E95" s="10"/>
      <c r="F95" s="10"/>
    </row>
    <row r="96" ht="14.25" customHeight="1">
      <c r="B96" s="19"/>
      <c r="C96" s="235"/>
      <c r="E96" s="10"/>
      <c r="F96" s="10"/>
    </row>
    <row r="97" ht="14.25" customHeight="1">
      <c r="B97" s="19"/>
      <c r="C97" s="235"/>
      <c r="E97" s="10"/>
      <c r="F97" s="10"/>
    </row>
    <row r="98" ht="14.25" customHeight="1">
      <c r="B98" s="19"/>
      <c r="C98" s="235"/>
      <c r="E98" s="10"/>
      <c r="F98" s="10"/>
    </row>
    <row r="99" ht="14.25" customHeight="1">
      <c r="B99" s="19"/>
      <c r="C99" s="235"/>
      <c r="E99" s="10"/>
      <c r="F99" s="10"/>
    </row>
    <row r="100" ht="14.25" customHeight="1">
      <c r="B100" s="19"/>
      <c r="C100" s="235"/>
      <c r="E100" s="10"/>
      <c r="F100" s="10"/>
    </row>
    <row r="101" ht="14.25" customHeight="1">
      <c r="B101" s="19"/>
      <c r="C101" s="235"/>
      <c r="E101" s="10"/>
      <c r="F101" s="10"/>
    </row>
    <row r="102" ht="14.25" customHeight="1">
      <c r="B102" s="19"/>
      <c r="C102" s="235"/>
      <c r="E102" s="10"/>
      <c r="F102" s="10"/>
    </row>
    <row r="103" ht="14.25" customHeight="1">
      <c r="B103" s="19"/>
      <c r="C103" s="235"/>
      <c r="E103" s="10"/>
      <c r="F103" s="10"/>
    </row>
    <row r="104" ht="14.25" customHeight="1">
      <c r="B104" s="19"/>
      <c r="C104" s="235"/>
      <c r="E104" s="10"/>
      <c r="F104" s="10"/>
    </row>
    <row r="105" ht="14.25" customHeight="1">
      <c r="B105" s="19"/>
      <c r="C105" s="235"/>
      <c r="E105" s="10"/>
      <c r="F105" s="10"/>
    </row>
    <row r="106" ht="14.25" customHeight="1">
      <c r="B106" s="19"/>
      <c r="C106" s="235"/>
      <c r="E106" s="10"/>
      <c r="F106" s="10"/>
    </row>
    <row r="107" ht="14.25" customHeight="1">
      <c r="B107" s="19"/>
      <c r="C107" s="235"/>
      <c r="E107" s="10"/>
      <c r="F107" s="10"/>
    </row>
    <row r="108" ht="14.25" customHeight="1">
      <c r="B108" s="19"/>
      <c r="C108" s="235"/>
      <c r="E108" s="10"/>
      <c r="F108" s="10"/>
    </row>
    <row r="109" ht="14.25" customHeight="1">
      <c r="B109" s="19"/>
      <c r="C109" s="235"/>
      <c r="E109" s="10"/>
      <c r="F109" s="10"/>
    </row>
    <row r="110" ht="14.25" customHeight="1">
      <c r="B110" s="19"/>
      <c r="C110" s="235"/>
      <c r="E110" s="10"/>
      <c r="F110" s="10"/>
    </row>
    <row r="111" ht="14.25" customHeight="1">
      <c r="B111" s="19"/>
      <c r="C111" s="235"/>
      <c r="E111" s="10"/>
      <c r="F111" s="10"/>
    </row>
    <row r="112" ht="14.25" customHeight="1">
      <c r="B112" s="19"/>
      <c r="C112" s="235"/>
      <c r="E112" s="10"/>
      <c r="F112" s="10"/>
    </row>
    <row r="113" ht="14.25" customHeight="1">
      <c r="B113" s="19"/>
      <c r="C113" s="235"/>
      <c r="E113" s="10"/>
      <c r="F113" s="10"/>
    </row>
    <row r="114" ht="14.25" customHeight="1">
      <c r="B114" s="19"/>
      <c r="C114" s="235"/>
      <c r="E114" s="10"/>
      <c r="F114" s="10"/>
    </row>
    <row r="115" ht="14.25" customHeight="1">
      <c r="B115" s="19"/>
      <c r="C115" s="235"/>
      <c r="E115" s="10"/>
      <c r="F115" s="10"/>
    </row>
    <row r="116" ht="14.25" customHeight="1">
      <c r="B116" s="19"/>
      <c r="C116" s="235"/>
      <c r="E116" s="10"/>
      <c r="F116" s="10"/>
    </row>
    <row r="117" ht="14.25" customHeight="1">
      <c r="B117" s="19"/>
      <c r="C117" s="235"/>
      <c r="E117" s="10"/>
      <c r="F117" s="10"/>
    </row>
    <row r="118" ht="14.25" customHeight="1">
      <c r="B118" s="19"/>
      <c r="C118" s="235"/>
      <c r="E118" s="10"/>
      <c r="F118" s="10"/>
    </row>
    <row r="119" ht="14.25" customHeight="1">
      <c r="B119" s="19"/>
      <c r="C119" s="235"/>
      <c r="E119" s="10"/>
      <c r="F119" s="10"/>
    </row>
    <row r="120" ht="14.25" customHeight="1">
      <c r="B120" s="19"/>
      <c r="C120" s="235"/>
      <c r="E120" s="10"/>
      <c r="F120" s="10"/>
    </row>
    <row r="121" ht="14.25" customHeight="1">
      <c r="B121" s="19"/>
      <c r="C121" s="235"/>
      <c r="E121" s="10"/>
      <c r="F121" s="10"/>
    </row>
    <row r="122" ht="14.25" customHeight="1">
      <c r="B122" s="19"/>
      <c r="C122" s="235"/>
      <c r="E122" s="10"/>
      <c r="F122" s="10"/>
    </row>
    <row r="123" ht="14.25" customHeight="1">
      <c r="B123" s="19"/>
      <c r="C123" s="235"/>
      <c r="E123" s="10"/>
      <c r="F123" s="10"/>
    </row>
    <row r="124" ht="14.25" customHeight="1">
      <c r="B124" s="19"/>
      <c r="C124" s="235"/>
      <c r="E124" s="10"/>
      <c r="F124" s="10"/>
    </row>
    <row r="125" ht="14.25" customHeight="1">
      <c r="B125" s="19"/>
      <c r="C125" s="235"/>
      <c r="E125" s="10"/>
      <c r="F125" s="10"/>
    </row>
    <row r="126" ht="14.25" customHeight="1">
      <c r="B126" s="19"/>
      <c r="C126" s="235"/>
      <c r="E126" s="10"/>
      <c r="F126" s="10"/>
    </row>
    <row r="127" ht="14.25" customHeight="1">
      <c r="B127" s="19"/>
      <c r="C127" s="235"/>
      <c r="E127" s="10"/>
      <c r="F127" s="10"/>
    </row>
    <row r="128" ht="14.25" customHeight="1">
      <c r="B128" s="19"/>
      <c r="C128" s="235"/>
      <c r="E128" s="10"/>
      <c r="F128" s="10"/>
    </row>
    <row r="129" ht="14.25" customHeight="1">
      <c r="B129" s="19"/>
      <c r="C129" s="235"/>
      <c r="E129" s="10"/>
      <c r="F129" s="10"/>
    </row>
    <row r="130" ht="14.25" customHeight="1">
      <c r="B130" s="19"/>
      <c r="C130" s="235"/>
      <c r="E130" s="10"/>
      <c r="F130" s="10"/>
    </row>
    <row r="131" ht="14.25" customHeight="1">
      <c r="B131" s="19"/>
      <c r="C131" s="235"/>
      <c r="E131" s="10"/>
      <c r="F131" s="10"/>
    </row>
    <row r="132" ht="14.25" customHeight="1">
      <c r="B132" s="19"/>
      <c r="C132" s="235"/>
      <c r="E132" s="10"/>
      <c r="F132" s="10"/>
    </row>
    <row r="133" ht="14.25" customHeight="1">
      <c r="B133" s="19"/>
      <c r="C133" s="235"/>
      <c r="E133" s="10"/>
      <c r="F133" s="10"/>
    </row>
    <row r="134" ht="14.25" customHeight="1">
      <c r="B134" s="19"/>
      <c r="C134" s="235"/>
      <c r="E134" s="10"/>
      <c r="F134" s="10"/>
    </row>
    <row r="135" ht="14.25" customHeight="1">
      <c r="B135" s="19"/>
      <c r="C135" s="235"/>
      <c r="E135" s="10"/>
      <c r="F135" s="10"/>
    </row>
    <row r="136" ht="14.25" customHeight="1">
      <c r="B136" s="19"/>
      <c r="C136" s="235"/>
      <c r="E136" s="10"/>
      <c r="F136" s="10"/>
    </row>
    <row r="137" ht="14.25" customHeight="1">
      <c r="B137" s="19"/>
      <c r="C137" s="235"/>
      <c r="E137" s="10"/>
      <c r="F137" s="10"/>
    </row>
    <row r="138" ht="14.25" customHeight="1">
      <c r="B138" s="19"/>
      <c r="C138" s="235"/>
      <c r="E138" s="10"/>
      <c r="F138" s="10"/>
    </row>
    <row r="139" ht="14.25" customHeight="1">
      <c r="B139" s="19"/>
      <c r="C139" s="235"/>
      <c r="E139" s="10"/>
      <c r="F139" s="10"/>
    </row>
    <row r="140" ht="14.25" customHeight="1">
      <c r="B140" s="19"/>
      <c r="C140" s="235"/>
      <c r="E140" s="10"/>
      <c r="F140" s="10"/>
    </row>
    <row r="141" ht="14.25" customHeight="1">
      <c r="B141" s="19"/>
      <c r="C141" s="235"/>
      <c r="E141" s="10"/>
      <c r="F141" s="10"/>
    </row>
    <row r="142" ht="14.25" customHeight="1">
      <c r="B142" s="19"/>
      <c r="C142" s="235"/>
      <c r="E142" s="10"/>
      <c r="F142" s="10"/>
    </row>
    <row r="143" ht="14.25" customHeight="1">
      <c r="B143" s="19"/>
      <c r="C143" s="235"/>
      <c r="E143" s="10"/>
      <c r="F143" s="10"/>
    </row>
    <row r="144" ht="14.25" customHeight="1">
      <c r="B144" s="19"/>
      <c r="C144" s="235"/>
      <c r="E144" s="10"/>
      <c r="F144" s="10"/>
    </row>
    <row r="145" ht="14.25" customHeight="1">
      <c r="B145" s="19"/>
      <c r="C145" s="235"/>
      <c r="E145" s="10"/>
      <c r="F145" s="10"/>
    </row>
    <row r="146" ht="14.25" customHeight="1">
      <c r="B146" s="19"/>
      <c r="C146" s="235"/>
      <c r="E146" s="10"/>
      <c r="F146" s="10"/>
    </row>
    <row r="147" ht="14.25" customHeight="1">
      <c r="B147" s="19"/>
      <c r="C147" s="235"/>
      <c r="E147" s="10"/>
      <c r="F147" s="10"/>
    </row>
    <row r="148" ht="14.25" customHeight="1">
      <c r="B148" s="19"/>
      <c r="C148" s="235"/>
      <c r="E148" s="10"/>
      <c r="F148" s="10"/>
    </row>
    <row r="149" ht="14.25" customHeight="1">
      <c r="B149" s="19"/>
      <c r="C149" s="235"/>
      <c r="E149" s="10"/>
      <c r="F149" s="10"/>
    </row>
    <row r="150" ht="14.25" customHeight="1">
      <c r="B150" s="19"/>
      <c r="C150" s="235"/>
      <c r="E150" s="10"/>
      <c r="F150" s="10"/>
    </row>
    <row r="151" ht="14.25" customHeight="1">
      <c r="B151" s="19"/>
      <c r="C151" s="235"/>
      <c r="E151" s="10"/>
      <c r="F151" s="10"/>
    </row>
    <row r="152" ht="14.25" customHeight="1">
      <c r="B152" s="19"/>
      <c r="C152" s="235"/>
      <c r="E152" s="10"/>
      <c r="F152" s="10"/>
    </row>
    <row r="153" ht="14.25" customHeight="1">
      <c r="B153" s="19"/>
      <c r="C153" s="235"/>
      <c r="E153" s="10"/>
      <c r="F153" s="10"/>
    </row>
    <row r="154" ht="14.25" customHeight="1">
      <c r="B154" s="19"/>
      <c r="C154" s="235"/>
      <c r="E154" s="10"/>
      <c r="F154" s="10"/>
    </row>
    <row r="155" ht="14.25" customHeight="1">
      <c r="B155" s="19"/>
      <c r="C155" s="235"/>
      <c r="E155" s="10"/>
      <c r="F155" s="10"/>
    </row>
    <row r="156" ht="14.25" customHeight="1">
      <c r="B156" s="19"/>
      <c r="C156" s="235"/>
      <c r="E156" s="10"/>
      <c r="F156" s="10"/>
    </row>
    <row r="157" ht="14.25" customHeight="1">
      <c r="B157" s="19"/>
      <c r="C157" s="235"/>
      <c r="E157" s="10"/>
      <c r="F157" s="10"/>
    </row>
    <row r="158" ht="14.25" customHeight="1">
      <c r="B158" s="19"/>
      <c r="C158" s="235"/>
      <c r="E158" s="10"/>
      <c r="F158" s="10"/>
    </row>
    <row r="159" ht="14.25" customHeight="1">
      <c r="B159" s="19"/>
      <c r="C159" s="235"/>
      <c r="E159" s="10"/>
      <c r="F159" s="10"/>
    </row>
    <row r="160" ht="14.25" customHeight="1">
      <c r="B160" s="19"/>
      <c r="C160" s="235"/>
      <c r="E160" s="10"/>
      <c r="F160" s="10"/>
    </row>
    <row r="161" ht="14.25" customHeight="1">
      <c r="B161" s="19"/>
      <c r="C161" s="235"/>
      <c r="E161" s="10"/>
      <c r="F161" s="10"/>
    </row>
    <row r="162" ht="14.25" customHeight="1">
      <c r="B162" s="19"/>
      <c r="C162" s="235"/>
      <c r="E162" s="10"/>
      <c r="F162" s="10"/>
    </row>
    <row r="163" ht="14.25" customHeight="1">
      <c r="B163" s="19"/>
      <c r="C163" s="235"/>
      <c r="E163" s="10"/>
      <c r="F163" s="10"/>
    </row>
    <row r="164" ht="14.25" customHeight="1">
      <c r="B164" s="19"/>
      <c r="C164" s="235"/>
      <c r="E164" s="10"/>
      <c r="F164" s="10"/>
    </row>
    <row r="165" ht="14.25" customHeight="1">
      <c r="B165" s="19"/>
      <c r="C165" s="235"/>
      <c r="E165" s="10"/>
      <c r="F165" s="10"/>
    </row>
    <row r="166" ht="14.25" customHeight="1">
      <c r="B166" s="19"/>
      <c r="C166" s="235"/>
      <c r="E166" s="10"/>
      <c r="F166" s="10"/>
    </row>
    <row r="167" ht="14.25" customHeight="1">
      <c r="B167" s="19"/>
      <c r="C167" s="235"/>
      <c r="E167" s="10"/>
      <c r="F167" s="10"/>
    </row>
    <row r="168" ht="14.25" customHeight="1">
      <c r="B168" s="19"/>
      <c r="C168" s="235"/>
      <c r="E168" s="10"/>
      <c r="F168" s="10"/>
    </row>
    <row r="169" ht="14.25" customHeight="1">
      <c r="B169" s="19"/>
      <c r="C169" s="235"/>
      <c r="E169" s="10"/>
      <c r="F169" s="10"/>
    </row>
    <row r="170" ht="14.25" customHeight="1">
      <c r="B170" s="19"/>
      <c r="C170" s="235"/>
      <c r="E170" s="10"/>
      <c r="F170" s="10"/>
    </row>
    <row r="171" ht="14.25" customHeight="1">
      <c r="B171" s="19"/>
      <c r="C171" s="235"/>
      <c r="E171" s="10"/>
      <c r="F171" s="10"/>
    </row>
    <row r="172" ht="14.25" customHeight="1">
      <c r="B172" s="19"/>
      <c r="C172" s="235"/>
      <c r="E172" s="10"/>
      <c r="F172" s="10"/>
    </row>
    <row r="173" ht="14.25" customHeight="1">
      <c r="B173" s="19"/>
      <c r="C173" s="235"/>
      <c r="E173" s="10"/>
      <c r="F173" s="10"/>
    </row>
    <row r="174" ht="14.25" customHeight="1">
      <c r="B174" s="19"/>
      <c r="C174" s="235"/>
      <c r="E174" s="10"/>
      <c r="F174" s="10"/>
    </row>
    <row r="175" ht="14.25" customHeight="1">
      <c r="B175" s="19"/>
      <c r="C175" s="235"/>
      <c r="E175" s="10"/>
      <c r="F175" s="10"/>
    </row>
    <row r="176" ht="14.25" customHeight="1">
      <c r="B176" s="19"/>
      <c r="C176" s="235"/>
      <c r="E176" s="10"/>
      <c r="F176" s="10"/>
    </row>
    <row r="177" ht="14.25" customHeight="1">
      <c r="B177" s="19"/>
      <c r="C177" s="235"/>
      <c r="E177" s="10"/>
      <c r="F177" s="10"/>
    </row>
    <row r="178" ht="14.25" customHeight="1">
      <c r="B178" s="19"/>
      <c r="C178" s="235"/>
      <c r="E178" s="10"/>
      <c r="F178" s="10"/>
    </row>
    <row r="179" ht="14.25" customHeight="1">
      <c r="B179" s="19"/>
      <c r="C179" s="235"/>
      <c r="E179" s="10"/>
      <c r="F179" s="10"/>
    </row>
    <row r="180" ht="14.25" customHeight="1">
      <c r="B180" s="19"/>
      <c r="C180" s="235"/>
      <c r="E180" s="10"/>
      <c r="F180" s="10"/>
    </row>
    <row r="181" ht="14.25" customHeight="1">
      <c r="B181" s="19"/>
      <c r="C181" s="235"/>
      <c r="E181" s="10"/>
      <c r="F181" s="10"/>
    </row>
    <row r="182" ht="14.25" customHeight="1">
      <c r="B182" s="19"/>
      <c r="C182" s="235"/>
      <c r="E182" s="10"/>
      <c r="F182" s="10"/>
    </row>
    <row r="183" ht="14.25" customHeight="1">
      <c r="B183" s="19"/>
      <c r="C183" s="235"/>
      <c r="E183" s="10"/>
      <c r="F183" s="10"/>
    </row>
    <row r="184" ht="14.25" customHeight="1">
      <c r="B184" s="19"/>
      <c r="C184" s="235"/>
      <c r="E184" s="10"/>
      <c r="F184" s="10"/>
    </row>
    <row r="185" ht="14.25" customHeight="1">
      <c r="B185" s="19"/>
      <c r="C185" s="235"/>
      <c r="E185" s="10"/>
      <c r="F185" s="10"/>
    </row>
    <row r="186" ht="14.25" customHeight="1">
      <c r="B186" s="19"/>
      <c r="C186" s="235"/>
      <c r="E186" s="10"/>
      <c r="F186" s="10"/>
    </row>
    <row r="187" ht="14.25" customHeight="1">
      <c r="B187" s="19"/>
      <c r="C187" s="235"/>
      <c r="E187" s="10"/>
      <c r="F187" s="10"/>
    </row>
    <row r="188" ht="14.25" customHeight="1">
      <c r="B188" s="19"/>
      <c r="C188" s="235"/>
      <c r="E188" s="10"/>
      <c r="F188" s="10"/>
    </row>
    <row r="189" ht="14.25" customHeight="1">
      <c r="B189" s="19"/>
      <c r="C189" s="235"/>
      <c r="E189" s="10"/>
      <c r="F189" s="10"/>
    </row>
    <row r="190" ht="14.25" customHeight="1">
      <c r="B190" s="19"/>
      <c r="C190" s="235"/>
      <c r="E190" s="10"/>
      <c r="F190" s="10"/>
    </row>
    <row r="191" ht="14.25" customHeight="1">
      <c r="B191" s="19"/>
      <c r="C191" s="235"/>
      <c r="E191" s="10"/>
      <c r="F191" s="10"/>
    </row>
    <row r="192" ht="14.25" customHeight="1">
      <c r="B192" s="19"/>
      <c r="C192" s="235"/>
      <c r="E192" s="10"/>
      <c r="F192" s="10"/>
    </row>
    <row r="193" ht="14.25" customHeight="1">
      <c r="B193" s="19"/>
      <c r="C193" s="235"/>
      <c r="E193" s="10"/>
      <c r="F193" s="10"/>
    </row>
    <row r="194" ht="14.25" customHeight="1">
      <c r="B194" s="19"/>
      <c r="C194" s="235"/>
      <c r="E194" s="10"/>
      <c r="F194" s="10"/>
    </row>
    <row r="195" ht="14.25" customHeight="1">
      <c r="B195" s="19"/>
      <c r="C195" s="235"/>
      <c r="E195" s="10"/>
      <c r="F195" s="10"/>
    </row>
    <row r="196" ht="14.25" customHeight="1">
      <c r="B196" s="19"/>
      <c r="C196" s="235"/>
      <c r="E196" s="10"/>
      <c r="F196" s="10"/>
    </row>
    <row r="197" ht="14.25" customHeight="1">
      <c r="B197" s="19"/>
      <c r="C197" s="235"/>
      <c r="E197" s="10"/>
      <c r="F197" s="10"/>
    </row>
    <row r="198" ht="14.25" customHeight="1">
      <c r="B198" s="19"/>
      <c r="C198" s="235"/>
      <c r="E198" s="10"/>
      <c r="F198" s="10"/>
    </row>
    <row r="199" ht="14.25" customHeight="1">
      <c r="B199" s="19"/>
      <c r="C199" s="235"/>
      <c r="E199" s="10"/>
      <c r="F199" s="10"/>
    </row>
    <row r="200" ht="14.25" customHeight="1">
      <c r="B200" s="19"/>
      <c r="C200" s="235"/>
      <c r="E200" s="10"/>
      <c r="F200" s="10"/>
    </row>
    <row r="201" ht="14.25" customHeight="1">
      <c r="B201" s="19"/>
      <c r="C201" s="235"/>
      <c r="E201" s="10"/>
      <c r="F201" s="10"/>
    </row>
    <row r="202" ht="14.25" customHeight="1">
      <c r="B202" s="19"/>
      <c r="C202" s="235"/>
      <c r="E202" s="10"/>
      <c r="F202" s="10"/>
    </row>
    <row r="203" ht="14.25" customHeight="1">
      <c r="B203" s="19"/>
      <c r="C203" s="235"/>
      <c r="E203" s="10"/>
      <c r="F203" s="10"/>
    </row>
    <row r="204" ht="14.25" customHeight="1">
      <c r="B204" s="19"/>
      <c r="C204" s="235"/>
      <c r="E204" s="10"/>
      <c r="F204" s="10"/>
    </row>
    <row r="205" ht="14.25" customHeight="1">
      <c r="B205" s="19"/>
      <c r="C205" s="235"/>
      <c r="E205" s="10"/>
      <c r="F205" s="10"/>
    </row>
    <row r="206" ht="14.25" customHeight="1">
      <c r="B206" s="19"/>
      <c r="C206" s="235"/>
      <c r="E206" s="10"/>
      <c r="F206" s="10"/>
    </row>
    <row r="207" ht="14.25" customHeight="1">
      <c r="B207" s="19"/>
      <c r="C207" s="235"/>
      <c r="E207" s="10"/>
      <c r="F207" s="10"/>
    </row>
    <row r="208" ht="14.25" customHeight="1">
      <c r="B208" s="19"/>
      <c r="C208" s="235"/>
      <c r="E208" s="10"/>
      <c r="F208" s="10"/>
    </row>
    <row r="209" ht="14.25" customHeight="1">
      <c r="B209" s="19"/>
      <c r="C209" s="235"/>
      <c r="E209" s="10"/>
      <c r="F209" s="10"/>
    </row>
    <row r="210" ht="14.25" customHeight="1">
      <c r="B210" s="19"/>
      <c r="C210" s="235"/>
      <c r="E210" s="10"/>
      <c r="F210" s="10"/>
    </row>
    <row r="211" ht="14.25" customHeight="1">
      <c r="B211" s="19"/>
      <c r="C211" s="235"/>
      <c r="E211" s="10"/>
      <c r="F211" s="10"/>
    </row>
    <row r="212" ht="14.25" customHeight="1">
      <c r="B212" s="19"/>
      <c r="C212" s="235"/>
      <c r="E212" s="10"/>
      <c r="F212" s="10"/>
    </row>
    <row r="213" ht="14.25" customHeight="1">
      <c r="B213" s="19"/>
      <c r="C213" s="235"/>
      <c r="E213" s="10"/>
      <c r="F213" s="10"/>
    </row>
    <row r="214" ht="14.25" customHeight="1">
      <c r="B214" s="19"/>
      <c r="C214" s="235"/>
      <c r="E214" s="10"/>
      <c r="F214" s="10"/>
    </row>
    <row r="215" ht="14.25" customHeight="1">
      <c r="B215" s="19"/>
      <c r="C215" s="235"/>
      <c r="E215" s="10"/>
      <c r="F215" s="10"/>
    </row>
    <row r="216" ht="14.25" customHeight="1">
      <c r="B216" s="19"/>
      <c r="C216" s="235"/>
      <c r="E216" s="10"/>
      <c r="F216" s="10"/>
    </row>
    <row r="217" ht="14.25" customHeight="1">
      <c r="B217" s="19"/>
      <c r="C217" s="235"/>
      <c r="E217" s="10"/>
      <c r="F217" s="10"/>
    </row>
    <row r="218" ht="14.25" customHeight="1">
      <c r="B218" s="19"/>
      <c r="C218" s="235"/>
      <c r="E218" s="10"/>
      <c r="F218" s="10"/>
    </row>
    <row r="219" ht="14.25" customHeight="1">
      <c r="B219" s="19"/>
      <c r="C219" s="235"/>
      <c r="E219" s="10"/>
      <c r="F219" s="10"/>
    </row>
    <row r="220" ht="14.25" customHeight="1">
      <c r="B220" s="19"/>
      <c r="C220" s="235"/>
      <c r="E220" s="10"/>
      <c r="F220" s="10"/>
    </row>
    <row r="221" ht="14.25" customHeight="1">
      <c r="B221" s="19"/>
      <c r="C221" s="235"/>
      <c r="E221" s="10"/>
      <c r="F221" s="10"/>
    </row>
    <row r="222" ht="14.25" customHeight="1">
      <c r="B222" s="19"/>
      <c r="C222" s="235"/>
      <c r="E222" s="10"/>
      <c r="F222" s="10"/>
    </row>
    <row r="223" ht="14.25" customHeight="1">
      <c r="B223" s="19"/>
      <c r="C223" s="235"/>
      <c r="E223" s="10"/>
      <c r="F223" s="10"/>
    </row>
    <row r="224" ht="14.25" customHeight="1">
      <c r="B224" s="19"/>
      <c r="C224" s="235"/>
      <c r="E224" s="10"/>
      <c r="F224" s="10"/>
    </row>
    <row r="225" ht="14.25" customHeight="1">
      <c r="B225" s="19"/>
      <c r="C225" s="235"/>
      <c r="E225" s="10"/>
      <c r="F225" s="10"/>
    </row>
    <row r="226" ht="14.25" customHeight="1">
      <c r="B226" s="19"/>
      <c r="C226" s="235"/>
      <c r="E226" s="10"/>
      <c r="F226" s="10"/>
    </row>
    <row r="227" ht="14.25" customHeight="1">
      <c r="B227" s="19"/>
      <c r="C227" s="235"/>
      <c r="E227" s="10"/>
      <c r="F227" s="10"/>
    </row>
    <row r="228" ht="14.25" customHeight="1">
      <c r="B228" s="19"/>
      <c r="C228" s="235"/>
      <c r="E228" s="10"/>
      <c r="F228" s="10"/>
    </row>
    <row r="229" ht="14.25" customHeight="1">
      <c r="B229" s="19"/>
      <c r="C229" s="235"/>
      <c r="E229" s="10"/>
      <c r="F229" s="10"/>
    </row>
    <row r="230" ht="14.25" customHeight="1">
      <c r="B230" s="19"/>
      <c r="C230" s="235"/>
      <c r="E230" s="10"/>
      <c r="F230" s="10"/>
    </row>
    <row r="231" ht="14.25" customHeight="1">
      <c r="B231" s="19"/>
      <c r="C231" s="235"/>
      <c r="E231" s="10"/>
      <c r="F231" s="10"/>
    </row>
    <row r="232" ht="14.25" customHeight="1">
      <c r="B232" s="19"/>
      <c r="C232" s="235"/>
      <c r="E232" s="10"/>
      <c r="F232" s="10"/>
    </row>
    <row r="233" ht="14.25" customHeight="1">
      <c r="B233" s="19"/>
      <c r="C233" s="235"/>
      <c r="E233" s="10"/>
      <c r="F233" s="10"/>
    </row>
    <row r="234" ht="14.25" customHeight="1">
      <c r="B234" s="19"/>
      <c r="C234" s="235"/>
      <c r="E234" s="10"/>
      <c r="F234" s="10"/>
    </row>
    <row r="235" ht="14.25" customHeight="1">
      <c r="B235" s="19"/>
      <c r="C235" s="235"/>
      <c r="E235" s="10"/>
      <c r="F235" s="10"/>
    </row>
    <row r="236" ht="14.25" customHeight="1">
      <c r="B236" s="19"/>
      <c r="C236" s="235"/>
      <c r="E236" s="10"/>
      <c r="F236" s="10"/>
    </row>
    <row r="237" ht="14.25" customHeight="1">
      <c r="B237" s="19"/>
      <c r="C237" s="235"/>
      <c r="E237" s="10"/>
      <c r="F237" s="10"/>
    </row>
    <row r="238" ht="14.25" customHeight="1">
      <c r="B238" s="19"/>
      <c r="C238" s="235"/>
      <c r="E238" s="10"/>
      <c r="F238" s="10"/>
    </row>
    <row r="239" ht="14.25" customHeight="1">
      <c r="B239" s="19"/>
      <c r="C239" s="235"/>
      <c r="E239" s="10"/>
      <c r="F239" s="10"/>
    </row>
    <row r="240" ht="14.25" customHeight="1">
      <c r="B240" s="19"/>
      <c r="C240" s="235"/>
      <c r="E240" s="10"/>
      <c r="F240" s="10"/>
    </row>
    <row r="241" ht="14.25" customHeight="1">
      <c r="B241" s="19"/>
      <c r="C241" s="235"/>
      <c r="E241" s="10"/>
      <c r="F241" s="10"/>
    </row>
    <row r="242" ht="14.25" customHeight="1">
      <c r="B242" s="19"/>
      <c r="C242" s="235"/>
      <c r="E242" s="10"/>
      <c r="F242" s="10"/>
    </row>
    <row r="243" ht="14.25" customHeight="1">
      <c r="B243" s="19"/>
      <c r="C243" s="235"/>
      <c r="E243" s="10"/>
      <c r="F243" s="10"/>
    </row>
    <row r="244" ht="14.25" customHeight="1">
      <c r="B244" s="19"/>
      <c r="C244" s="235"/>
      <c r="E244" s="10"/>
      <c r="F244" s="10"/>
    </row>
    <row r="245" ht="14.25" customHeight="1">
      <c r="B245" s="19"/>
      <c r="C245" s="235"/>
      <c r="E245" s="10"/>
      <c r="F245" s="10"/>
    </row>
    <row r="246" ht="14.25" customHeight="1">
      <c r="B246" s="19"/>
      <c r="C246" s="235"/>
      <c r="E246" s="10"/>
      <c r="F246" s="10"/>
    </row>
    <row r="247" ht="14.25" customHeight="1">
      <c r="B247" s="19"/>
      <c r="C247" s="235"/>
      <c r="E247" s="10"/>
      <c r="F247" s="10"/>
    </row>
    <row r="248" ht="14.25" customHeight="1">
      <c r="B248" s="19"/>
      <c r="C248" s="235"/>
      <c r="E248" s="10"/>
      <c r="F248" s="10"/>
    </row>
    <row r="249" ht="14.25" customHeight="1">
      <c r="B249" s="19"/>
      <c r="C249" s="235"/>
      <c r="E249" s="10"/>
      <c r="F249" s="10"/>
    </row>
    <row r="250" ht="14.25" customHeight="1">
      <c r="B250" s="19"/>
      <c r="C250" s="235"/>
      <c r="E250" s="10"/>
      <c r="F250" s="10"/>
    </row>
    <row r="251" ht="14.25" customHeight="1">
      <c r="B251" s="19"/>
      <c r="C251" s="235"/>
      <c r="E251" s="10"/>
      <c r="F251" s="10"/>
    </row>
    <row r="252" ht="14.25" customHeight="1">
      <c r="B252" s="19"/>
      <c r="C252" s="235"/>
      <c r="E252" s="10"/>
      <c r="F252" s="10"/>
    </row>
    <row r="253" ht="14.25" customHeight="1">
      <c r="B253" s="19"/>
      <c r="C253" s="235"/>
      <c r="E253" s="10"/>
      <c r="F253" s="10"/>
    </row>
    <row r="254" ht="14.25" customHeight="1">
      <c r="B254" s="19"/>
      <c r="C254" s="235"/>
      <c r="E254" s="10"/>
      <c r="F254" s="10"/>
    </row>
    <row r="255" ht="14.25" customHeight="1">
      <c r="B255" s="19"/>
      <c r="C255" s="235"/>
      <c r="E255" s="10"/>
      <c r="F255" s="10"/>
    </row>
    <row r="256" ht="14.25" customHeight="1">
      <c r="B256" s="19"/>
      <c r="C256" s="235"/>
      <c r="E256" s="10"/>
      <c r="F256" s="10"/>
    </row>
    <row r="257" ht="14.25" customHeight="1">
      <c r="B257" s="19"/>
      <c r="C257" s="235"/>
      <c r="E257" s="10"/>
      <c r="F257" s="10"/>
    </row>
    <row r="258" ht="14.25" customHeight="1">
      <c r="B258" s="19"/>
      <c r="C258" s="235"/>
      <c r="E258" s="10"/>
      <c r="F258" s="10"/>
    </row>
    <row r="259" ht="14.25" customHeight="1">
      <c r="B259" s="19"/>
      <c r="C259" s="235"/>
      <c r="E259" s="10"/>
      <c r="F259" s="10"/>
    </row>
    <row r="260" ht="14.25" customHeight="1">
      <c r="B260" s="19"/>
      <c r="C260" s="235"/>
      <c r="E260" s="10"/>
      <c r="F260" s="10"/>
    </row>
    <row r="261" ht="14.25" customHeight="1">
      <c r="B261" s="19"/>
      <c r="C261" s="235"/>
      <c r="E261" s="10"/>
      <c r="F261" s="10"/>
    </row>
    <row r="262" ht="14.25" customHeight="1">
      <c r="B262" s="19"/>
      <c r="C262" s="235"/>
      <c r="E262" s="10"/>
      <c r="F262" s="10"/>
    </row>
    <row r="263" ht="14.25" customHeight="1">
      <c r="B263" s="19"/>
      <c r="C263" s="235"/>
      <c r="E263" s="10"/>
      <c r="F263" s="10"/>
    </row>
    <row r="264" ht="14.25" customHeight="1">
      <c r="B264" s="19"/>
      <c r="C264" s="235"/>
      <c r="E264" s="10"/>
      <c r="F264" s="10"/>
    </row>
    <row r="265" ht="14.25" customHeight="1">
      <c r="B265" s="19"/>
      <c r="C265" s="235"/>
      <c r="E265" s="10"/>
      <c r="F265" s="10"/>
    </row>
    <row r="266" ht="14.25" customHeight="1">
      <c r="B266" s="19"/>
      <c r="C266" s="235"/>
      <c r="E266" s="10"/>
      <c r="F266" s="10"/>
    </row>
    <row r="267" ht="14.25" customHeight="1">
      <c r="B267" s="19"/>
      <c r="C267" s="235"/>
      <c r="E267" s="10"/>
      <c r="F267" s="10"/>
    </row>
    <row r="268" ht="14.25" customHeight="1">
      <c r="B268" s="19"/>
      <c r="C268" s="235"/>
      <c r="E268" s="10"/>
      <c r="F268" s="10"/>
    </row>
    <row r="269" ht="14.25" customHeight="1">
      <c r="B269" s="19"/>
      <c r="C269" s="235"/>
      <c r="E269" s="10"/>
      <c r="F269" s="10"/>
    </row>
    <row r="270" ht="14.25" customHeight="1">
      <c r="B270" s="19"/>
      <c r="C270" s="235"/>
      <c r="E270" s="10"/>
      <c r="F270" s="10"/>
    </row>
    <row r="271" ht="14.25" customHeight="1">
      <c r="B271" s="19"/>
      <c r="C271" s="235"/>
      <c r="E271" s="10"/>
      <c r="F271" s="10"/>
    </row>
    <row r="272" ht="14.25" customHeight="1">
      <c r="B272" s="19"/>
      <c r="C272" s="235"/>
      <c r="E272" s="10"/>
      <c r="F272" s="10"/>
    </row>
    <row r="273" ht="14.25" customHeight="1">
      <c r="B273" s="19"/>
      <c r="C273" s="235"/>
      <c r="E273" s="10"/>
      <c r="F273" s="10"/>
    </row>
    <row r="274" ht="14.25" customHeight="1">
      <c r="B274" s="19"/>
      <c r="C274" s="235"/>
      <c r="E274" s="10"/>
      <c r="F274" s="10"/>
    </row>
    <row r="275" ht="14.25" customHeight="1">
      <c r="B275" s="19"/>
      <c r="C275" s="235"/>
      <c r="E275" s="10"/>
      <c r="F275" s="10"/>
    </row>
    <row r="276" ht="14.25" customHeight="1">
      <c r="B276" s="19"/>
      <c r="C276" s="235"/>
      <c r="E276" s="10"/>
      <c r="F276" s="10"/>
    </row>
    <row r="277" ht="14.25" customHeight="1">
      <c r="B277" s="19"/>
      <c r="C277" s="235"/>
      <c r="E277" s="10"/>
      <c r="F277" s="10"/>
    </row>
    <row r="278" ht="14.25" customHeight="1">
      <c r="B278" s="19"/>
      <c r="C278" s="235"/>
      <c r="E278" s="10"/>
      <c r="F278" s="10"/>
    </row>
    <row r="279" ht="14.25" customHeight="1">
      <c r="B279" s="19"/>
      <c r="C279" s="235"/>
      <c r="E279" s="10"/>
      <c r="F279" s="10"/>
    </row>
    <row r="280" ht="14.25" customHeight="1">
      <c r="B280" s="19"/>
      <c r="C280" s="235"/>
      <c r="E280" s="10"/>
      <c r="F280" s="10"/>
    </row>
    <row r="281" ht="14.25" customHeight="1">
      <c r="B281" s="19"/>
      <c r="C281" s="235"/>
      <c r="E281" s="10"/>
      <c r="F281" s="10"/>
    </row>
    <row r="282" ht="14.25" customHeight="1">
      <c r="B282" s="19"/>
      <c r="C282" s="235"/>
      <c r="E282" s="10"/>
      <c r="F282" s="10"/>
    </row>
    <row r="283" ht="14.25" customHeight="1">
      <c r="B283" s="19"/>
      <c r="C283" s="235"/>
      <c r="E283" s="10"/>
      <c r="F283" s="10"/>
    </row>
    <row r="284" ht="14.25" customHeight="1">
      <c r="B284" s="19"/>
      <c r="C284" s="235"/>
      <c r="E284" s="10"/>
      <c r="F284" s="10"/>
    </row>
    <row r="285" ht="14.25" customHeight="1">
      <c r="B285" s="19"/>
      <c r="C285" s="235"/>
      <c r="E285" s="10"/>
      <c r="F285" s="10"/>
    </row>
    <row r="286" ht="14.25" customHeight="1">
      <c r="B286" s="19"/>
      <c r="C286" s="235"/>
      <c r="E286" s="10"/>
      <c r="F286" s="10"/>
    </row>
    <row r="287" ht="14.25" customHeight="1">
      <c r="B287" s="19"/>
      <c r="C287" s="235"/>
      <c r="E287" s="10"/>
      <c r="F287" s="10"/>
    </row>
    <row r="288" ht="14.25" customHeight="1">
      <c r="B288" s="19"/>
      <c r="C288" s="235"/>
      <c r="E288" s="10"/>
      <c r="F288" s="10"/>
    </row>
    <row r="289" ht="14.25" customHeight="1">
      <c r="B289" s="19"/>
      <c r="C289" s="235"/>
      <c r="E289" s="10"/>
      <c r="F289" s="10"/>
    </row>
    <row r="290" ht="14.25" customHeight="1">
      <c r="B290" s="19"/>
      <c r="C290" s="235"/>
      <c r="E290" s="10"/>
      <c r="F290" s="10"/>
    </row>
    <row r="291" ht="14.25" customHeight="1">
      <c r="B291" s="19"/>
      <c r="C291" s="235"/>
      <c r="E291" s="10"/>
      <c r="F291" s="10"/>
    </row>
    <row r="292" ht="14.25" customHeight="1">
      <c r="B292" s="19"/>
      <c r="C292" s="235"/>
      <c r="E292" s="10"/>
      <c r="F292" s="10"/>
    </row>
    <row r="293" ht="14.25" customHeight="1">
      <c r="B293" s="19"/>
      <c r="C293" s="235"/>
      <c r="E293" s="10"/>
      <c r="F293" s="10"/>
    </row>
    <row r="294" ht="14.25" customHeight="1">
      <c r="B294" s="19"/>
      <c r="C294" s="235"/>
      <c r="E294" s="10"/>
      <c r="F294" s="10"/>
    </row>
    <row r="295" ht="14.25" customHeight="1">
      <c r="B295" s="19"/>
      <c r="C295" s="235"/>
      <c r="E295" s="10"/>
      <c r="F295" s="10"/>
    </row>
    <row r="296" ht="14.25" customHeight="1">
      <c r="B296" s="19"/>
      <c r="C296" s="235"/>
      <c r="E296" s="10"/>
      <c r="F296" s="10"/>
    </row>
    <row r="297" ht="14.25" customHeight="1">
      <c r="B297" s="19"/>
      <c r="C297" s="235"/>
      <c r="E297" s="10"/>
      <c r="F297" s="10"/>
    </row>
    <row r="298" ht="14.25" customHeight="1">
      <c r="B298" s="19"/>
      <c r="C298" s="235"/>
      <c r="E298" s="10"/>
      <c r="F298" s="10"/>
    </row>
    <row r="299" ht="14.25" customHeight="1">
      <c r="B299" s="19"/>
      <c r="C299" s="235"/>
      <c r="E299" s="10"/>
      <c r="F299" s="10"/>
    </row>
    <row r="300" ht="14.25" customHeight="1">
      <c r="B300" s="19"/>
      <c r="C300" s="235"/>
      <c r="E300" s="10"/>
      <c r="F300" s="10"/>
    </row>
    <row r="301" ht="14.25" customHeight="1">
      <c r="B301" s="19"/>
      <c r="C301" s="235"/>
      <c r="E301" s="10"/>
      <c r="F301" s="10"/>
    </row>
    <row r="302" ht="14.25" customHeight="1">
      <c r="B302" s="19"/>
      <c r="C302" s="235"/>
      <c r="E302" s="10"/>
      <c r="F302" s="10"/>
    </row>
    <row r="303" ht="14.25" customHeight="1">
      <c r="B303" s="19"/>
      <c r="C303" s="235"/>
      <c r="E303" s="10"/>
      <c r="F303" s="10"/>
    </row>
    <row r="304" ht="14.25" customHeight="1">
      <c r="B304" s="19"/>
      <c r="C304" s="235"/>
      <c r="E304" s="10"/>
      <c r="F304" s="10"/>
    </row>
    <row r="305" ht="14.25" customHeight="1">
      <c r="B305" s="19"/>
      <c r="C305" s="235"/>
      <c r="E305" s="10"/>
      <c r="F305" s="10"/>
    </row>
    <row r="306" ht="14.25" customHeight="1">
      <c r="B306" s="19"/>
      <c r="C306" s="235"/>
      <c r="E306" s="10"/>
      <c r="F306" s="10"/>
    </row>
    <row r="307" ht="14.25" customHeight="1">
      <c r="B307" s="19"/>
      <c r="C307" s="235"/>
      <c r="E307" s="10"/>
      <c r="F307" s="10"/>
    </row>
    <row r="308" ht="14.25" customHeight="1">
      <c r="B308" s="19"/>
      <c r="C308" s="235"/>
      <c r="E308" s="10"/>
      <c r="F308" s="10"/>
    </row>
    <row r="309" ht="14.25" customHeight="1">
      <c r="B309" s="19"/>
      <c r="C309" s="235"/>
      <c r="E309" s="10"/>
      <c r="F309" s="10"/>
    </row>
    <row r="310" ht="14.25" customHeight="1">
      <c r="B310" s="19"/>
      <c r="C310" s="235"/>
      <c r="E310" s="10"/>
      <c r="F310" s="10"/>
    </row>
    <row r="311" ht="14.25" customHeight="1">
      <c r="B311" s="19"/>
      <c r="C311" s="235"/>
      <c r="E311" s="10"/>
      <c r="F311" s="10"/>
    </row>
    <row r="312" ht="14.25" customHeight="1">
      <c r="B312" s="19"/>
      <c r="C312" s="235"/>
      <c r="E312" s="10"/>
      <c r="F312" s="10"/>
    </row>
    <row r="313" ht="14.25" customHeight="1">
      <c r="B313" s="19"/>
      <c r="C313" s="235"/>
      <c r="E313" s="10"/>
      <c r="F313" s="10"/>
    </row>
    <row r="314" ht="14.25" customHeight="1">
      <c r="B314" s="19"/>
      <c r="C314" s="235"/>
      <c r="E314" s="10"/>
      <c r="F314" s="10"/>
    </row>
    <row r="315" ht="14.25" customHeight="1">
      <c r="B315" s="19"/>
      <c r="C315" s="235"/>
      <c r="E315" s="10"/>
      <c r="F315" s="10"/>
    </row>
    <row r="316" ht="14.25" customHeight="1">
      <c r="B316" s="19"/>
      <c r="C316" s="235"/>
      <c r="E316" s="10"/>
      <c r="F316" s="10"/>
    </row>
    <row r="317" ht="14.25" customHeight="1">
      <c r="B317" s="19"/>
      <c r="C317" s="235"/>
      <c r="E317" s="10"/>
      <c r="F317" s="10"/>
    </row>
    <row r="318" ht="14.25" customHeight="1">
      <c r="B318" s="19"/>
      <c r="C318" s="235"/>
      <c r="E318" s="10"/>
      <c r="F318" s="10"/>
    </row>
    <row r="319" ht="14.25" customHeight="1">
      <c r="B319" s="19"/>
      <c r="C319" s="235"/>
      <c r="E319" s="10"/>
      <c r="F319" s="10"/>
    </row>
    <row r="320" ht="14.25" customHeight="1">
      <c r="B320" s="19"/>
      <c r="C320" s="235"/>
      <c r="E320" s="10"/>
      <c r="F320" s="10"/>
    </row>
    <row r="321" ht="14.25" customHeight="1">
      <c r="B321" s="19"/>
      <c r="C321" s="235"/>
      <c r="E321" s="10"/>
      <c r="F321" s="10"/>
    </row>
    <row r="322" ht="14.25" customHeight="1">
      <c r="B322" s="19"/>
      <c r="C322" s="235"/>
      <c r="E322" s="10"/>
      <c r="F322" s="10"/>
    </row>
    <row r="323" ht="14.25" customHeight="1">
      <c r="B323" s="19"/>
      <c r="C323" s="235"/>
      <c r="E323" s="10"/>
      <c r="F323" s="10"/>
    </row>
    <row r="324" ht="14.25" customHeight="1">
      <c r="B324" s="19"/>
      <c r="C324" s="235"/>
      <c r="E324" s="10"/>
      <c r="F324" s="10"/>
    </row>
    <row r="325" ht="14.25" customHeight="1">
      <c r="B325" s="19"/>
      <c r="C325" s="235"/>
      <c r="E325" s="10"/>
      <c r="F325" s="10"/>
    </row>
    <row r="326" ht="14.25" customHeight="1">
      <c r="B326" s="19"/>
      <c r="C326" s="235"/>
      <c r="E326" s="10"/>
      <c r="F326" s="10"/>
    </row>
    <row r="327" ht="14.25" customHeight="1">
      <c r="B327" s="19"/>
      <c r="C327" s="235"/>
      <c r="E327" s="10"/>
      <c r="F327" s="10"/>
    </row>
    <row r="328" ht="14.25" customHeight="1">
      <c r="B328" s="19"/>
      <c r="C328" s="235"/>
      <c r="E328" s="10"/>
      <c r="F328" s="10"/>
    </row>
    <row r="329" ht="14.25" customHeight="1">
      <c r="B329" s="19"/>
      <c r="C329" s="235"/>
      <c r="E329" s="10"/>
      <c r="F329" s="10"/>
    </row>
    <row r="330" ht="14.25" customHeight="1">
      <c r="B330" s="19"/>
      <c r="C330" s="235"/>
      <c r="E330" s="10"/>
      <c r="F330" s="10"/>
    </row>
    <row r="331" ht="14.25" customHeight="1">
      <c r="B331" s="19"/>
      <c r="C331" s="235"/>
      <c r="E331" s="10"/>
      <c r="F331" s="10"/>
    </row>
    <row r="332" ht="14.25" customHeight="1">
      <c r="B332" s="19"/>
      <c r="C332" s="235"/>
      <c r="E332" s="10"/>
      <c r="F332" s="10"/>
    </row>
    <row r="333" ht="14.25" customHeight="1">
      <c r="B333" s="19"/>
      <c r="C333" s="235"/>
      <c r="E333" s="10"/>
      <c r="F333" s="10"/>
    </row>
    <row r="334" ht="14.25" customHeight="1">
      <c r="B334" s="19"/>
      <c r="C334" s="235"/>
      <c r="E334" s="10"/>
      <c r="F334" s="10"/>
    </row>
    <row r="335" ht="14.25" customHeight="1">
      <c r="B335" s="19"/>
      <c r="C335" s="235"/>
      <c r="E335" s="10"/>
      <c r="F335" s="10"/>
    </row>
    <row r="336" ht="14.25" customHeight="1">
      <c r="B336" s="19"/>
      <c r="C336" s="235"/>
      <c r="E336" s="10"/>
      <c r="F336" s="10"/>
    </row>
    <row r="337" ht="14.25" customHeight="1">
      <c r="B337" s="19"/>
      <c r="C337" s="235"/>
      <c r="E337" s="10"/>
      <c r="F337" s="10"/>
    </row>
    <row r="338" ht="14.25" customHeight="1">
      <c r="B338" s="19"/>
      <c r="C338" s="235"/>
      <c r="E338" s="10"/>
      <c r="F338" s="10"/>
    </row>
    <row r="339" ht="14.25" customHeight="1">
      <c r="B339" s="19"/>
      <c r="C339" s="235"/>
      <c r="E339" s="10"/>
      <c r="F339" s="10"/>
    </row>
    <row r="340" ht="14.25" customHeight="1">
      <c r="B340" s="19"/>
      <c r="C340" s="235"/>
      <c r="E340" s="10"/>
      <c r="F340" s="10"/>
    </row>
    <row r="341" ht="14.25" customHeight="1">
      <c r="B341" s="19"/>
      <c r="C341" s="235"/>
      <c r="E341" s="10"/>
      <c r="F341" s="10"/>
    </row>
    <row r="342" ht="14.25" customHeight="1">
      <c r="B342" s="19"/>
      <c r="C342" s="235"/>
      <c r="E342" s="10"/>
      <c r="F342" s="10"/>
    </row>
    <row r="343" ht="14.25" customHeight="1">
      <c r="B343" s="19"/>
      <c r="C343" s="235"/>
      <c r="E343" s="10"/>
      <c r="F343" s="10"/>
    </row>
    <row r="344" ht="14.25" customHeight="1">
      <c r="B344" s="19"/>
      <c r="C344" s="235"/>
      <c r="E344" s="10"/>
      <c r="F344" s="10"/>
    </row>
    <row r="345" ht="14.25" customHeight="1">
      <c r="B345" s="19"/>
      <c r="C345" s="235"/>
      <c r="E345" s="10"/>
      <c r="F345" s="10"/>
    </row>
    <row r="346" ht="14.25" customHeight="1">
      <c r="B346" s="19"/>
      <c r="C346" s="235"/>
      <c r="E346" s="10"/>
      <c r="F346" s="10"/>
    </row>
    <row r="347" ht="14.25" customHeight="1">
      <c r="B347" s="19"/>
      <c r="C347" s="235"/>
      <c r="E347" s="10"/>
      <c r="F347" s="10"/>
    </row>
    <row r="348" ht="14.25" customHeight="1">
      <c r="B348" s="19"/>
      <c r="C348" s="235"/>
      <c r="E348" s="10"/>
      <c r="F348" s="10"/>
    </row>
    <row r="349" ht="14.25" customHeight="1">
      <c r="B349" s="19"/>
      <c r="C349" s="235"/>
      <c r="E349" s="10"/>
      <c r="F349" s="10"/>
    </row>
    <row r="350" ht="14.25" customHeight="1">
      <c r="B350" s="19"/>
      <c r="C350" s="235"/>
      <c r="E350" s="10"/>
      <c r="F350" s="10"/>
    </row>
    <row r="351" ht="14.25" customHeight="1">
      <c r="B351" s="19"/>
      <c r="C351" s="235"/>
      <c r="E351" s="10"/>
      <c r="F351" s="10"/>
    </row>
    <row r="352" ht="14.25" customHeight="1">
      <c r="B352" s="19"/>
      <c r="C352" s="235"/>
      <c r="E352" s="10"/>
      <c r="F352" s="10"/>
    </row>
    <row r="353" ht="14.25" customHeight="1">
      <c r="B353" s="19"/>
      <c r="C353" s="235"/>
      <c r="E353" s="10"/>
      <c r="F353" s="10"/>
    </row>
    <row r="354" ht="14.25" customHeight="1">
      <c r="B354" s="19"/>
      <c r="C354" s="235"/>
      <c r="E354" s="10"/>
      <c r="F354" s="10"/>
    </row>
    <row r="355" ht="14.25" customHeight="1">
      <c r="B355" s="19"/>
      <c r="C355" s="235"/>
      <c r="E355" s="10"/>
      <c r="F355" s="10"/>
    </row>
    <row r="356" ht="14.25" customHeight="1">
      <c r="B356" s="19"/>
      <c r="C356" s="235"/>
      <c r="E356" s="10"/>
      <c r="F356" s="10"/>
    </row>
    <row r="357" ht="14.25" customHeight="1">
      <c r="B357" s="19"/>
      <c r="C357" s="235"/>
      <c r="E357" s="10"/>
      <c r="F357" s="10"/>
    </row>
    <row r="358" ht="14.25" customHeight="1">
      <c r="B358" s="19"/>
      <c r="C358" s="235"/>
      <c r="E358" s="10"/>
      <c r="F358" s="10"/>
    </row>
    <row r="359" ht="14.25" customHeight="1">
      <c r="B359" s="19"/>
      <c r="C359" s="235"/>
      <c r="E359" s="10"/>
      <c r="F359" s="10"/>
    </row>
    <row r="360" ht="14.25" customHeight="1">
      <c r="B360" s="19"/>
      <c r="C360" s="235"/>
      <c r="E360" s="10"/>
      <c r="F360" s="10"/>
    </row>
    <row r="361" ht="14.25" customHeight="1">
      <c r="B361" s="19"/>
      <c r="C361" s="235"/>
      <c r="E361" s="10"/>
      <c r="F361" s="10"/>
    </row>
    <row r="362" ht="14.25" customHeight="1">
      <c r="B362" s="19"/>
      <c r="C362" s="235"/>
      <c r="E362" s="10"/>
      <c r="F362" s="10"/>
    </row>
    <row r="363" ht="14.25" customHeight="1">
      <c r="B363" s="19"/>
      <c r="C363" s="235"/>
      <c r="E363" s="10"/>
      <c r="F363" s="10"/>
    </row>
    <row r="364" ht="14.25" customHeight="1">
      <c r="B364" s="19"/>
      <c r="C364" s="235"/>
      <c r="E364" s="10"/>
      <c r="F364" s="10"/>
    </row>
    <row r="365" ht="14.25" customHeight="1">
      <c r="B365" s="19"/>
      <c r="C365" s="235"/>
      <c r="E365" s="10"/>
      <c r="F365" s="10"/>
    </row>
    <row r="366" ht="14.25" customHeight="1">
      <c r="B366" s="19"/>
      <c r="C366" s="235"/>
      <c r="E366" s="10"/>
      <c r="F366" s="10"/>
    </row>
    <row r="367" ht="14.25" customHeight="1">
      <c r="B367" s="19"/>
      <c r="C367" s="235"/>
      <c r="E367" s="10"/>
      <c r="F367" s="10"/>
    </row>
    <row r="368" ht="14.25" customHeight="1">
      <c r="B368" s="19"/>
      <c r="C368" s="235"/>
      <c r="E368" s="10"/>
      <c r="F368" s="10"/>
    </row>
    <row r="369" ht="14.25" customHeight="1">
      <c r="B369" s="19"/>
      <c r="C369" s="235"/>
      <c r="E369" s="10"/>
      <c r="F369" s="10"/>
    </row>
    <row r="370" ht="14.25" customHeight="1">
      <c r="B370" s="19"/>
      <c r="C370" s="235"/>
      <c r="E370" s="10"/>
      <c r="F370" s="10"/>
    </row>
    <row r="371" ht="14.25" customHeight="1">
      <c r="B371" s="19"/>
      <c r="C371" s="235"/>
      <c r="E371" s="10"/>
      <c r="F371" s="10"/>
    </row>
    <row r="372" ht="14.25" customHeight="1">
      <c r="B372" s="19"/>
      <c r="C372" s="235"/>
      <c r="E372" s="10"/>
      <c r="F372" s="10"/>
    </row>
    <row r="373" ht="14.25" customHeight="1">
      <c r="B373" s="19"/>
      <c r="C373" s="235"/>
      <c r="E373" s="10"/>
      <c r="F373" s="10"/>
    </row>
    <row r="374" ht="14.25" customHeight="1">
      <c r="B374" s="19"/>
      <c r="C374" s="235"/>
      <c r="E374" s="10"/>
      <c r="F374" s="10"/>
    </row>
    <row r="375" ht="14.25" customHeight="1">
      <c r="B375" s="19"/>
      <c r="C375" s="235"/>
      <c r="E375" s="10"/>
      <c r="F375" s="10"/>
    </row>
    <row r="376" ht="14.25" customHeight="1">
      <c r="B376" s="19"/>
      <c r="C376" s="235"/>
      <c r="E376" s="10"/>
      <c r="F376" s="10"/>
    </row>
    <row r="377" ht="14.25" customHeight="1">
      <c r="B377" s="19"/>
      <c r="C377" s="235"/>
      <c r="E377" s="10"/>
      <c r="F377" s="10"/>
    </row>
    <row r="378" ht="14.25" customHeight="1">
      <c r="B378" s="19"/>
      <c r="C378" s="235"/>
      <c r="E378" s="10"/>
      <c r="F378" s="10"/>
    </row>
    <row r="379" ht="14.25" customHeight="1">
      <c r="B379" s="19"/>
      <c r="C379" s="235"/>
      <c r="E379" s="10"/>
      <c r="F379" s="10"/>
    </row>
    <row r="380" ht="14.25" customHeight="1">
      <c r="B380" s="19"/>
      <c r="C380" s="235"/>
      <c r="E380" s="10"/>
      <c r="F380" s="10"/>
    </row>
    <row r="381" ht="14.25" customHeight="1">
      <c r="B381" s="19"/>
      <c r="C381" s="235"/>
      <c r="E381" s="10"/>
      <c r="F381" s="10"/>
    </row>
    <row r="382" ht="14.25" customHeight="1">
      <c r="B382" s="19"/>
      <c r="C382" s="235"/>
      <c r="E382" s="10"/>
      <c r="F382" s="10"/>
    </row>
    <row r="383" ht="14.25" customHeight="1">
      <c r="B383" s="19"/>
      <c r="C383" s="235"/>
      <c r="E383" s="10"/>
      <c r="F383" s="10"/>
    </row>
    <row r="384" ht="14.25" customHeight="1">
      <c r="B384" s="19"/>
      <c r="C384" s="235"/>
      <c r="E384" s="10"/>
      <c r="F384" s="10"/>
    </row>
    <row r="385" ht="14.25" customHeight="1">
      <c r="B385" s="19"/>
      <c r="C385" s="235"/>
      <c r="E385" s="10"/>
      <c r="F385" s="10"/>
    </row>
    <row r="386" ht="14.25" customHeight="1">
      <c r="B386" s="19"/>
      <c r="C386" s="235"/>
      <c r="E386" s="10"/>
      <c r="F386" s="10"/>
    </row>
    <row r="387" ht="14.25" customHeight="1">
      <c r="B387" s="19"/>
      <c r="C387" s="235"/>
      <c r="E387" s="10"/>
      <c r="F387" s="10"/>
    </row>
    <row r="388" ht="14.25" customHeight="1">
      <c r="B388" s="19"/>
      <c r="C388" s="235"/>
      <c r="E388" s="10"/>
      <c r="F388" s="10"/>
    </row>
    <row r="389" ht="14.25" customHeight="1">
      <c r="B389" s="19"/>
      <c r="C389" s="235"/>
      <c r="E389" s="10"/>
      <c r="F389" s="10"/>
    </row>
    <row r="390" ht="14.25" customHeight="1">
      <c r="B390" s="19"/>
      <c r="C390" s="235"/>
      <c r="E390" s="10"/>
      <c r="F390" s="10"/>
    </row>
    <row r="391" ht="14.25" customHeight="1">
      <c r="B391" s="19"/>
      <c r="C391" s="235"/>
      <c r="E391" s="10"/>
      <c r="F391" s="10"/>
    </row>
    <row r="392" ht="14.25" customHeight="1">
      <c r="B392" s="19"/>
      <c r="C392" s="235"/>
      <c r="E392" s="10"/>
      <c r="F392" s="10"/>
    </row>
    <row r="393" ht="14.25" customHeight="1">
      <c r="B393" s="19"/>
      <c r="C393" s="235"/>
      <c r="E393" s="10"/>
      <c r="F393" s="10"/>
    </row>
    <row r="394" ht="14.25" customHeight="1">
      <c r="B394" s="19"/>
      <c r="C394" s="235"/>
      <c r="E394" s="10"/>
      <c r="F394" s="10"/>
    </row>
    <row r="395" ht="14.25" customHeight="1">
      <c r="B395" s="19"/>
      <c r="C395" s="235"/>
      <c r="E395" s="10"/>
      <c r="F395" s="10"/>
    </row>
    <row r="396" ht="14.25" customHeight="1">
      <c r="B396" s="19"/>
      <c r="C396" s="235"/>
      <c r="E396" s="10"/>
      <c r="F396" s="10"/>
    </row>
    <row r="397" ht="14.25" customHeight="1">
      <c r="B397" s="19"/>
      <c r="C397" s="235"/>
      <c r="E397" s="10"/>
      <c r="F397" s="10"/>
    </row>
    <row r="398" ht="14.25" customHeight="1">
      <c r="B398" s="19"/>
      <c r="C398" s="235"/>
      <c r="E398" s="10"/>
      <c r="F398" s="10"/>
    </row>
    <row r="399" ht="14.25" customHeight="1">
      <c r="B399" s="19"/>
      <c r="C399" s="235"/>
      <c r="E399" s="10"/>
      <c r="F399" s="10"/>
    </row>
    <row r="400" ht="14.25" customHeight="1">
      <c r="B400" s="19"/>
      <c r="C400" s="235"/>
      <c r="E400" s="10"/>
      <c r="F400" s="10"/>
    </row>
    <row r="401" ht="14.25" customHeight="1">
      <c r="B401" s="19"/>
      <c r="C401" s="235"/>
      <c r="E401" s="10"/>
      <c r="F401" s="10"/>
    </row>
    <row r="402" ht="14.25" customHeight="1">
      <c r="B402" s="19"/>
      <c r="C402" s="235"/>
      <c r="E402" s="10"/>
      <c r="F402" s="10"/>
    </row>
    <row r="403" ht="14.25" customHeight="1">
      <c r="B403" s="19"/>
      <c r="C403" s="235"/>
      <c r="E403" s="10"/>
      <c r="F403" s="10"/>
    </row>
    <row r="404" ht="14.25" customHeight="1">
      <c r="B404" s="19"/>
      <c r="C404" s="235"/>
      <c r="E404" s="10"/>
      <c r="F404" s="10"/>
    </row>
    <row r="405" ht="14.25" customHeight="1">
      <c r="B405" s="19"/>
      <c r="C405" s="235"/>
      <c r="E405" s="10"/>
      <c r="F405" s="10"/>
    </row>
    <row r="406" ht="14.25" customHeight="1">
      <c r="B406" s="19"/>
      <c r="C406" s="235"/>
      <c r="E406" s="10"/>
      <c r="F406" s="10"/>
    </row>
    <row r="407" ht="14.25" customHeight="1">
      <c r="B407" s="19"/>
      <c r="C407" s="235"/>
      <c r="E407" s="10"/>
      <c r="F407" s="10"/>
    </row>
    <row r="408" ht="14.25" customHeight="1">
      <c r="B408" s="19"/>
      <c r="C408" s="235"/>
      <c r="E408" s="10"/>
      <c r="F408" s="10"/>
    </row>
    <row r="409" ht="14.25" customHeight="1">
      <c r="B409" s="19"/>
      <c r="C409" s="235"/>
      <c r="E409" s="10"/>
      <c r="F409" s="10"/>
    </row>
    <row r="410" ht="14.25" customHeight="1">
      <c r="B410" s="19"/>
      <c r="C410" s="235"/>
      <c r="E410" s="10"/>
      <c r="F410" s="10"/>
    </row>
    <row r="411" ht="14.25" customHeight="1">
      <c r="B411" s="19"/>
      <c r="C411" s="235"/>
      <c r="E411" s="10"/>
      <c r="F411" s="10"/>
    </row>
    <row r="412" ht="14.25" customHeight="1">
      <c r="B412" s="19"/>
      <c r="C412" s="235"/>
      <c r="E412" s="10"/>
      <c r="F412" s="10"/>
    </row>
    <row r="413" ht="14.25" customHeight="1">
      <c r="B413" s="19"/>
      <c r="C413" s="235"/>
      <c r="E413" s="10"/>
      <c r="F413" s="10"/>
    </row>
    <row r="414" ht="14.25" customHeight="1">
      <c r="B414" s="19"/>
      <c r="C414" s="235"/>
      <c r="E414" s="10"/>
      <c r="F414" s="10"/>
    </row>
    <row r="415" ht="14.25" customHeight="1">
      <c r="B415" s="19"/>
      <c r="C415" s="235"/>
      <c r="E415" s="10"/>
      <c r="F415" s="10"/>
    </row>
    <row r="416" ht="14.25" customHeight="1">
      <c r="B416" s="19"/>
      <c r="C416" s="235"/>
      <c r="E416" s="10"/>
      <c r="F416" s="10"/>
    </row>
    <row r="417" ht="14.25" customHeight="1">
      <c r="B417" s="19"/>
      <c r="C417" s="235"/>
      <c r="E417" s="10"/>
      <c r="F417" s="10"/>
    </row>
    <row r="418" ht="14.25" customHeight="1">
      <c r="B418" s="19"/>
      <c r="C418" s="235"/>
      <c r="E418" s="10"/>
      <c r="F418" s="10"/>
    </row>
    <row r="419" ht="14.25" customHeight="1">
      <c r="B419" s="19"/>
      <c r="C419" s="235"/>
      <c r="E419" s="10"/>
      <c r="F419" s="10"/>
    </row>
    <row r="420" ht="14.25" customHeight="1">
      <c r="B420" s="19"/>
      <c r="C420" s="235"/>
      <c r="E420" s="10"/>
      <c r="F420" s="10"/>
    </row>
    <row r="421" ht="14.25" customHeight="1">
      <c r="B421" s="19"/>
      <c r="C421" s="235"/>
      <c r="E421" s="10"/>
      <c r="F421" s="10"/>
    </row>
    <row r="422" ht="14.25" customHeight="1">
      <c r="B422" s="19"/>
      <c r="C422" s="235"/>
      <c r="E422" s="10"/>
      <c r="F422" s="10"/>
    </row>
    <row r="423" ht="14.25" customHeight="1">
      <c r="B423" s="19"/>
      <c r="C423" s="235"/>
      <c r="E423" s="10"/>
      <c r="F423" s="10"/>
    </row>
    <row r="424" ht="14.25" customHeight="1">
      <c r="B424" s="19"/>
      <c r="C424" s="235"/>
      <c r="E424" s="10"/>
      <c r="F424" s="10"/>
    </row>
    <row r="425" ht="14.25" customHeight="1">
      <c r="B425" s="19"/>
      <c r="C425" s="235"/>
      <c r="E425" s="10"/>
      <c r="F425" s="10"/>
    </row>
    <row r="426" ht="14.25" customHeight="1">
      <c r="B426" s="19"/>
      <c r="C426" s="235"/>
      <c r="E426" s="10"/>
      <c r="F426" s="10"/>
    </row>
    <row r="427" ht="14.25" customHeight="1">
      <c r="B427" s="19"/>
      <c r="C427" s="235"/>
      <c r="E427" s="10"/>
      <c r="F427" s="10"/>
    </row>
    <row r="428" ht="14.25" customHeight="1">
      <c r="B428" s="19"/>
      <c r="C428" s="235"/>
      <c r="E428" s="10"/>
      <c r="F428" s="10"/>
    </row>
    <row r="429" ht="14.25" customHeight="1">
      <c r="B429" s="19"/>
      <c r="C429" s="235"/>
      <c r="E429" s="10"/>
      <c r="F429" s="10"/>
    </row>
    <row r="430" ht="14.25" customHeight="1">
      <c r="B430" s="19"/>
      <c r="C430" s="235"/>
      <c r="E430" s="10"/>
      <c r="F430" s="10"/>
    </row>
    <row r="431" ht="14.25" customHeight="1">
      <c r="B431" s="19"/>
      <c r="C431" s="235"/>
      <c r="E431" s="10"/>
      <c r="F431" s="10"/>
    </row>
    <row r="432" ht="14.25" customHeight="1">
      <c r="B432" s="19"/>
      <c r="C432" s="235"/>
      <c r="E432" s="10"/>
      <c r="F432" s="10"/>
    </row>
    <row r="433" ht="14.25" customHeight="1">
      <c r="B433" s="19"/>
      <c r="C433" s="235"/>
      <c r="E433" s="10"/>
      <c r="F433" s="10"/>
    </row>
    <row r="434" ht="14.25" customHeight="1">
      <c r="B434" s="19"/>
      <c r="C434" s="235"/>
      <c r="E434" s="10"/>
      <c r="F434" s="10"/>
    </row>
    <row r="435" ht="14.25" customHeight="1">
      <c r="B435" s="19"/>
      <c r="C435" s="235"/>
      <c r="E435" s="10"/>
      <c r="F435" s="10"/>
    </row>
    <row r="436" ht="14.25" customHeight="1">
      <c r="B436" s="19"/>
      <c r="C436" s="235"/>
      <c r="E436" s="10"/>
      <c r="F436" s="10"/>
    </row>
    <row r="437" ht="14.25" customHeight="1">
      <c r="B437" s="19"/>
      <c r="C437" s="235"/>
      <c r="E437" s="10"/>
      <c r="F437" s="10"/>
    </row>
    <row r="438" ht="14.25" customHeight="1">
      <c r="B438" s="19"/>
      <c r="C438" s="235"/>
      <c r="E438" s="10"/>
      <c r="F438" s="10"/>
    </row>
    <row r="439" ht="14.25" customHeight="1">
      <c r="B439" s="19"/>
      <c r="C439" s="235"/>
      <c r="E439" s="10"/>
      <c r="F439" s="10"/>
    </row>
    <row r="440" ht="14.25" customHeight="1">
      <c r="B440" s="19"/>
      <c r="C440" s="235"/>
      <c r="E440" s="10"/>
      <c r="F440" s="10"/>
    </row>
    <row r="441" ht="14.25" customHeight="1">
      <c r="B441" s="19"/>
      <c r="C441" s="235"/>
      <c r="E441" s="10"/>
      <c r="F441" s="10"/>
    </row>
    <row r="442" ht="14.25" customHeight="1">
      <c r="B442" s="19"/>
      <c r="C442" s="235"/>
      <c r="E442" s="10"/>
      <c r="F442" s="10"/>
    </row>
    <row r="443" ht="14.25" customHeight="1">
      <c r="B443" s="19"/>
      <c r="C443" s="235"/>
      <c r="E443" s="10"/>
      <c r="F443" s="10"/>
    </row>
    <row r="444" ht="14.25" customHeight="1">
      <c r="B444" s="19"/>
      <c r="C444" s="235"/>
      <c r="E444" s="10"/>
      <c r="F444" s="10"/>
    </row>
    <row r="445" ht="14.25" customHeight="1">
      <c r="B445" s="19"/>
      <c r="C445" s="235"/>
      <c r="E445" s="10"/>
      <c r="F445" s="10"/>
    </row>
    <row r="446" ht="14.25" customHeight="1">
      <c r="B446" s="19"/>
      <c r="C446" s="235"/>
      <c r="E446" s="10"/>
      <c r="F446" s="10"/>
    </row>
    <row r="447" ht="14.25" customHeight="1">
      <c r="B447" s="19"/>
      <c r="C447" s="235"/>
      <c r="E447" s="10"/>
      <c r="F447" s="10"/>
    </row>
    <row r="448" ht="14.25" customHeight="1">
      <c r="B448" s="19"/>
      <c r="C448" s="235"/>
      <c r="E448" s="10"/>
      <c r="F448" s="10"/>
    </row>
    <row r="449" ht="14.25" customHeight="1">
      <c r="B449" s="19"/>
      <c r="C449" s="235"/>
      <c r="E449" s="10"/>
      <c r="F449" s="10"/>
    </row>
    <row r="450" ht="14.25" customHeight="1">
      <c r="B450" s="19"/>
      <c r="C450" s="235"/>
      <c r="E450" s="10"/>
      <c r="F450" s="10"/>
    </row>
    <row r="451" ht="14.25" customHeight="1">
      <c r="B451" s="19"/>
      <c r="C451" s="235"/>
      <c r="E451" s="10"/>
      <c r="F451" s="10"/>
    </row>
    <row r="452" ht="14.25" customHeight="1">
      <c r="B452" s="19"/>
      <c r="C452" s="235"/>
      <c r="E452" s="10"/>
      <c r="F452" s="10"/>
    </row>
    <row r="453" ht="14.25" customHeight="1">
      <c r="B453" s="19"/>
      <c r="C453" s="235"/>
      <c r="E453" s="10"/>
      <c r="F453" s="10"/>
    </row>
    <row r="454" ht="14.25" customHeight="1">
      <c r="B454" s="19"/>
      <c r="C454" s="235"/>
      <c r="E454" s="10"/>
      <c r="F454" s="10"/>
    </row>
    <row r="455" ht="14.25" customHeight="1">
      <c r="B455" s="19"/>
      <c r="C455" s="235"/>
      <c r="E455" s="10"/>
      <c r="F455" s="10"/>
    </row>
    <row r="456" ht="14.25" customHeight="1">
      <c r="B456" s="19"/>
      <c r="C456" s="235"/>
      <c r="E456" s="10"/>
      <c r="F456" s="10"/>
    </row>
    <row r="457" ht="14.25" customHeight="1">
      <c r="B457" s="19"/>
      <c r="C457" s="235"/>
      <c r="E457" s="10"/>
      <c r="F457" s="10"/>
    </row>
    <row r="458" ht="14.25" customHeight="1">
      <c r="B458" s="19"/>
      <c r="C458" s="235"/>
      <c r="E458" s="10"/>
      <c r="F458" s="10"/>
    </row>
    <row r="459" ht="14.25" customHeight="1">
      <c r="B459" s="19"/>
      <c r="C459" s="235"/>
      <c r="E459" s="10"/>
      <c r="F459" s="10"/>
    </row>
    <row r="460" ht="14.25" customHeight="1">
      <c r="B460" s="19"/>
      <c r="C460" s="235"/>
      <c r="E460" s="10"/>
      <c r="F460" s="10"/>
    </row>
    <row r="461" ht="14.25" customHeight="1">
      <c r="B461" s="19"/>
      <c r="C461" s="235"/>
      <c r="E461" s="10"/>
      <c r="F461" s="10"/>
    </row>
    <row r="462" ht="14.25" customHeight="1">
      <c r="B462" s="19"/>
      <c r="C462" s="235"/>
      <c r="E462" s="10"/>
      <c r="F462" s="10"/>
    </row>
    <row r="463" ht="14.25" customHeight="1">
      <c r="B463" s="19"/>
      <c r="C463" s="235"/>
      <c r="E463" s="10"/>
      <c r="F463" s="10"/>
    </row>
    <row r="464" ht="14.25" customHeight="1">
      <c r="B464" s="19"/>
      <c r="C464" s="235"/>
      <c r="E464" s="10"/>
      <c r="F464" s="10"/>
    </row>
    <row r="465" ht="14.25" customHeight="1">
      <c r="B465" s="19"/>
      <c r="C465" s="235"/>
      <c r="E465" s="10"/>
      <c r="F465" s="10"/>
    </row>
    <row r="466" ht="14.25" customHeight="1">
      <c r="B466" s="19"/>
      <c r="C466" s="235"/>
      <c r="E466" s="10"/>
      <c r="F466" s="10"/>
    </row>
    <row r="467" ht="14.25" customHeight="1">
      <c r="B467" s="19"/>
      <c r="C467" s="235"/>
      <c r="E467" s="10"/>
      <c r="F467" s="10"/>
    </row>
    <row r="468" ht="14.25" customHeight="1">
      <c r="B468" s="19"/>
      <c r="C468" s="235"/>
      <c r="E468" s="10"/>
      <c r="F468" s="10"/>
    </row>
    <row r="469" ht="14.25" customHeight="1">
      <c r="B469" s="19"/>
      <c r="C469" s="235"/>
      <c r="E469" s="10"/>
      <c r="F469" s="10"/>
    </row>
    <row r="470" ht="14.25" customHeight="1">
      <c r="B470" s="19"/>
      <c r="C470" s="235"/>
      <c r="E470" s="10"/>
      <c r="F470" s="10"/>
    </row>
    <row r="471" ht="14.25" customHeight="1">
      <c r="B471" s="19"/>
      <c r="C471" s="235"/>
      <c r="E471" s="10"/>
      <c r="F471" s="10"/>
    </row>
    <row r="472" ht="14.25" customHeight="1">
      <c r="B472" s="19"/>
      <c r="C472" s="235"/>
      <c r="E472" s="10"/>
      <c r="F472" s="10"/>
    </row>
    <row r="473" ht="14.25" customHeight="1">
      <c r="B473" s="19"/>
      <c r="C473" s="235"/>
      <c r="E473" s="10"/>
      <c r="F473" s="10"/>
    </row>
    <row r="474" ht="14.25" customHeight="1">
      <c r="B474" s="19"/>
      <c r="C474" s="235"/>
      <c r="E474" s="10"/>
      <c r="F474" s="10"/>
    </row>
    <row r="475" ht="14.25" customHeight="1">
      <c r="B475" s="19"/>
      <c r="C475" s="235"/>
      <c r="E475" s="10"/>
      <c r="F475" s="10"/>
    </row>
    <row r="476" ht="14.25" customHeight="1">
      <c r="B476" s="19"/>
      <c r="C476" s="235"/>
      <c r="E476" s="10"/>
      <c r="F476" s="10"/>
    </row>
    <row r="477" ht="14.25" customHeight="1">
      <c r="B477" s="19"/>
      <c r="C477" s="235"/>
      <c r="E477" s="10"/>
      <c r="F477" s="10"/>
    </row>
    <row r="478" ht="14.25" customHeight="1">
      <c r="B478" s="19"/>
      <c r="C478" s="235"/>
      <c r="E478" s="10"/>
      <c r="F478" s="10"/>
    </row>
    <row r="479" ht="14.25" customHeight="1">
      <c r="B479" s="19"/>
      <c r="C479" s="235"/>
      <c r="E479" s="10"/>
      <c r="F479" s="10"/>
    </row>
    <row r="480" ht="14.25" customHeight="1">
      <c r="B480" s="19"/>
      <c r="C480" s="235"/>
      <c r="E480" s="10"/>
      <c r="F480" s="10"/>
    </row>
    <row r="481" ht="14.25" customHeight="1">
      <c r="B481" s="19"/>
      <c r="C481" s="235"/>
      <c r="E481" s="10"/>
      <c r="F481" s="10"/>
    </row>
    <row r="482" ht="14.25" customHeight="1">
      <c r="B482" s="19"/>
      <c r="C482" s="235"/>
      <c r="E482" s="10"/>
      <c r="F482" s="10"/>
    </row>
    <row r="483" ht="14.25" customHeight="1">
      <c r="B483" s="19"/>
      <c r="C483" s="235"/>
      <c r="E483" s="10"/>
      <c r="F483" s="10"/>
    </row>
    <row r="484" ht="14.25" customHeight="1">
      <c r="B484" s="19"/>
      <c r="C484" s="235"/>
      <c r="E484" s="10"/>
      <c r="F484" s="10"/>
    </row>
    <row r="485" ht="14.25" customHeight="1">
      <c r="B485" s="19"/>
      <c r="C485" s="235"/>
      <c r="E485" s="10"/>
      <c r="F485" s="10"/>
    </row>
    <row r="486" ht="14.25" customHeight="1">
      <c r="B486" s="19"/>
      <c r="C486" s="235"/>
      <c r="E486" s="10"/>
      <c r="F486" s="10"/>
    </row>
    <row r="487" ht="14.25" customHeight="1">
      <c r="B487" s="19"/>
      <c r="C487" s="235"/>
      <c r="E487" s="10"/>
      <c r="F487" s="10"/>
    </row>
    <row r="488" ht="14.25" customHeight="1">
      <c r="B488" s="19"/>
      <c r="C488" s="235"/>
      <c r="E488" s="10"/>
      <c r="F488" s="10"/>
    </row>
    <row r="489" ht="14.25" customHeight="1">
      <c r="B489" s="19"/>
      <c r="C489" s="235"/>
      <c r="E489" s="10"/>
      <c r="F489" s="10"/>
    </row>
    <row r="490" ht="14.25" customHeight="1">
      <c r="B490" s="19"/>
      <c r="C490" s="235"/>
      <c r="E490" s="10"/>
      <c r="F490" s="10"/>
    </row>
    <row r="491" ht="14.25" customHeight="1">
      <c r="B491" s="19"/>
      <c r="C491" s="235"/>
      <c r="E491" s="10"/>
      <c r="F491" s="10"/>
    </row>
    <row r="492" ht="14.25" customHeight="1">
      <c r="B492" s="19"/>
      <c r="C492" s="235"/>
      <c r="E492" s="10"/>
      <c r="F492" s="10"/>
    </row>
    <row r="493" ht="14.25" customHeight="1">
      <c r="B493" s="19"/>
      <c r="C493" s="235"/>
      <c r="E493" s="10"/>
      <c r="F493" s="10"/>
    </row>
    <row r="494" ht="14.25" customHeight="1">
      <c r="B494" s="19"/>
      <c r="C494" s="235"/>
      <c r="E494" s="10"/>
      <c r="F494" s="10"/>
    </row>
    <row r="495" ht="14.25" customHeight="1">
      <c r="B495" s="19"/>
      <c r="C495" s="235"/>
      <c r="E495" s="10"/>
      <c r="F495" s="10"/>
    </row>
    <row r="496" ht="14.25" customHeight="1">
      <c r="B496" s="19"/>
      <c r="C496" s="235"/>
      <c r="E496" s="10"/>
      <c r="F496" s="10"/>
    </row>
    <row r="497" ht="14.25" customHeight="1">
      <c r="B497" s="19"/>
      <c r="C497" s="235"/>
      <c r="E497" s="10"/>
      <c r="F497" s="10"/>
    </row>
    <row r="498" ht="14.25" customHeight="1">
      <c r="B498" s="19"/>
      <c r="C498" s="235"/>
      <c r="E498" s="10"/>
      <c r="F498" s="10"/>
    </row>
    <row r="499" ht="14.25" customHeight="1">
      <c r="B499" s="19"/>
      <c r="C499" s="235"/>
      <c r="E499" s="10"/>
      <c r="F499" s="10"/>
    </row>
    <row r="500" ht="14.25" customHeight="1">
      <c r="B500" s="19"/>
      <c r="C500" s="235"/>
      <c r="E500" s="10"/>
      <c r="F500" s="10"/>
    </row>
    <row r="501" ht="14.25" customHeight="1">
      <c r="B501" s="19"/>
      <c r="C501" s="235"/>
      <c r="E501" s="10"/>
      <c r="F501" s="10"/>
    </row>
    <row r="502" ht="14.25" customHeight="1">
      <c r="B502" s="19"/>
      <c r="C502" s="235"/>
      <c r="E502" s="10"/>
      <c r="F502" s="10"/>
    </row>
    <row r="503" ht="14.25" customHeight="1">
      <c r="B503" s="19"/>
      <c r="C503" s="235"/>
      <c r="E503" s="10"/>
      <c r="F503" s="10"/>
    </row>
    <row r="504" ht="14.25" customHeight="1">
      <c r="B504" s="19"/>
      <c r="C504" s="235"/>
      <c r="E504" s="10"/>
      <c r="F504" s="10"/>
    </row>
    <row r="505" ht="14.25" customHeight="1">
      <c r="B505" s="19"/>
      <c r="C505" s="235"/>
      <c r="E505" s="10"/>
      <c r="F505" s="10"/>
    </row>
    <row r="506" ht="14.25" customHeight="1">
      <c r="B506" s="19"/>
      <c r="C506" s="235"/>
      <c r="E506" s="10"/>
      <c r="F506" s="10"/>
    </row>
    <row r="507" ht="14.25" customHeight="1">
      <c r="B507" s="19"/>
      <c r="C507" s="235"/>
      <c r="E507" s="10"/>
      <c r="F507" s="10"/>
    </row>
    <row r="508" ht="14.25" customHeight="1">
      <c r="B508" s="19"/>
      <c r="C508" s="235"/>
      <c r="E508" s="10"/>
      <c r="F508" s="10"/>
    </row>
    <row r="509" ht="14.25" customHeight="1">
      <c r="B509" s="19"/>
      <c r="C509" s="235"/>
      <c r="E509" s="10"/>
      <c r="F509" s="10"/>
    </row>
    <row r="510" ht="14.25" customHeight="1">
      <c r="B510" s="19"/>
      <c r="C510" s="235"/>
      <c r="E510" s="10"/>
      <c r="F510" s="10"/>
    </row>
    <row r="511" ht="14.25" customHeight="1">
      <c r="B511" s="19"/>
      <c r="C511" s="235"/>
      <c r="E511" s="10"/>
      <c r="F511" s="10"/>
    </row>
    <row r="512" ht="14.25" customHeight="1">
      <c r="B512" s="19"/>
      <c r="C512" s="235"/>
      <c r="E512" s="10"/>
      <c r="F512" s="10"/>
    </row>
    <row r="513" ht="14.25" customHeight="1">
      <c r="B513" s="19"/>
      <c r="C513" s="235"/>
      <c r="E513" s="10"/>
      <c r="F513" s="10"/>
    </row>
    <row r="514" ht="14.25" customHeight="1">
      <c r="B514" s="19"/>
      <c r="C514" s="235"/>
      <c r="E514" s="10"/>
      <c r="F514" s="10"/>
    </row>
    <row r="515" ht="14.25" customHeight="1">
      <c r="B515" s="19"/>
      <c r="C515" s="235"/>
      <c r="E515" s="10"/>
      <c r="F515" s="10"/>
    </row>
    <row r="516" ht="14.25" customHeight="1">
      <c r="B516" s="19"/>
      <c r="C516" s="235"/>
      <c r="E516" s="10"/>
      <c r="F516" s="10"/>
    </row>
    <row r="517" ht="14.25" customHeight="1">
      <c r="B517" s="19"/>
      <c r="C517" s="235"/>
      <c r="E517" s="10"/>
      <c r="F517" s="10"/>
    </row>
    <row r="518" ht="14.25" customHeight="1">
      <c r="B518" s="19"/>
      <c r="C518" s="235"/>
      <c r="E518" s="10"/>
      <c r="F518" s="10"/>
    </row>
    <row r="519" ht="14.25" customHeight="1">
      <c r="B519" s="19"/>
      <c r="C519" s="235"/>
      <c r="E519" s="10"/>
      <c r="F519" s="10"/>
    </row>
    <row r="520" ht="14.25" customHeight="1">
      <c r="B520" s="19"/>
      <c r="C520" s="235"/>
      <c r="E520" s="10"/>
      <c r="F520" s="10"/>
    </row>
    <row r="521" ht="14.25" customHeight="1">
      <c r="B521" s="19"/>
      <c r="C521" s="235"/>
      <c r="E521" s="10"/>
      <c r="F521" s="10"/>
    </row>
    <row r="522" ht="14.25" customHeight="1">
      <c r="B522" s="19"/>
      <c r="C522" s="235"/>
      <c r="E522" s="10"/>
      <c r="F522" s="10"/>
    </row>
    <row r="523" ht="14.25" customHeight="1">
      <c r="B523" s="19"/>
      <c r="C523" s="235"/>
      <c r="E523" s="10"/>
      <c r="F523" s="10"/>
    </row>
    <row r="524" ht="14.25" customHeight="1">
      <c r="B524" s="19"/>
      <c r="C524" s="235"/>
      <c r="E524" s="10"/>
      <c r="F524" s="10"/>
    </row>
    <row r="525" ht="14.25" customHeight="1">
      <c r="B525" s="19"/>
      <c r="C525" s="235"/>
      <c r="E525" s="10"/>
      <c r="F525" s="10"/>
    </row>
    <row r="526" ht="14.25" customHeight="1">
      <c r="B526" s="19"/>
      <c r="C526" s="235"/>
      <c r="E526" s="10"/>
      <c r="F526" s="10"/>
    </row>
    <row r="527" ht="14.25" customHeight="1">
      <c r="B527" s="19"/>
      <c r="C527" s="235"/>
      <c r="E527" s="10"/>
      <c r="F527" s="10"/>
    </row>
    <row r="528" ht="14.25" customHeight="1">
      <c r="B528" s="19"/>
      <c r="C528" s="235"/>
      <c r="E528" s="10"/>
      <c r="F528" s="10"/>
    </row>
    <row r="529" ht="14.25" customHeight="1">
      <c r="B529" s="19"/>
      <c r="C529" s="235"/>
      <c r="E529" s="10"/>
      <c r="F529" s="10"/>
    </row>
    <row r="530" ht="14.25" customHeight="1">
      <c r="B530" s="19"/>
      <c r="C530" s="235"/>
      <c r="E530" s="10"/>
      <c r="F530" s="10"/>
    </row>
    <row r="531" ht="14.25" customHeight="1">
      <c r="B531" s="19"/>
      <c r="C531" s="235"/>
      <c r="E531" s="10"/>
      <c r="F531" s="10"/>
    </row>
    <row r="532" ht="14.25" customHeight="1">
      <c r="B532" s="19"/>
      <c r="C532" s="235"/>
      <c r="E532" s="10"/>
      <c r="F532" s="10"/>
    </row>
    <row r="533" ht="14.25" customHeight="1">
      <c r="B533" s="19"/>
      <c r="C533" s="235"/>
      <c r="E533" s="10"/>
      <c r="F533" s="10"/>
    </row>
    <row r="534" ht="14.25" customHeight="1">
      <c r="B534" s="19"/>
      <c r="C534" s="235"/>
      <c r="E534" s="10"/>
      <c r="F534" s="10"/>
    </row>
    <row r="535" ht="14.25" customHeight="1">
      <c r="B535" s="19"/>
      <c r="C535" s="235"/>
      <c r="E535" s="10"/>
      <c r="F535" s="10"/>
    </row>
    <row r="536" ht="14.25" customHeight="1">
      <c r="B536" s="19"/>
      <c r="C536" s="235"/>
      <c r="E536" s="10"/>
      <c r="F536" s="10"/>
    </row>
    <row r="537" ht="14.25" customHeight="1">
      <c r="B537" s="19"/>
      <c r="C537" s="235"/>
      <c r="E537" s="10"/>
      <c r="F537" s="10"/>
    </row>
    <row r="538" ht="14.25" customHeight="1">
      <c r="B538" s="19"/>
      <c r="C538" s="235"/>
      <c r="E538" s="10"/>
      <c r="F538" s="10"/>
    </row>
    <row r="539" ht="14.25" customHeight="1">
      <c r="B539" s="19"/>
      <c r="C539" s="235"/>
      <c r="E539" s="10"/>
      <c r="F539" s="10"/>
    </row>
    <row r="540" ht="14.25" customHeight="1">
      <c r="B540" s="19"/>
      <c r="C540" s="235"/>
      <c r="E540" s="10"/>
      <c r="F540" s="10"/>
    </row>
    <row r="541" ht="14.25" customHeight="1">
      <c r="B541" s="19"/>
      <c r="C541" s="235"/>
      <c r="E541" s="10"/>
      <c r="F541" s="10"/>
    </row>
    <row r="542" ht="14.25" customHeight="1">
      <c r="B542" s="19"/>
      <c r="C542" s="235"/>
      <c r="E542" s="10"/>
      <c r="F542" s="10"/>
    </row>
    <row r="543" ht="14.25" customHeight="1">
      <c r="B543" s="19"/>
      <c r="C543" s="235"/>
      <c r="E543" s="10"/>
      <c r="F543" s="10"/>
    </row>
    <row r="544" ht="14.25" customHeight="1">
      <c r="B544" s="19"/>
      <c r="C544" s="235"/>
      <c r="E544" s="10"/>
      <c r="F544" s="10"/>
    </row>
    <row r="545" ht="14.25" customHeight="1">
      <c r="B545" s="19"/>
      <c r="C545" s="235"/>
      <c r="E545" s="10"/>
      <c r="F545" s="10"/>
    </row>
    <row r="546" ht="14.25" customHeight="1">
      <c r="B546" s="19"/>
      <c r="C546" s="235"/>
      <c r="E546" s="10"/>
      <c r="F546" s="10"/>
    </row>
    <row r="547" ht="14.25" customHeight="1">
      <c r="B547" s="19"/>
      <c r="C547" s="235"/>
      <c r="E547" s="10"/>
      <c r="F547" s="10"/>
    </row>
    <row r="548" ht="14.25" customHeight="1">
      <c r="B548" s="19"/>
      <c r="C548" s="235"/>
      <c r="E548" s="10"/>
      <c r="F548" s="10"/>
    </row>
    <row r="549" ht="14.25" customHeight="1">
      <c r="B549" s="19"/>
      <c r="C549" s="235"/>
      <c r="E549" s="10"/>
      <c r="F549" s="10"/>
    </row>
    <row r="550" ht="14.25" customHeight="1">
      <c r="B550" s="19"/>
      <c r="C550" s="235"/>
      <c r="E550" s="10"/>
      <c r="F550" s="10"/>
    </row>
    <row r="551" ht="14.25" customHeight="1">
      <c r="B551" s="19"/>
      <c r="C551" s="235"/>
      <c r="E551" s="10"/>
      <c r="F551" s="10"/>
    </row>
    <row r="552" ht="14.25" customHeight="1">
      <c r="B552" s="19"/>
      <c r="C552" s="235"/>
      <c r="E552" s="10"/>
      <c r="F552" s="10"/>
    </row>
    <row r="553" ht="14.25" customHeight="1">
      <c r="B553" s="19"/>
      <c r="C553" s="235"/>
      <c r="E553" s="10"/>
      <c r="F553" s="10"/>
    </row>
    <row r="554" ht="14.25" customHeight="1">
      <c r="B554" s="19"/>
      <c r="C554" s="235"/>
      <c r="E554" s="10"/>
      <c r="F554" s="10"/>
    </row>
    <row r="555" ht="14.25" customHeight="1">
      <c r="B555" s="19"/>
      <c r="C555" s="235"/>
      <c r="E555" s="10"/>
      <c r="F555" s="10"/>
    </row>
    <row r="556" ht="14.25" customHeight="1">
      <c r="B556" s="19"/>
      <c r="C556" s="235"/>
      <c r="E556" s="10"/>
      <c r="F556" s="10"/>
    </row>
    <row r="557" ht="14.25" customHeight="1">
      <c r="B557" s="19"/>
      <c r="C557" s="235"/>
      <c r="E557" s="10"/>
      <c r="F557" s="10"/>
    </row>
    <row r="558" ht="14.25" customHeight="1">
      <c r="B558" s="19"/>
      <c r="C558" s="235"/>
      <c r="E558" s="10"/>
      <c r="F558" s="10"/>
    </row>
    <row r="559" ht="14.25" customHeight="1">
      <c r="B559" s="19"/>
      <c r="C559" s="235"/>
      <c r="E559" s="10"/>
      <c r="F559" s="10"/>
    </row>
    <row r="560" ht="14.25" customHeight="1">
      <c r="B560" s="19"/>
      <c r="C560" s="235"/>
      <c r="E560" s="10"/>
      <c r="F560" s="10"/>
    </row>
    <row r="561" ht="14.25" customHeight="1">
      <c r="B561" s="19"/>
      <c r="C561" s="235"/>
      <c r="E561" s="10"/>
      <c r="F561" s="10"/>
    </row>
    <row r="562" ht="14.25" customHeight="1">
      <c r="B562" s="19"/>
      <c r="C562" s="235"/>
      <c r="E562" s="10"/>
      <c r="F562" s="10"/>
    </row>
    <row r="563" ht="14.25" customHeight="1">
      <c r="B563" s="19"/>
      <c r="C563" s="235"/>
      <c r="E563" s="10"/>
      <c r="F563" s="10"/>
    </row>
    <row r="564" ht="14.25" customHeight="1">
      <c r="B564" s="19"/>
      <c r="C564" s="235"/>
      <c r="E564" s="10"/>
      <c r="F564" s="10"/>
    </row>
    <row r="565" ht="14.25" customHeight="1">
      <c r="B565" s="19"/>
      <c r="C565" s="235"/>
      <c r="E565" s="10"/>
      <c r="F565" s="10"/>
    </row>
    <row r="566" ht="14.25" customHeight="1">
      <c r="B566" s="19"/>
      <c r="C566" s="235"/>
      <c r="E566" s="10"/>
      <c r="F566" s="10"/>
    </row>
    <row r="567" ht="14.25" customHeight="1">
      <c r="B567" s="19"/>
      <c r="C567" s="235"/>
      <c r="E567" s="10"/>
      <c r="F567" s="10"/>
    </row>
    <row r="568" ht="14.25" customHeight="1">
      <c r="B568" s="19"/>
      <c r="C568" s="235"/>
      <c r="E568" s="10"/>
      <c r="F568" s="10"/>
    </row>
    <row r="569" ht="14.25" customHeight="1">
      <c r="B569" s="19"/>
      <c r="C569" s="235"/>
      <c r="E569" s="10"/>
      <c r="F569" s="10"/>
    </row>
    <row r="570" ht="14.25" customHeight="1">
      <c r="B570" s="19"/>
      <c r="C570" s="235"/>
      <c r="E570" s="10"/>
      <c r="F570" s="10"/>
    </row>
    <row r="571" ht="14.25" customHeight="1">
      <c r="B571" s="19"/>
      <c r="C571" s="235"/>
      <c r="E571" s="10"/>
      <c r="F571" s="10"/>
    </row>
    <row r="572" ht="14.25" customHeight="1">
      <c r="B572" s="19"/>
      <c r="C572" s="235"/>
      <c r="E572" s="10"/>
      <c r="F572" s="10"/>
    </row>
    <row r="573" ht="14.25" customHeight="1">
      <c r="B573" s="19"/>
      <c r="C573" s="235"/>
      <c r="E573" s="10"/>
      <c r="F573" s="10"/>
    </row>
    <row r="574" ht="14.25" customHeight="1">
      <c r="B574" s="19"/>
      <c r="C574" s="235"/>
      <c r="E574" s="10"/>
      <c r="F574" s="10"/>
    </row>
    <row r="575" ht="14.25" customHeight="1">
      <c r="B575" s="19"/>
      <c r="C575" s="235"/>
      <c r="E575" s="10"/>
      <c r="F575" s="10"/>
    </row>
    <row r="576" ht="14.25" customHeight="1">
      <c r="B576" s="19"/>
      <c r="C576" s="235"/>
      <c r="E576" s="10"/>
      <c r="F576" s="10"/>
    </row>
    <row r="577" ht="14.25" customHeight="1">
      <c r="B577" s="19"/>
      <c r="C577" s="235"/>
      <c r="E577" s="10"/>
      <c r="F577" s="10"/>
    </row>
    <row r="578" ht="14.25" customHeight="1">
      <c r="B578" s="19"/>
      <c r="C578" s="235"/>
      <c r="E578" s="10"/>
      <c r="F578" s="10"/>
    </row>
    <row r="579" ht="14.25" customHeight="1">
      <c r="B579" s="19"/>
      <c r="C579" s="235"/>
      <c r="E579" s="10"/>
      <c r="F579" s="10"/>
    </row>
    <row r="580" ht="14.25" customHeight="1">
      <c r="B580" s="19"/>
      <c r="C580" s="235"/>
      <c r="E580" s="10"/>
      <c r="F580" s="10"/>
    </row>
    <row r="581" ht="14.25" customHeight="1">
      <c r="B581" s="19"/>
      <c r="C581" s="235"/>
      <c r="E581" s="10"/>
      <c r="F581" s="10"/>
    </row>
    <row r="582" ht="14.25" customHeight="1">
      <c r="B582" s="19"/>
      <c r="C582" s="235"/>
      <c r="E582" s="10"/>
      <c r="F582" s="10"/>
    </row>
    <row r="583" ht="14.25" customHeight="1">
      <c r="B583" s="19"/>
      <c r="C583" s="235"/>
      <c r="E583" s="10"/>
      <c r="F583" s="10"/>
    </row>
    <row r="584" ht="14.25" customHeight="1">
      <c r="B584" s="19"/>
      <c r="C584" s="235"/>
      <c r="E584" s="10"/>
      <c r="F584" s="10"/>
    </row>
    <row r="585" ht="14.25" customHeight="1">
      <c r="B585" s="19"/>
      <c r="C585" s="235"/>
      <c r="E585" s="10"/>
      <c r="F585" s="10"/>
    </row>
    <row r="586" ht="14.25" customHeight="1">
      <c r="B586" s="19"/>
      <c r="C586" s="235"/>
      <c r="E586" s="10"/>
      <c r="F586" s="10"/>
    </row>
    <row r="587" ht="14.25" customHeight="1">
      <c r="B587" s="19"/>
      <c r="C587" s="235"/>
      <c r="E587" s="10"/>
      <c r="F587" s="10"/>
    </row>
    <row r="588" ht="14.25" customHeight="1">
      <c r="B588" s="19"/>
      <c r="C588" s="235"/>
      <c r="E588" s="10"/>
      <c r="F588" s="10"/>
    </row>
    <row r="589" ht="14.25" customHeight="1">
      <c r="B589" s="19"/>
      <c r="C589" s="235"/>
      <c r="E589" s="10"/>
      <c r="F589" s="10"/>
    </row>
    <row r="590" ht="14.25" customHeight="1">
      <c r="B590" s="19"/>
      <c r="C590" s="235"/>
      <c r="E590" s="10"/>
      <c r="F590" s="10"/>
    </row>
    <row r="591" ht="14.25" customHeight="1">
      <c r="B591" s="19"/>
      <c r="C591" s="235"/>
      <c r="E591" s="10"/>
      <c r="F591" s="10"/>
    </row>
    <row r="592" ht="14.25" customHeight="1">
      <c r="B592" s="19"/>
      <c r="C592" s="235"/>
      <c r="E592" s="10"/>
      <c r="F592" s="10"/>
    </row>
    <row r="593" ht="14.25" customHeight="1">
      <c r="B593" s="19"/>
      <c r="C593" s="235"/>
      <c r="E593" s="10"/>
      <c r="F593" s="10"/>
    </row>
    <row r="594" ht="14.25" customHeight="1">
      <c r="B594" s="19"/>
      <c r="C594" s="235"/>
      <c r="E594" s="10"/>
      <c r="F594" s="10"/>
    </row>
    <row r="595" ht="14.25" customHeight="1">
      <c r="B595" s="19"/>
      <c r="C595" s="235"/>
      <c r="E595" s="10"/>
      <c r="F595" s="10"/>
    </row>
    <row r="596" ht="14.25" customHeight="1">
      <c r="B596" s="19"/>
      <c r="C596" s="235"/>
      <c r="E596" s="10"/>
      <c r="F596" s="10"/>
    </row>
    <row r="597" ht="14.25" customHeight="1">
      <c r="B597" s="19"/>
      <c r="C597" s="235"/>
      <c r="E597" s="10"/>
      <c r="F597" s="10"/>
    </row>
    <row r="598" ht="14.25" customHeight="1">
      <c r="B598" s="19"/>
      <c r="C598" s="235"/>
      <c r="E598" s="10"/>
      <c r="F598" s="10"/>
    </row>
    <row r="599" ht="14.25" customHeight="1">
      <c r="B599" s="19"/>
      <c r="C599" s="235"/>
      <c r="E599" s="10"/>
      <c r="F599" s="10"/>
    </row>
    <row r="600" ht="14.25" customHeight="1">
      <c r="B600" s="19"/>
      <c r="C600" s="235"/>
      <c r="E600" s="10"/>
      <c r="F600" s="10"/>
    </row>
    <row r="601" ht="14.25" customHeight="1">
      <c r="B601" s="19"/>
      <c r="C601" s="235"/>
      <c r="E601" s="10"/>
      <c r="F601" s="10"/>
    </row>
    <row r="602" ht="14.25" customHeight="1">
      <c r="B602" s="19"/>
      <c r="C602" s="235"/>
      <c r="E602" s="10"/>
      <c r="F602" s="10"/>
    </row>
    <row r="603" ht="14.25" customHeight="1">
      <c r="B603" s="19"/>
      <c r="C603" s="235"/>
      <c r="E603" s="10"/>
      <c r="F603" s="10"/>
    </row>
    <row r="604" ht="14.25" customHeight="1">
      <c r="B604" s="19"/>
      <c r="C604" s="235"/>
      <c r="E604" s="10"/>
      <c r="F604" s="10"/>
    </row>
    <row r="605" ht="14.25" customHeight="1">
      <c r="B605" s="19"/>
      <c r="C605" s="235"/>
      <c r="E605" s="10"/>
      <c r="F605" s="10"/>
    </row>
    <row r="606" ht="14.25" customHeight="1">
      <c r="B606" s="19"/>
      <c r="C606" s="235"/>
      <c r="E606" s="10"/>
      <c r="F606" s="10"/>
    </row>
    <row r="607" ht="14.25" customHeight="1">
      <c r="B607" s="19"/>
      <c r="C607" s="235"/>
      <c r="E607" s="10"/>
      <c r="F607" s="10"/>
    </row>
    <row r="608" ht="14.25" customHeight="1">
      <c r="B608" s="19"/>
      <c r="C608" s="235"/>
      <c r="E608" s="10"/>
      <c r="F608" s="10"/>
    </row>
    <row r="609" ht="14.25" customHeight="1">
      <c r="B609" s="19"/>
      <c r="C609" s="235"/>
      <c r="E609" s="10"/>
      <c r="F609" s="10"/>
    </row>
    <row r="610" ht="14.25" customHeight="1">
      <c r="B610" s="19"/>
      <c r="C610" s="235"/>
      <c r="E610" s="10"/>
      <c r="F610" s="10"/>
    </row>
    <row r="611" ht="14.25" customHeight="1">
      <c r="B611" s="19"/>
      <c r="C611" s="235"/>
      <c r="E611" s="10"/>
      <c r="F611" s="10"/>
    </row>
    <row r="612" ht="14.25" customHeight="1">
      <c r="B612" s="19"/>
      <c r="C612" s="235"/>
      <c r="E612" s="10"/>
      <c r="F612" s="10"/>
    </row>
    <row r="613" ht="14.25" customHeight="1">
      <c r="B613" s="19"/>
      <c r="C613" s="235"/>
      <c r="E613" s="10"/>
      <c r="F613" s="10"/>
    </row>
    <row r="614" ht="14.25" customHeight="1">
      <c r="B614" s="19"/>
      <c r="C614" s="235"/>
      <c r="E614" s="10"/>
      <c r="F614" s="10"/>
    </row>
    <row r="615" ht="14.25" customHeight="1">
      <c r="B615" s="19"/>
      <c r="C615" s="235"/>
      <c r="E615" s="10"/>
      <c r="F615" s="10"/>
    </row>
    <row r="616" ht="14.25" customHeight="1">
      <c r="B616" s="19"/>
      <c r="C616" s="235"/>
      <c r="E616" s="10"/>
      <c r="F616" s="10"/>
    </row>
    <row r="617" ht="14.25" customHeight="1">
      <c r="B617" s="19"/>
      <c r="C617" s="235"/>
      <c r="E617" s="10"/>
      <c r="F617" s="10"/>
    </row>
    <row r="618" ht="14.25" customHeight="1">
      <c r="B618" s="19"/>
      <c r="C618" s="235"/>
      <c r="E618" s="10"/>
      <c r="F618" s="10"/>
    </row>
    <row r="619" ht="14.25" customHeight="1">
      <c r="B619" s="19"/>
      <c r="C619" s="235"/>
      <c r="E619" s="10"/>
      <c r="F619" s="10"/>
    </row>
    <row r="620" ht="14.25" customHeight="1">
      <c r="B620" s="19"/>
      <c r="C620" s="235"/>
      <c r="E620" s="10"/>
      <c r="F620" s="10"/>
    </row>
    <row r="621" ht="14.25" customHeight="1">
      <c r="B621" s="19"/>
      <c r="C621" s="235"/>
      <c r="E621" s="10"/>
      <c r="F621" s="10"/>
    </row>
    <row r="622" ht="14.25" customHeight="1">
      <c r="B622" s="19"/>
      <c r="C622" s="235"/>
      <c r="E622" s="10"/>
      <c r="F622" s="10"/>
    </row>
    <row r="623" ht="14.25" customHeight="1">
      <c r="B623" s="19"/>
      <c r="C623" s="235"/>
      <c r="E623" s="10"/>
      <c r="F623" s="10"/>
    </row>
    <row r="624" ht="14.25" customHeight="1">
      <c r="B624" s="19"/>
      <c r="C624" s="235"/>
      <c r="E624" s="10"/>
      <c r="F624" s="10"/>
    </row>
    <row r="625" ht="14.25" customHeight="1">
      <c r="B625" s="19"/>
      <c r="C625" s="235"/>
      <c r="E625" s="10"/>
      <c r="F625" s="10"/>
    </row>
    <row r="626" ht="14.25" customHeight="1">
      <c r="B626" s="19"/>
      <c r="C626" s="235"/>
      <c r="E626" s="10"/>
      <c r="F626" s="10"/>
    </row>
    <row r="627" ht="14.25" customHeight="1">
      <c r="B627" s="19"/>
      <c r="C627" s="235"/>
      <c r="E627" s="10"/>
      <c r="F627" s="10"/>
    </row>
    <row r="628" ht="14.25" customHeight="1">
      <c r="B628" s="19"/>
      <c r="C628" s="235"/>
      <c r="E628" s="10"/>
      <c r="F628" s="10"/>
    </row>
    <row r="629" ht="14.25" customHeight="1">
      <c r="B629" s="19"/>
      <c r="C629" s="235"/>
      <c r="E629" s="10"/>
      <c r="F629" s="10"/>
    </row>
    <row r="630" ht="14.25" customHeight="1">
      <c r="B630" s="19"/>
      <c r="C630" s="235"/>
      <c r="E630" s="10"/>
      <c r="F630" s="10"/>
    </row>
    <row r="631" ht="14.25" customHeight="1">
      <c r="B631" s="19"/>
      <c r="C631" s="235"/>
      <c r="E631" s="10"/>
      <c r="F631" s="10"/>
    </row>
    <row r="632" ht="14.25" customHeight="1">
      <c r="B632" s="19"/>
      <c r="C632" s="235"/>
      <c r="E632" s="10"/>
      <c r="F632" s="10"/>
    </row>
    <row r="633" ht="14.25" customHeight="1">
      <c r="B633" s="19"/>
      <c r="C633" s="235"/>
      <c r="E633" s="10"/>
      <c r="F633" s="10"/>
    </row>
    <row r="634" ht="14.25" customHeight="1">
      <c r="B634" s="19"/>
      <c r="C634" s="235"/>
      <c r="E634" s="10"/>
      <c r="F634" s="10"/>
    </row>
    <row r="635" ht="14.25" customHeight="1">
      <c r="B635" s="19"/>
      <c r="C635" s="235"/>
      <c r="E635" s="10"/>
      <c r="F635" s="10"/>
    </row>
    <row r="636" ht="14.25" customHeight="1">
      <c r="B636" s="19"/>
      <c r="C636" s="235"/>
      <c r="E636" s="10"/>
      <c r="F636" s="10"/>
    </row>
    <row r="637" ht="14.25" customHeight="1">
      <c r="B637" s="19"/>
      <c r="C637" s="235"/>
      <c r="E637" s="10"/>
      <c r="F637" s="10"/>
    </row>
    <row r="638" ht="14.25" customHeight="1">
      <c r="B638" s="19"/>
      <c r="C638" s="235"/>
      <c r="E638" s="10"/>
      <c r="F638" s="10"/>
    </row>
    <row r="639" ht="14.25" customHeight="1">
      <c r="B639" s="19"/>
      <c r="C639" s="235"/>
      <c r="E639" s="10"/>
      <c r="F639" s="10"/>
    </row>
    <row r="640" ht="14.25" customHeight="1">
      <c r="B640" s="19"/>
      <c r="C640" s="235"/>
      <c r="E640" s="10"/>
      <c r="F640" s="10"/>
    </row>
    <row r="641" ht="14.25" customHeight="1">
      <c r="B641" s="19"/>
      <c r="C641" s="235"/>
      <c r="E641" s="10"/>
      <c r="F641" s="10"/>
    </row>
    <row r="642" ht="14.25" customHeight="1">
      <c r="B642" s="19"/>
      <c r="C642" s="235"/>
      <c r="E642" s="10"/>
      <c r="F642" s="10"/>
    </row>
    <row r="643" ht="14.25" customHeight="1">
      <c r="B643" s="19"/>
      <c r="C643" s="235"/>
      <c r="E643" s="10"/>
      <c r="F643" s="10"/>
    </row>
    <row r="644" ht="14.25" customHeight="1">
      <c r="B644" s="19"/>
      <c r="C644" s="235"/>
      <c r="E644" s="10"/>
      <c r="F644" s="10"/>
    </row>
    <row r="645" ht="14.25" customHeight="1">
      <c r="B645" s="19"/>
      <c r="C645" s="235"/>
      <c r="E645" s="10"/>
      <c r="F645" s="10"/>
    </row>
    <row r="646" ht="14.25" customHeight="1">
      <c r="B646" s="19"/>
      <c r="C646" s="235"/>
      <c r="E646" s="10"/>
      <c r="F646" s="10"/>
    </row>
    <row r="647" ht="14.25" customHeight="1">
      <c r="B647" s="19"/>
      <c r="C647" s="235"/>
      <c r="E647" s="10"/>
      <c r="F647" s="10"/>
    </row>
    <row r="648" ht="14.25" customHeight="1">
      <c r="B648" s="19"/>
      <c r="C648" s="235"/>
      <c r="E648" s="10"/>
      <c r="F648" s="10"/>
    </row>
    <row r="649" ht="14.25" customHeight="1">
      <c r="B649" s="19"/>
      <c r="C649" s="235"/>
      <c r="E649" s="10"/>
      <c r="F649" s="10"/>
    </row>
    <row r="650" ht="14.25" customHeight="1">
      <c r="B650" s="19"/>
      <c r="C650" s="235"/>
      <c r="E650" s="10"/>
      <c r="F650" s="10"/>
    </row>
    <row r="651" ht="14.25" customHeight="1">
      <c r="B651" s="19"/>
      <c r="C651" s="235"/>
      <c r="E651" s="10"/>
      <c r="F651" s="10"/>
    </row>
    <row r="652" ht="14.25" customHeight="1">
      <c r="B652" s="19"/>
      <c r="C652" s="235"/>
      <c r="E652" s="10"/>
      <c r="F652" s="10"/>
    </row>
    <row r="653" ht="14.25" customHeight="1">
      <c r="B653" s="19"/>
      <c r="C653" s="235"/>
      <c r="E653" s="10"/>
      <c r="F653" s="10"/>
    </row>
    <row r="654" ht="14.25" customHeight="1">
      <c r="B654" s="19"/>
      <c r="C654" s="235"/>
      <c r="E654" s="10"/>
      <c r="F654" s="10"/>
    </row>
    <row r="655" ht="14.25" customHeight="1">
      <c r="B655" s="19"/>
      <c r="C655" s="235"/>
      <c r="E655" s="10"/>
      <c r="F655" s="10"/>
    </row>
    <row r="656" ht="14.25" customHeight="1">
      <c r="B656" s="19"/>
      <c r="C656" s="235"/>
      <c r="E656" s="10"/>
      <c r="F656" s="10"/>
    </row>
    <row r="657" ht="14.25" customHeight="1">
      <c r="B657" s="19"/>
      <c r="C657" s="235"/>
      <c r="E657" s="10"/>
      <c r="F657" s="10"/>
    </row>
    <row r="658" ht="14.25" customHeight="1">
      <c r="B658" s="19"/>
      <c r="C658" s="235"/>
      <c r="E658" s="10"/>
      <c r="F658" s="10"/>
    </row>
    <row r="659" ht="14.25" customHeight="1">
      <c r="B659" s="19"/>
      <c r="C659" s="235"/>
      <c r="E659" s="10"/>
      <c r="F659" s="10"/>
    </row>
    <row r="660" ht="14.25" customHeight="1">
      <c r="B660" s="19"/>
      <c r="C660" s="235"/>
      <c r="E660" s="10"/>
      <c r="F660" s="10"/>
    </row>
    <row r="661" ht="14.25" customHeight="1">
      <c r="B661" s="19"/>
      <c r="C661" s="235"/>
      <c r="E661" s="10"/>
      <c r="F661" s="10"/>
    </row>
    <row r="662" ht="14.25" customHeight="1">
      <c r="B662" s="19"/>
      <c r="C662" s="235"/>
      <c r="E662" s="10"/>
      <c r="F662" s="10"/>
    </row>
    <row r="663" ht="14.25" customHeight="1">
      <c r="B663" s="19"/>
      <c r="C663" s="235"/>
      <c r="E663" s="10"/>
      <c r="F663" s="10"/>
    </row>
    <row r="664" ht="14.25" customHeight="1">
      <c r="B664" s="19"/>
      <c r="C664" s="235"/>
      <c r="E664" s="10"/>
      <c r="F664" s="10"/>
    </row>
    <row r="665" ht="14.25" customHeight="1">
      <c r="B665" s="19"/>
      <c r="C665" s="235"/>
      <c r="E665" s="10"/>
      <c r="F665" s="10"/>
    </row>
    <row r="666" ht="14.25" customHeight="1">
      <c r="B666" s="19"/>
      <c r="C666" s="235"/>
      <c r="E666" s="10"/>
      <c r="F666" s="10"/>
    </row>
    <row r="667" ht="14.25" customHeight="1">
      <c r="B667" s="19"/>
      <c r="C667" s="235"/>
      <c r="E667" s="10"/>
      <c r="F667" s="10"/>
    </row>
    <row r="668" ht="14.25" customHeight="1">
      <c r="B668" s="19"/>
      <c r="C668" s="235"/>
      <c r="E668" s="10"/>
      <c r="F668" s="10"/>
    </row>
    <row r="669" ht="14.25" customHeight="1">
      <c r="B669" s="19"/>
      <c r="C669" s="235"/>
      <c r="E669" s="10"/>
      <c r="F669" s="10"/>
    </row>
    <row r="670" ht="14.25" customHeight="1">
      <c r="B670" s="19"/>
      <c r="C670" s="235"/>
      <c r="E670" s="10"/>
      <c r="F670" s="10"/>
    </row>
    <row r="671" ht="14.25" customHeight="1">
      <c r="B671" s="19"/>
      <c r="C671" s="235"/>
      <c r="E671" s="10"/>
      <c r="F671" s="10"/>
    </row>
    <row r="672" ht="14.25" customHeight="1">
      <c r="B672" s="19"/>
      <c r="C672" s="235"/>
      <c r="E672" s="10"/>
      <c r="F672" s="10"/>
    </row>
    <row r="673" ht="14.25" customHeight="1">
      <c r="B673" s="19"/>
      <c r="C673" s="235"/>
      <c r="E673" s="10"/>
      <c r="F673" s="10"/>
    </row>
    <row r="674" ht="14.25" customHeight="1">
      <c r="B674" s="19"/>
      <c r="C674" s="235"/>
      <c r="E674" s="10"/>
      <c r="F674" s="10"/>
    </row>
    <row r="675" ht="14.25" customHeight="1">
      <c r="B675" s="19"/>
      <c r="C675" s="235"/>
      <c r="E675" s="10"/>
      <c r="F675" s="10"/>
    </row>
    <row r="676" ht="14.25" customHeight="1">
      <c r="B676" s="19"/>
      <c r="C676" s="235"/>
      <c r="E676" s="10"/>
      <c r="F676" s="10"/>
    </row>
    <row r="677" ht="14.25" customHeight="1">
      <c r="B677" s="19"/>
      <c r="C677" s="235"/>
      <c r="E677" s="10"/>
      <c r="F677" s="10"/>
    </row>
    <row r="678" ht="14.25" customHeight="1">
      <c r="B678" s="19"/>
      <c r="C678" s="235"/>
      <c r="E678" s="10"/>
      <c r="F678" s="10"/>
    </row>
    <row r="679" ht="14.25" customHeight="1">
      <c r="B679" s="19"/>
      <c r="C679" s="235"/>
      <c r="E679" s="10"/>
      <c r="F679" s="10"/>
    </row>
    <row r="680" ht="14.25" customHeight="1">
      <c r="B680" s="19"/>
      <c r="C680" s="235"/>
      <c r="E680" s="10"/>
      <c r="F680" s="10"/>
    </row>
    <row r="681" ht="14.25" customHeight="1">
      <c r="B681" s="19"/>
      <c r="C681" s="235"/>
      <c r="E681" s="10"/>
      <c r="F681" s="10"/>
    </row>
    <row r="682" ht="14.25" customHeight="1">
      <c r="B682" s="19"/>
      <c r="C682" s="235"/>
      <c r="E682" s="10"/>
      <c r="F682" s="10"/>
    </row>
    <row r="683" ht="14.25" customHeight="1">
      <c r="B683" s="19"/>
      <c r="C683" s="235"/>
      <c r="E683" s="10"/>
      <c r="F683" s="10"/>
    </row>
    <row r="684" ht="14.25" customHeight="1">
      <c r="B684" s="19"/>
      <c r="C684" s="235"/>
      <c r="E684" s="10"/>
      <c r="F684" s="10"/>
    </row>
    <row r="685" ht="14.25" customHeight="1">
      <c r="B685" s="19"/>
      <c r="C685" s="235"/>
      <c r="E685" s="10"/>
      <c r="F685" s="10"/>
    </row>
    <row r="686" ht="14.25" customHeight="1">
      <c r="B686" s="19"/>
      <c r="C686" s="235"/>
      <c r="E686" s="10"/>
      <c r="F686" s="10"/>
    </row>
    <row r="687" ht="14.25" customHeight="1">
      <c r="B687" s="19"/>
      <c r="C687" s="235"/>
      <c r="E687" s="10"/>
      <c r="F687" s="10"/>
    </row>
    <row r="688" ht="14.25" customHeight="1">
      <c r="B688" s="19"/>
      <c r="C688" s="235"/>
      <c r="E688" s="10"/>
      <c r="F688" s="10"/>
    </row>
    <row r="689" ht="14.25" customHeight="1">
      <c r="B689" s="19"/>
      <c r="C689" s="235"/>
      <c r="E689" s="10"/>
      <c r="F689" s="10"/>
    </row>
    <row r="690" ht="14.25" customHeight="1">
      <c r="B690" s="19"/>
      <c r="C690" s="235"/>
      <c r="E690" s="10"/>
      <c r="F690" s="10"/>
    </row>
    <row r="691" ht="14.25" customHeight="1">
      <c r="B691" s="19"/>
      <c r="C691" s="235"/>
      <c r="E691" s="10"/>
      <c r="F691" s="10"/>
    </row>
    <row r="692" ht="14.25" customHeight="1">
      <c r="B692" s="19"/>
      <c r="C692" s="235"/>
      <c r="E692" s="10"/>
      <c r="F692" s="10"/>
    </row>
    <row r="693" ht="14.25" customHeight="1">
      <c r="B693" s="19"/>
      <c r="C693" s="235"/>
      <c r="E693" s="10"/>
      <c r="F693" s="10"/>
    </row>
    <row r="694" ht="14.25" customHeight="1">
      <c r="B694" s="19"/>
      <c r="C694" s="235"/>
      <c r="E694" s="10"/>
      <c r="F694" s="10"/>
    </row>
    <row r="695" ht="14.25" customHeight="1">
      <c r="B695" s="19"/>
      <c r="C695" s="235"/>
      <c r="E695" s="10"/>
      <c r="F695" s="10"/>
    </row>
    <row r="696" ht="14.25" customHeight="1">
      <c r="B696" s="19"/>
      <c r="C696" s="235"/>
      <c r="E696" s="10"/>
      <c r="F696" s="10"/>
    </row>
    <row r="697" ht="14.25" customHeight="1">
      <c r="B697" s="19"/>
      <c r="C697" s="235"/>
      <c r="E697" s="10"/>
      <c r="F697" s="10"/>
    </row>
    <row r="698" ht="14.25" customHeight="1">
      <c r="B698" s="19"/>
      <c r="C698" s="235"/>
      <c r="E698" s="10"/>
      <c r="F698" s="10"/>
    </row>
    <row r="699" ht="14.25" customHeight="1">
      <c r="B699" s="19"/>
      <c r="C699" s="235"/>
      <c r="E699" s="10"/>
      <c r="F699" s="10"/>
    </row>
    <row r="700" ht="14.25" customHeight="1">
      <c r="B700" s="19"/>
      <c r="C700" s="235"/>
      <c r="E700" s="10"/>
      <c r="F700" s="10"/>
    </row>
    <row r="701" ht="14.25" customHeight="1">
      <c r="B701" s="19"/>
      <c r="C701" s="235"/>
      <c r="E701" s="10"/>
      <c r="F701" s="10"/>
    </row>
    <row r="702" ht="14.25" customHeight="1">
      <c r="B702" s="19"/>
      <c r="C702" s="235"/>
      <c r="E702" s="10"/>
      <c r="F702" s="10"/>
    </row>
    <row r="703" ht="14.25" customHeight="1">
      <c r="B703" s="19"/>
      <c r="C703" s="235"/>
      <c r="E703" s="10"/>
      <c r="F703" s="10"/>
    </row>
    <row r="704" ht="14.25" customHeight="1">
      <c r="B704" s="19"/>
      <c r="C704" s="235"/>
      <c r="E704" s="10"/>
      <c r="F704" s="10"/>
    </row>
    <row r="705" ht="14.25" customHeight="1">
      <c r="B705" s="19"/>
      <c r="C705" s="235"/>
      <c r="E705" s="10"/>
      <c r="F705" s="10"/>
    </row>
    <row r="706" ht="14.25" customHeight="1">
      <c r="B706" s="19"/>
      <c r="C706" s="235"/>
      <c r="E706" s="10"/>
      <c r="F706" s="10"/>
    </row>
    <row r="707" ht="14.25" customHeight="1">
      <c r="B707" s="19"/>
      <c r="C707" s="235"/>
      <c r="E707" s="10"/>
      <c r="F707" s="10"/>
    </row>
    <row r="708" ht="14.25" customHeight="1">
      <c r="B708" s="19"/>
      <c r="C708" s="235"/>
      <c r="E708" s="10"/>
      <c r="F708" s="10"/>
    </row>
    <row r="709" ht="14.25" customHeight="1">
      <c r="B709" s="19"/>
      <c r="C709" s="235"/>
      <c r="E709" s="10"/>
      <c r="F709" s="10"/>
    </row>
    <row r="710" ht="14.25" customHeight="1">
      <c r="B710" s="19"/>
      <c r="C710" s="235"/>
      <c r="E710" s="10"/>
      <c r="F710" s="10"/>
    </row>
    <row r="711" ht="14.25" customHeight="1">
      <c r="B711" s="19"/>
      <c r="C711" s="235"/>
      <c r="E711" s="10"/>
      <c r="F711" s="10"/>
    </row>
    <row r="712" ht="14.25" customHeight="1">
      <c r="B712" s="19"/>
      <c r="C712" s="235"/>
      <c r="E712" s="10"/>
      <c r="F712" s="10"/>
    </row>
    <row r="713" ht="14.25" customHeight="1">
      <c r="B713" s="19"/>
      <c r="C713" s="235"/>
      <c r="E713" s="10"/>
      <c r="F713" s="10"/>
    </row>
    <row r="714" ht="14.25" customHeight="1">
      <c r="B714" s="19"/>
      <c r="C714" s="235"/>
      <c r="E714" s="10"/>
      <c r="F714" s="10"/>
    </row>
    <row r="715" ht="14.25" customHeight="1">
      <c r="B715" s="19"/>
      <c r="C715" s="235"/>
      <c r="E715" s="10"/>
      <c r="F715" s="10"/>
    </row>
    <row r="716" ht="14.25" customHeight="1">
      <c r="B716" s="19"/>
      <c r="C716" s="235"/>
      <c r="E716" s="10"/>
      <c r="F716" s="10"/>
    </row>
    <row r="717" ht="14.25" customHeight="1">
      <c r="B717" s="19"/>
      <c r="C717" s="235"/>
      <c r="E717" s="10"/>
      <c r="F717" s="10"/>
    </row>
    <row r="718" ht="14.25" customHeight="1">
      <c r="B718" s="19"/>
      <c r="C718" s="235"/>
      <c r="E718" s="10"/>
      <c r="F718" s="10"/>
    </row>
    <row r="719" ht="14.25" customHeight="1">
      <c r="B719" s="19"/>
      <c r="C719" s="235"/>
      <c r="E719" s="10"/>
      <c r="F719" s="10"/>
    </row>
    <row r="720" ht="14.25" customHeight="1">
      <c r="B720" s="19"/>
      <c r="C720" s="235"/>
      <c r="E720" s="10"/>
      <c r="F720" s="10"/>
    </row>
    <row r="721" ht="14.25" customHeight="1">
      <c r="B721" s="19"/>
      <c r="C721" s="235"/>
      <c r="E721" s="10"/>
      <c r="F721" s="10"/>
    </row>
    <row r="722" ht="14.25" customHeight="1">
      <c r="B722" s="19"/>
      <c r="C722" s="235"/>
      <c r="E722" s="10"/>
      <c r="F722" s="10"/>
    </row>
    <row r="723" ht="14.25" customHeight="1">
      <c r="B723" s="19"/>
      <c r="C723" s="235"/>
      <c r="E723" s="10"/>
      <c r="F723" s="10"/>
    </row>
    <row r="724" ht="14.25" customHeight="1">
      <c r="B724" s="19"/>
      <c r="C724" s="235"/>
      <c r="E724" s="10"/>
      <c r="F724" s="10"/>
    </row>
    <row r="725" ht="14.25" customHeight="1">
      <c r="B725" s="19"/>
      <c r="C725" s="235"/>
      <c r="E725" s="10"/>
      <c r="F725" s="10"/>
    </row>
    <row r="726" ht="14.25" customHeight="1">
      <c r="B726" s="19"/>
      <c r="C726" s="235"/>
      <c r="E726" s="10"/>
      <c r="F726" s="10"/>
    </row>
    <row r="727" ht="14.25" customHeight="1">
      <c r="B727" s="19"/>
      <c r="C727" s="235"/>
      <c r="E727" s="10"/>
      <c r="F727" s="10"/>
    </row>
    <row r="728" ht="14.25" customHeight="1">
      <c r="B728" s="19"/>
      <c r="C728" s="235"/>
      <c r="E728" s="10"/>
      <c r="F728" s="10"/>
    </row>
    <row r="729" ht="14.25" customHeight="1">
      <c r="B729" s="19"/>
      <c r="C729" s="235"/>
      <c r="E729" s="10"/>
      <c r="F729" s="10"/>
    </row>
    <row r="730" ht="14.25" customHeight="1">
      <c r="B730" s="19"/>
      <c r="C730" s="235"/>
      <c r="E730" s="10"/>
      <c r="F730" s="10"/>
    </row>
    <row r="731" ht="14.25" customHeight="1">
      <c r="B731" s="19"/>
      <c r="C731" s="235"/>
      <c r="E731" s="10"/>
      <c r="F731" s="10"/>
    </row>
    <row r="732" ht="14.25" customHeight="1">
      <c r="B732" s="19"/>
      <c r="C732" s="235"/>
      <c r="E732" s="10"/>
      <c r="F732" s="10"/>
    </row>
    <row r="733" ht="14.25" customHeight="1">
      <c r="B733" s="19"/>
      <c r="C733" s="235"/>
      <c r="E733" s="10"/>
      <c r="F733" s="10"/>
    </row>
    <row r="734" ht="14.25" customHeight="1">
      <c r="B734" s="19"/>
      <c r="C734" s="235"/>
      <c r="E734" s="10"/>
      <c r="F734" s="10"/>
    </row>
    <row r="735" ht="14.25" customHeight="1">
      <c r="B735" s="19"/>
      <c r="C735" s="235"/>
      <c r="E735" s="10"/>
      <c r="F735" s="10"/>
    </row>
    <row r="736" ht="14.25" customHeight="1">
      <c r="B736" s="19"/>
      <c r="C736" s="235"/>
      <c r="E736" s="10"/>
      <c r="F736" s="10"/>
    </row>
    <row r="737" ht="14.25" customHeight="1">
      <c r="B737" s="19"/>
      <c r="C737" s="235"/>
      <c r="E737" s="10"/>
      <c r="F737" s="10"/>
    </row>
    <row r="738" ht="14.25" customHeight="1">
      <c r="B738" s="19"/>
      <c r="C738" s="235"/>
      <c r="E738" s="10"/>
      <c r="F738" s="10"/>
    </row>
    <row r="739" ht="14.25" customHeight="1">
      <c r="B739" s="19"/>
      <c r="C739" s="235"/>
      <c r="E739" s="10"/>
      <c r="F739" s="10"/>
    </row>
    <row r="740" ht="14.25" customHeight="1">
      <c r="B740" s="19"/>
      <c r="C740" s="235"/>
      <c r="E740" s="10"/>
      <c r="F740" s="10"/>
    </row>
    <row r="741" ht="14.25" customHeight="1">
      <c r="B741" s="19"/>
      <c r="C741" s="235"/>
      <c r="E741" s="10"/>
      <c r="F741" s="10"/>
    </row>
    <row r="742" ht="14.25" customHeight="1">
      <c r="B742" s="19"/>
      <c r="C742" s="235"/>
      <c r="E742" s="10"/>
      <c r="F742" s="10"/>
    </row>
    <row r="743" ht="14.25" customHeight="1">
      <c r="B743" s="19"/>
      <c r="C743" s="235"/>
      <c r="E743" s="10"/>
      <c r="F743" s="10"/>
    </row>
    <row r="744" ht="14.25" customHeight="1">
      <c r="B744" s="19"/>
      <c r="C744" s="235"/>
      <c r="E744" s="10"/>
      <c r="F744" s="10"/>
    </row>
    <row r="745" ht="14.25" customHeight="1">
      <c r="B745" s="19"/>
      <c r="C745" s="235"/>
      <c r="E745" s="10"/>
      <c r="F745" s="10"/>
    </row>
    <row r="746" ht="14.25" customHeight="1">
      <c r="B746" s="19"/>
      <c r="C746" s="235"/>
      <c r="E746" s="10"/>
      <c r="F746" s="10"/>
    </row>
    <row r="747" ht="14.25" customHeight="1">
      <c r="B747" s="19"/>
      <c r="C747" s="235"/>
      <c r="E747" s="10"/>
      <c r="F747" s="10"/>
    </row>
    <row r="748" ht="14.25" customHeight="1">
      <c r="B748" s="19"/>
      <c r="C748" s="235"/>
      <c r="E748" s="10"/>
      <c r="F748" s="10"/>
    </row>
    <row r="749" ht="14.25" customHeight="1">
      <c r="B749" s="19"/>
      <c r="C749" s="235"/>
      <c r="E749" s="10"/>
      <c r="F749" s="10"/>
    </row>
    <row r="750" ht="14.25" customHeight="1">
      <c r="B750" s="19"/>
      <c r="C750" s="235"/>
      <c r="E750" s="10"/>
      <c r="F750" s="10"/>
    </row>
    <row r="751" ht="14.25" customHeight="1">
      <c r="B751" s="19"/>
      <c r="C751" s="235"/>
      <c r="E751" s="10"/>
      <c r="F751" s="10"/>
    </row>
    <row r="752" ht="14.25" customHeight="1">
      <c r="B752" s="19"/>
      <c r="C752" s="235"/>
      <c r="E752" s="10"/>
      <c r="F752" s="10"/>
    </row>
    <row r="753" ht="14.25" customHeight="1">
      <c r="B753" s="19"/>
      <c r="C753" s="235"/>
      <c r="E753" s="10"/>
      <c r="F753" s="10"/>
    </row>
    <row r="754" ht="14.25" customHeight="1">
      <c r="B754" s="19"/>
      <c r="C754" s="235"/>
      <c r="E754" s="10"/>
      <c r="F754" s="10"/>
    </row>
    <row r="755" ht="14.25" customHeight="1">
      <c r="B755" s="19"/>
      <c r="C755" s="235"/>
      <c r="E755" s="10"/>
      <c r="F755" s="10"/>
    </row>
    <row r="756" ht="14.25" customHeight="1">
      <c r="B756" s="19"/>
      <c r="C756" s="235"/>
      <c r="E756" s="10"/>
      <c r="F756" s="10"/>
    </row>
    <row r="757" ht="14.25" customHeight="1">
      <c r="B757" s="19"/>
      <c r="C757" s="235"/>
      <c r="E757" s="10"/>
      <c r="F757" s="10"/>
    </row>
    <row r="758" ht="14.25" customHeight="1">
      <c r="B758" s="19"/>
      <c r="C758" s="235"/>
      <c r="E758" s="10"/>
      <c r="F758" s="10"/>
    </row>
    <row r="759" ht="14.25" customHeight="1">
      <c r="B759" s="19"/>
      <c r="C759" s="235"/>
      <c r="E759" s="10"/>
      <c r="F759" s="10"/>
    </row>
    <row r="760" ht="14.25" customHeight="1">
      <c r="B760" s="19"/>
      <c r="C760" s="235"/>
      <c r="E760" s="10"/>
      <c r="F760" s="10"/>
    </row>
    <row r="761" ht="14.25" customHeight="1">
      <c r="B761" s="19"/>
      <c r="C761" s="235"/>
      <c r="E761" s="10"/>
      <c r="F761" s="10"/>
    </row>
    <row r="762" ht="14.25" customHeight="1">
      <c r="B762" s="19"/>
      <c r="C762" s="235"/>
      <c r="E762" s="10"/>
      <c r="F762" s="10"/>
    </row>
    <row r="763" ht="14.25" customHeight="1">
      <c r="B763" s="19"/>
      <c r="C763" s="235"/>
      <c r="E763" s="10"/>
      <c r="F763" s="10"/>
    </row>
    <row r="764" ht="14.25" customHeight="1">
      <c r="B764" s="19"/>
      <c r="C764" s="235"/>
      <c r="E764" s="10"/>
      <c r="F764" s="10"/>
    </row>
    <row r="765" ht="14.25" customHeight="1">
      <c r="B765" s="19"/>
      <c r="C765" s="235"/>
      <c r="E765" s="10"/>
      <c r="F765" s="10"/>
    </row>
    <row r="766" ht="14.25" customHeight="1">
      <c r="B766" s="19"/>
      <c r="C766" s="235"/>
      <c r="E766" s="10"/>
      <c r="F766" s="10"/>
    </row>
    <row r="767" ht="14.25" customHeight="1">
      <c r="B767" s="19"/>
      <c r="C767" s="235"/>
      <c r="E767" s="10"/>
      <c r="F767" s="10"/>
    </row>
    <row r="768" ht="14.25" customHeight="1">
      <c r="B768" s="19"/>
      <c r="C768" s="235"/>
      <c r="E768" s="10"/>
      <c r="F768" s="10"/>
    </row>
    <row r="769" ht="14.25" customHeight="1">
      <c r="B769" s="19"/>
      <c r="C769" s="235"/>
      <c r="E769" s="10"/>
      <c r="F769" s="10"/>
    </row>
    <row r="770" ht="14.25" customHeight="1">
      <c r="B770" s="19"/>
      <c r="C770" s="235"/>
      <c r="E770" s="10"/>
      <c r="F770" s="10"/>
    </row>
    <row r="771" ht="14.25" customHeight="1">
      <c r="B771" s="19"/>
      <c r="C771" s="235"/>
      <c r="E771" s="10"/>
      <c r="F771" s="10"/>
    </row>
    <row r="772" ht="14.25" customHeight="1">
      <c r="B772" s="19"/>
      <c r="C772" s="235"/>
      <c r="E772" s="10"/>
      <c r="F772" s="10"/>
    </row>
    <row r="773" ht="14.25" customHeight="1">
      <c r="B773" s="19"/>
      <c r="C773" s="235"/>
      <c r="E773" s="10"/>
      <c r="F773" s="10"/>
    </row>
    <row r="774" ht="14.25" customHeight="1">
      <c r="B774" s="19"/>
      <c r="C774" s="235"/>
      <c r="E774" s="10"/>
      <c r="F774" s="10"/>
    </row>
    <row r="775" ht="14.25" customHeight="1">
      <c r="B775" s="19"/>
      <c r="C775" s="235"/>
      <c r="E775" s="10"/>
      <c r="F775" s="10"/>
    </row>
    <row r="776" ht="14.25" customHeight="1">
      <c r="B776" s="19"/>
      <c r="C776" s="235"/>
      <c r="E776" s="10"/>
      <c r="F776" s="10"/>
    </row>
    <row r="777" ht="14.25" customHeight="1">
      <c r="B777" s="19"/>
      <c r="C777" s="235"/>
      <c r="E777" s="10"/>
      <c r="F777" s="10"/>
    </row>
    <row r="778" ht="14.25" customHeight="1">
      <c r="B778" s="19"/>
      <c r="C778" s="235"/>
      <c r="E778" s="10"/>
      <c r="F778" s="10"/>
    </row>
    <row r="779" ht="14.25" customHeight="1">
      <c r="B779" s="19"/>
      <c r="C779" s="235"/>
      <c r="E779" s="10"/>
      <c r="F779" s="10"/>
    </row>
    <row r="780" ht="14.25" customHeight="1">
      <c r="B780" s="19"/>
      <c r="C780" s="235"/>
      <c r="E780" s="10"/>
      <c r="F780" s="10"/>
    </row>
    <row r="781" ht="14.25" customHeight="1">
      <c r="B781" s="19"/>
      <c r="C781" s="235"/>
      <c r="E781" s="10"/>
      <c r="F781" s="10"/>
    </row>
    <row r="782" ht="14.25" customHeight="1">
      <c r="B782" s="19"/>
      <c r="C782" s="235"/>
      <c r="E782" s="10"/>
      <c r="F782" s="10"/>
    </row>
    <row r="783" ht="14.25" customHeight="1">
      <c r="B783" s="19"/>
      <c r="C783" s="235"/>
      <c r="E783" s="10"/>
      <c r="F783" s="10"/>
    </row>
    <row r="784" ht="14.25" customHeight="1">
      <c r="B784" s="19"/>
      <c r="C784" s="235"/>
      <c r="E784" s="10"/>
      <c r="F784" s="10"/>
    </row>
    <row r="785" ht="14.25" customHeight="1">
      <c r="B785" s="19"/>
      <c r="C785" s="235"/>
      <c r="E785" s="10"/>
      <c r="F785" s="10"/>
    </row>
    <row r="786" ht="14.25" customHeight="1">
      <c r="B786" s="19"/>
      <c r="C786" s="235"/>
      <c r="E786" s="10"/>
      <c r="F786" s="10"/>
    </row>
    <row r="787" ht="14.25" customHeight="1">
      <c r="B787" s="19"/>
      <c r="C787" s="235"/>
      <c r="E787" s="10"/>
      <c r="F787" s="10"/>
    </row>
    <row r="788" ht="14.25" customHeight="1">
      <c r="B788" s="19"/>
      <c r="C788" s="235"/>
      <c r="E788" s="10"/>
      <c r="F788" s="10"/>
    </row>
    <row r="789" ht="14.25" customHeight="1">
      <c r="B789" s="19"/>
      <c r="C789" s="235"/>
      <c r="E789" s="10"/>
      <c r="F789" s="10"/>
    </row>
    <row r="790" ht="14.25" customHeight="1">
      <c r="B790" s="19"/>
      <c r="C790" s="235"/>
      <c r="E790" s="10"/>
      <c r="F790" s="10"/>
    </row>
    <row r="791" ht="14.25" customHeight="1">
      <c r="B791" s="19"/>
      <c r="C791" s="235"/>
      <c r="E791" s="10"/>
      <c r="F791" s="10"/>
    </row>
    <row r="792" ht="14.25" customHeight="1">
      <c r="B792" s="19"/>
      <c r="C792" s="235"/>
      <c r="E792" s="10"/>
      <c r="F792" s="10"/>
    </row>
    <row r="793" ht="14.25" customHeight="1">
      <c r="B793" s="19"/>
      <c r="C793" s="235"/>
      <c r="E793" s="10"/>
      <c r="F793" s="10"/>
    </row>
    <row r="794" ht="14.25" customHeight="1">
      <c r="B794" s="19"/>
      <c r="C794" s="235"/>
      <c r="E794" s="10"/>
      <c r="F794" s="10"/>
    </row>
    <row r="795" ht="14.25" customHeight="1">
      <c r="B795" s="19"/>
      <c r="C795" s="235"/>
      <c r="E795" s="10"/>
      <c r="F795" s="10"/>
    </row>
    <row r="796" ht="14.25" customHeight="1">
      <c r="B796" s="19"/>
      <c r="C796" s="235"/>
      <c r="E796" s="10"/>
      <c r="F796" s="10"/>
    </row>
    <row r="797" ht="14.25" customHeight="1">
      <c r="B797" s="19"/>
      <c r="C797" s="235"/>
      <c r="E797" s="10"/>
      <c r="F797" s="10"/>
    </row>
    <row r="798" ht="14.25" customHeight="1">
      <c r="B798" s="19"/>
      <c r="C798" s="235"/>
      <c r="E798" s="10"/>
      <c r="F798" s="10"/>
    </row>
    <row r="799" ht="14.25" customHeight="1">
      <c r="B799" s="19"/>
      <c r="C799" s="235"/>
      <c r="E799" s="10"/>
      <c r="F799" s="10"/>
    </row>
    <row r="800" ht="14.25" customHeight="1">
      <c r="B800" s="19"/>
      <c r="C800" s="235"/>
      <c r="E800" s="10"/>
      <c r="F800" s="10"/>
    </row>
    <row r="801" ht="14.25" customHeight="1">
      <c r="B801" s="19"/>
      <c r="C801" s="235"/>
      <c r="E801" s="10"/>
      <c r="F801" s="10"/>
    </row>
    <row r="802" ht="14.25" customHeight="1">
      <c r="B802" s="19"/>
      <c r="C802" s="235"/>
      <c r="E802" s="10"/>
      <c r="F802" s="10"/>
    </row>
    <row r="803" ht="14.25" customHeight="1">
      <c r="B803" s="19"/>
      <c r="C803" s="235"/>
      <c r="E803" s="10"/>
      <c r="F803" s="10"/>
    </row>
    <row r="804" ht="14.25" customHeight="1">
      <c r="B804" s="19"/>
      <c r="C804" s="235"/>
      <c r="E804" s="10"/>
      <c r="F804" s="10"/>
    </row>
    <row r="805" ht="14.25" customHeight="1">
      <c r="B805" s="19"/>
      <c r="C805" s="235"/>
      <c r="E805" s="10"/>
      <c r="F805" s="10"/>
    </row>
    <row r="806" ht="14.25" customHeight="1">
      <c r="B806" s="19"/>
      <c r="C806" s="235"/>
      <c r="E806" s="10"/>
      <c r="F806" s="10"/>
    </row>
    <row r="807" ht="14.25" customHeight="1">
      <c r="B807" s="19"/>
      <c r="C807" s="235"/>
      <c r="E807" s="10"/>
      <c r="F807" s="10"/>
    </row>
    <row r="808" ht="14.25" customHeight="1">
      <c r="B808" s="19"/>
      <c r="C808" s="235"/>
      <c r="E808" s="10"/>
      <c r="F808" s="10"/>
    </row>
    <row r="809" ht="14.25" customHeight="1">
      <c r="B809" s="19"/>
      <c r="C809" s="235"/>
      <c r="E809" s="10"/>
      <c r="F809" s="10"/>
    </row>
    <row r="810" ht="14.25" customHeight="1">
      <c r="B810" s="19"/>
      <c r="C810" s="235"/>
      <c r="E810" s="10"/>
      <c r="F810" s="10"/>
    </row>
    <row r="811" ht="14.25" customHeight="1">
      <c r="B811" s="19"/>
      <c r="C811" s="235"/>
      <c r="E811" s="10"/>
      <c r="F811" s="10"/>
    </row>
    <row r="812" ht="14.25" customHeight="1">
      <c r="B812" s="19"/>
      <c r="C812" s="235"/>
      <c r="E812" s="10"/>
      <c r="F812" s="10"/>
    </row>
    <row r="813" ht="14.25" customHeight="1">
      <c r="B813" s="19"/>
      <c r="C813" s="235"/>
      <c r="E813" s="10"/>
      <c r="F813" s="10"/>
    </row>
    <row r="814" ht="14.25" customHeight="1">
      <c r="B814" s="19"/>
      <c r="C814" s="235"/>
      <c r="E814" s="10"/>
      <c r="F814" s="10"/>
    </row>
    <row r="815" ht="14.25" customHeight="1">
      <c r="B815" s="19"/>
      <c r="C815" s="235"/>
      <c r="E815" s="10"/>
      <c r="F815" s="10"/>
    </row>
    <row r="816" ht="14.25" customHeight="1">
      <c r="B816" s="19"/>
      <c r="C816" s="235"/>
      <c r="E816" s="10"/>
      <c r="F816" s="10"/>
    </row>
    <row r="817" ht="14.25" customHeight="1">
      <c r="B817" s="19"/>
      <c r="C817" s="235"/>
      <c r="E817" s="10"/>
      <c r="F817" s="10"/>
    </row>
    <row r="818" ht="14.25" customHeight="1">
      <c r="B818" s="19"/>
      <c r="C818" s="235"/>
      <c r="E818" s="10"/>
      <c r="F818" s="10"/>
    </row>
    <row r="819" ht="14.25" customHeight="1">
      <c r="B819" s="19"/>
      <c r="C819" s="235"/>
      <c r="E819" s="10"/>
      <c r="F819" s="10"/>
    </row>
    <row r="820" ht="14.25" customHeight="1">
      <c r="B820" s="19"/>
      <c r="C820" s="235"/>
      <c r="E820" s="10"/>
      <c r="F820" s="10"/>
    </row>
    <row r="821" ht="14.25" customHeight="1">
      <c r="B821" s="19"/>
      <c r="C821" s="235"/>
      <c r="E821" s="10"/>
      <c r="F821" s="10"/>
    </row>
    <row r="822" ht="14.25" customHeight="1">
      <c r="B822" s="19"/>
      <c r="C822" s="235"/>
      <c r="E822" s="10"/>
      <c r="F822" s="10"/>
    </row>
    <row r="823" ht="14.25" customHeight="1">
      <c r="B823" s="19"/>
      <c r="C823" s="235"/>
      <c r="E823" s="10"/>
      <c r="F823" s="10"/>
    </row>
    <row r="824" ht="14.25" customHeight="1">
      <c r="B824" s="19"/>
      <c r="C824" s="235"/>
      <c r="E824" s="10"/>
      <c r="F824" s="10"/>
    </row>
    <row r="825" ht="14.25" customHeight="1">
      <c r="B825" s="19"/>
      <c r="C825" s="235"/>
      <c r="E825" s="10"/>
      <c r="F825" s="10"/>
    </row>
    <row r="826" ht="14.25" customHeight="1">
      <c r="B826" s="19"/>
      <c r="C826" s="235"/>
      <c r="E826" s="10"/>
      <c r="F826" s="10"/>
    </row>
    <row r="827" ht="14.25" customHeight="1">
      <c r="B827" s="19"/>
      <c r="C827" s="235"/>
      <c r="E827" s="10"/>
      <c r="F827" s="10"/>
    </row>
    <row r="828" ht="14.25" customHeight="1">
      <c r="B828" s="19"/>
      <c r="C828" s="235"/>
      <c r="E828" s="10"/>
      <c r="F828" s="10"/>
    </row>
    <row r="829" ht="14.25" customHeight="1">
      <c r="B829" s="19"/>
      <c r="C829" s="235"/>
      <c r="E829" s="10"/>
      <c r="F829" s="10"/>
    </row>
    <row r="830" ht="14.25" customHeight="1">
      <c r="B830" s="19"/>
      <c r="C830" s="235"/>
      <c r="E830" s="10"/>
      <c r="F830" s="10"/>
    </row>
    <row r="831" ht="14.25" customHeight="1">
      <c r="B831" s="19"/>
      <c r="C831" s="235"/>
      <c r="E831" s="10"/>
      <c r="F831" s="10"/>
    </row>
    <row r="832" ht="14.25" customHeight="1">
      <c r="B832" s="19"/>
      <c r="C832" s="235"/>
      <c r="E832" s="10"/>
      <c r="F832" s="10"/>
    </row>
    <row r="833" ht="14.25" customHeight="1">
      <c r="B833" s="19"/>
      <c r="C833" s="235"/>
      <c r="E833" s="10"/>
      <c r="F833" s="10"/>
    </row>
    <row r="834" ht="14.25" customHeight="1">
      <c r="B834" s="19"/>
      <c r="C834" s="235"/>
      <c r="E834" s="10"/>
      <c r="F834" s="10"/>
    </row>
    <row r="835" ht="14.25" customHeight="1">
      <c r="B835" s="19"/>
      <c r="C835" s="235"/>
      <c r="E835" s="10"/>
      <c r="F835" s="10"/>
    </row>
    <row r="836" ht="14.25" customHeight="1">
      <c r="B836" s="19"/>
      <c r="C836" s="235"/>
      <c r="E836" s="10"/>
      <c r="F836" s="10"/>
    </row>
    <row r="837" ht="14.25" customHeight="1">
      <c r="B837" s="19"/>
      <c r="C837" s="235"/>
      <c r="E837" s="10"/>
      <c r="F837" s="10"/>
    </row>
    <row r="838" ht="14.25" customHeight="1">
      <c r="B838" s="19"/>
      <c r="C838" s="235"/>
      <c r="E838" s="10"/>
      <c r="F838" s="10"/>
    </row>
    <row r="839" ht="14.25" customHeight="1">
      <c r="B839" s="19"/>
      <c r="C839" s="235"/>
      <c r="E839" s="10"/>
      <c r="F839" s="10"/>
    </row>
    <row r="840" ht="14.25" customHeight="1">
      <c r="B840" s="19"/>
      <c r="C840" s="235"/>
      <c r="E840" s="10"/>
      <c r="F840" s="10"/>
    </row>
    <row r="841" ht="14.25" customHeight="1">
      <c r="B841" s="19"/>
      <c r="C841" s="235"/>
      <c r="E841" s="10"/>
      <c r="F841" s="10"/>
    </row>
    <row r="842" ht="14.25" customHeight="1">
      <c r="B842" s="19"/>
      <c r="C842" s="235"/>
      <c r="E842" s="10"/>
      <c r="F842" s="10"/>
    </row>
    <row r="843" ht="14.25" customHeight="1">
      <c r="B843" s="19"/>
      <c r="C843" s="235"/>
      <c r="E843" s="10"/>
      <c r="F843" s="10"/>
    </row>
    <row r="844" ht="14.25" customHeight="1">
      <c r="B844" s="19"/>
      <c r="C844" s="235"/>
      <c r="E844" s="10"/>
      <c r="F844" s="10"/>
    </row>
    <row r="845" ht="14.25" customHeight="1">
      <c r="B845" s="19"/>
      <c r="C845" s="235"/>
      <c r="E845" s="10"/>
      <c r="F845" s="10"/>
    </row>
    <row r="846" ht="14.25" customHeight="1">
      <c r="B846" s="19"/>
      <c r="C846" s="235"/>
      <c r="E846" s="10"/>
      <c r="F846" s="10"/>
    </row>
    <row r="847" ht="14.25" customHeight="1">
      <c r="B847" s="19"/>
      <c r="C847" s="235"/>
      <c r="E847" s="10"/>
      <c r="F847" s="10"/>
    </row>
    <row r="848" ht="14.25" customHeight="1">
      <c r="B848" s="19"/>
      <c r="C848" s="235"/>
      <c r="E848" s="10"/>
      <c r="F848" s="10"/>
    </row>
    <row r="849" ht="14.25" customHeight="1">
      <c r="B849" s="19"/>
      <c r="C849" s="235"/>
      <c r="E849" s="10"/>
      <c r="F849" s="10"/>
    </row>
    <row r="850" ht="14.25" customHeight="1">
      <c r="B850" s="19"/>
      <c r="C850" s="235"/>
      <c r="E850" s="10"/>
      <c r="F850" s="10"/>
    </row>
    <row r="851" ht="14.25" customHeight="1">
      <c r="B851" s="19"/>
      <c r="C851" s="235"/>
      <c r="E851" s="10"/>
      <c r="F851" s="10"/>
    </row>
    <row r="852" ht="14.25" customHeight="1">
      <c r="B852" s="19"/>
      <c r="C852" s="235"/>
      <c r="E852" s="10"/>
      <c r="F852" s="10"/>
    </row>
    <row r="853" ht="14.25" customHeight="1">
      <c r="B853" s="19"/>
      <c r="C853" s="235"/>
      <c r="E853" s="10"/>
      <c r="F853" s="10"/>
    </row>
    <row r="854" ht="14.25" customHeight="1">
      <c r="B854" s="19"/>
      <c r="C854" s="235"/>
      <c r="E854" s="10"/>
      <c r="F854" s="10"/>
    </row>
    <row r="855" ht="14.25" customHeight="1">
      <c r="B855" s="19"/>
      <c r="C855" s="235"/>
      <c r="E855" s="10"/>
      <c r="F855" s="10"/>
    </row>
    <row r="856" ht="14.25" customHeight="1">
      <c r="B856" s="19"/>
      <c r="C856" s="235"/>
      <c r="E856" s="10"/>
      <c r="F856" s="10"/>
    </row>
    <row r="857" ht="14.25" customHeight="1">
      <c r="B857" s="19"/>
      <c r="C857" s="235"/>
      <c r="E857" s="10"/>
      <c r="F857" s="10"/>
    </row>
    <row r="858" ht="14.25" customHeight="1">
      <c r="B858" s="19"/>
      <c r="C858" s="235"/>
      <c r="E858" s="10"/>
      <c r="F858" s="10"/>
    </row>
    <row r="859" ht="14.25" customHeight="1">
      <c r="B859" s="19"/>
      <c r="C859" s="235"/>
      <c r="E859" s="10"/>
      <c r="F859" s="10"/>
    </row>
    <row r="860" ht="14.25" customHeight="1">
      <c r="B860" s="19"/>
      <c r="C860" s="235"/>
      <c r="E860" s="10"/>
      <c r="F860" s="10"/>
    </row>
    <row r="861" ht="14.25" customHeight="1">
      <c r="B861" s="19"/>
      <c r="C861" s="235"/>
      <c r="E861" s="10"/>
      <c r="F861" s="10"/>
    </row>
    <row r="862" ht="14.25" customHeight="1">
      <c r="B862" s="19"/>
      <c r="C862" s="235"/>
      <c r="E862" s="10"/>
      <c r="F862" s="10"/>
    </row>
    <row r="863" ht="14.25" customHeight="1">
      <c r="B863" s="19"/>
      <c r="C863" s="235"/>
      <c r="E863" s="10"/>
      <c r="F863" s="10"/>
    </row>
    <row r="864" ht="14.25" customHeight="1">
      <c r="B864" s="19"/>
      <c r="C864" s="235"/>
      <c r="E864" s="10"/>
      <c r="F864" s="10"/>
    </row>
    <row r="865" ht="14.25" customHeight="1">
      <c r="B865" s="19"/>
      <c r="C865" s="235"/>
      <c r="E865" s="10"/>
      <c r="F865" s="10"/>
    </row>
    <row r="866" ht="14.25" customHeight="1">
      <c r="B866" s="19"/>
      <c r="C866" s="235"/>
      <c r="E866" s="10"/>
      <c r="F866" s="10"/>
    </row>
    <row r="867" ht="14.25" customHeight="1">
      <c r="B867" s="19"/>
      <c r="C867" s="235"/>
      <c r="E867" s="10"/>
      <c r="F867" s="10"/>
    </row>
    <row r="868" ht="14.25" customHeight="1">
      <c r="B868" s="19"/>
      <c r="C868" s="235"/>
      <c r="E868" s="10"/>
      <c r="F868" s="10"/>
    </row>
    <row r="869" ht="14.25" customHeight="1">
      <c r="B869" s="19"/>
      <c r="C869" s="235"/>
      <c r="E869" s="10"/>
      <c r="F869" s="10"/>
    </row>
    <row r="870" ht="14.25" customHeight="1">
      <c r="B870" s="19"/>
      <c r="C870" s="235"/>
      <c r="E870" s="10"/>
      <c r="F870" s="10"/>
    </row>
    <row r="871" ht="14.25" customHeight="1">
      <c r="B871" s="19"/>
      <c r="C871" s="235"/>
      <c r="E871" s="10"/>
      <c r="F871" s="10"/>
    </row>
    <row r="872" ht="14.25" customHeight="1">
      <c r="B872" s="19"/>
      <c r="C872" s="235"/>
      <c r="E872" s="10"/>
      <c r="F872" s="10"/>
    </row>
    <row r="873" ht="14.25" customHeight="1">
      <c r="B873" s="19"/>
      <c r="C873" s="235"/>
      <c r="E873" s="10"/>
      <c r="F873" s="10"/>
    </row>
    <row r="874" ht="14.25" customHeight="1">
      <c r="B874" s="19"/>
      <c r="C874" s="235"/>
      <c r="E874" s="10"/>
      <c r="F874" s="10"/>
    </row>
    <row r="875" ht="14.25" customHeight="1">
      <c r="B875" s="19"/>
      <c r="C875" s="235"/>
      <c r="E875" s="10"/>
      <c r="F875" s="10"/>
    </row>
    <row r="876" ht="14.25" customHeight="1">
      <c r="B876" s="19"/>
      <c r="C876" s="235"/>
      <c r="E876" s="10"/>
      <c r="F876" s="10"/>
    </row>
    <row r="877" ht="14.25" customHeight="1">
      <c r="B877" s="19"/>
      <c r="C877" s="235"/>
      <c r="E877" s="10"/>
      <c r="F877" s="10"/>
    </row>
    <row r="878" ht="14.25" customHeight="1">
      <c r="B878" s="19"/>
      <c r="C878" s="235"/>
      <c r="E878" s="10"/>
      <c r="F878" s="10"/>
    </row>
    <row r="879" ht="14.25" customHeight="1">
      <c r="B879" s="19"/>
      <c r="C879" s="235"/>
      <c r="E879" s="10"/>
      <c r="F879" s="10"/>
    </row>
    <row r="880" ht="14.25" customHeight="1">
      <c r="B880" s="19"/>
      <c r="C880" s="235"/>
      <c r="E880" s="10"/>
      <c r="F880" s="10"/>
    </row>
    <row r="881" ht="14.25" customHeight="1">
      <c r="B881" s="19"/>
      <c r="C881" s="235"/>
      <c r="E881" s="10"/>
      <c r="F881" s="10"/>
    </row>
    <row r="882" ht="14.25" customHeight="1">
      <c r="B882" s="19"/>
      <c r="C882" s="235"/>
      <c r="E882" s="10"/>
      <c r="F882" s="10"/>
    </row>
    <row r="883" ht="14.25" customHeight="1">
      <c r="B883" s="19"/>
      <c r="C883" s="235"/>
      <c r="E883" s="10"/>
      <c r="F883" s="10"/>
    </row>
    <row r="884" ht="14.25" customHeight="1">
      <c r="B884" s="19"/>
      <c r="C884" s="235"/>
      <c r="E884" s="10"/>
      <c r="F884" s="10"/>
    </row>
    <row r="885" ht="14.25" customHeight="1">
      <c r="B885" s="19"/>
      <c r="C885" s="235"/>
      <c r="E885" s="10"/>
      <c r="F885" s="10"/>
    </row>
    <row r="886" ht="14.25" customHeight="1">
      <c r="B886" s="19"/>
      <c r="C886" s="235"/>
      <c r="E886" s="10"/>
      <c r="F886" s="10"/>
    </row>
    <row r="887" ht="14.25" customHeight="1">
      <c r="B887" s="19"/>
      <c r="C887" s="235"/>
      <c r="E887" s="10"/>
      <c r="F887" s="10"/>
    </row>
    <row r="888" ht="14.25" customHeight="1">
      <c r="B888" s="19"/>
      <c r="C888" s="235"/>
      <c r="E888" s="10"/>
      <c r="F888" s="10"/>
    </row>
    <row r="889" ht="14.25" customHeight="1">
      <c r="B889" s="19"/>
      <c r="C889" s="235"/>
      <c r="E889" s="10"/>
      <c r="F889" s="10"/>
    </row>
    <row r="890" ht="14.25" customHeight="1">
      <c r="B890" s="19"/>
      <c r="C890" s="235"/>
      <c r="E890" s="10"/>
      <c r="F890" s="10"/>
    </row>
    <row r="891" ht="14.25" customHeight="1">
      <c r="B891" s="19"/>
      <c r="C891" s="235"/>
      <c r="E891" s="10"/>
      <c r="F891" s="10"/>
    </row>
    <row r="892" ht="14.25" customHeight="1">
      <c r="B892" s="19"/>
      <c r="C892" s="235"/>
      <c r="E892" s="10"/>
      <c r="F892" s="10"/>
    </row>
    <row r="893" ht="14.25" customHeight="1">
      <c r="B893" s="19"/>
      <c r="C893" s="235"/>
      <c r="E893" s="10"/>
      <c r="F893" s="10"/>
    </row>
    <row r="894" ht="14.25" customHeight="1">
      <c r="B894" s="19"/>
      <c r="C894" s="235"/>
      <c r="E894" s="10"/>
      <c r="F894" s="10"/>
    </row>
    <row r="895" ht="14.25" customHeight="1">
      <c r="B895" s="19"/>
      <c r="C895" s="235"/>
      <c r="E895" s="10"/>
      <c r="F895" s="10"/>
    </row>
    <row r="896" ht="14.25" customHeight="1">
      <c r="B896" s="19"/>
      <c r="C896" s="235"/>
      <c r="E896" s="10"/>
      <c r="F896" s="10"/>
    </row>
    <row r="897" ht="14.25" customHeight="1">
      <c r="B897" s="19"/>
      <c r="C897" s="235"/>
      <c r="E897" s="10"/>
      <c r="F897" s="10"/>
    </row>
    <row r="898" ht="14.25" customHeight="1">
      <c r="B898" s="19"/>
      <c r="C898" s="235"/>
      <c r="E898" s="10"/>
      <c r="F898" s="10"/>
    </row>
    <row r="899" ht="14.25" customHeight="1">
      <c r="B899" s="19"/>
      <c r="C899" s="235"/>
      <c r="E899" s="10"/>
      <c r="F899" s="10"/>
    </row>
    <row r="900" ht="14.25" customHeight="1">
      <c r="B900" s="19"/>
      <c r="C900" s="235"/>
      <c r="E900" s="10"/>
      <c r="F900" s="10"/>
    </row>
    <row r="901" ht="14.25" customHeight="1">
      <c r="B901" s="19"/>
      <c r="C901" s="235"/>
      <c r="E901" s="10"/>
      <c r="F901" s="10"/>
    </row>
    <row r="902" ht="14.25" customHeight="1">
      <c r="B902" s="19"/>
      <c r="C902" s="235"/>
      <c r="E902" s="10"/>
      <c r="F902" s="10"/>
    </row>
    <row r="903" ht="14.25" customHeight="1">
      <c r="B903" s="19"/>
      <c r="C903" s="235"/>
      <c r="E903" s="10"/>
      <c r="F903" s="10"/>
    </row>
    <row r="904" ht="14.25" customHeight="1">
      <c r="B904" s="19"/>
      <c r="C904" s="235"/>
      <c r="E904" s="10"/>
      <c r="F904" s="10"/>
    </row>
    <row r="905" ht="14.25" customHeight="1">
      <c r="B905" s="19"/>
      <c r="C905" s="235"/>
      <c r="E905" s="10"/>
      <c r="F905" s="10"/>
    </row>
    <row r="906" ht="14.25" customHeight="1">
      <c r="B906" s="19"/>
      <c r="C906" s="235"/>
      <c r="E906" s="10"/>
      <c r="F906" s="10"/>
    </row>
    <row r="907" ht="14.25" customHeight="1">
      <c r="B907" s="19"/>
      <c r="C907" s="235"/>
      <c r="E907" s="10"/>
      <c r="F907" s="10"/>
    </row>
    <row r="908" ht="14.25" customHeight="1">
      <c r="B908" s="19"/>
      <c r="C908" s="235"/>
      <c r="E908" s="10"/>
      <c r="F908" s="10"/>
    </row>
    <row r="909" ht="14.25" customHeight="1">
      <c r="B909" s="19"/>
      <c r="C909" s="235"/>
      <c r="E909" s="10"/>
      <c r="F909" s="10"/>
    </row>
    <row r="910" ht="14.25" customHeight="1">
      <c r="B910" s="19"/>
      <c r="C910" s="235"/>
      <c r="E910" s="10"/>
      <c r="F910" s="10"/>
    </row>
    <row r="911" ht="14.25" customHeight="1">
      <c r="B911" s="19"/>
      <c r="C911" s="235"/>
      <c r="E911" s="10"/>
      <c r="F911" s="10"/>
    </row>
    <row r="912" ht="14.25" customHeight="1">
      <c r="B912" s="19"/>
      <c r="C912" s="235"/>
      <c r="E912" s="10"/>
      <c r="F912" s="10"/>
    </row>
    <row r="913" ht="14.25" customHeight="1">
      <c r="B913" s="19"/>
      <c r="C913" s="235"/>
      <c r="E913" s="10"/>
      <c r="F913" s="10"/>
    </row>
    <row r="914" ht="14.25" customHeight="1">
      <c r="B914" s="19"/>
      <c r="C914" s="235"/>
      <c r="E914" s="10"/>
      <c r="F914" s="10"/>
    </row>
    <row r="915" ht="14.25" customHeight="1">
      <c r="B915" s="19"/>
      <c r="C915" s="235"/>
      <c r="E915" s="10"/>
      <c r="F915" s="10"/>
    </row>
    <row r="916" ht="14.25" customHeight="1">
      <c r="B916" s="19"/>
      <c r="C916" s="235"/>
      <c r="E916" s="10"/>
      <c r="F916" s="10"/>
    </row>
    <row r="917" ht="14.25" customHeight="1">
      <c r="B917" s="19"/>
      <c r="C917" s="235"/>
      <c r="E917" s="10"/>
      <c r="F917" s="10"/>
    </row>
    <row r="918" ht="14.25" customHeight="1">
      <c r="B918" s="19"/>
      <c r="C918" s="235"/>
      <c r="E918" s="10"/>
      <c r="F918" s="10"/>
    </row>
    <row r="919" ht="14.25" customHeight="1">
      <c r="B919" s="19"/>
      <c r="C919" s="235"/>
      <c r="E919" s="10"/>
      <c r="F919" s="10"/>
    </row>
    <row r="920" ht="14.25" customHeight="1">
      <c r="B920" s="19"/>
      <c r="C920" s="235"/>
      <c r="E920" s="10"/>
      <c r="F920" s="10"/>
    </row>
    <row r="921" ht="14.25" customHeight="1">
      <c r="B921" s="19"/>
      <c r="C921" s="235"/>
      <c r="E921" s="10"/>
      <c r="F921" s="10"/>
    </row>
    <row r="922" ht="14.25" customHeight="1">
      <c r="B922" s="19"/>
      <c r="C922" s="235"/>
      <c r="E922" s="10"/>
      <c r="F922" s="10"/>
    </row>
    <row r="923" ht="14.25" customHeight="1">
      <c r="B923" s="19"/>
      <c r="C923" s="235"/>
      <c r="E923" s="10"/>
      <c r="F923" s="10"/>
    </row>
    <row r="924" ht="14.25" customHeight="1">
      <c r="B924" s="19"/>
      <c r="C924" s="235"/>
      <c r="E924" s="10"/>
      <c r="F924" s="10"/>
    </row>
    <row r="925" ht="14.25" customHeight="1">
      <c r="B925" s="19"/>
      <c r="C925" s="235"/>
      <c r="E925" s="10"/>
      <c r="F925" s="10"/>
    </row>
    <row r="926" ht="14.25" customHeight="1">
      <c r="B926" s="19"/>
      <c r="C926" s="235"/>
      <c r="E926" s="10"/>
      <c r="F926" s="10"/>
    </row>
    <row r="927" ht="14.25" customHeight="1">
      <c r="B927" s="19"/>
      <c r="C927" s="235"/>
      <c r="E927" s="10"/>
      <c r="F927" s="10"/>
    </row>
    <row r="928" ht="14.25" customHeight="1">
      <c r="B928" s="19"/>
      <c r="C928" s="235"/>
      <c r="E928" s="10"/>
      <c r="F928" s="10"/>
    </row>
    <row r="929" ht="14.25" customHeight="1">
      <c r="B929" s="19"/>
      <c r="C929" s="235"/>
      <c r="E929" s="10"/>
      <c r="F929" s="10"/>
    </row>
    <row r="930" ht="14.25" customHeight="1">
      <c r="B930" s="19"/>
      <c r="C930" s="235"/>
      <c r="E930" s="10"/>
      <c r="F930" s="10"/>
    </row>
    <row r="931" ht="14.25" customHeight="1">
      <c r="B931" s="19"/>
      <c r="C931" s="235"/>
      <c r="E931" s="10"/>
      <c r="F931" s="10"/>
    </row>
    <row r="932" ht="14.25" customHeight="1">
      <c r="B932" s="19"/>
      <c r="C932" s="235"/>
      <c r="E932" s="10"/>
      <c r="F932" s="10"/>
    </row>
    <row r="933" ht="14.25" customHeight="1">
      <c r="B933" s="19"/>
      <c r="C933" s="235"/>
      <c r="E933" s="10"/>
      <c r="F933" s="10"/>
    </row>
    <row r="934" ht="14.25" customHeight="1">
      <c r="B934" s="19"/>
      <c r="C934" s="235"/>
      <c r="E934" s="10"/>
      <c r="F934" s="10"/>
    </row>
    <row r="935" ht="14.25" customHeight="1">
      <c r="B935" s="19"/>
      <c r="C935" s="235"/>
      <c r="E935" s="10"/>
      <c r="F935" s="10"/>
    </row>
    <row r="936" ht="14.25" customHeight="1">
      <c r="B936" s="19"/>
      <c r="C936" s="235"/>
      <c r="E936" s="10"/>
      <c r="F936" s="10"/>
    </row>
    <row r="937" ht="14.25" customHeight="1">
      <c r="B937" s="19"/>
      <c r="C937" s="235"/>
      <c r="E937" s="10"/>
      <c r="F937" s="10"/>
    </row>
    <row r="938" ht="14.25" customHeight="1">
      <c r="B938" s="19"/>
      <c r="C938" s="235"/>
      <c r="E938" s="10"/>
      <c r="F938" s="10"/>
    </row>
    <row r="939" ht="14.25" customHeight="1">
      <c r="B939" s="19"/>
      <c r="C939" s="235"/>
      <c r="E939" s="10"/>
      <c r="F939" s="10"/>
    </row>
    <row r="940" ht="14.25" customHeight="1">
      <c r="B940" s="19"/>
      <c r="C940" s="235"/>
      <c r="E940" s="10"/>
      <c r="F940" s="10"/>
    </row>
    <row r="941" ht="14.25" customHeight="1">
      <c r="B941" s="19"/>
      <c r="C941" s="235"/>
      <c r="E941" s="10"/>
      <c r="F941" s="10"/>
    </row>
    <row r="942" ht="14.25" customHeight="1">
      <c r="B942" s="19"/>
      <c r="C942" s="235"/>
      <c r="E942" s="10"/>
      <c r="F942" s="10"/>
    </row>
    <row r="943" ht="14.25" customHeight="1">
      <c r="B943" s="19"/>
      <c r="C943" s="235"/>
      <c r="E943" s="10"/>
      <c r="F943" s="10"/>
    </row>
    <row r="944" ht="14.25" customHeight="1">
      <c r="B944" s="19"/>
      <c r="C944" s="235"/>
      <c r="E944" s="10"/>
      <c r="F944" s="10"/>
    </row>
    <row r="945" ht="14.25" customHeight="1">
      <c r="B945" s="19"/>
      <c r="C945" s="235"/>
      <c r="E945" s="10"/>
      <c r="F945" s="10"/>
    </row>
    <row r="946" ht="14.25" customHeight="1">
      <c r="B946" s="19"/>
      <c r="C946" s="235"/>
      <c r="E946" s="10"/>
      <c r="F946" s="10"/>
    </row>
    <row r="947" ht="14.25" customHeight="1">
      <c r="B947" s="19"/>
      <c r="C947" s="235"/>
      <c r="E947" s="10"/>
      <c r="F947" s="10"/>
    </row>
    <row r="948" ht="14.25" customHeight="1">
      <c r="B948" s="19"/>
      <c r="C948" s="235"/>
      <c r="E948" s="10"/>
      <c r="F948" s="10"/>
    </row>
    <row r="949" ht="14.25" customHeight="1">
      <c r="B949" s="19"/>
      <c r="C949" s="235"/>
      <c r="E949" s="10"/>
      <c r="F949" s="10"/>
    </row>
    <row r="950" ht="14.25" customHeight="1">
      <c r="B950" s="19"/>
      <c r="C950" s="235"/>
      <c r="E950" s="10"/>
      <c r="F950" s="10"/>
    </row>
    <row r="951" ht="14.25" customHeight="1">
      <c r="B951" s="19"/>
      <c r="C951" s="235"/>
      <c r="E951" s="10"/>
      <c r="F951" s="10"/>
    </row>
    <row r="952" ht="14.25" customHeight="1">
      <c r="B952" s="19"/>
      <c r="C952" s="235"/>
      <c r="E952" s="10"/>
      <c r="F952" s="10"/>
    </row>
    <row r="953" ht="14.25" customHeight="1">
      <c r="B953" s="19"/>
      <c r="C953" s="235"/>
      <c r="E953" s="10"/>
      <c r="F953" s="10"/>
    </row>
    <row r="954" ht="14.25" customHeight="1">
      <c r="B954" s="19"/>
      <c r="C954" s="235"/>
      <c r="E954" s="10"/>
      <c r="F954" s="10"/>
    </row>
    <row r="955" ht="14.25" customHeight="1">
      <c r="B955" s="19"/>
      <c r="C955" s="235"/>
      <c r="E955" s="10"/>
      <c r="F955" s="10"/>
    </row>
    <row r="956" ht="14.25" customHeight="1">
      <c r="B956" s="19"/>
      <c r="C956" s="235"/>
      <c r="E956" s="10"/>
      <c r="F956" s="10"/>
    </row>
    <row r="957" ht="14.25" customHeight="1">
      <c r="B957" s="19"/>
      <c r="C957" s="235"/>
      <c r="E957" s="10"/>
      <c r="F957" s="10"/>
    </row>
    <row r="958" ht="14.25" customHeight="1">
      <c r="B958" s="19"/>
      <c r="C958" s="235"/>
      <c r="E958" s="10"/>
      <c r="F958" s="10"/>
    </row>
    <row r="959" ht="14.25" customHeight="1">
      <c r="B959" s="19"/>
      <c r="C959" s="235"/>
      <c r="E959" s="10"/>
      <c r="F959" s="10"/>
    </row>
    <row r="960" ht="14.25" customHeight="1">
      <c r="B960" s="19"/>
      <c r="C960" s="235"/>
      <c r="E960" s="10"/>
      <c r="F960" s="10"/>
    </row>
    <row r="961" ht="14.25" customHeight="1">
      <c r="B961" s="19"/>
      <c r="C961" s="235"/>
      <c r="E961" s="10"/>
      <c r="F961" s="10"/>
    </row>
    <row r="962" ht="14.25" customHeight="1">
      <c r="B962" s="19"/>
      <c r="C962" s="235"/>
      <c r="E962" s="10"/>
      <c r="F962" s="10"/>
    </row>
    <row r="963" ht="14.25" customHeight="1">
      <c r="B963" s="19"/>
      <c r="C963" s="235"/>
      <c r="E963" s="10"/>
      <c r="F963" s="10"/>
    </row>
    <row r="964" ht="14.25" customHeight="1">
      <c r="B964" s="19"/>
      <c r="C964" s="235"/>
      <c r="E964" s="10"/>
      <c r="F964" s="10"/>
    </row>
    <row r="965" ht="14.25" customHeight="1">
      <c r="B965" s="19"/>
      <c r="C965" s="235"/>
      <c r="E965" s="10"/>
      <c r="F965" s="10"/>
    </row>
    <row r="966" ht="14.25" customHeight="1">
      <c r="B966" s="19"/>
      <c r="C966" s="235"/>
      <c r="E966" s="10"/>
      <c r="F966" s="10"/>
    </row>
    <row r="967" ht="14.25" customHeight="1">
      <c r="B967" s="19"/>
      <c r="C967" s="235"/>
      <c r="E967" s="10"/>
      <c r="F967" s="10"/>
    </row>
    <row r="968" ht="14.25" customHeight="1">
      <c r="B968" s="19"/>
      <c r="C968" s="235"/>
      <c r="E968" s="10"/>
      <c r="F968" s="10"/>
    </row>
    <row r="969" ht="14.25" customHeight="1">
      <c r="B969" s="19"/>
      <c r="C969" s="235"/>
      <c r="E969" s="10"/>
      <c r="F969" s="10"/>
    </row>
    <row r="970" ht="14.25" customHeight="1">
      <c r="B970" s="19"/>
      <c r="C970" s="235"/>
      <c r="E970" s="10"/>
      <c r="F970" s="10"/>
    </row>
    <row r="971" ht="14.25" customHeight="1">
      <c r="B971" s="19"/>
      <c r="C971" s="235"/>
      <c r="E971" s="10"/>
      <c r="F971" s="10"/>
    </row>
    <row r="972" ht="14.25" customHeight="1">
      <c r="B972" s="19"/>
      <c r="C972" s="235"/>
      <c r="E972" s="10"/>
      <c r="F972" s="10"/>
    </row>
    <row r="973" ht="14.25" customHeight="1">
      <c r="B973" s="19"/>
      <c r="C973" s="235"/>
      <c r="E973" s="10"/>
      <c r="F973" s="10"/>
    </row>
    <row r="974" ht="14.25" customHeight="1">
      <c r="B974" s="19"/>
      <c r="C974" s="235"/>
      <c r="E974" s="10"/>
      <c r="F974" s="10"/>
    </row>
    <row r="975" ht="14.25" customHeight="1">
      <c r="B975" s="19"/>
      <c r="C975" s="235"/>
      <c r="E975" s="10"/>
      <c r="F975" s="10"/>
    </row>
    <row r="976" ht="14.25" customHeight="1">
      <c r="B976" s="19"/>
      <c r="C976" s="235"/>
      <c r="E976" s="10"/>
      <c r="F976" s="10"/>
    </row>
    <row r="977" ht="14.25" customHeight="1">
      <c r="B977" s="19"/>
      <c r="C977" s="235"/>
      <c r="E977" s="10"/>
      <c r="F977" s="10"/>
    </row>
    <row r="978" ht="14.25" customHeight="1">
      <c r="B978" s="19"/>
      <c r="C978" s="235"/>
      <c r="E978" s="10"/>
      <c r="F978" s="10"/>
    </row>
    <row r="979" ht="14.25" customHeight="1">
      <c r="B979" s="19"/>
      <c r="C979" s="235"/>
      <c r="E979" s="10"/>
      <c r="F979" s="10"/>
    </row>
    <row r="980" ht="14.25" customHeight="1">
      <c r="B980" s="19"/>
      <c r="C980" s="235"/>
      <c r="E980" s="10"/>
      <c r="F980" s="10"/>
    </row>
    <row r="981" ht="14.25" customHeight="1">
      <c r="B981" s="19"/>
      <c r="C981" s="235"/>
      <c r="E981" s="10"/>
      <c r="F981" s="10"/>
    </row>
    <row r="982" ht="14.25" customHeight="1">
      <c r="B982" s="19"/>
      <c r="C982" s="235"/>
      <c r="E982" s="10"/>
      <c r="F982" s="10"/>
    </row>
    <row r="983" ht="14.25" customHeight="1">
      <c r="B983" s="19"/>
      <c r="C983" s="235"/>
      <c r="E983" s="10"/>
      <c r="F983" s="10"/>
    </row>
    <row r="984" ht="14.25" customHeight="1">
      <c r="B984" s="19"/>
      <c r="C984" s="235"/>
      <c r="E984" s="10"/>
      <c r="F984" s="10"/>
    </row>
    <row r="985" ht="14.25" customHeight="1">
      <c r="B985" s="19"/>
      <c r="C985" s="235"/>
      <c r="E985" s="10"/>
      <c r="F985" s="10"/>
    </row>
    <row r="986" ht="14.25" customHeight="1">
      <c r="B986" s="19"/>
      <c r="C986" s="235"/>
      <c r="E986" s="10"/>
      <c r="F986" s="10"/>
    </row>
    <row r="987" ht="14.25" customHeight="1">
      <c r="B987" s="19"/>
      <c r="C987" s="235"/>
      <c r="E987" s="10"/>
      <c r="F987" s="10"/>
    </row>
    <row r="988" ht="14.25" customHeight="1">
      <c r="B988" s="19"/>
      <c r="C988" s="235"/>
      <c r="E988" s="10"/>
      <c r="F988" s="10"/>
    </row>
    <row r="989" ht="14.25" customHeight="1">
      <c r="B989" s="19"/>
      <c r="C989" s="235"/>
      <c r="E989" s="10"/>
      <c r="F989" s="10"/>
    </row>
    <row r="990" ht="14.25" customHeight="1">
      <c r="B990" s="19"/>
      <c r="C990" s="235"/>
      <c r="E990" s="10"/>
      <c r="F990" s="10"/>
    </row>
    <row r="991" ht="14.25" customHeight="1">
      <c r="B991" s="19"/>
      <c r="C991" s="235"/>
      <c r="E991" s="10"/>
      <c r="F991" s="10"/>
    </row>
    <row r="992" ht="14.25" customHeight="1">
      <c r="B992" s="19"/>
      <c r="C992" s="235"/>
      <c r="E992" s="10"/>
      <c r="F992" s="10"/>
    </row>
    <row r="993" ht="14.25" customHeight="1">
      <c r="B993" s="19"/>
      <c r="C993" s="235"/>
      <c r="E993" s="10"/>
      <c r="F993" s="10"/>
    </row>
    <row r="994" ht="14.25" customHeight="1">
      <c r="B994" s="19"/>
      <c r="C994" s="235"/>
      <c r="E994" s="10"/>
      <c r="F994" s="10"/>
    </row>
    <row r="995" ht="14.25" customHeight="1">
      <c r="B995" s="19"/>
      <c r="C995" s="235"/>
      <c r="E995" s="10"/>
      <c r="F995" s="10"/>
    </row>
    <row r="996" ht="14.25" customHeight="1">
      <c r="B996" s="19"/>
      <c r="C996" s="235"/>
      <c r="E996" s="10"/>
      <c r="F996" s="10"/>
    </row>
    <row r="997" ht="14.25" customHeight="1">
      <c r="B997" s="19"/>
      <c r="C997" s="235"/>
      <c r="E997" s="10"/>
      <c r="F997" s="10"/>
    </row>
    <row r="998" ht="14.25" customHeight="1">
      <c r="B998" s="19"/>
      <c r="C998" s="235"/>
      <c r="E998" s="10"/>
      <c r="F998" s="10"/>
    </row>
    <row r="999" ht="14.25" customHeight="1">
      <c r="B999" s="19"/>
      <c r="C999" s="235"/>
      <c r="E999" s="10"/>
      <c r="F999" s="10"/>
    </row>
    <row r="1000" ht="14.25" customHeight="1">
      <c r="B1000" s="19"/>
      <c r="C1000" s="235"/>
      <c r="E1000" s="10"/>
      <c r="F1000" s="10"/>
    </row>
  </sheetData>
  <hyperlinks>
    <hyperlink r:id="rId1" ref="F4"/>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1.13"/>
    <col customWidth="1" min="3" max="3" width="16.13"/>
    <col customWidth="1" min="4" max="4" width="9.0"/>
    <col customWidth="1" min="5" max="5" width="15.5"/>
    <col customWidth="1" min="6" max="6" width="12.5"/>
    <col customWidth="1" min="7" max="26" width="7.63"/>
  </cols>
  <sheetData>
    <row r="1" ht="14.25" customHeight="1">
      <c r="B1" s="101" t="s">
        <v>3453</v>
      </c>
    </row>
    <row r="2" ht="14.25" customHeight="1">
      <c r="B2" s="272" t="s">
        <v>2703</v>
      </c>
    </row>
    <row r="3" ht="14.25" customHeight="1">
      <c r="B3" s="116" t="s">
        <v>2676</v>
      </c>
    </row>
    <row r="4" ht="14.25" customHeight="1">
      <c r="B4" s="57" t="s">
        <v>3456</v>
      </c>
    </row>
    <row r="5" ht="14.25" customHeight="1">
      <c r="B5" s="283" t="s">
        <v>3457</v>
      </c>
    </row>
    <row r="6" ht="14.25" customHeight="1"/>
    <row r="7" ht="14.25" customHeight="1">
      <c r="B7" s="32" t="s">
        <v>3464</v>
      </c>
      <c r="C7" s="36" t="s">
        <v>301</v>
      </c>
      <c r="D7" s="39" t="s">
        <v>302</v>
      </c>
    </row>
    <row r="8" ht="14.25" customHeight="1">
      <c r="B8" s="40" t="s">
        <v>41</v>
      </c>
      <c r="C8" s="10"/>
      <c r="D8" s="284">
        <v>9.0</v>
      </c>
    </row>
    <row r="9" ht="14.25" customHeight="1">
      <c r="B9" s="40" t="s">
        <v>15</v>
      </c>
      <c r="C9" s="10" t="s">
        <v>20</v>
      </c>
      <c r="D9" s="284">
        <v>7.0</v>
      </c>
    </row>
    <row r="10" ht="14.25" customHeight="1">
      <c r="B10" s="40" t="s">
        <v>48</v>
      </c>
      <c r="C10" s="10"/>
      <c r="D10" s="284">
        <v>58.0</v>
      </c>
    </row>
    <row r="11" ht="14.25" customHeight="1">
      <c r="B11" s="40" t="s">
        <v>30</v>
      </c>
      <c r="C11" s="10"/>
      <c r="D11" s="284">
        <v>12.0</v>
      </c>
    </row>
    <row r="12" ht="14.25" customHeight="1">
      <c r="B12" s="40" t="s">
        <v>42</v>
      </c>
      <c r="C12" s="10"/>
      <c r="D12" s="284">
        <v>4.0</v>
      </c>
    </row>
    <row r="13" ht="14.25" customHeight="1">
      <c r="B13" s="40"/>
      <c r="C13" s="10"/>
      <c r="D13" s="284"/>
    </row>
    <row r="14" ht="14.25" customHeight="1">
      <c r="B14" s="45" t="s">
        <v>302</v>
      </c>
      <c r="C14" s="48"/>
      <c r="D14" s="285">
        <f>SUM(D8:D13)</f>
        <v>90</v>
      </c>
    </row>
    <row r="15" ht="14.25" customHeight="1">
      <c r="B15" s="43"/>
      <c r="C15" s="44"/>
      <c r="D15" s="46"/>
    </row>
    <row r="16" ht="14.25" customHeight="1">
      <c r="B16" s="10"/>
      <c r="C16" s="10"/>
      <c r="D16" s="10"/>
      <c r="E16" s="10"/>
      <c r="F16" s="10"/>
      <c r="G16" s="10"/>
      <c r="H16" s="10"/>
      <c r="I16" s="10"/>
    </row>
    <row r="17" ht="14.25" customHeight="1">
      <c r="B17" s="286" t="s">
        <v>3479</v>
      </c>
      <c r="C17" s="287" t="s">
        <v>3483</v>
      </c>
      <c r="D17" s="287" t="s">
        <v>3485</v>
      </c>
      <c r="E17" s="287" t="s">
        <v>3486</v>
      </c>
      <c r="F17" s="287" t="s">
        <v>3487</v>
      </c>
      <c r="G17" s="10"/>
      <c r="H17" s="10"/>
      <c r="I17" s="10"/>
    </row>
    <row r="18" ht="14.25" customHeight="1">
      <c r="B18" s="288" t="s">
        <v>3488</v>
      </c>
      <c r="C18" s="289" t="s">
        <v>392</v>
      </c>
      <c r="D18" s="289" t="s">
        <v>595</v>
      </c>
      <c r="E18" s="289" t="s">
        <v>595</v>
      </c>
      <c r="F18" s="289" t="s">
        <v>3494</v>
      </c>
      <c r="G18" s="10"/>
      <c r="H18" s="10"/>
      <c r="I18" s="10"/>
    </row>
    <row r="19" ht="14.25" customHeight="1">
      <c r="B19" s="288" t="s">
        <v>3496</v>
      </c>
      <c r="C19" s="290" t="s">
        <v>3494</v>
      </c>
      <c r="D19" s="290" t="s">
        <v>3494</v>
      </c>
      <c r="E19" s="289" t="s">
        <v>392</v>
      </c>
      <c r="F19" s="289" t="s">
        <v>595</v>
      </c>
      <c r="G19" s="10"/>
      <c r="H19" s="10"/>
      <c r="I19" s="10"/>
    </row>
    <row r="20" ht="14.25" customHeight="1">
      <c r="B20" s="288"/>
      <c r="C20" s="289"/>
      <c r="D20" s="289"/>
      <c r="E20" s="289"/>
      <c r="F20" s="289"/>
      <c r="G20" s="10"/>
      <c r="H20" s="10"/>
      <c r="I20" s="10"/>
    </row>
    <row r="21" ht="14.25" customHeight="1">
      <c r="B21" s="10"/>
      <c r="C21" s="10"/>
      <c r="D21" s="10"/>
      <c r="E21" s="10"/>
      <c r="F21" s="10"/>
      <c r="G21" s="10"/>
      <c r="H21" s="10"/>
      <c r="I21" s="10"/>
    </row>
    <row r="22" ht="14.25" customHeight="1">
      <c r="B22" s="10"/>
      <c r="C22" s="10"/>
      <c r="D22" s="10"/>
      <c r="E22" s="10"/>
      <c r="F22" s="10"/>
      <c r="G22" s="10"/>
      <c r="H22" s="10"/>
      <c r="I22" s="10"/>
    </row>
    <row r="23" ht="14.25" customHeight="1"/>
    <row r="24" ht="14.25" customHeight="1">
      <c r="B24" s="291" t="s">
        <v>3505</v>
      </c>
    </row>
    <row r="25" ht="14.25" customHeight="1">
      <c r="B25" s="292" t="s">
        <v>172</v>
      </c>
      <c r="C25" s="8" t="s">
        <v>30</v>
      </c>
      <c r="D25" s="10" t="s">
        <v>173</v>
      </c>
      <c r="F25" s="10" t="s">
        <v>174</v>
      </c>
      <c r="I25" s="8">
        <v>1.0</v>
      </c>
    </row>
    <row r="26" ht="14.25" customHeight="1">
      <c r="B26" s="8" t="s">
        <v>3510</v>
      </c>
    </row>
    <row r="27" ht="14.25" customHeight="1"/>
    <row r="28" ht="14.25" customHeight="1"/>
    <row r="29" ht="14.25" customHeight="1"/>
    <row r="30" ht="14.25" customHeight="1">
      <c r="B30" s="291" t="s">
        <v>3456</v>
      </c>
    </row>
    <row r="31" ht="14.25" customHeight="1">
      <c r="A31" s="293"/>
      <c r="B31" s="294" t="s">
        <v>3516</v>
      </c>
      <c r="C31" s="293"/>
      <c r="D31" s="293"/>
      <c r="E31" s="293"/>
      <c r="F31" s="293"/>
      <c r="G31" s="293"/>
      <c r="H31" s="293"/>
      <c r="I31" s="293"/>
      <c r="J31" s="293"/>
      <c r="K31" s="293"/>
      <c r="L31" s="293"/>
      <c r="M31" s="293"/>
      <c r="N31" s="293"/>
      <c r="O31" s="293"/>
      <c r="P31" s="293"/>
      <c r="Q31" s="293"/>
      <c r="R31" s="293"/>
      <c r="S31" s="293"/>
      <c r="T31" s="293"/>
      <c r="U31" s="293"/>
      <c r="V31" s="293"/>
      <c r="W31" s="293"/>
      <c r="X31" s="293"/>
      <c r="Y31" s="293"/>
      <c r="Z31" s="293"/>
    </row>
    <row r="32" ht="14.25" customHeight="1">
      <c r="B32" s="295" t="s">
        <v>3522</v>
      </c>
      <c r="C32" s="296"/>
      <c r="D32" s="297" t="s">
        <v>3531</v>
      </c>
      <c r="E32" s="296"/>
      <c r="F32" s="298"/>
      <c r="G32" s="296"/>
      <c r="H32" s="296"/>
      <c r="I32" s="299" t="s">
        <v>3537</v>
      </c>
      <c r="J32" s="296"/>
    </row>
    <row r="33" ht="14.25" customHeight="1">
      <c r="B33" s="300" t="s">
        <v>3550</v>
      </c>
      <c r="C33" s="296"/>
      <c r="D33" s="301" t="s">
        <v>3552</v>
      </c>
      <c r="E33" s="296"/>
      <c r="F33" s="298"/>
      <c r="G33" s="296"/>
      <c r="H33" s="296"/>
      <c r="I33" s="299" t="s">
        <v>3558</v>
      </c>
      <c r="J33" s="296"/>
    </row>
    <row r="34" ht="14.25" customHeight="1">
      <c r="B34" s="302" t="s">
        <v>3563</v>
      </c>
      <c r="C34" s="296"/>
      <c r="D34" s="301" t="s">
        <v>3571</v>
      </c>
      <c r="E34" s="296"/>
      <c r="F34" s="296"/>
      <c r="G34" s="296"/>
      <c r="H34" s="296"/>
      <c r="I34" s="299" t="s">
        <v>3574</v>
      </c>
      <c r="J34" s="296"/>
    </row>
    <row r="35" ht="14.25" customHeight="1">
      <c r="B35" s="302" t="s">
        <v>3582</v>
      </c>
      <c r="C35" s="296"/>
      <c r="D35" s="301" t="s">
        <v>3584</v>
      </c>
      <c r="E35" s="296"/>
      <c r="G35" s="296"/>
      <c r="H35" s="299" t="s">
        <v>3586</v>
      </c>
      <c r="I35" s="296"/>
    </row>
    <row r="36" ht="14.25" customHeight="1">
      <c r="B36" s="302" t="s">
        <v>3596</v>
      </c>
      <c r="C36" s="296"/>
      <c r="D36" s="8" t="s">
        <v>3597</v>
      </c>
      <c r="E36" s="296"/>
      <c r="G36" s="296"/>
      <c r="H36" s="296"/>
      <c r="I36" s="299" t="s">
        <v>3598</v>
      </c>
      <c r="J36" s="296"/>
    </row>
    <row r="37" ht="14.25" customHeight="1"/>
    <row r="38" ht="14.25" customHeight="1">
      <c r="B38" s="303" t="s">
        <v>3608</v>
      </c>
      <c r="E38" s="304"/>
      <c r="F38" s="304"/>
      <c r="G38" s="304"/>
      <c r="H38" s="304"/>
      <c r="I38" s="305" t="s">
        <v>3611</v>
      </c>
    </row>
    <row r="39" ht="14.25" customHeight="1">
      <c r="B39" s="205"/>
      <c r="D39" s="205"/>
      <c r="H39" s="304"/>
      <c r="I39" s="304"/>
    </row>
    <row r="40" ht="14.25" customHeight="1">
      <c r="B40" s="205" t="s">
        <v>3613</v>
      </c>
      <c r="C40" s="205" t="s">
        <v>3614</v>
      </c>
      <c r="H40" s="304"/>
      <c r="I40" s="304"/>
    </row>
    <row r="41" ht="14.25" customHeight="1">
      <c r="B41" s="205" t="s">
        <v>1080</v>
      </c>
      <c r="C41" s="205" t="s">
        <v>3615</v>
      </c>
      <c r="D41" s="304"/>
      <c r="E41" s="304"/>
      <c r="F41" s="304"/>
      <c r="G41" s="304"/>
      <c r="H41" s="304"/>
      <c r="I41" s="304"/>
    </row>
    <row r="42" ht="14.25" customHeight="1">
      <c r="B42" s="105" t="s">
        <v>3616</v>
      </c>
      <c r="C42" s="105" t="s">
        <v>3617</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38:D38"/>
    <mergeCell ref="B39:C39"/>
    <mergeCell ref="D39:G39"/>
    <mergeCell ref="C40:G40"/>
  </mergeCells>
  <hyperlinks>
    <hyperlink r:id="rId1" ref="I32"/>
    <hyperlink r:id="rId2" ref="I33"/>
    <hyperlink r:id="rId3" ref="I34"/>
    <hyperlink r:id="rId4" ref="H35"/>
    <hyperlink r:id="rId5" ref="I36"/>
    <hyperlink r:id="rId6" ref="I38"/>
  </hyperlinks>
  <printOptions/>
  <pageMargins bottom="0.75" footer="0.0" header="0.0" left="0.7" right="0.7" top="0.75"/>
  <pageSetup orientation="landscape"/>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2019-11-07T20:21:00Z</dcterms:created>
  <dc:creator>Kim Mueller</dc:creator>
</cp:coreProperties>
</file>