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326"/>
  <workbookPr autoCompressPictures="0"/>
  <mc:AlternateContent xmlns:mc="http://schemas.openxmlformats.org/markup-compatibility/2006">
    <mc:Choice Requires="x15">
      <x15ac:absPath xmlns:x15ac="http://schemas.microsoft.com/office/spreadsheetml/2010/11/ac" url="C:\Users\tpatel\Desktop\"/>
    </mc:Choice>
  </mc:AlternateContent>
  <bookViews>
    <workbookView xWindow="0" yWindow="465" windowWidth="20490" windowHeight="6330" activeTab="3" xr2:uid="{00000000-000D-0000-FFFF-FFFF00000000}"/>
  </bookViews>
  <sheets>
    <sheet name="Summary Data" sheetId="33" r:id="rId1"/>
    <sheet name="AB testing" sheetId="30" state="hidden" r:id="rId2"/>
    <sheet name="Benefit Area Data" sheetId="47" r:id="rId3"/>
    <sheet name="Email" sheetId="44" r:id="rId4"/>
    <sheet name="Social" sheetId="36" r:id="rId5"/>
    <sheet name="CPA Over Time" sheetId="45" r:id="rId6"/>
    <sheet name="CPA Comparision" sheetId="46" r:id="rId7"/>
  </sheets>
  <externalReferences>
    <externalReference r:id="rId8"/>
    <externalReference r:id="rId9"/>
  </externalReferences>
  <definedNames>
    <definedName name="_xlnm.Print_Area" localSheetId="6">'CPA Comparision'!$A$1:$G$55</definedName>
  </definedNames>
  <calcPr calcId="17102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P652" i="44" l="1"/>
  <c r="N652" i="44"/>
  <c r="L652" i="44"/>
  <c r="J652" i="44"/>
  <c r="H652" i="44"/>
  <c r="F652" i="44"/>
  <c r="D652" i="44"/>
  <c r="C652" i="44"/>
  <c r="Q632" i="44"/>
  <c r="O632" i="44"/>
  <c r="M632" i="44"/>
  <c r="K632" i="44"/>
  <c r="I632" i="44"/>
  <c r="G632" i="44"/>
  <c r="D48" i="46"/>
  <c r="AJ212" i="47" l="1"/>
  <c r="E310" i="47"/>
  <c r="AD215" i="33"/>
  <c r="AB215" i="33"/>
  <c r="Z215" i="33"/>
  <c r="E215" i="33"/>
  <c r="AD209" i="33"/>
  <c r="AB209" i="33"/>
  <c r="AD210" i="33"/>
  <c r="AB210" i="33"/>
  <c r="AD211" i="33"/>
  <c r="AB211" i="33"/>
  <c r="AD212" i="33"/>
  <c r="AB212" i="33"/>
  <c r="AD213" i="33"/>
  <c r="AB213" i="33"/>
  <c r="AC215" i="33"/>
  <c r="AA215" i="33"/>
  <c r="Z213" i="33"/>
  <c r="L215" i="33"/>
  <c r="S215" i="33"/>
  <c r="T215" i="33"/>
  <c r="Z212" i="33"/>
  <c r="Z211" i="33"/>
  <c r="Z210" i="33"/>
  <c r="Z209" i="33"/>
  <c r="K215" i="33"/>
  <c r="F215" i="33"/>
  <c r="I215" i="33"/>
  <c r="E273" i="33"/>
  <c r="Q215" i="33"/>
  <c r="AD271" i="33"/>
  <c r="AB271" i="33"/>
  <c r="Z271" i="33"/>
  <c r="K652" i="44" l="1"/>
  <c r="Q652" i="44"/>
  <c r="O652" i="44"/>
  <c r="Q648" i="44"/>
  <c r="O648" i="44"/>
  <c r="M648" i="44"/>
  <c r="K648" i="44"/>
  <c r="I648" i="44"/>
  <c r="G648" i="44"/>
  <c r="Q644" i="44"/>
  <c r="O644" i="44"/>
  <c r="M644" i="44"/>
  <c r="K644" i="44"/>
  <c r="I644" i="44"/>
  <c r="G644" i="44"/>
  <c r="Q640" i="44"/>
  <c r="O640" i="44"/>
  <c r="M640" i="44"/>
  <c r="K640" i="44"/>
  <c r="I640" i="44"/>
  <c r="G640" i="44"/>
  <c r="Q636" i="44"/>
  <c r="O636" i="44"/>
  <c r="M636" i="44"/>
  <c r="K636" i="44"/>
  <c r="I636" i="44"/>
  <c r="G636" i="44"/>
  <c r="E57" i="45"/>
  <c r="F57" i="45"/>
  <c r="F56" i="45"/>
  <c r="E56" i="45"/>
  <c r="G56" i="45" s="1"/>
  <c r="F55" i="45"/>
  <c r="G55" i="45" s="1"/>
  <c r="E55" i="45"/>
  <c r="E54" i="45"/>
  <c r="F54" i="45"/>
  <c r="G57" i="45"/>
  <c r="E53" i="45"/>
  <c r="G53" i="45" s="1"/>
  <c r="AD270" i="33"/>
  <c r="AB270" i="33"/>
  <c r="Z270" i="33"/>
  <c r="X310" i="47"/>
  <c r="U310" i="47"/>
  <c r="P628" i="44"/>
  <c r="N628" i="44"/>
  <c r="L628" i="44"/>
  <c r="J628" i="44"/>
  <c r="H628" i="44"/>
  <c r="F628" i="44"/>
  <c r="D628" i="44"/>
  <c r="C628" i="44"/>
  <c r="Q625" i="44"/>
  <c r="O625" i="44"/>
  <c r="M625" i="44"/>
  <c r="K625" i="44"/>
  <c r="I625" i="44"/>
  <c r="G625" i="44"/>
  <c r="E625" i="44"/>
  <c r="Q621" i="44"/>
  <c r="O621" i="44"/>
  <c r="M621" i="44"/>
  <c r="K621" i="44"/>
  <c r="I621" i="44"/>
  <c r="G621" i="44"/>
  <c r="E621" i="44"/>
  <c r="Q617" i="44"/>
  <c r="O617" i="44"/>
  <c r="M617" i="44"/>
  <c r="K617" i="44"/>
  <c r="I617" i="44"/>
  <c r="G617" i="44"/>
  <c r="E617" i="44"/>
  <c r="Q613" i="44"/>
  <c r="O613" i="44"/>
  <c r="M613" i="44"/>
  <c r="K613" i="44"/>
  <c r="I613" i="44"/>
  <c r="G613" i="44"/>
  <c r="E613" i="44"/>
  <c r="Q609" i="44"/>
  <c r="O609" i="44"/>
  <c r="M609" i="44"/>
  <c r="K609" i="44"/>
  <c r="I609" i="44"/>
  <c r="G609" i="44"/>
  <c r="E609" i="44"/>
  <c r="Q605" i="44"/>
  <c r="O605" i="44"/>
  <c r="M605" i="44"/>
  <c r="K605" i="44"/>
  <c r="I605" i="44"/>
  <c r="G605" i="44"/>
  <c r="E605" i="44"/>
  <c r="Q601" i="44"/>
  <c r="O601" i="44"/>
  <c r="M601" i="44"/>
  <c r="K601" i="44"/>
  <c r="I601" i="44"/>
  <c r="G601" i="44"/>
  <c r="E601" i="44"/>
  <c r="Q597" i="44"/>
  <c r="O597" i="44"/>
  <c r="M597" i="44"/>
  <c r="K597" i="44"/>
  <c r="I597" i="44"/>
  <c r="G597" i="44"/>
  <c r="E597" i="44"/>
  <c r="Z269" i="33"/>
  <c r="AD310" i="47"/>
  <c r="AF310" i="47"/>
  <c r="AG310" i="47"/>
  <c r="AI310" i="47"/>
  <c r="AJ310" i="47"/>
  <c r="AC310" i="47"/>
  <c r="AA310" i="47"/>
  <c r="K310" i="47"/>
  <c r="I310" i="47"/>
  <c r="H310" i="47"/>
  <c r="F310" i="47"/>
  <c r="AI212" i="47"/>
  <c r="AG212" i="47"/>
  <c r="AF212" i="47"/>
  <c r="AD212" i="47"/>
  <c r="AC212" i="47"/>
  <c r="AA212" i="47"/>
  <c r="Z212" i="47"/>
  <c r="X212" i="47"/>
  <c r="W212" i="47"/>
  <c r="U212" i="47"/>
  <c r="T212" i="47"/>
  <c r="R212" i="47"/>
  <c r="Q212" i="47"/>
  <c r="O212" i="47"/>
  <c r="N212" i="47"/>
  <c r="L212" i="47"/>
  <c r="K212" i="47"/>
  <c r="I212" i="47"/>
  <c r="H212" i="47"/>
  <c r="F212" i="47"/>
  <c r="E212" i="47"/>
  <c r="G52" i="45"/>
  <c r="G54" i="45"/>
  <c r="E52" i="45"/>
  <c r="E51" i="45"/>
  <c r="G51" i="45" s="1"/>
  <c r="E50" i="45"/>
  <c r="G50" i="45" s="1"/>
  <c r="E49" i="45"/>
  <c r="G49" i="45" s="1"/>
  <c r="D47" i="46"/>
  <c r="AC273" i="33"/>
  <c r="AA273" i="33"/>
  <c r="T273" i="33"/>
  <c r="Q273" i="33"/>
  <c r="I273" i="33"/>
  <c r="AD208" i="33"/>
  <c r="AB208" i="33"/>
  <c r="Z208" i="33"/>
  <c r="AD207" i="33"/>
  <c r="AB207" i="33"/>
  <c r="Z207" i="33"/>
  <c r="AD206" i="33"/>
  <c r="AB206" i="33"/>
  <c r="Z206" i="33"/>
  <c r="AD205" i="33"/>
  <c r="AB205" i="33"/>
  <c r="Z205" i="33"/>
  <c r="AD204" i="33"/>
  <c r="AB204" i="33"/>
  <c r="Z204" i="33"/>
  <c r="I173" i="33"/>
  <c r="I174" i="33"/>
  <c r="P593" i="44"/>
  <c r="N593" i="44"/>
  <c r="L593" i="44"/>
  <c r="J593" i="44"/>
  <c r="H593" i="44"/>
  <c r="F593" i="44"/>
  <c r="D593" i="44"/>
  <c r="C593" i="44"/>
  <c r="Q590" i="44"/>
  <c r="O590" i="44"/>
  <c r="M590" i="44"/>
  <c r="K590" i="44"/>
  <c r="I590" i="44"/>
  <c r="G590" i="44"/>
  <c r="E590" i="44"/>
  <c r="Q586" i="44"/>
  <c r="O586" i="44"/>
  <c r="M586" i="44"/>
  <c r="K586" i="44"/>
  <c r="I586" i="44"/>
  <c r="G586" i="44"/>
  <c r="E586" i="44"/>
  <c r="Q582" i="44"/>
  <c r="O582" i="44"/>
  <c r="M582" i="44"/>
  <c r="K582" i="44"/>
  <c r="I582" i="44"/>
  <c r="G582" i="44"/>
  <c r="E582" i="44"/>
  <c r="Q578" i="44"/>
  <c r="O578" i="44"/>
  <c r="M578" i="44"/>
  <c r="K578" i="44"/>
  <c r="I578" i="44"/>
  <c r="G578" i="44"/>
  <c r="E578" i="44"/>
  <c r="Q574" i="44"/>
  <c r="O574" i="44"/>
  <c r="M574" i="44"/>
  <c r="K574" i="44"/>
  <c r="I574" i="44"/>
  <c r="G574" i="44"/>
  <c r="E574" i="44"/>
  <c r="Q570" i="44"/>
  <c r="O570" i="44"/>
  <c r="M570" i="44"/>
  <c r="K570" i="44"/>
  <c r="I570" i="44"/>
  <c r="G570" i="44"/>
  <c r="E570" i="44"/>
  <c r="Q566" i="44"/>
  <c r="O566" i="44"/>
  <c r="M566" i="44"/>
  <c r="K566" i="44"/>
  <c r="I566" i="44"/>
  <c r="G566" i="44"/>
  <c r="E566" i="44"/>
  <c r="Q562" i="44"/>
  <c r="O562" i="44"/>
  <c r="M562" i="44"/>
  <c r="K562" i="44"/>
  <c r="I562" i="44"/>
  <c r="G562" i="44"/>
  <c r="E562" i="44"/>
  <c r="Q558" i="44"/>
  <c r="O558" i="44"/>
  <c r="M558" i="44"/>
  <c r="K558" i="44"/>
  <c r="I558" i="44"/>
  <c r="G558" i="44"/>
  <c r="E558" i="44"/>
  <c r="Z310" i="47"/>
  <c r="W310" i="47"/>
  <c r="T310" i="47"/>
  <c r="R310" i="47"/>
  <c r="Q310" i="47"/>
  <c r="O310" i="47"/>
  <c r="N310" i="47"/>
  <c r="L310" i="47"/>
  <c r="AB269" i="33"/>
  <c r="F262" i="33"/>
  <c r="F273" i="33" s="1"/>
  <c r="E48" i="45"/>
  <c r="G48" i="45" s="1"/>
  <c r="E47" i="45"/>
  <c r="G47" i="45"/>
  <c r="E46" i="45"/>
  <c r="G46" i="45" s="1"/>
  <c r="E45" i="45"/>
  <c r="G45" i="45"/>
  <c r="D46" i="46"/>
  <c r="K262" i="33"/>
  <c r="K273" i="33" s="1"/>
  <c r="T262" i="33"/>
  <c r="Z260" i="33"/>
  <c r="Z261" i="33"/>
  <c r="Z273" i="33" s="1"/>
  <c r="Z262" i="33"/>
  <c r="Z267" i="33"/>
  <c r="Z268" i="33"/>
  <c r="AB264" i="33"/>
  <c r="AB265" i="33"/>
  <c r="AB266" i="33"/>
  <c r="AB267" i="33"/>
  <c r="AB268" i="33"/>
  <c r="AD260" i="33"/>
  <c r="AD273" i="33" s="1"/>
  <c r="AD261" i="33"/>
  <c r="AD262" i="33"/>
  <c r="AD265" i="33"/>
  <c r="AD266" i="33"/>
  <c r="AD267" i="33"/>
  <c r="AD268" i="33"/>
  <c r="AD269" i="33"/>
  <c r="S262" i="33"/>
  <c r="S273" i="33" s="1"/>
  <c r="L260" i="33"/>
  <c r="L261" i="33"/>
  <c r="L262" i="33"/>
  <c r="I262" i="33"/>
  <c r="AD203" i="33"/>
  <c r="AB203" i="33"/>
  <c r="Z203" i="33"/>
  <c r="AD202" i="33"/>
  <c r="AB202" i="33"/>
  <c r="AC202" i="33"/>
  <c r="AA202" i="33"/>
  <c r="Z202" i="33"/>
  <c r="AD201" i="33"/>
  <c r="AB201" i="33"/>
  <c r="Z201" i="33"/>
  <c r="AD200" i="33"/>
  <c r="AB200" i="33"/>
  <c r="AA200" i="33"/>
  <c r="Z200" i="33"/>
  <c r="AB179" i="33"/>
  <c r="AB180" i="33"/>
  <c r="AB181" i="33"/>
  <c r="AB182" i="33"/>
  <c r="AB183" i="33"/>
  <c r="AB184" i="33"/>
  <c r="AB185" i="33"/>
  <c r="AB186" i="33"/>
  <c r="AB187" i="33"/>
  <c r="AB188" i="33"/>
  <c r="AB189" i="33"/>
  <c r="AB190" i="33"/>
  <c r="AB191" i="33"/>
  <c r="AB192" i="33"/>
  <c r="AB193" i="33"/>
  <c r="AB194" i="33"/>
  <c r="AB195" i="33"/>
  <c r="AB196" i="33"/>
  <c r="AB197" i="33"/>
  <c r="AB198" i="33"/>
  <c r="AB199" i="33"/>
  <c r="AD165" i="33"/>
  <c r="AD166" i="33"/>
  <c r="AD167" i="33"/>
  <c r="AD168" i="33"/>
  <c r="AD169" i="33"/>
  <c r="AD170" i="33"/>
  <c r="AD171" i="33"/>
  <c r="AD172" i="33"/>
  <c r="AD173" i="33"/>
  <c r="AD174" i="33"/>
  <c r="AD179" i="33"/>
  <c r="AD180" i="33"/>
  <c r="AD181" i="33"/>
  <c r="AD182" i="33"/>
  <c r="AD183" i="33"/>
  <c r="AD184" i="33"/>
  <c r="AD185" i="33"/>
  <c r="AD186" i="33"/>
  <c r="AD187" i="33"/>
  <c r="AD188" i="33"/>
  <c r="AD189" i="33"/>
  <c r="AD190" i="33"/>
  <c r="AD191" i="33"/>
  <c r="AD192" i="33"/>
  <c r="AD193" i="33"/>
  <c r="AD194" i="33"/>
  <c r="AD195" i="33"/>
  <c r="AD196" i="33"/>
  <c r="AD197" i="33"/>
  <c r="AD198" i="33"/>
  <c r="AD199" i="33"/>
  <c r="T173" i="33"/>
  <c r="Z165" i="33"/>
  <c r="Z166" i="33"/>
  <c r="Z167" i="33"/>
  <c r="Z168" i="33"/>
  <c r="Z169" i="33"/>
  <c r="Z170" i="33"/>
  <c r="Z171" i="33"/>
  <c r="Z172" i="33"/>
  <c r="Z173" i="33"/>
  <c r="Z174" i="33"/>
  <c r="Z192" i="33"/>
  <c r="Z193" i="33"/>
  <c r="Z194" i="33"/>
  <c r="Z195" i="33"/>
  <c r="Z196" i="33"/>
  <c r="Z197" i="33"/>
  <c r="Z198" i="33"/>
  <c r="Z199" i="33"/>
  <c r="S173" i="33"/>
  <c r="Q173" i="33"/>
  <c r="L165" i="33"/>
  <c r="L166" i="33"/>
  <c r="L167" i="33"/>
  <c r="L168" i="33"/>
  <c r="L169" i="33"/>
  <c r="L170" i="33"/>
  <c r="L171" i="33"/>
  <c r="L172" i="33"/>
  <c r="L173" i="33"/>
  <c r="K173" i="33"/>
  <c r="K174" i="33"/>
  <c r="F173" i="33"/>
  <c r="P554" i="44"/>
  <c r="N554" i="44"/>
  <c r="L554" i="44"/>
  <c r="D554" i="44"/>
  <c r="M554" i="44" s="1"/>
  <c r="J554" i="44"/>
  <c r="H554" i="44"/>
  <c r="F554" i="44"/>
  <c r="C554" i="44"/>
  <c r="Q551" i="44"/>
  <c r="O551" i="44"/>
  <c r="M551" i="44"/>
  <c r="K551" i="44"/>
  <c r="I551" i="44"/>
  <c r="G551" i="44"/>
  <c r="E551" i="44"/>
  <c r="Q547" i="44"/>
  <c r="O547" i="44"/>
  <c r="M547" i="44"/>
  <c r="K547" i="44"/>
  <c r="I547" i="44"/>
  <c r="G547" i="44"/>
  <c r="E547" i="44"/>
  <c r="Q543" i="44"/>
  <c r="O543" i="44"/>
  <c r="M543" i="44"/>
  <c r="K543" i="44"/>
  <c r="I543" i="44"/>
  <c r="G543" i="44"/>
  <c r="E543" i="44"/>
  <c r="Q539" i="44"/>
  <c r="O539" i="44"/>
  <c r="M539" i="44"/>
  <c r="K539" i="44"/>
  <c r="I539" i="44"/>
  <c r="G539" i="44"/>
  <c r="E539" i="44"/>
  <c r="Q535" i="44"/>
  <c r="O535" i="44"/>
  <c r="M535" i="44"/>
  <c r="K535" i="44"/>
  <c r="I535" i="44"/>
  <c r="G535" i="44"/>
  <c r="E535" i="44"/>
  <c r="N527" i="44"/>
  <c r="C527" i="44"/>
  <c r="Q531" i="44"/>
  <c r="O531" i="44"/>
  <c r="M531" i="44"/>
  <c r="K531" i="44"/>
  <c r="I531" i="44"/>
  <c r="G531" i="44"/>
  <c r="E531" i="44"/>
  <c r="E40" i="45"/>
  <c r="G40" i="45" s="1"/>
  <c r="E41" i="45"/>
  <c r="G41" i="45"/>
  <c r="E42" i="45"/>
  <c r="G42" i="45" s="1"/>
  <c r="E43" i="45"/>
  <c r="G43" i="45"/>
  <c r="E44" i="45"/>
  <c r="G44" i="45" s="1"/>
  <c r="G39" i="45"/>
  <c r="D45" i="46"/>
  <c r="P527" i="44"/>
  <c r="L527" i="44"/>
  <c r="H527" i="44"/>
  <c r="J527" i="44"/>
  <c r="F527" i="44"/>
  <c r="D527" i="44"/>
  <c r="Q524" i="44"/>
  <c r="O524" i="44"/>
  <c r="M524" i="44"/>
  <c r="K524" i="44"/>
  <c r="I524" i="44"/>
  <c r="G524" i="44"/>
  <c r="E524" i="44"/>
  <c r="Q520" i="44"/>
  <c r="O520" i="44"/>
  <c r="M520" i="44"/>
  <c r="K520" i="44"/>
  <c r="I520" i="44"/>
  <c r="G520" i="44"/>
  <c r="E520" i="44"/>
  <c r="Q516" i="44"/>
  <c r="O516" i="44"/>
  <c r="M516" i="44"/>
  <c r="K516" i="44"/>
  <c r="I516" i="44"/>
  <c r="G516" i="44"/>
  <c r="E516" i="44"/>
  <c r="Q512" i="44"/>
  <c r="O512" i="44"/>
  <c r="M512" i="44"/>
  <c r="K512" i="44"/>
  <c r="I512" i="44"/>
  <c r="G512" i="44"/>
  <c r="E512" i="44"/>
  <c r="G38" i="45"/>
  <c r="G37" i="45"/>
  <c r="G36" i="45"/>
  <c r="D44" i="46"/>
  <c r="P490" i="44"/>
  <c r="N490" i="44"/>
  <c r="N493" i="44" s="1"/>
  <c r="L490" i="44"/>
  <c r="L493" i="44" s="1"/>
  <c r="J490" i="44"/>
  <c r="J493" i="44"/>
  <c r="H490" i="44"/>
  <c r="H493" i="44" s="1"/>
  <c r="F490" i="44"/>
  <c r="F493" i="44" s="1"/>
  <c r="D490" i="44"/>
  <c r="D493" i="44"/>
  <c r="C490" i="44"/>
  <c r="C493" i="44" s="1"/>
  <c r="C508" i="44"/>
  <c r="P508" i="44"/>
  <c r="N508" i="44"/>
  <c r="L508" i="44"/>
  <c r="J508" i="44"/>
  <c r="H508" i="44"/>
  <c r="F508" i="44"/>
  <c r="D508" i="44"/>
  <c r="G35" i="45"/>
  <c r="G34" i="45"/>
  <c r="G33" i="45"/>
  <c r="G32" i="45"/>
  <c r="Q501" i="44"/>
  <c r="Q505" i="44"/>
  <c r="O501" i="44"/>
  <c r="O505" i="44"/>
  <c r="M501" i="44"/>
  <c r="M505" i="44"/>
  <c r="K501" i="44"/>
  <c r="K505" i="44"/>
  <c r="I501" i="44"/>
  <c r="I505" i="44"/>
  <c r="G501" i="44"/>
  <c r="G505" i="44"/>
  <c r="E501" i="44"/>
  <c r="E505" i="44"/>
  <c r="Q497" i="44"/>
  <c r="M497" i="44"/>
  <c r="K497" i="44"/>
  <c r="I497" i="44"/>
  <c r="G497" i="44"/>
  <c r="E497" i="44"/>
  <c r="O497" i="44"/>
  <c r="B43" i="46"/>
  <c r="D43" i="46"/>
  <c r="O31" i="36"/>
  <c r="Q486" i="44"/>
  <c r="O486" i="44"/>
  <c r="M486" i="44"/>
  <c r="K486" i="44"/>
  <c r="I486" i="44"/>
  <c r="G486" i="44"/>
  <c r="E486" i="44"/>
  <c r="Q482" i="44"/>
  <c r="O482" i="44"/>
  <c r="M482" i="44"/>
  <c r="K482" i="44"/>
  <c r="I482" i="44"/>
  <c r="G482" i="44"/>
  <c r="E482" i="44"/>
  <c r="G31" i="45"/>
  <c r="G30" i="45"/>
  <c r="G29" i="45"/>
  <c r="G28" i="45"/>
  <c r="G27" i="45"/>
  <c r="G215" i="33"/>
  <c r="J215" i="33"/>
  <c r="I490" i="44"/>
  <c r="K490" i="44"/>
  <c r="J273" i="33"/>
  <c r="D42" i="46"/>
  <c r="N478" i="44"/>
  <c r="J478" i="44"/>
  <c r="L478" i="44"/>
  <c r="H478" i="44"/>
  <c r="F478" i="44"/>
  <c r="G23" i="45"/>
  <c r="G24" i="45"/>
  <c r="G25" i="45"/>
  <c r="G26" i="45"/>
  <c r="E475" i="44"/>
  <c r="Q475" i="44"/>
  <c r="O475" i="44"/>
  <c r="M475" i="44"/>
  <c r="K475" i="44"/>
  <c r="I475" i="44"/>
  <c r="G475" i="44"/>
  <c r="I7" i="44"/>
  <c r="J7" i="44"/>
  <c r="I8" i="44"/>
  <c r="J8" i="44"/>
  <c r="D478" i="44"/>
  <c r="C478" i="44"/>
  <c r="M457" i="44"/>
  <c r="D41" i="46"/>
  <c r="G22" i="45"/>
  <c r="G21" i="45"/>
  <c r="G20" i="45"/>
  <c r="G19" i="45"/>
  <c r="D39" i="46"/>
  <c r="N178" i="33"/>
  <c r="M178" i="33"/>
  <c r="N177" i="33"/>
  <c r="M177" i="33"/>
  <c r="N176" i="33"/>
  <c r="M176" i="33"/>
  <c r="N175" i="33"/>
  <c r="M175" i="33"/>
  <c r="J13" i="44"/>
  <c r="J12" i="44"/>
  <c r="I13" i="44"/>
  <c r="I12" i="44"/>
  <c r="X215" i="33"/>
  <c r="C471" i="44"/>
  <c r="O471" i="44" s="1"/>
  <c r="D471" i="44"/>
  <c r="K471" i="44" s="1"/>
  <c r="O468" i="44"/>
  <c r="E468" i="44"/>
  <c r="M468" i="44"/>
  <c r="G468" i="44"/>
  <c r="I468" i="44"/>
  <c r="Q468" i="44"/>
  <c r="K468" i="44"/>
  <c r="H173" i="33"/>
  <c r="H215" i="33"/>
  <c r="H262" i="33"/>
  <c r="H273" i="33" s="1"/>
  <c r="G262" i="33"/>
  <c r="G273" i="33"/>
  <c r="G261" i="33"/>
  <c r="G260" i="33"/>
  <c r="D40" i="46"/>
  <c r="V215" i="33"/>
  <c r="V273" i="33"/>
  <c r="N262" i="33"/>
  <c r="M262" i="33"/>
  <c r="N261" i="33"/>
  <c r="N260" i="33"/>
  <c r="M261" i="33"/>
  <c r="M260" i="33"/>
  <c r="M273" i="33" s="1"/>
  <c r="O215" i="33"/>
  <c r="N173" i="33"/>
  <c r="M173" i="33"/>
  <c r="N172" i="33"/>
  <c r="M172" i="33"/>
  <c r="N171" i="33"/>
  <c r="M171" i="33"/>
  <c r="N170" i="33"/>
  <c r="M170" i="33"/>
  <c r="N169" i="33"/>
  <c r="M169" i="33"/>
  <c r="N168" i="33"/>
  <c r="M168" i="33"/>
  <c r="N167" i="33"/>
  <c r="M167" i="33"/>
  <c r="N166" i="33"/>
  <c r="M166" i="33"/>
  <c r="M165" i="33"/>
  <c r="M215" i="33"/>
  <c r="N165" i="33"/>
  <c r="N215" i="33" s="1"/>
  <c r="D28" i="46"/>
  <c r="D29" i="46"/>
  <c r="D30" i="46"/>
  <c r="D32" i="46"/>
  <c r="D33" i="46"/>
  <c r="D34" i="46"/>
  <c r="D36" i="46"/>
  <c r="D37" i="46"/>
  <c r="P464" i="44"/>
  <c r="N464" i="44"/>
  <c r="L464" i="44"/>
  <c r="J464" i="44"/>
  <c r="H464" i="44"/>
  <c r="F464" i="44"/>
  <c r="D464" i="44"/>
  <c r="C464" i="44"/>
  <c r="O464" i="44" s="1"/>
  <c r="Q461" i="44"/>
  <c r="O461" i="44"/>
  <c r="M461" i="44"/>
  <c r="K461" i="44"/>
  <c r="I461" i="44"/>
  <c r="G461" i="44"/>
  <c r="E461" i="44"/>
  <c r="R457" i="44"/>
  <c r="S457" i="44" s="1"/>
  <c r="Q457" i="44"/>
  <c r="O457" i="44"/>
  <c r="K457" i="44"/>
  <c r="I457" i="44"/>
  <c r="G457" i="44"/>
  <c r="E457" i="44"/>
  <c r="R453" i="44"/>
  <c r="S453" i="44" s="1"/>
  <c r="Q453" i="44"/>
  <c r="O453" i="44"/>
  <c r="M453" i="44"/>
  <c r="K453" i="44"/>
  <c r="I453" i="44"/>
  <c r="G453" i="44"/>
  <c r="E453" i="44"/>
  <c r="Q445" i="44"/>
  <c r="O445" i="44"/>
  <c r="M445" i="44"/>
  <c r="K445" i="44"/>
  <c r="I445" i="44"/>
  <c r="G445" i="44"/>
  <c r="E445" i="44"/>
  <c r="R317" i="44"/>
  <c r="S317" i="44" s="1"/>
  <c r="R297" i="44"/>
  <c r="S297" i="44" s="1"/>
  <c r="R301" i="44"/>
  <c r="S301" i="44" s="1"/>
  <c r="R309" i="44"/>
  <c r="S309" i="44" s="1"/>
  <c r="R313" i="44"/>
  <c r="S313" i="44" s="1"/>
  <c r="R325" i="44"/>
  <c r="S325" i="44" s="1"/>
  <c r="R329" i="44"/>
  <c r="S329" i="44" s="1"/>
  <c r="R333" i="44"/>
  <c r="S333" i="44" s="1"/>
  <c r="R337" i="44"/>
  <c r="S337" i="44" s="1"/>
  <c r="R341" i="44"/>
  <c r="S341" i="44" s="1"/>
  <c r="R345" i="44"/>
  <c r="S345" i="44" s="1"/>
  <c r="R353" i="44"/>
  <c r="S353" i="44" s="1"/>
  <c r="R357" i="44"/>
  <c r="S357" i="44" s="1"/>
  <c r="R361" i="44"/>
  <c r="S361" i="44" s="1"/>
  <c r="R365" i="44"/>
  <c r="S365" i="44" s="1"/>
  <c r="R373" i="44"/>
  <c r="S373" i="44" s="1"/>
  <c r="R377" i="44"/>
  <c r="S377" i="44" s="1"/>
  <c r="R381" i="44"/>
  <c r="S381" i="44" s="1"/>
  <c r="R385" i="44"/>
  <c r="S385" i="44" s="1"/>
  <c r="R389" i="44"/>
  <c r="S389" i="44" s="1"/>
  <c r="R393" i="44"/>
  <c r="S393" i="44" s="1"/>
  <c r="R401" i="44"/>
  <c r="S401" i="44" s="1"/>
  <c r="R405" i="44"/>
  <c r="S405" i="44" s="1"/>
  <c r="R409" i="44"/>
  <c r="S409" i="44" s="1"/>
  <c r="R413" i="44"/>
  <c r="S413" i="44" s="1"/>
  <c r="R421" i="44"/>
  <c r="S421" i="44" s="1"/>
  <c r="R425" i="44"/>
  <c r="S425" i="44" s="1"/>
  <c r="R429" i="44"/>
  <c r="S429" i="44" s="1"/>
  <c r="R437" i="44"/>
  <c r="S437" i="44" s="1"/>
  <c r="R441" i="44"/>
  <c r="S441" i="44" s="1"/>
  <c r="R281" i="44"/>
  <c r="S281" i="44" s="1"/>
  <c r="R285" i="44"/>
  <c r="S285" i="44" s="1"/>
  <c r="R289" i="44"/>
  <c r="S289" i="44" s="1"/>
  <c r="R273" i="44"/>
  <c r="S273" i="44" s="1"/>
  <c r="P448" i="44"/>
  <c r="N448" i="44"/>
  <c r="L448" i="44"/>
  <c r="J448" i="44"/>
  <c r="H448" i="44"/>
  <c r="F448" i="44"/>
  <c r="D448" i="44"/>
  <c r="C448" i="44"/>
  <c r="Q441" i="44"/>
  <c r="O441" i="44"/>
  <c r="M441" i="44"/>
  <c r="K441" i="44"/>
  <c r="I441" i="44"/>
  <c r="G441" i="44"/>
  <c r="E441" i="44"/>
  <c r="Q437" i="44"/>
  <c r="O437" i="44"/>
  <c r="M437" i="44"/>
  <c r="K437" i="44"/>
  <c r="I437" i="44"/>
  <c r="G437" i="44"/>
  <c r="E437" i="44"/>
  <c r="P432" i="44"/>
  <c r="N432" i="44"/>
  <c r="L432" i="44"/>
  <c r="H432" i="44"/>
  <c r="D432" i="44"/>
  <c r="J432" i="44"/>
  <c r="F432" i="44"/>
  <c r="C432" i="44"/>
  <c r="Q429" i="44"/>
  <c r="O429" i="44"/>
  <c r="M429" i="44"/>
  <c r="K429" i="44"/>
  <c r="I429" i="44"/>
  <c r="G429" i="44"/>
  <c r="E429" i="44"/>
  <c r="E413" i="44"/>
  <c r="G413" i="44"/>
  <c r="I413" i="44"/>
  <c r="K413" i="44"/>
  <c r="M413" i="44"/>
  <c r="O413" i="44"/>
  <c r="Q413" i="44"/>
  <c r="C416" i="44"/>
  <c r="D416" i="44"/>
  <c r="E416" i="44" s="1"/>
  <c r="F416" i="44"/>
  <c r="H416" i="44"/>
  <c r="J416" i="44"/>
  <c r="L416" i="44"/>
  <c r="N416" i="44"/>
  <c r="P416" i="44"/>
  <c r="Q425" i="44"/>
  <c r="O425" i="44"/>
  <c r="M425" i="44"/>
  <c r="K425" i="44"/>
  <c r="I425" i="44"/>
  <c r="G425" i="44"/>
  <c r="E425" i="44"/>
  <c r="Q421" i="44"/>
  <c r="O421" i="44"/>
  <c r="M421" i="44"/>
  <c r="K421" i="44"/>
  <c r="I421" i="44"/>
  <c r="G421" i="44"/>
  <c r="E421" i="44"/>
  <c r="O273" i="44"/>
  <c r="O276" i="44" s="1"/>
  <c r="O281" i="44"/>
  <c r="O285" i="44"/>
  <c r="O289" i="44"/>
  <c r="O297" i="44"/>
  <c r="O301" i="44"/>
  <c r="O309" i="44"/>
  <c r="O313" i="44"/>
  <c r="O317" i="44"/>
  <c r="O325" i="44"/>
  <c r="O329" i="44"/>
  <c r="O333" i="44"/>
  <c r="O337" i="44"/>
  <c r="O341" i="44"/>
  <c r="O345" i="44"/>
  <c r="O353" i="44"/>
  <c r="O357" i="44"/>
  <c r="O361" i="44"/>
  <c r="O365" i="44"/>
  <c r="O373" i="44"/>
  <c r="O377" i="44"/>
  <c r="O381" i="44"/>
  <c r="O385" i="44"/>
  <c r="O389" i="44"/>
  <c r="O393" i="44"/>
  <c r="O401" i="44"/>
  <c r="O405" i="44"/>
  <c r="O409" i="44"/>
  <c r="Q409" i="44"/>
  <c r="M409" i="44"/>
  <c r="K409" i="44"/>
  <c r="I409" i="44"/>
  <c r="G409" i="44"/>
  <c r="E409" i="44"/>
  <c r="Q405" i="44"/>
  <c r="M405" i="44"/>
  <c r="K405" i="44"/>
  <c r="I405" i="44"/>
  <c r="G405" i="44"/>
  <c r="E405" i="44"/>
  <c r="Q401" i="44"/>
  <c r="M401" i="44"/>
  <c r="K401" i="44"/>
  <c r="I401" i="44"/>
  <c r="G401" i="44"/>
  <c r="E401" i="44"/>
  <c r="P396" i="44"/>
  <c r="N396" i="44"/>
  <c r="L396" i="44"/>
  <c r="J396" i="44"/>
  <c r="H396" i="44"/>
  <c r="F396" i="44"/>
  <c r="D396" i="44"/>
  <c r="C396" i="44"/>
  <c r="Q393" i="44"/>
  <c r="M393" i="44"/>
  <c r="K393" i="44"/>
  <c r="I393" i="44"/>
  <c r="G393" i="44"/>
  <c r="E393" i="44"/>
  <c r="Q389" i="44"/>
  <c r="M389" i="44"/>
  <c r="K389" i="44"/>
  <c r="I389" i="44"/>
  <c r="G389" i="44"/>
  <c r="E389" i="44"/>
  <c r="Q385" i="44"/>
  <c r="M385" i="44"/>
  <c r="K385" i="44"/>
  <c r="I385" i="44"/>
  <c r="G385" i="44"/>
  <c r="E385" i="44"/>
  <c r="Q381" i="44"/>
  <c r="M381" i="44"/>
  <c r="K381" i="44"/>
  <c r="I381" i="44"/>
  <c r="G381" i="44"/>
  <c r="E381" i="44"/>
  <c r="Q377" i="44"/>
  <c r="M377" i="44"/>
  <c r="K377" i="44"/>
  <c r="I377" i="44"/>
  <c r="G377" i="44"/>
  <c r="E377" i="44"/>
  <c r="Q373" i="44"/>
  <c r="M373" i="44"/>
  <c r="K373" i="44"/>
  <c r="I373" i="44"/>
  <c r="G373" i="44"/>
  <c r="E373" i="44"/>
  <c r="E273" i="44"/>
  <c r="E276" i="44" s="1"/>
  <c r="G273" i="44"/>
  <c r="G276" i="44" s="1"/>
  <c r="I273" i="44"/>
  <c r="I276" i="44" s="1"/>
  <c r="K273" i="44"/>
  <c r="K276" i="44" s="1"/>
  <c r="M273" i="44"/>
  <c r="M276" i="44" s="1"/>
  <c r="Q273" i="44"/>
  <c r="Q276" i="44" s="1"/>
  <c r="C276" i="44"/>
  <c r="D276" i="44"/>
  <c r="F276" i="44"/>
  <c r="H276" i="44"/>
  <c r="J276" i="44"/>
  <c r="L276" i="44"/>
  <c r="N276" i="44"/>
  <c r="P276" i="44"/>
  <c r="E281" i="44"/>
  <c r="G281" i="44"/>
  <c r="I281" i="44"/>
  <c r="K281" i="44"/>
  <c r="M281" i="44"/>
  <c r="Q281" i="44"/>
  <c r="E285" i="44"/>
  <c r="G285" i="44"/>
  <c r="I285" i="44"/>
  <c r="K285" i="44"/>
  <c r="M285" i="44"/>
  <c r="Q285" i="44"/>
  <c r="E289" i="44"/>
  <c r="G289" i="44"/>
  <c r="I289" i="44"/>
  <c r="K289" i="44"/>
  <c r="M289" i="44"/>
  <c r="Q289" i="44"/>
  <c r="C292" i="44"/>
  <c r="D292" i="44"/>
  <c r="F292" i="44"/>
  <c r="H292" i="44"/>
  <c r="H304" i="44" s="1"/>
  <c r="J292" i="44"/>
  <c r="J304" i="44" s="1"/>
  <c r="K304" i="44" s="1"/>
  <c r="L292" i="44"/>
  <c r="L304" i="44" s="1"/>
  <c r="N292" i="44"/>
  <c r="N304" i="44" s="1"/>
  <c r="P292" i="44"/>
  <c r="P304" i="44" s="1"/>
  <c r="E297" i="44"/>
  <c r="G297" i="44"/>
  <c r="I297" i="44"/>
  <c r="K297" i="44"/>
  <c r="M297" i="44"/>
  <c r="Q297" i="44"/>
  <c r="E301" i="44"/>
  <c r="G301" i="44"/>
  <c r="I301" i="44"/>
  <c r="K301" i="44"/>
  <c r="M301" i="44"/>
  <c r="Q301" i="44"/>
  <c r="C304" i="44"/>
  <c r="D304" i="44"/>
  <c r="E309" i="44"/>
  <c r="G309" i="44"/>
  <c r="I309" i="44"/>
  <c r="K309" i="44"/>
  <c r="M309" i="44"/>
  <c r="Q309" i="44"/>
  <c r="E313" i="44"/>
  <c r="G313" i="44"/>
  <c r="I313" i="44"/>
  <c r="K313" i="44"/>
  <c r="M313" i="44"/>
  <c r="Q313" i="44"/>
  <c r="E317" i="44"/>
  <c r="G317" i="44"/>
  <c r="I317" i="44"/>
  <c r="K317" i="44"/>
  <c r="M317" i="44"/>
  <c r="Q317" i="44"/>
  <c r="C320" i="44"/>
  <c r="D320" i="44"/>
  <c r="F320" i="44"/>
  <c r="H320" i="44"/>
  <c r="J320" i="44"/>
  <c r="L320" i="44"/>
  <c r="N320" i="44"/>
  <c r="P320" i="44"/>
  <c r="E325" i="44"/>
  <c r="G325" i="44"/>
  <c r="I325" i="44"/>
  <c r="K325" i="44"/>
  <c r="M325" i="44"/>
  <c r="Q325" i="44"/>
  <c r="E329" i="44"/>
  <c r="G329" i="44"/>
  <c r="I329" i="44"/>
  <c r="K329" i="44"/>
  <c r="M329" i="44"/>
  <c r="Q329" i="44"/>
  <c r="E333" i="44"/>
  <c r="G333" i="44"/>
  <c r="I333" i="44"/>
  <c r="K333" i="44"/>
  <c r="M333" i="44"/>
  <c r="Q333" i="44"/>
  <c r="E337" i="44"/>
  <c r="G337" i="44"/>
  <c r="I337" i="44"/>
  <c r="K337" i="44"/>
  <c r="M337" i="44"/>
  <c r="Q337" i="44"/>
  <c r="E341" i="44"/>
  <c r="G341" i="44"/>
  <c r="I341" i="44"/>
  <c r="K341" i="44"/>
  <c r="M341" i="44"/>
  <c r="Q341" i="44"/>
  <c r="E345" i="44"/>
  <c r="G345" i="44"/>
  <c r="I345" i="44"/>
  <c r="K345" i="44"/>
  <c r="M345" i="44"/>
  <c r="Q345" i="44"/>
  <c r="C348" i="44"/>
  <c r="D348" i="44"/>
  <c r="F348" i="44"/>
  <c r="G348" i="44" s="1"/>
  <c r="H348" i="44"/>
  <c r="L348" i="44"/>
  <c r="J348" i="44"/>
  <c r="N348" i="44"/>
  <c r="P348" i="44"/>
  <c r="E353" i="44"/>
  <c r="G353" i="44"/>
  <c r="I353" i="44"/>
  <c r="K353" i="44"/>
  <c r="M353" i="44"/>
  <c r="Q353" i="44"/>
  <c r="E357" i="44"/>
  <c r="G357" i="44"/>
  <c r="I357" i="44"/>
  <c r="K357" i="44"/>
  <c r="M357" i="44"/>
  <c r="Q357" i="44"/>
  <c r="E361" i="44"/>
  <c r="G361" i="44"/>
  <c r="I361" i="44"/>
  <c r="K361" i="44"/>
  <c r="M361" i="44"/>
  <c r="Q361" i="44"/>
  <c r="E365" i="44"/>
  <c r="G365" i="44"/>
  <c r="I365" i="44"/>
  <c r="K365" i="44"/>
  <c r="M365" i="44"/>
  <c r="Q365" i="44"/>
  <c r="C368" i="44"/>
  <c r="D368" i="44"/>
  <c r="F368" i="44"/>
  <c r="H368" i="44"/>
  <c r="J368" i="44"/>
  <c r="L368" i="44"/>
  <c r="M368" i="44" s="1"/>
  <c r="N368" i="44"/>
  <c r="P368" i="44"/>
  <c r="X273" i="33"/>
  <c r="K13" i="36"/>
  <c r="G13" i="36"/>
  <c r="C13" i="36"/>
  <c r="K12" i="36"/>
  <c r="G12" i="36"/>
  <c r="C12" i="36"/>
  <c r="K11" i="36"/>
  <c r="G11" i="36"/>
  <c r="C11" i="36"/>
  <c r="K10" i="36"/>
  <c r="G10" i="36"/>
  <c r="C10" i="36"/>
  <c r="E4" i="30"/>
  <c r="K6" i="30" s="1"/>
  <c r="E9" i="30"/>
  <c r="L9" i="30"/>
  <c r="R62" i="30"/>
  <c r="Q62" i="30" s="1"/>
  <c r="E61" i="30"/>
  <c r="K62" i="30"/>
  <c r="E62" i="30"/>
  <c r="L62" i="30"/>
  <c r="R61" i="30"/>
  <c r="Q61" i="30" s="1"/>
  <c r="E10" i="30"/>
  <c r="L10" i="30"/>
  <c r="E8" i="30"/>
  <c r="L8" i="30" s="1"/>
  <c r="E7" i="30"/>
  <c r="L7" i="30"/>
  <c r="E6" i="30"/>
  <c r="L6" i="30" s="1"/>
  <c r="M6" i="30" s="1"/>
  <c r="N6" i="30" s="1"/>
  <c r="E5" i="30"/>
  <c r="L5" i="30"/>
  <c r="K5" i="30"/>
  <c r="K10" i="30"/>
  <c r="K8" i="30"/>
  <c r="K7" i="30"/>
  <c r="M292" i="44"/>
  <c r="K348" i="44"/>
  <c r="E490" i="44"/>
  <c r="I508" i="44"/>
  <c r="R448" i="44"/>
  <c r="M416" i="44" l="1"/>
  <c r="I416" i="44"/>
  <c r="K416" i="44"/>
  <c r="K628" i="44"/>
  <c r="O396" i="44"/>
  <c r="Q416" i="44"/>
  <c r="R416" i="44"/>
  <c r="O432" i="44"/>
  <c r="O448" i="44"/>
  <c r="G554" i="44"/>
  <c r="I593" i="44"/>
  <c r="O292" i="44"/>
  <c r="R368" i="44"/>
  <c r="S368" i="44" s="1"/>
  <c r="I304" i="44"/>
  <c r="R276" i="44"/>
  <c r="S276" i="44" s="1"/>
  <c r="O416" i="44"/>
  <c r="G432" i="44"/>
  <c r="Q554" i="44"/>
  <c r="Q593" i="44"/>
  <c r="K396" i="44"/>
  <c r="G652" i="44"/>
  <c r="Q471" i="44"/>
  <c r="I368" i="44"/>
  <c r="R320" i="44"/>
  <c r="S320" i="44" s="1"/>
  <c r="I320" i="44"/>
  <c r="I396" i="44"/>
  <c r="I464" i="44"/>
  <c r="M464" i="44"/>
  <c r="O508" i="44"/>
  <c r="M493" i="44"/>
  <c r="E471" i="44"/>
  <c r="G471" i="44"/>
  <c r="I292" i="44"/>
  <c r="G490" i="44"/>
  <c r="Q292" i="44"/>
  <c r="I471" i="44"/>
  <c r="K368" i="44"/>
  <c r="M348" i="44"/>
  <c r="K292" i="44"/>
  <c r="E292" i="44"/>
  <c r="E432" i="44"/>
  <c r="I478" i="44"/>
  <c r="E628" i="44"/>
  <c r="E396" i="44"/>
  <c r="Q348" i="44"/>
  <c r="R348" i="44"/>
  <c r="S348" i="44" s="1"/>
  <c r="Q320" i="44"/>
  <c r="M396" i="44"/>
  <c r="G416" i="44"/>
  <c r="E448" i="44"/>
  <c r="G464" i="44"/>
  <c r="O478" i="44"/>
  <c r="G628" i="44"/>
  <c r="O628" i="44"/>
  <c r="M652" i="44"/>
  <c r="O368" i="44"/>
  <c r="O348" i="44"/>
  <c r="O320" i="44"/>
  <c r="G493" i="44"/>
  <c r="I628" i="44"/>
  <c r="Q628" i="44"/>
  <c r="E348" i="44"/>
  <c r="E304" i="44"/>
  <c r="R292" i="44"/>
  <c r="S292" i="44" s="1"/>
  <c r="K464" i="44"/>
  <c r="I493" i="44"/>
  <c r="M593" i="44"/>
  <c r="I652" i="44"/>
  <c r="O304" i="44"/>
  <c r="K593" i="44"/>
  <c r="E320" i="44"/>
  <c r="M304" i="44"/>
  <c r="S416" i="44"/>
  <c r="I348" i="44"/>
  <c r="M471" i="44"/>
  <c r="Q304" i="44"/>
  <c r="G396" i="44"/>
  <c r="K432" i="44"/>
  <c r="R464" i="44"/>
  <c r="S464" i="44" s="1"/>
  <c r="K493" i="44"/>
  <c r="O490" i="44"/>
  <c r="K527" i="44"/>
  <c r="I554" i="44"/>
  <c r="G593" i="44"/>
  <c r="O593" i="44"/>
  <c r="Q368" i="44"/>
  <c r="K320" i="44"/>
  <c r="E368" i="44"/>
  <c r="G368" i="44"/>
  <c r="G320" i="44"/>
  <c r="R396" i="44"/>
  <c r="S396" i="44" s="1"/>
  <c r="Q396" i="44"/>
  <c r="M432" i="44"/>
  <c r="Q432" i="44"/>
  <c r="E464" i="44"/>
  <c r="Q464" i="44"/>
  <c r="M478" i="44"/>
  <c r="K508" i="44"/>
  <c r="I527" i="44"/>
  <c r="O527" i="44"/>
  <c r="E554" i="44"/>
  <c r="K554" i="44"/>
  <c r="M628" i="44"/>
  <c r="K478" i="44"/>
  <c r="E493" i="44"/>
  <c r="I6" i="30"/>
  <c r="H6" i="30"/>
  <c r="G6" i="30"/>
  <c r="M8" i="30"/>
  <c r="N8" i="30" s="1"/>
  <c r="R432" i="44"/>
  <c r="S432" i="44" s="1"/>
  <c r="I432" i="44"/>
  <c r="G448" i="44"/>
  <c r="E508" i="44"/>
  <c r="M508" i="44"/>
  <c r="P493" i="44"/>
  <c r="Q493" i="44" s="1"/>
  <c r="Q490" i="44"/>
  <c r="O554" i="44"/>
  <c r="AB273" i="33"/>
  <c r="M448" i="44"/>
  <c r="S448" i="44"/>
  <c r="R304" i="44"/>
  <c r="S304" i="44" s="1"/>
  <c r="M10" i="30"/>
  <c r="N10" i="30" s="1"/>
  <c r="I448" i="44"/>
  <c r="Q448" i="44"/>
  <c r="Q478" i="44"/>
  <c r="E478" i="44"/>
  <c r="G478" i="44"/>
  <c r="E527" i="44"/>
  <c r="M527" i="44"/>
  <c r="G508" i="44"/>
  <c r="M320" i="44"/>
  <c r="M7" i="30"/>
  <c r="N7" i="30" s="1"/>
  <c r="M62" i="30"/>
  <c r="N62" i="30" s="1"/>
  <c r="F304" i="44"/>
  <c r="G304" i="44" s="1"/>
  <c r="G292" i="44"/>
  <c r="K448" i="44"/>
  <c r="N273" i="33"/>
  <c r="Q508" i="44"/>
  <c r="O493" i="44"/>
  <c r="G527" i="44"/>
  <c r="Q527" i="44"/>
  <c r="L273" i="33"/>
  <c r="M5" i="30"/>
  <c r="N5" i="30" s="1"/>
  <c r="K9" i="30"/>
  <c r="M9" i="30" s="1"/>
  <c r="N9" i="30" s="1"/>
  <c r="M490" i="44"/>
  <c r="E593" i="44"/>
  <c r="E652" i="44"/>
  <c r="H7" i="30" l="1"/>
  <c r="G7" i="30"/>
  <c r="I7" i="30"/>
  <c r="G10" i="30"/>
  <c r="I10" i="30"/>
  <c r="H10" i="30"/>
  <c r="I5" i="30"/>
  <c r="H5" i="30"/>
  <c r="G5" i="30"/>
  <c r="G8" i="30"/>
  <c r="H8" i="30"/>
  <c r="I8" i="30"/>
  <c r="H9" i="30"/>
  <c r="G9" i="30"/>
  <c r="I9" i="30"/>
  <c r="G62" i="30"/>
  <c r="I62" i="30"/>
  <c r="H62" i="30"/>
</calcChain>
</file>

<file path=xl/sharedStrings.xml><?xml version="1.0" encoding="utf-8"?>
<sst xmlns="http://schemas.openxmlformats.org/spreadsheetml/2006/main" count="3987" uniqueCount="513">
  <si>
    <t>A</t>
  </si>
  <si>
    <t>B</t>
  </si>
  <si>
    <t>Sum</t>
  </si>
  <si>
    <t>C</t>
  </si>
  <si>
    <t>Visits</t>
  </si>
  <si>
    <t>n/a</t>
  </si>
  <si>
    <t>Disability</t>
  </si>
  <si>
    <t>Educational services</t>
  </si>
  <si>
    <t>Health care</t>
  </si>
  <si>
    <t>Home loans</t>
  </si>
  <si>
    <t>Life insurance</t>
  </si>
  <si>
    <t>Memorial benefits</t>
  </si>
  <si>
    <t>Pension</t>
  </si>
  <si>
    <t>Subscribe</t>
  </si>
  <si>
    <t>Share</t>
  </si>
  <si>
    <t>Apply</t>
  </si>
  <si>
    <t>Remarketing List (Includes VA.gov)</t>
  </si>
  <si>
    <t>Start Date</t>
  </si>
  <si>
    <t>End Date</t>
  </si>
  <si>
    <t>Significant at 90%?</t>
  </si>
  <si>
    <t>Significant at 95%?</t>
  </si>
  <si>
    <t>Significant at 99%?</t>
  </si>
  <si>
    <t>Standard Error Before</t>
  </si>
  <si>
    <t>Standard Error After</t>
  </si>
  <si>
    <t>Z Score</t>
  </si>
  <si>
    <t>P Value</t>
  </si>
  <si>
    <t>Test C</t>
  </si>
  <si>
    <t>Test D</t>
  </si>
  <si>
    <t>Test E</t>
  </si>
  <si>
    <t>Test F</t>
  </si>
  <si>
    <t>Test G</t>
  </si>
  <si>
    <t>D</t>
  </si>
  <si>
    <t>E</t>
  </si>
  <si>
    <t>F</t>
  </si>
  <si>
    <t>G</t>
  </si>
  <si>
    <t xml:space="preserve">Email </t>
  </si>
  <si>
    <t>Variable</t>
  </si>
  <si>
    <t>Sent</t>
  </si>
  <si>
    <t>Unique Opened</t>
  </si>
  <si>
    <t>Unique Clicked</t>
  </si>
  <si>
    <t>Opened/ Sent</t>
  </si>
  <si>
    <t>Clicked/ Opened</t>
  </si>
  <si>
    <t>List</t>
  </si>
  <si>
    <t>Old</t>
  </si>
  <si>
    <t>Opt-in</t>
  </si>
  <si>
    <t>HTML email</t>
  </si>
  <si>
    <t>Text email</t>
  </si>
  <si>
    <t>Subject: The U.S. Department of Veterans Affairs is here to support you.</t>
  </si>
  <si>
    <t>Subject: Explore your Veteran benefits</t>
  </si>
  <si>
    <t>Cost Per Conversion  - Tableau</t>
  </si>
  <si>
    <t>Light Window Test 1 (A as Control)</t>
  </si>
  <si>
    <t>Test B</t>
  </si>
  <si>
    <t>Test A (control)</t>
  </si>
  <si>
    <t>Version</t>
    <phoneticPr fontId="15" type="noConversion"/>
  </si>
  <si>
    <t>Visits</t>
    <phoneticPr fontId="15" type="noConversion"/>
  </si>
  <si>
    <t>Conversions</t>
    <phoneticPr fontId="15" type="noConversion"/>
  </si>
  <si>
    <t>Conversion Rate</t>
    <phoneticPr fontId="15" type="noConversion"/>
  </si>
  <si>
    <t>Version</t>
  </si>
  <si>
    <t>eBenefits Conversions</t>
  </si>
  <si>
    <t>Total Apply Conversion Rate</t>
  </si>
  <si>
    <t>Total Apply Clicks</t>
  </si>
  <si>
    <t>eBenefits</t>
  </si>
  <si>
    <t>VA Form 21-526EZ</t>
  </si>
  <si>
    <t>regional office</t>
  </si>
  <si>
    <t>Fully Developed Claim</t>
  </si>
  <si>
    <t>Learn More Button</t>
  </si>
  <si>
    <t>Paid Visits</t>
  </si>
  <si>
    <t>Referral Visits</t>
  </si>
  <si>
    <t>Organic Visits</t>
  </si>
  <si>
    <t>Engage</t>
  </si>
  <si>
    <t>Key Performance Indicators</t>
  </si>
  <si>
    <t>Traffic Sources</t>
  </si>
  <si>
    <t>Weekly High-Level Data</t>
  </si>
  <si>
    <t>Direct Visits (w/ VA.gov referral)</t>
  </si>
  <si>
    <t>Email</t>
  </si>
  <si>
    <t>Employment Services</t>
  </si>
  <si>
    <t>New Facebook Likes</t>
  </si>
  <si>
    <t>Apply 2.0</t>
  </si>
  <si>
    <t>Opt-In</t>
  </si>
  <si>
    <t>Opt ins Landing Page 1</t>
  </si>
  <si>
    <t>Opt ins Landing Page 2</t>
  </si>
  <si>
    <t>Opt ins Landing Page 3</t>
  </si>
  <si>
    <t>Opt ins Control</t>
  </si>
  <si>
    <t>Orginal</t>
  </si>
  <si>
    <t>Original List Landing Page 1</t>
  </si>
  <si>
    <t>Original List Landing Page 2</t>
  </si>
  <si>
    <t>Original List Landing Page 3</t>
  </si>
  <si>
    <t>Original List Control</t>
  </si>
  <si>
    <t>Apply Rate</t>
  </si>
  <si>
    <t>Dependents and Survivors</t>
  </si>
  <si>
    <t>Disability Compensation</t>
  </si>
  <si>
    <t xml:space="preserve">Educational Services </t>
  </si>
  <si>
    <t>Health Care</t>
  </si>
  <si>
    <t>Home Loans</t>
  </si>
  <si>
    <t>Life Insurance</t>
  </si>
  <si>
    <t>Memorial Benefits</t>
  </si>
  <si>
    <t>Pensions</t>
  </si>
  <si>
    <t>No P.S.</t>
  </si>
  <si>
    <t>Health Care P.S.</t>
  </si>
  <si>
    <t>Housing P.S.</t>
  </si>
  <si>
    <t>Employment P.S.</t>
  </si>
  <si>
    <t>5-GI Bill Opt In P.S</t>
  </si>
  <si>
    <t>5-GI Bill Original List P.S.</t>
  </si>
  <si>
    <t>4-GI Bill Opt In Benefits for others</t>
  </si>
  <si>
    <t>Storytelling for others</t>
  </si>
  <si>
    <t>4-GI Bill Opt In Benefits for self</t>
  </si>
  <si>
    <t>Storytelling for self</t>
  </si>
  <si>
    <t>4-GI Bill Opt In Did you know personal</t>
  </si>
  <si>
    <t xml:space="preserve">List personal </t>
  </si>
  <si>
    <t>4-GI Bill Opt In Did you know formal</t>
  </si>
  <si>
    <t>List formal</t>
  </si>
  <si>
    <t>4-GI Bill Original List Benefits for others</t>
  </si>
  <si>
    <t>4-GI Bill Original List Benefits for self</t>
  </si>
  <si>
    <t>4-GI Bill Original List Did you know personal</t>
  </si>
  <si>
    <t>4-GI Bill Original List Did you know formal</t>
  </si>
  <si>
    <t>Tested the effectiveness of 3 different landing page variations against the control of sending visitors to the Explore homepage. Landing Page 2 performed the best in resulting in clicking an apply link on Explore VA.</t>
  </si>
  <si>
    <t>Tested the effectiveness of adding a post script to email specifying individual benefit areas. Including a post scrip performs better than not including a post script.</t>
  </si>
  <si>
    <t xml:space="preserve">Tested the effectiveness of content language delivery of messaging. Storytelling emails performed signifcantly better than list formated emails. </t>
  </si>
  <si>
    <t>Message</t>
  </si>
  <si>
    <t>6-Resolutions Opt In No Callout</t>
  </si>
  <si>
    <t>6-Resolutions Opt In Callout 1</t>
  </si>
  <si>
    <t>6-Resolutions Opt In Callout 2</t>
  </si>
  <si>
    <t>6-Resolutions Opt In Callout 3</t>
  </si>
  <si>
    <t>6-Resolutions Original List (Campaign Topic) No Callout</t>
  </si>
  <si>
    <t>6-Resolutions Original List (Campaign Topic) Callout 1</t>
  </si>
  <si>
    <t>6-Resolutions Original List (Campaign Topic) Callout 2</t>
  </si>
  <si>
    <t>6-Resolutions Original List (Campaign Topic) Callout 3</t>
  </si>
  <si>
    <t>Tested the effectiveness of including a callout. Callout images perform better than not including a callout image.</t>
  </si>
  <si>
    <t>7-Life Insurance Opt In 1</t>
  </si>
  <si>
    <t>Callout 1a</t>
  </si>
  <si>
    <t>7-Life Insurance Opt In 2</t>
  </si>
  <si>
    <t>Callout 1b</t>
  </si>
  <si>
    <t>7-Life Insurance Opt In 3</t>
  </si>
  <si>
    <t>Callout 2a</t>
  </si>
  <si>
    <t>7-Life Insurance Opt In 4</t>
  </si>
  <si>
    <t>Callout 2b</t>
  </si>
  <si>
    <t>Delivered</t>
  </si>
  <si>
    <t>% open</t>
  </si>
  <si>
    <t>% clicked</t>
  </si>
  <si>
    <t>*Note: email had TEST2D in the subject line</t>
  </si>
  <si>
    <t>7-Life Insurance General List 1</t>
  </si>
  <si>
    <t>7-Life Insurance General List 2</t>
  </si>
  <si>
    <t>7-Life Insurance General List 3</t>
  </si>
  <si>
    <t>7-Life Insurance General List 4</t>
  </si>
  <si>
    <t>Tested the effectiveness of a general call to action and a specific call to action as well as tested the calls to action rendering in plain text and as prominent buttons displayed in color.  Specific calls to action performed better than general calls to action, and prominent buttons outperformed the calls to action in plain text.</t>
  </si>
  <si>
    <t>-</t>
  </si>
  <si>
    <t>Dependents Main Page</t>
  </si>
  <si>
    <t>Dependents on Other Benefit Areas</t>
  </si>
  <si>
    <t>Total Video Plays</t>
  </si>
  <si>
    <t>Video Plays</t>
  </si>
  <si>
    <t>Users who used the Portal to Download/Share content</t>
  </si>
  <si>
    <t>Education &amp; Employment FB Chat Email Performance (11/18/14)</t>
  </si>
  <si>
    <t>Updated 12/8</t>
  </si>
  <si>
    <t>Total Sent</t>
  </si>
  <si>
    <t>Total Delivered</t>
  </si>
  <si>
    <t>% Delivered</t>
  </si>
  <si>
    <t>Total Opens</t>
  </si>
  <si>
    <t>% Total Opened</t>
  </si>
  <si>
    <t>Unique Opens</t>
  </si>
  <si>
    <t>% Unique Opened</t>
  </si>
  <si>
    <t>Total Click-Throughs</t>
  </si>
  <si>
    <t>Total CTR</t>
  </si>
  <si>
    <t>Unique Click-Throughs</t>
  </si>
  <si>
    <t>Unique CTR</t>
  </si>
  <si>
    <t>Conversions</t>
  </si>
  <si>
    <t>% Converted</t>
  </si>
  <si>
    <t>Bounces</t>
  </si>
  <si>
    <t>% Bounced</t>
  </si>
  <si>
    <t>Unsubscribes</t>
  </si>
  <si>
    <t>% Unsubscribed</t>
  </si>
  <si>
    <t>Education &amp; Employment FB Chat Opt In</t>
  </si>
  <si>
    <t>Education &amp; Employment FB Chat Follow-up Email Performance (11/20/14)</t>
  </si>
  <si>
    <t>Education &amp; Employment FB Chat Follow-up Opt In</t>
  </si>
  <si>
    <t>Benefits Navigator Starts</t>
  </si>
  <si>
    <t>Benefits Navigator Completes</t>
  </si>
  <si>
    <t>Updated 1/6/15</t>
  </si>
  <si>
    <t>% Unique Clicked</t>
  </si>
  <si>
    <t>Explore VA 2.0 Introduction</t>
  </si>
  <si>
    <t>Marine Corps Veteran Email Performance (01/06/2015)</t>
  </si>
  <si>
    <t>Updated 2/3</t>
  </si>
  <si>
    <t>VA Updates list</t>
  </si>
  <si>
    <t>Google Hangout Event Email Performance (01/21/2015)</t>
  </si>
  <si>
    <t>Google Hangout Event Reminder Email Performance (01/28/2015)</t>
  </si>
  <si>
    <t>Transition Google Hangout Registrants</t>
  </si>
  <si>
    <t>Digital Outreach Subscribers</t>
  </si>
  <si>
    <t>January Total</t>
  </si>
  <si>
    <t>Home Loans Email Performance (02/17/2015)</t>
  </si>
  <si>
    <t>Updated 3/10</t>
  </si>
  <si>
    <t>Home Loans Q&amp;A Event Email Performance (02/23/2015)</t>
  </si>
  <si>
    <t>February Total</t>
  </si>
  <si>
    <t>File a claim</t>
  </si>
  <si>
    <t>Subscribers of A New Way to Apply: Claims and Appeals Updates that were not sent "Changes for veterans are here today:" and that were not sent "Changes for veterans are here today:"</t>
  </si>
  <si>
    <t>Unique clicks to Explore</t>
  </si>
  <si>
    <t>Sent: 3/25/15</t>
  </si>
  <si>
    <t>"Changes for veterans are here today:" email 3</t>
  </si>
  <si>
    <t>10% sample of subscribers of A New Way to Apply: Claims and Appeals Updates</t>
  </si>
  <si>
    <t>"Changes for veterans are here today:" email 2</t>
  </si>
  <si>
    <t>"Changes for veterans are here today:" email 1</t>
  </si>
  <si>
    <t>Subscribers of A New Way to Apply: Claims and Appeals Updates that were not sent "A big change is coming:" and that were not sent "Thinking of filing a claim with VA?" and that did not click a link in "A big change is coming:"</t>
  </si>
  <si>
    <t>Sent: 3/20/15</t>
  </si>
  <si>
    <t>"An important change for every veteran:" email 2</t>
  </si>
  <si>
    <t>Subscribers of A New Way to Apply: Claims and Appeals Updates that were not sent "A big change is coming:" and that were not sent "A big change is coming:" and that did not click a link in "Thinking of filing a claim with VA?"</t>
  </si>
  <si>
    <t>"An important change for every veteran:" email 1</t>
  </si>
  <si>
    <t>Subscribers of A New Way to Apply: Claims and Appeals Updates that were not sent "A big change is coming:" and that were not sent "Thinking of filing a claim with VA?"</t>
  </si>
  <si>
    <t>Sent: 3/18/15</t>
  </si>
  <si>
    <t>"A big change is coming:"</t>
  </si>
  <si>
    <t>10% sample of subscribers of A New Way to Apply: Claims and Appeals Updates that were not sent "A big change is coming:"</t>
  </si>
  <si>
    <t>"Thinking of filing a claim with VA?"</t>
  </si>
  <si>
    <t>March Total</t>
  </si>
  <si>
    <t>"The next time you file:"</t>
  </si>
  <si>
    <t>Subscribers of A New Way to Apply: Claims and Appeals Updates that were not sent "Thinking of filing a claim with VA?" and that were not sent "A big change is coming:" and that did not click a link in "A big change is coming:"</t>
  </si>
  <si>
    <t>Health Care Email Performance (sent 03/12/2015)</t>
  </si>
  <si>
    <t>Updated 3/13/15</t>
  </si>
  <si>
    <t>Traffic to Site from Facebook</t>
  </si>
  <si>
    <t>Traffic to site from Twitter</t>
  </si>
  <si>
    <t>PERIOD</t>
  </si>
  <si>
    <t>Online ExploreVA Conversation</t>
  </si>
  <si>
    <t>Stakeholder Outreach</t>
  </si>
  <si>
    <t>3. Breakdown of Mentions by Platform</t>
  </si>
  <si>
    <t>4. Mentions of Particular Terms</t>
  </si>
  <si>
    <t>Partner Content</t>
  </si>
  <si>
    <t>Stakeholder Posts (monthly, non-event)</t>
  </si>
  <si>
    <t>Period</t>
  </si>
  <si>
    <t>1. Total Mentions</t>
  </si>
  <si>
    <t>2. Unique Mentions</t>
  </si>
  <si>
    <t>Twitter</t>
  </si>
  <si>
    <t>Facebook</t>
  </si>
  <si>
    <t>Other</t>
  </si>
  <si>
    <t>#ExploreVA</t>
  </si>
  <si>
    <t>Event mentions</t>
  </si>
  <si>
    <t>% of the conversation Event-focused</t>
  </si>
  <si>
    <t>Twitter Shares</t>
  </si>
  <si>
    <t>Twitter impressions</t>
  </si>
  <si>
    <t>Metrics Key:</t>
  </si>
  <si>
    <r>
      <t xml:space="preserve">1. </t>
    </r>
    <r>
      <rPr>
        <b/>
        <sz val="12"/>
        <color indexed="8"/>
        <rFont val="Calibri"/>
        <family val="2"/>
      </rPr>
      <t xml:space="preserve">Unique Mentions: </t>
    </r>
    <r>
      <rPr>
        <sz val="12"/>
        <color indexed="8"/>
        <rFont val="Calibri"/>
        <family val="2"/>
      </rPr>
      <t xml:space="preserve">Total mentions excluding Twitter retweets </t>
    </r>
  </si>
  <si>
    <r>
      <t xml:space="preserve">2. </t>
    </r>
    <r>
      <rPr>
        <b/>
        <sz val="12"/>
        <color indexed="8"/>
        <rFont val="Calibri"/>
        <family val="2"/>
      </rPr>
      <t xml:space="preserve">Total Mentions: </t>
    </r>
    <r>
      <rPr>
        <sz val="12"/>
        <color indexed="8"/>
        <rFont val="Calibri"/>
        <family val="2"/>
      </rPr>
      <t>Number of times one or more of the keywords showed up across online channels</t>
    </r>
  </si>
  <si>
    <r>
      <t xml:space="preserve">3. </t>
    </r>
    <r>
      <rPr>
        <b/>
        <sz val="12"/>
        <color indexed="8"/>
        <rFont val="Calibri"/>
        <family val="2"/>
      </rPr>
      <t>Breakdown of Mentions by Platform:</t>
    </r>
    <r>
      <rPr>
        <sz val="12"/>
        <color indexed="8"/>
        <rFont val="Calibri"/>
        <family val="2"/>
      </rPr>
      <t xml:space="preserve"> Number of mentions on each online channel</t>
    </r>
  </si>
  <si>
    <r>
      <t xml:space="preserve">4. </t>
    </r>
    <r>
      <rPr>
        <b/>
        <sz val="12"/>
        <rFont val="Calibri"/>
        <family val="2"/>
      </rPr>
      <t>Mentions of Particular Terms:</t>
    </r>
    <r>
      <rPr>
        <sz val="12"/>
        <rFont val="Calibri"/>
        <family val="2"/>
      </rPr>
      <t xml:space="preserve"> Number of mentions for each keyword and hashtag on all platforms</t>
    </r>
  </si>
  <si>
    <r>
      <t xml:space="preserve">5. </t>
    </r>
    <r>
      <rPr>
        <b/>
        <sz val="12"/>
        <rFont val="Calibri"/>
        <family val="2"/>
      </rPr>
      <t xml:space="preserve">Stakeholder Posts: </t>
    </r>
    <r>
      <rPr>
        <sz val="12"/>
        <rFont val="Calibri"/>
        <family val="2"/>
      </rPr>
      <t>Number of times Explore provided content was shared on Facebook and Twitter, and the number of visitors that click through to the website from the content.</t>
    </r>
  </si>
  <si>
    <t>Traffic to site from Google +</t>
  </si>
  <si>
    <t>Traffic to site from LinkedIn</t>
  </si>
  <si>
    <t>General Benefits (Spouses, Dependents, Survivors) Email Performance (04/14/2015)</t>
  </si>
  <si>
    <t>YouTube Live: Women's Event Email Performance (04/28/2015)</t>
  </si>
  <si>
    <t>Updated 5/4/15</t>
  </si>
  <si>
    <t>April Total</t>
  </si>
  <si>
    <t>May Total</t>
  </si>
  <si>
    <t>YouTube Live: Women's Event Email follow-up Performance (05/5/2015)</t>
  </si>
  <si>
    <t>YouTube Live registrants</t>
  </si>
  <si>
    <t>YouTube Live: Women's Event Email follow-up #2 Performance (05/5/2015)</t>
  </si>
  <si>
    <t>Twitter Chat: Memorial Benefits (05/19/2015)</t>
  </si>
  <si>
    <t>Twitter Chat: Memorial Benefits follow-up #1 (05/20/2015)</t>
  </si>
  <si>
    <t>Twitter Chat registrants</t>
  </si>
  <si>
    <t>Twitter Chat: Memorial Benefits follow-up #2 (05/20/2015)</t>
  </si>
  <si>
    <t>Memorial Day email (05/25/2015)</t>
  </si>
  <si>
    <t>June Total</t>
  </si>
  <si>
    <t>Education Benefits email (06/10/2015)</t>
  </si>
  <si>
    <t>Twitter Chat: Health Care email (06/24/2015)</t>
  </si>
  <si>
    <t>Twitter Chat: Health Care follow-up #1 (06/30/2015)</t>
  </si>
  <si>
    <t>Twitter Chat: Health Care follow-up #2 (06/30/2015)</t>
  </si>
  <si>
    <t>Life Insurance Twitter Chat email (07/21/2015)</t>
  </si>
  <si>
    <t>Life Insurance Twitter Chat follow-up #1 (07/23/2015)</t>
  </si>
  <si>
    <t>Life Insurance Twitter Chat follow-up #2 (07/23/2015)</t>
  </si>
  <si>
    <t>Older Veterans email (07/27/2015)</t>
  </si>
  <si>
    <t>July Total</t>
  </si>
  <si>
    <t>N/A</t>
  </si>
  <si>
    <t>Veterans Day email (11/09/2015)</t>
  </si>
  <si>
    <t>November Total</t>
  </si>
  <si>
    <t>Employment Services Twitter Chat email (12/11/2015)</t>
  </si>
  <si>
    <t>Employment Services Twitter Chat follow-up email (12/14/2015)</t>
  </si>
  <si>
    <t>Employment Services email (12/18/2015)</t>
  </si>
  <si>
    <t>VA Updates</t>
  </si>
  <si>
    <t>December Total</t>
  </si>
  <si>
    <t>Vet Center Facebook Chat registration email (1/21/2016)</t>
  </si>
  <si>
    <t>Vet Center Facebook Chat reminder email (1/28/2016)</t>
  </si>
  <si>
    <t>Facebook chat registrants</t>
  </si>
  <si>
    <t>Vet Center Facebook Chat follow-up email (2/5/2016)</t>
  </si>
  <si>
    <t>Memorial Benefits Facebook Chat registration email 1 (2/25/2016)</t>
  </si>
  <si>
    <t>Digital Outreach Events</t>
  </si>
  <si>
    <t>Memorial Benefits Facebook Chat registration email 2 (2/25/2016)</t>
  </si>
  <si>
    <t>VA Updates (exclude email 1 recipients)</t>
  </si>
  <si>
    <t>Month</t>
  </si>
  <si>
    <t>Paid Media Spend</t>
  </si>
  <si>
    <t>Paid Media Applies</t>
  </si>
  <si>
    <t>Cost per Apply</t>
  </si>
  <si>
    <t>Feb 2016</t>
  </si>
  <si>
    <t>Jan 2016</t>
  </si>
  <si>
    <t>Dec 2015</t>
  </si>
  <si>
    <t>Jan 2015</t>
  </si>
  <si>
    <t>Feb 2015</t>
  </si>
  <si>
    <t>Mar 2015</t>
  </si>
  <si>
    <t>Apr 2015</t>
  </si>
  <si>
    <t>May 2015</t>
  </si>
  <si>
    <t>Jun 2015</t>
  </si>
  <si>
    <t>Jul 2015</t>
  </si>
  <si>
    <t>Aug-Nov 2015</t>
  </si>
  <si>
    <t>Media Spend</t>
  </si>
  <si>
    <t>Aug 2014</t>
  </si>
  <si>
    <t>Sept 2014</t>
  </si>
  <si>
    <t>Oct 2014</t>
  </si>
  <si>
    <t>Sept 2013</t>
  </si>
  <si>
    <t>Oct 2013</t>
  </si>
  <si>
    <t>Nov 2013</t>
  </si>
  <si>
    <t>Dec 2013</t>
  </si>
  <si>
    <t>Jan 2014</t>
  </si>
  <si>
    <t>Feb 2014</t>
  </si>
  <si>
    <t>Mar 2014</t>
  </si>
  <si>
    <t>Apr 2014</t>
  </si>
  <si>
    <t>May 2014</t>
  </si>
  <si>
    <t>Jun 2014</t>
  </si>
  <si>
    <t>July 2014</t>
  </si>
  <si>
    <t>Nov 2014</t>
  </si>
  <si>
    <t>Dec 2014</t>
  </si>
  <si>
    <t>*</t>
  </si>
  <si>
    <t>Mar 2016</t>
  </si>
  <si>
    <t>Apr 2016</t>
  </si>
  <si>
    <t>May 2016</t>
  </si>
  <si>
    <t>July 2016</t>
  </si>
  <si>
    <t>Aug 2016</t>
  </si>
  <si>
    <t>Sept 2016</t>
  </si>
  <si>
    <t xml:space="preserve">*The above chart is showing CPA by week. SEM and Remarketing are based off the primary axix. Video and Audience are based off the secondary axis. </t>
  </si>
  <si>
    <t>*The above chart is showing average CPA overtime. SEM and Remarketing are based off the primary axis. Video and Audience are based off the secondary axis.</t>
  </si>
  <si>
    <t>Memorial Benefits Email (3/1/2016, 1:30 PM EST)</t>
  </si>
  <si>
    <t>Memorial Benefits Facebook Chat reminder email (3/2/2016, 12:06 PM EST)</t>
  </si>
  <si>
    <t>Women Veterans' Facebook Chat registration email 1 (3/16/2016, 11:36 AM EDT)</t>
  </si>
  <si>
    <t>Women Veterans' Facebook Chat registration email 2 (3/16/2016, 11:38 AM EDT)</t>
  </si>
  <si>
    <t>Women Veterans' Facebook Chat reminder email (3/22/2016, 9:44 AM EDT)</t>
  </si>
  <si>
    <t>Vietnam 50th Commemoration Email (3/24/2016, 12:00 PM EDT)</t>
  </si>
  <si>
    <t>Home Loans and Adapted Housing Grants  Facebook Chat reminder email (4/27/2016, 11:55 AM ET)</t>
  </si>
  <si>
    <t>Home Loans and Adapted Housing Grants Benefit Email (4/26/2016, 1:37 PM ET)</t>
  </si>
  <si>
    <t>Home Loans and Adapted Housing Grants  Facebook Chat registration email 2 (4/20/2016, 11:35 AM ET)</t>
  </si>
  <si>
    <t>Home Loans and Adapted Housing Grants Facebook Chat registration email 1 (4/20/2016, 11:28 AM ET)</t>
  </si>
  <si>
    <t>Life Insurance Facebook Chat registration email 1 (5/12/2016, 12:03 PM ET)</t>
  </si>
  <si>
    <t>Life Insurance Facebook Chat registration email 2 (5/12/2016, 2:15 PM ET)</t>
  </si>
  <si>
    <t>Digital Outreach Events (minus email 1 recipients)</t>
  </si>
  <si>
    <t>Life Insurance Benefit Email (5/17/2016, 2:24 PM ET)</t>
  </si>
  <si>
    <t>Life Insurance Facebook Chat reminder email 1 (5/19/2016, 8:55 AM ET)</t>
  </si>
  <si>
    <t>Life Insurance Facebook Chat reminder email 2 (5/19/2016, 8:56 AM ET)</t>
  </si>
  <si>
    <t>Life Insurance Facebook Chat reminder email 3 (5/19/2016, 8:57 AM ET)</t>
  </si>
  <si>
    <t>Facebook chat registrants (USVA_79)</t>
  </si>
  <si>
    <t>Facebook chat registrants (USVA_80)</t>
  </si>
  <si>
    <t>Facebook chat registrants (USVA_81)</t>
  </si>
  <si>
    <t>Education and Training Facebook Chat registration email 1 (6/2/2016, 11:59 AM ET)</t>
  </si>
  <si>
    <t>Education and Training Facebook Chat registration email 2 (6/2/2016, 12:09 PM ET)</t>
  </si>
  <si>
    <t>Facebook chat registrants (USVA_82)</t>
  </si>
  <si>
    <t>Education and Training Facebook Chat reminder email (6/8/2016, 8:07 AM ET)</t>
  </si>
  <si>
    <t>Education and Training Benefit Email (6/14/2016, 1:54 PM ET)</t>
  </si>
  <si>
    <t>Jun 2016</t>
  </si>
  <si>
    <t>Diabetes Prevention and Care Twitter Chat registration email (7/7/2016, 12:06 PM ET)</t>
  </si>
  <si>
    <t>Diabetes Prevention and Care Benefit Email (7/21/2016, 3:34 PM ET)</t>
  </si>
  <si>
    <t>Twitter chat registrants (USVA_83)</t>
  </si>
  <si>
    <t>August Total</t>
  </si>
  <si>
    <t>Vet Center Video Tour and Facebook Chat registration email (8/10/2016, 11:30 AM ET)</t>
  </si>
  <si>
    <t>Diabetes Prevention and Care Twitter Chat reminder email (7/12/2016, 5:28 PM ET)</t>
  </si>
  <si>
    <t>Vet Center Video Tour and Facebook Chat reminder email (8/16/2016, 4:26 PM ET)</t>
  </si>
  <si>
    <t>Facebook chat registrants (USVA_84)</t>
  </si>
  <si>
    <t>Engagements</t>
  </si>
  <si>
    <t>Engagement %</t>
  </si>
  <si>
    <t>Health Care/Vet Center Benefit Email (8/30/2016, 12:00 PM ET)</t>
  </si>
  <si>
    <t>September Total</t>
  </si>
  <si>
    <t>Suicide Prevention for #WomenVets Facebook Chat registration email (9/8/2016, 11:56 AM ET)</t>
  </si>
  <si>
    <t>Facebook chat registrants (USVA_97)</t>
  </si>
  <si>
    <t>Suicide Prevention Benefit Email (9/23/2016, 9:54 AM ET)</t>
  </si>
  <si>
    <t>Suicide Prevention for #WomenVets Facebook Chat reminder email (9/15/2016, 4:43 PM ET)</t>
  </si>
  <si>
    <t>Apply 3.0</t>
  </si>
  <si>
    <t xml:space="preserve">Email Visits </t>
  </si>
  <si>
    <t>Nov 2016</t>
  </si>
  <si>
    <t>Oct 2016</t>
  </si>
  <si>
    <t>Subscribe 2.0</t>
  </si>
  <si>
    <t>Pageviews</t>
  </si>
  <si>
    <t>Veteran's Day Email (11/10/2016, "Test A" 3:28 PM ET and "Test B" 4:37 PM ET)</t>
  </si>
  <si>
    <t xml:space="preserve">Tested the CTA on the main header image of "Get Started" and and "Apply Today" </t>
  </si>
  <si>
    <t>CTA: Get Started</t>
  </si>
  <si>
    <t>CTA: Apply Today</t>
  </si>
  <si>
    <t xml:space="preserve">* This graph includes only keyword campaign spend and excludes Facebook Veteran's Day spend (as this campaign was not focused on driving subscribes or applications) </t>
  </si>
  <si>
    <t xml:space="preserve">Veterans Day Facebook Campaign </t>
  </si>
  <si>
    <t>Asset</t>
  </si>
  <si>
    <t>Veterans Day Slideshow</t>
  </si>
  <si>
    <t>Soldier in Cemetary Image Post</t>
  </si>
  <si>
    <t>Vietnam Vet Image Post</t>
  </si>
  <si>
    <t xml:space="preserve">Flag Salute Image Post </t>
  </si>
  <si>
    <t>Amount Spent (USD)</t>
  </si>
  <si>
    <t>Impressions</t>
  </si>
  <si>
    <t>Link Clicks</t>
  </si>
  <si>
    <t>Post Shares</t>
  </si>
  <si>
    <t>Post Comments</t>
  </si>
  <si>
    <t>Post Reactions</t>
  </si>
  <si>
    <t>Clicks to Play Video</t>
  </si>
  <si>
    <t>3-Second Video Views</t>
  </si>
  <si>
    <t>Engagement</t>
  </si>
  <si>
    <t>Cost per engagement</t>
  </si>
  <si>
    <t>Engagment Rate</t>
  </si>
  <si>
    <t>Total</t>
  </si>
  <si>
    <t>Veterans Day Email Sent on 11/10/2016</t>
  </si>
  <si>
    <t xml:space="preserve">*Reingold changed visits to pageviews in the top Application Conversions by Benefit Area to be consistent with what the data reflects   </t>
  </si>
  <si>
    <t xml:space="preserve">no </t>
  </si>
  <si>
    <t xml:space="preserve">Direct Visits </t>
  </si>
  <si>
    <t>****Reingold changed "Direct Visits (w/ VA.gov referral)" to "Direct Visits" to more accurately  describe the data.</t>
  </si>
  <si>
    <t>Subscribe*</t>
  </si>
  <si>
    <t>Apply**</t>
  </si>
  <si>
    <t>1,055*</t>
  </si>
  <si>
    <t>Applies</t>
  </si>
  <si>
    <t>Current Reingold CPA Graph</t>
  </si>
  <si>
    <t xml:space="preserve">Historical Data </t>
  </si>
  <si>
    <t xml:space="preserve">Current Reingold Testing </t>
  </si>
  <si>
    <t xml:space="preserve">Historical Testing </t>
  </si>
  <si>
    <t>Application Conversions by Landing Page</t>
  </si>
  <si>
    <t xml:space="preserve">Data By Month </t>
  </si>
  <si>
    <t xml:space="preserve">*Reingold's campaign started on 11/10/16 with the sending of a Veterans Day email. On 11/11/16 Reingold launched the Veterans Day Facebook campaign and an application-driving keyword search campaign. </t>
  </si>
  <si>
    <t>**On 11/23/16, Reingold modified the way apply conversions are tracked on explore.va.gov, making them more consistent within the different benefit areas. Reporting with this new implementation begins11/29/16</t>
  </si>
  <si>
    <t>***All subscribes before 6/7/15 include all subscribes on explore.va.gov, va.gov/explore and va.gov. After 6/7/15 subscribe includes only email subscribers on explore.va.gov</t>
  </si>
  <si>
    <t xml:space="preserve">***During the period of 11/29/16 - 12/5/16 the campaigns were paused for 3 days, when tracking code was purged from the site. </t>
  </si>
  <si>
    <t>***All subscribes before June, 2015 include all subscribes on explore.va.gov, va.gov/explore and va.gov. After June, 2015 subscribe includes only email subscribers on explore.va.gov</t>
  </si>
  <si>
    <t>**File a Claim benefit area was changed to include all subpages, like file a disagreement and intent to file a process on weeks after 9/20/16 - 9/26/16</t>
  </si>
  <si>
    <t>On 11/23/16, Reingold modified the way apply conversions are tracked on explore.va.gov, making them more consistent within the different benefit areas. Reporting with this new apply implementation starts on 11/29/16</t>
  </si>
  <si>
    <t xml:space="preserve">**In some cases historical data could not be replicated because the tagging of paid campaigns was inconsistent with previous contractor. </t>
  </si>
  <si>
    <t>Dec 2016</t>
  </si>
  <si>
    <t xml:space="preserve">Week </t>
  </si>
  <si>
    <t>Total Spend</t>
  </si>
  <si>
    <t xml:space="preserve">CPA </t>
  </si>
  <si>
    <t>11/7/16-11/13/16</t>
  </si>
  <si>
    <t>11/14/16-11/20/16</t>
  </si>
  <si>
    <t>11/21/16-11/27/16</t>
  </si>
  <si>
    <t>11/28/16-12/4/16</t>
  </si>
  <si>
    <t>12/5/16-12/11/16</t>
  </si>
  <si>
    <t>12/12/16-12/18/16</t>
  </si>
  <si>
    <t>12/19/16-12/25/16</t>
  </si>
  <si>
    <t>12/26/16-1/1/17</t>
  </si>
  <si>
    <t>Jan 2017</t>
  </si>
  <si>
    <t>Education Benefit Email Sent on 1/31/2017</t>
  </si>
  <si>
    <t>Subject: New Year, New You -  Learn how the Post 9/11 GI Bill could help</t>
  </si>
  <si>
    <t>Subject: Take Your Next Step - Learn how the Post 9/11 GI Bill could help</t>
  </si>
  <si>
    <t>Education Benefit Email (1/31/2017, "Test A" 4:01 PM ET and "Test B" 5:51 PM ET)</t>
  </si>
  <si>
    <t>1/2/17-1/8/17</t>
  </si>
  <si>
    <t>1/9/17-1/15/17</t>
  </si>
  <si>
    <t>1/16/17-1/22/17</t>
  </si>
  <si>
    <t>1/23/17-1/29/17</t>
  </si>
  <si>
    <t>1/30/17-2/5/17</t>
  </si>
  <si>
    <t>Feb 2017</t>
  </si>
  <si>
    <t>2/6/17-2/12/17</t>
  </si>
  <si>
    <t>2/13/17-2/19/17</t>
  </si>
  <si>
    <t>2/20/17-2/26/17</t>
  </si>
  <si>
    <t>2/27/17-3/5/17</t>
  </si>
  <si>
    <t>Education Event Email (2/8/2017, 11:05 AM EST)</t>
  </si>
  <si>
    <t>Education Event Reminder Email (2/15/2017, 10:31 AM EST)</t>
  </si>
  <si>
    <t>Vocational Rehabilitation benefit Email (2/28/2017,"Test A" 10:48 AM EST and "Test B" 9:55 AM EST)</t>
  </si>
  <si>
    <t>February Education Event</t>
  </si>
  <si>
    <t>March 2017</t>
  </si>
  <si>
    <t>Register Now: Mar. 23 Video Tour - Resources for Women Veterans (3/16/2017, 12:11 PM EST)</t>
  </si>
  <si>
    <t>TODAY - VA Resources for Women Veterans Video Tour (3/23/2017, 6:00 PM EST)</t>
  </si>
  <si>
    <t>3/6/17-3/12/17</t>
  </si>
  <si>
    <t>3/13/17-3/19/17</t>
  </si>
  <si>
    <t>3/20/17-3/26/17</t>
  </si>
  <si>
    <t>3/27/17-4/2/17</t>
  </si>
  <si>
    <t>March 23 Facebook Live Tour: Health Care Resources for Women Veterans (3/16/2017, 11:43 AM EST)</t>
  </si>
  <si>
    <t>April 2017</t>
  </si>
  <si>
    <t>4/3/17-4/9/17</t>
  </si>
  <si>
    <t>4/10/17-4/16/17</t>
  </si>
  <si>
    <t>4/17/17-4/23/17</t>
  </si>
  <si>
    <t>4/24/17-4/30/17</t>
  </si>
  <si>
    <t>Register Now: Facebook Chat on Pre-Need Eligibility for VA Burials (4/11/2017, 12:30PM EDT)</t>
  </si>
  <si>
    <t>Apply in Advance for Burial Eligibility in a VA National Cemetery (4/5/2017, 2:01 PM EDT)</t>
  </si>
  <si>
    <t>Reminder: Facebook Chat on Pre-Need Eligibility for VA Burials (4/18/2017, 1:25 PM EDT)</t>
  </si>
  <si>
    <t>Reminder: Facebook Chat on Pre-Need Eligibility for VA Burials (4/18/2017, 12:58 PM EDT sent to subscribers of Facebook Live: Pre-Need Eligibility for VA Burials)</t>
  </si>
  <si>
    <t>May 2017</t>
  </si>
  <si>
    <t>5/1/17-5/7/17</t>
  </si>
  <si>
    <t>5/8/2017-5/14/17</t>
  </si>
  <si>
    <t>5/15/17-5/21/17</t>
  </si>
  <si>
    <t>5/22/17-5/28/17</t>
  </si>
  <si>
    <t>5/29/17-6/4/17</t>
  </si>
  <si>
    <t>Don't miss your chance to enroll in VA life insurance (5.11.2017, 1:00 PM EDT)</t>
  </si>
  <si>
    <t>Register Now: May 25 VA Life Insurance Facebook Live Event (5.18.2017, 12:00 PM EDT)</t>
  </si>
  <si>
    <t>Find out if you are eligible for burial in a VA National Cemetery (5.23.2017, "Test A" 6:00 AM EDT, "Test B" 12:06 PM EDT )</t>
  </si>
  <si>
    <t>Find out if you are eligible for burial in a VA National Cemetery (5.23.2017, "Test B" 12:06 PM EDT )</t>
  </si>
  <si>
    <t>Reminder: Facebook Live Event on VA Life Insurance Benefits Today (5.25.2017, 10:00 AM EDT )</t>
  </si>
  <si>
    <t>Reminder: Facebook Live Event on VA Life Insurance Benefits Today (5.25.2017, 11:11 AM EDT sent to subscribers of Life Insurance Facebook live event )</t>
  </si>
  <si>
    <t>June 2017</t>
  </si>
  <si>
    <t>6/5/17-6/11/17</t>
  </si>
  <si>
    <t>6/12/17-6/18/17</t>
  </si>
  <si>
    <t>6/19/17-6/25/17</t>
  </si>
  <si>
    <t>6/26/17-7/2/17</t>
  </si>
  <si>
    <t>Find out if you qualify for VA disability compensation (6.6.17, 12:00 PM EDT)</t>
  </si>
  <si>
    <t>Find out if you qualify for VA disability compensation (6.7.17, 12:00 PM EDT)</t>
  </si>
  <si>
    <t>Find out if you qualify for VA disability compensation (6.8.17, 12:00 PM EDT)</t>
  </si>
  <si>
    <t>Make owning a home a reality with VA home loan benefits (6.15.17, 10:00 AM EDT)</t>
  </si>
  <si>
    <t>Make owning a home a reality with VA home loan benefits (6.15.17, 04:40 PM EDT)</t>
  </si>
  <si>
    <t>Wartime Veterans: Find out if you qualify for VA pension benefits (6.22.17, 12:00 PM EDT)</t>
  </si>
  <si>
    <t>Wartime Veterans: Find out if you qualify for VA pension benefits (6.22.17, 12:47 PM EDT)</t>
  </si>
  <si>
    <t>Find out how you can benefit from VA health care (6.29.17, 12:00 PM EDT)</t>
  </si>
  <si>
    <t>Meet Rich: An Army Veteran who used VA health care after retirement (6.29.17, 02:07 PM EDT)</t>
  </si>
  <si>
    <t>July 2017</t>
  </si>
  <si>
    <t>7/3/17-7/9/17</t>
  </si>
  <si>
    <t>7/10/17-7/16/17</t>
  </si>
  <si>
    <t>7/17/17-7/23/17</t>
  </si>
  <si>
    <t>7/24/17-7/30/17</t>
  </si>
  <si>
    <t>7/31/17-8/6/17</t>
  </si>
  <si>
    <t>This Fourth of July, explore VA benefits you may be eligible for (7.3.17, "Test A" 12:00 PM EDT)</t>
  </si>
  <si>
    <t>This Fourth of July, explore VA benefits you may be eligible for (7.3.17, "Test B" 12:41 PM EDT)</t>
  </si>
  <si>
    <t xml:space="preserve"> Don't miss out on VA benefits for spouses and children (7.13.17, "Test A" 12:00 PM EDT)</t>
  </si>
  <si>
    <t>Get the VA support spouses and children deserve (7.13.17, "Test B" 2:53 PM EDT)</t>
  </si>
  <si>
    <t>Reach you career goals after a service-connected disability (7.18.17, "Test A" 12:00 PM EDT)</t>
  </si>
  <si>
    <t>Reach you career goals after a service-connected disability (7.18.17, "Test B" 12:09 PM EDT)</t>
  </si>
  <si>
    <t>Further your education (for less) with VA education benefits (7.27.17, "Test A" 12:00 PM EDT)</t>
  </si>
  <si>
    <t>Further your education (for less) with VA education benefits (7.27.17, "Test B" 12:11 PM EDT)</t>
  </si>
  <si>
    <t>8/7/17-8/13/17</t>
  </si>
  <si>
    <t>8/14/17-8/20/17</t>
  </si>
  <si>
    <t>8/21/17-8/27/17</t>
  </si>
  <si>
    <t>8/28/17-9/3/17</t>
  </si>
  <si>
    <t>Register Now: Get connected to benefit information and resources (8.15.17, "Test A" 12:00 PM EDT)</t>
  </si>
  <si>
    <t>Register Now: Get connected to benefit information and resources (8.15.17, "Test B" 12:07 PM EDT)</t>
  </si>
  <si>
    <t>TODAY at 2 p.m.: Learn How to Explore VA Benefits (8.22.17, "Test A" 09:00 AM EDT)</t>
  </si>
  <si>
    <t>TODAY at 2 p.m.: Learn How to Explore VA Benefits (8.22.17, "Test B" 12:00 PM EDT)</t>
  </si>
  <si>
    <t>August 2017</t>
  </si>
  <si>
    <t>Just left the service? Don't miss out on VA benefits (8.3.17 3:20 PM EDT)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</si>
</sst>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8" formatCode="&quot;$&quot;#,##0.00_);[Red]\(&quot;$&quot;#,##0.00\)"/>
    <numFmt numFmtId="44" formatCode="_(&quot;$&quot;* #,##0.00_);_(&quot;$&quot;* \(#,##0.00\);_(&quot;$&quot;* &quot;-&quot;??_);_(@_)"/>
    <numFmt numFmtId="43" formatCode="_(* #,##0.00_);_(* \(#,##0.00\);_(* &quot;-&quot;??_);_(@_)"/>
    <numFmt numFmtId="164" formatCode="0.0%"/>
    <numFmt numFmtId="165" formatCode="_(* #,##0_);_(* \(#,##0\);_(* &quot;-&quot;??_);_(@_)"/>
    <numFmt numFmtId="166" formatCode="&quot;$&quot;#,##0.00"/>
    <numFmt numFmtId="167" formatCode="&quot;$&quot;#,##0"/>
    <numFmt numFmtId="168" formatCode="[$-409]d\-mmm\-yy;@"/>
  </numFmts>
  <fonts count="68" x14ac:knownFonts="1">
    <font>
      <sz val="10"/>
      <color indexed="8"/>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0"/>
      <color indexed="8"/>
      <name val="Arial"/>
      <family val="2"/>
    </font>
    <font>
      <u/>
      <sz val="10"/>
      <color indexed="12"/>
      <name val="Arial"/>
      <family val="2"/>
    </font>
    <font>
      <u/>
      <sz val="10"/>
      <color indexed="20"/>
      <name val="Arial"/>
      <family val="2"/>
    </font>
    <font>
      <u/>
      <sz val="10"/>
      <color theme="10"/>
      <name val="Arial"/>
      <family val="2"/>
    </font>
    <font>
      <u/>
      <sz val="10"/>
      <color theme="11"/>
      <name val="Arial"/>
      <family val="2"/>
    </font>
    <font>
      <sz val="10"/>
      <color rgb="FF000000"/>
      <name val="Arial"/>
      <family val="2"/>
    </font>
    <font>
      <sz val="10"/>
      <color indexed="8"/>
      <name val="Arial"/>
      <family val="2"/>
    </font>
    <font>
      <b/>
      <sz val="14"/>
      <color indexed="8"/>
      <name val="Calibri"/>
      <family val="2"/>
    </font>
    <font>
      <b/>
      <sz val="14"/>
      <name val="Calibri"/>
      <family val="2"/>
    </font>
    <font>
      <sz val="10"/>
      <color rgb="FF000000"/>
      <name val="Calibri"/>
      <family val="2"/>
    </font>
    <font>
      <b/>
      <sz val="10"/>
      <color rgb="FF000000"/>
      <name val="Calibri"/>
      <family val="2"/>
    </font>
    <font>
      <b/>
      <sz val="14"/>
      <color rgb="FF000000"/>
      <name val="Calibri"/>
      <family val="2"/>
    </font>
    <font>
      <sz val="10"/>
      <name val="Arial"/>
      <family val="2"/>
    </font>
    <font>
      <b/>
      <sz val="12"/>
      <color theme="1"/>
      <name val="Calibri"/>
      <family val="2"/>
      <scheme val="minor"/>
    </font>
    <font>
      <b/>
      <sz val="14"/>
      <color theme="1"/>
      <name val="Calibri"/>
      <family val="2"/>
      <scheme val="minor"/>
    </font>
    <font>
      <sz val="12"/>
      <color indexed="8"/>
      <name val="Calibri"/>
      <family val="2"/>
    </font>
    <font>
      <sz val="11"/>
      <color theme="1"/>
      <name val="Calibri"/>
      <family val="2"/>
      <scheme val="minor"/>
    </font>
    <font>
      <b/>
      <sz val="12"/>
      <color indexed="8"/>
      <name val="Calibri"/>
      <family val="2"/>
    </font>
    <font>
      <sz val="10"/>
      <name val="Arial"/>
      <family val="2"/>
    </font>
    <font>
      <sz val="10"/>
      <name val="Calibri"/>
      <family val="2"/>
    </font>
    <font>
      <sz val="8"/>
      <name val="Arial"/>
      <family val="2"/>
    </font>
    <font>
      <sz val="12"/>
      <name val="Calibri"/>
      <family val="2"/>
      <scheme val="minor"/>
    </font>
    <font>
      <sz val="12"/>
      <color rgb="FF000000"/>
      <name val="Calibri"/>
      <family val="2"/>
      <scheme val="minor"/>
    </font>
    <font>
      <i/>
      <sz val="10"/>
      <color indexed="8"/>
      <name val="Arial"/>
      <family val="2"/>
    </font>
    <font>
      <sz val="10"/>
      <color rgb="FFFF0000"/>
      <name val="Calibri"/>
      <family val="2"/>
    </font>
    <font>
      <b/>
      <sz val="10"/>
      <name val="Calibri"/>
      <family val="2"/>
    </font>
    <font>
      <b/>
      <sz val="12"/>
      <name val="Calibri"/>
      <family val="2"/>
      <scheme val="minor"/>
    </font>
    <font>
      <b/>
      <sz val="10"/>
      <color rgb="FF000000"/>
      <name val="Arial"/>
      <family val="2"/>
    </font>
    <font>
      <b/>
      <sz val="12"/>
      <color theme="0"/>
      <name val="Calibri"/>
      <family val="2"/>
      <scheme val="minor"/>
    </font>
    <font>
      <b/>
      <sz val="12"/>
      <color indexed="8"/>
      <name val="Calibri"/>
      <family val="2"/>
      <scheme val="minor"/>
    </font>
    <font>
      <b/>
      <sz val="12"/>
      <color rgb="FFFF0000"/>
      <name val="Calibri"/>
      <family val="2"/>
      <scheme val="minor"/>
    </font>
    <font>
      <b/>
      <sz val="11"/>
      <color indexed="8"/>
      <name val="Calibri"/>
      <family val="2"/>
      <scheme val="minor"/>
    </font>
    <font>
      <b/>
      <sz val="11"/>
      <color rgb="FFFF0000"/>
      <name val="Calibri"/>
      <family val="2"/>
      <scheme val="minor"/>
    </font>
    <font>
      <sz val="10"/>
      <name val="Verdana"/>
      <family val="2"/>
    </font>
    <font>
      <b/>
      <sz val="12"/>
      <name val="Calibri"/>
      <family val="2"/>
    </font>
    <font>
      <sz val="12"/>
      <name val="Calibri"/>
      <family val="2"/>
    </font>
    <font>
      <sz val="16"/>
      <color indexed="8"/>
      <name val="Calibri"/>
      <family val="2"/>
    </font>
    <font>
      <b/>
      <sz val="12"/>
      <color rgb="FF000000"/>
      <name val="Calibri"/>
      <family val="2"/>
      <scheme val="minor"/>
    </font>
    <font>
      <b/>
      <sz val="12"/>
      <color rgb="FF000000"/>
      <name val="Calibri"/>
      <family val="2"/>
    </font>
    <font>
      <sz val="12"/>
      <color rgb="FF000000"/>
      <name val="Calibri"/>
      <family val="2"/>
    </font>
    <font>
      <b/>
      <sz val="12"/>
      <color rgb="FFFFFFFF"/>
      <name val="Calibri"/>
      <family val="2"/>
    </font>
    <font>
      <sz val="12"/>
      <color rgb="FFFF0000"/>
      <name val="Calibri"/>
      <family val="2"/>
      <scheme val="minor"/>
    </font>
    <font>
      <sz val="10"/>
      <color rgb="FF000000"/>
      <name val="Calibri"/>
      <family val="2"/>
      <scheme val="minor"/>
    </font>
    <font>
      <sz val="10"/>
      <name val="Calibri"/>
      <family val="2"/>
      <scheme val="minor"/>
    </font>
    <font>
      <sz val="10"/>
      <color indexed="8"/>
      <name val="Calibri"/>
      <family val="2"/>
      <scheme val="minor"/>
    </font>
    <font>
      <sz val="12"/>
      <color indexed="8"/>
      <name val="Times New Roman"/>
      <family val="1"/>
    </font>
    <font>
      <sz val="10"/>
      <color theme="0"/>
      <name val="Arial"/>
      <family val="2"/>
    </font>
    <font>
      <sz val="10"/>
      <color indexed="8"/>
      <name val="Arial"/>
      <family val="2"/>
    </font>
    <font>
      <b/>
      <sz val="14"/>
      <color indexed="8"/>
      <name val="Arial"/>
      <family val="2"/>
    </font>
    <font>
      <sz val="10"/>
      <color indexed="8"/>
      <name val="Arial"/>
      <family val="2"/>
    </font>
    <font>
      <sz val="12"/>
      <color indexed="8"/>
      <name val="Calibri"/>
      <family val="2"/>
      <scheme val="minor"/>
    </font>
    <font>
      <sz val="12"/>
      <color indexed="8"/>
      <name val="Arial"/>
      <family val="2"/>
    </font>
    <font>
      <b/>
      <sz val="20"/>
      <color indexed="8"/>
      <name val="Arial"/>
      <family val="2"/>
    </font>
    <font>
      <b/>
      <sz val="16"/>
      <color indexed="8"/>
      <name val="Arial"/>
      <family val="2"/>
    </font>
    <font>
      <b/>
      <sz val="14"/>
      <color indexed="8"/>
      <name val="Calibri"/>
      <family val="2"/>
      <scheme val="minor"/>
    </font>
    <font>
      <b/>
      <sz val="14"/>
      <name val="Calibri"/>
      <family val="2"/>
      <scheme val="minor"/>
    </font>
    <font>
      <sz val="10"/>
      <color indexed="8"/>
      <name val="Arial"/>
      <family val="2"/>
    </font>
  </fonts>
  <fills count="20">
    <fill>
      <patternFill patternType="none"/>
    </fill>
    <fill>
      <patternFill patternType="gray125"/>
    </fill>
    <fill>
      <patternFill patternType="solid">
        <fgColor theme="0" tint="-0.249977111117893"/>
        <bgColor indexed="64"/>
      </patternFill>
    </fill>
    <fill>
      <patternFill patternType="solid">
        <fgColor theme="2"/>
        <bgColor indexed="64"/>
      </patternFill>
    </fill>
    <fill>
      <patternFill patternType="solid">
        <fgColor rgb="FFFFFFCC"/>
      </patternFill>
    </fill>
    <fill>
      <patternFill patternType="solid">
        <fgColor rgb="FFFFFF00"/>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rgb="FF000000"/>
        <bgColor rgb="FF000000"/>
      </patternFill>
    </fill>
    <fill>
      <patternFill patternType="solid">
        <fgColor rgb="FFD9D9D9"/>
        <bgColor rgb="FF000000"/>
      </patternFill>
    </fill>
    <fill>
      <patternFill patternType="solid">
        <fgColor theme="4"/>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1" tint="0.34998626667073579"/>
        <bgColor indexed="64"/>
      </patternFill>
    </fill>
    <fill>
      <patternFill patternType="solid">
        <fgColor rgb="FFF2DCDB"/>
        <bgColor rgb="FF000000"/>
      </patternFill>
    </fill>
  </fills>
  <borders count="19">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s>
  <cellStyleXfs count="982">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9"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23" fillId="0" borderId="0"/>
    <xf numFmtId="0" fontId="15" fillId="0" borderId="0" applyNumberFormat="0" applyFill="0" applyBorder="0" applyAlignment="0" applyProtection="0"/>
    <xf numFmtId="0" fontId="15" fillId="0" borderId="0" applyNumberFormat="0" applyFill="0" applyBorder="0" applyAlignment="0" applyProtection="0"/>
    <xf numFmtId="0" fontId="8" fillId="0" borderId="0"/>
    <xf numFmtId="9" fontId="17"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27" fillId="0" borderId="0"/>
    <xf numFmtId="0" fontId="23" fillId="0" borderId="0" applyNumberFormat="0" applyFill="0" applyBorder="0" applyAlignment="0" applyProtection="0"/>
    <xf numFmtId="0" fontId="27" fillId="4" borderId="4" applyNumberFormat="0" applyFont="0" applyAlignment="0" applyProtection="0"/>
    <xf numFmtId="0" fontId="15" fillId="0" borderId="0" applyNumberFormat="0" applyFill="0" applyBorder="0" applyAlignment="0" applyProtection="0"/>
    <xf numFmtId="0" fontId="7"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43" fontId="17"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29"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44" fontId="7" fillId="0" borderId="0" applyFont="0" applyFill="0" applyBorder="0" applyAlignment="0" applyProtection="0"/>
    <xf numFmtId="9" fontId="7"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0" borderId="0"/>
    <xf numFmtId="0" fontId="44" fillId="0" borderId="0"/>
    <xf numFmtId="43" fontId="6" fillId="0" borderId="0" applyFont="0" applyFill="0" applyBorder="0" applyAlignment="0" applyProtection="0"/>
    <xf numFmtId="0" fontId="6"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7" fillId="0" borderId="0"/>
    <xf numFmtId="9" fontId="17" fillId="0" borderId="0" applyFont="0" applyFill="0" applyBorder="0" applyAlignment="0" applyProtection="0"/>
    <xf numFmtId="43" fontId="17" fillId="0" borderId="0" applyFont="0" applyFill="0" applyBorder="0" applyAlignment="0" applyProtection="0"/>
    <xf numFmtId="0" fontId="5" fillId="0" borderId="0"/>
    <xf numFmtId="0" fontId="5" fillId="0" borderId="0"/>
    <xf numFmtId="0" fontId="5" fillId="0" borderId="0"/>
    <xf numFmtId="0" fontId="4" fillId="0" borderId="0"/>
    <xf numFmtId="0" fontId="4" fillId="4" borderId="4" applyNumberFormat="0" applyFont="0" applyAlignment="0" applyProtection="0"/>
    <xf numFmtId="0" fontId="5" fillId="0" borderId="0"/>
    <xf numFmtId="0" fontId="23" fillId="0" borderId="0" applyNumberForma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4" fontId="17" fillId="0" borderId="0" applyFont="0" applyFill="0" applyBorder="0" applyAlignment="0" applyProtection="0"/>
    <xf numFmtId="0" fontId="3" fillId="0" borderId="0"/>
    <xf numFmtId="0" fontId="3" fillId="4" borderId="4" applyNumberFormat="0" applyFont="0" applyAlignment="0" applyProtection="0"/>
    <xf numFmtId="0" fontId="3" fillId="0" borderId="0"/>
    <xf numFmtId="0" fontId="3" fillId="4" borderId="4" applyNumberFormat="0" applyFont="0" applyAlignment="0" applyProtection="0"/>
    <xf numFmtId="44" fontId="58" fillId="0" borderId="0" applyFont="0" applyFill="0" applyBorder="0" applyAlignment="0" applyProtection="0"/>
    <xf numFmtId="44" fontId="60" fillId="0" borderId="0" applyFont="0" applyFill="0" applyBorder="0" applyAlignment="0" applyProtection="0"/>
    <xf numFmtId="0" fontId="2" fillId="0" borderId="0"/>
    <xf numFmtId="43" fontId="2" fillId="0" borderId="0" applyFont="0" applyFill="0" applyBorder="0" applyAlignment="0" applyProtection="0"/>
    <xf numFmtId="0" fontId="1" fillId="0" borderId="0"/>
    <xf numFmtId="0" fontId="67" fillId="0" borderId="0"/>
    <xf numFmtId="9" fontId="17" fillId="0" borderId="0" applyFont="0" applyFill="0" applyBorder="0" applyAlignment="0" applyProtection="0"/>
    <xf numFmtId="0" fontId="1" fillId="0" borderId="0"/>
    <xf numFmtId="0" fontId="1" fillId="4" borderId="4" applyNumberFormat="0" applyFont="0" applyAlignment="0" applyProtection="0"/>
    <xf numFmtId="43" fontId="17" fillId="0" borderId="0" applyFont="0" applyFill="0" applyBorder="0" applyAlignment="0" applyProtection="0"/>
    <xf numFmtId="0" fontId="1" fillId="0" borderId="0"/>
    <xf numFmtId="0" fontId="1" fillId="4" borderId="4" applyNumberFormat="0" applyFont="0" applyAlignment="0" applyProtection="0"/>
    <xf numFmtId="0" fontId="1" fillId="0" borderId="0"/>
    <xf numFmtId="0" fontId="1" fillId="4" borderId="4" applyNumberFormat="0" applyFont="0" applyAlignment="0" applyProtection="0"/>
    <xf numFmtId="0" fontId="1" fillId="0" borderId="0"/>
    <xf numFmtId="0" fontId="1" fillId="4" borderId="4" applyNumberFormat="0" applyFont="0" applyAlignment="0" applyProtection="0"/>
    <xf numFmtId="44" fontId="17" fillId="0" borderId="0" applyFont="0" applyFill="0" applyBorder="0" applyAlignment="0" applyProtection="0"/>
    <xf numFmtId="44" fontId="17" fillId="0" borderId="0" applyFont="0" applyFill="0" applyBorder="0" applyAlignment="0" applyProtection="0"/>
    <xf numFmtId="0" fontId="1" fillId="0" borderId="0"/>
    <xf numFmtId="43" fontId="1" fillId="0" borderId="0" applyFont="0" applyFill="0" applyBorder="0" applyAlignment="0" applyProtection="0"/>
    <xf numFmtId="0" fontId="15" fillId="0" borderId="0" applyNumberFormat="0" applyFill="0" applyBorder="0" applyAlignment="0" applyProtection="0"/>
  </cellStyleXfs>
  <cellXfs count="560">
    <xf numFmtId="0" fontId="0" fillId="0" borderId="0" xfId="0" applyAlignment="1">
      <alignment wrapText="1"/>
    </xf>
    <xf numFmtId="0" fontId="11" fillId="0" borderId="0" xfId="0" applyFont="1" applyAlignment="1">
      <alignment wrapText="1"/>
    </xf>
    <xf numFmtId="0" fontId="20" fillId="0" borderId="0" xfId="243" applyFont="1" applyAlignment="1">
      <alignment wrapText="1"/>
    </xf>
    <xf numFmtId="0" fontId="21" fillId="2" borderId="1" xfId="243" applyFont="1" applyFill="1" applyBorder="1" applyAlignment="1">
      <alignment horizontal="center" wrapText="1"/>
    </xf>
    <xf numFmtId="3" fontId="20" fillId="0" borderId="1" xfId="243" applyNumberFormat="1" applyFont="1" applyBorder="1" applyAlignment="1">
      <alignment horizontal="center" vertical="center" wrapText="1"/>
    </xf>
    <xf numFmtId="0" fontId="18" fillId="0" borderId="0" xfId="0" applyFont="1" applyAlignment="1"/>
    <xf numFmtId="0" fontId="25" fillId="0" borderId="0" xfId="0" applyFont="1" applyAlignment="1"/>
    <xf numFmtId="0" fontId="24" fillId="0" borderId="0" xfId="0" applyFont="1" applyAlignment="1"/>
    <xf numFmtId="0" fontId="0" fillId="0" borderId="0" xfId="0" applyAlignment="1"/>
    <xf numFmtId="0" fontId="26" fillId="0" borderId="1" xfId="0" applyFont="1" applyBorder="1" applyAlignment="1">
      <alignment wrapText="1"/>
    </xf>
    <xf numFmtId="0" fontId="24" fillId="0" borderId="0" xfId="0" applyFont="1" applyBorder="1" applyAlignment="1"/>
    <xf numFmtId="0" fontId="24" fillId="0" borderId="1" xfId="0" applyFont="1" applyBorder="1" applyAlignment="1">
      <alignment wrapText="1"/>
    </xf>
    <xf numFmtId="10" fontId="26" fillId="0" borderId="1" xfId="0" applyNumberFormat="1" applyFont="1" applyBorder="1" applyAlignment="1"/>
    <xf numFmtId="9" fontId="0" fillId="0" borderId="0" xfId="0" applyNumberFormat="1" applyBorder="1" applyAlignment="1"/>
    <xf numFmtId="9" fontId="0" fillId="0" borderId="1" xfId="0" applyNumberFormat="1" applyBorder="1" applyAlignment="1"/>
    <xf numFmtId="10" fontId="0" fillId="0" borderId="1" xfId="288" applyNumberFormat="1" applyFont="1" applyBorder="1" applyAlignment="1"/>
    <xf numFmtId="10" fontId="0" fillId="0" borderId="1" xfId="0" applyNumberFormat="1" applyBorder="1" applyAlignment="1"/>
    <xf numFmtId="0" fontId="0" fillId="0" borderId="1" xfId="0" applyBorder="1" applyAlignment="1"/>
    <xf numFmtId="3" fontId="26" fillId="0" borderId="1" xfId="0" applyNumberFormat="1" applyFont="1" applyBorder="1" applyAlignment="1"/>
    <xf numFmtId="0" fontId="26" fillId="0" borderId="1" xfId="0" applyFont="1" applyBorder="1" applyAlignment="1"/>
    <xf numFmtId="0" fontId="0" fillId="0" borderId="1" xfId="0" applyBorder="1" applyAlignment="1">
      <alignment wrapText="1"/>
    </xf>
    <xf numFmtId="0" fontId="0" fillId="0" borderId="0" xfId="0" applyAlignment="1">
      <alignment wrapText="1"/>
    </xf>
    <xf numFmtId="3" fontId="20" fillId="0" borderId="0" xfId="243" applyNumberFormat="1" applyFont="1" applyBorder="1" applyAlignment="1">
      <alignment horizontal="center" vertical="center" wrapText="1"/>
    </xf>
    <xf numFmtId="10" fontId="28" fillId="0" borderId="1" xfId="288" applyNumberFormat="1" applyFont="1" applyBorder="1" applyAlignment="1"/>
    <xf numFmtId="3" fontId="28" fillId="0" borderId="1" xfId="288" applyNumberFormat="1" applyFont="1" applyBorder="1" applyAlignment="1"/>
    <xf numFmtId="10" fontId="28" fillId="0" borderId="1" xfId="0" applyNumberFormat="1" applyFont="1" applyBorder="1" applyAlignment="1"/>
    <xf numFmtId="0" fontId="28" fillId="0" borderId="1" xfId="0" applyFont="1" applyBorder="1" applyAlignment="1"/>
    <xf numFmtId="3" fontId="28" fillId="0" borderId="1" xfId="0" applyNumberFormat="1" applyFont="1" applyBorder="1" applyAlignment="1"/>
    <xf numFmtId="164" fontId="0" fillId="0" borderId="1" xfId="0" applyNumberFormat="1" applyBorder="1" applyAlignment="1">
      <alignment wrapText="1"/>
    </xf>
    <xf numFmtId="0" fontId="0" fillId="0" borderId="0" xfId="0" applyAlignment="1">
      <alignment horizontal="center" wrapText="1"/>
    </xf>
    <xf numFmtId="0" fontId="21" fillId="5" borderId="1" xfId="243" applyFont="1" applyFill="1" applyBorder="1" applyAlignment="1">
      <alignment horizontal="center" wrapText="1"/>
    </xf>
    <xf numFmtId="0" fontId="20" fillId="0" borderId="0" xfId="243" applyFont="1" applyAlignment="1">
      <alignment horizontal="center" wrapText="1"/>
    </xf>
    <xf numFmtId="0" fontId="20" fillId="0" borderId="0" xfId="243" applyFont="1" applyFill="1" applyAlignment="1">
      <alignment wrapText="1"/>
    </xf>
    <xf numFmtId="3" fontId="20" fillId="0" borderId="1" xfId="243" applyNumberFormat="1" applyFont="1" applyFill="1" applyBorder="1" applyAlignment="1">
      <alignment vertical="center" wrapText="1"/>
    </xf>
    <xf numFmtId="0" fontId="20" fillId="0" borderId="0" xfId="243" applyFont="1" applyAlignment="1">
      <alignment wrapText="1"/>
    </xf>
    <xf numFmtId="3" fontId="30" fillId="0" borderId="1" xfId="243" applyNumberFormat="1" applyFont="1" applyBorder="1" applyAlignment="1">
      <alignment horizontal="center" vertical="center" wrapText="1"/>
    </xf>
    <xf numFmtId="3" fontId="30" fillId="5" borderId="1" xfId="243" applyNumberFormat="1" applyFont="1" applyFill="1" applyBorder="1" applyAlignment="1">
      <alignment horizontal="center" vertical="center" wrapText="1"/>
    </xf>
    <xf numFmtId="0" fontId="30" fillId="0" borderId="0" xfId="243" applyFont="1" applyAlignment="1">
      <alignment horizontal="center" vertical="center" wrapText="1"/>
    </xf>
    <xf numFmtId="0" fontId="30" fillId="0" borderId="0" xfId="243" applyFont="1" applyAlignment="1">
      <alignment horizontal="center" wrapText="1"/>
    </xf>
    <xf numFmtId="0" fontId="20" fillId="0" borderId="0" xfId="243" applyFont="1" applyAlignment="1">
      <alignment wrapText="1"/>
    </xf>
    <xf numFmtId="0" fontId="20" fillId="0" borderId="0" xfId="243" applyFont="1" applyAlignment="1">
      <alignment wrapText="1"/>
    </xf>
    <xf numFmtId="0" fontId="0" fillId="0" borderId="0" xfId="0" applyBorder="1" applyAlignment="1">
      <alignment horizontal="center" wrapText="1"/>
    </xf>
    <xf numFmtId="0" fontId="20" fillId="0" borderId="0" xfId="243" applyFont="1" applyAlignment="1">
      <alignment wrapText="1"/>
    </xf>
    <xf numFmtId="0" fontId="20" fillId="0" borderId="0" xfId="243" applyFont="1" applyAlignment="1">
      <alignment wrapText="1"/>
    </xf>
    <xf numFmtId="0" fontId="20" fillId="0" borderId="0" xfId="243" applyFont="1" applyAlignment="1">
      <alignment wrapText="1"/>
    </xf>
    <xf numFmtId="0" fontId="20" fillId="0" borderId="0" xfId="243" applyFont="1" applyAlignment="1">
      <alignment wrapText="1"/>
    </xf>
    <xf numFmtId="10" fontId="20" fillId="0" borderId="0" xfId="288" applyNumberFormat="1" applyFont="1" applyAlignment="1">
      <alignment wrapText="1"/>
    </xf>
    <xf numFmtId="9" fontId="20" fillId="0" borderId="0" xfId="288" applyFont="1" applyAlignment="1">
      <alignment wrapText="1"/>
    </xf>
    <xf numFmtId="0" fontId="20" fillId="0" borderId="0" xfId="288" applyNumberFormat="1" applyFont="1" applyAlignment="1">
      <alignment wrapText="1"/>
    </xf>
    <xf numFmtId="3" fontId="30" fillId="0" borderId="1" xfId="243" applyNumberFormat="1" applyFont="1" applyFill="1" applyBorder="1" applyAlignment="1">
      <alignment horizontal="center" vertical="center" wrapText="1"/>
    </xf>
    <xf numFmtId="3" fontId="20" fillId="0" borderId="1" xfId="243" applyNumberFormat="1" applyFont="1" applyFill="1" applyBorder="1" applyAlignment="1">
      <alignment horizontal="center" vertical="center" wrapText="1"/>
    </xf>
    <xf numFmtId="0" fontId="30" fillId="0" borderId="0" xfId="243" applyFont="1" applyFill="1" applyAlignment="1">
      <alignment wrapText="1"/>
    </xf>
    <xf numFmtId="0" fontId="30" fillId="0" borderId="0" xfId="243" applyFont="1" applyFill="1" applyAlignment="1">
      <alignment horizontal="center" wrapText="1"/>
    </xf>
    <xf numFmtId="3" fontId="30" fillId="7" borderId="1" xfId="243" applyNumberFormat="1" applyFont="1" applyFill="1" applyBorder="1" applyAlignment="1">
      <alignment horizontal="center" vertical="center" wrapText="1"/>
    </xf>
    <xf numFmtId="0" fontId="35" fillId="0" borderId="0" xfId="243" applyFont="1" applyAlignment="1">
      <alignment wrapText="1"/>
    </xf>
    <xf numFmtId="0" fontId="35" fillId="0" borderId="0" xfId="243" applyFont="1" applyAlignment="1">
      <alignment horizontal="center" wrapText="1"/>
    </xf>
    <xf numFmtId="0" fontId="23" fillId="0" borderId="0" xfId="0" applyFont="1" applyBorder="1" applyAlignment="1">
      <alignment horizontal="center" wrapText="1"/>
    </xf>
    <xf numFmtId="0" fontId="36" fillId="2" borderId="1" xfId="243" applyFont="1" applyFill="1" applyBorder="1" applyAlignment="1">
      <alignment horizontal="center" wrapText="1"/>
    </xf>
    <xf numFmtId="0" fontId="36" fillId="5" borderId="1" xfId="243" applyFont="1" applyFill="1" applyBorder="1" applyAlignment="1">
      <alignment horizontal="center" wrapText="1"/>
    </xf>
    <xf numFmtId="3" fontId="38" fillId="0" borderId="0" xfId="0" applyNumberFormat="1" applyFont="1" applyAlignment="1">
      <alignment wrapText="1"/>
    </xf>
    <xf numFmtId="3" fontId="30" fillId="0" borderId="0" xfId="243" applyNumberFormat="1" applyFont="1" applyAlignment="1">
      <alignment horizontal="right" wrapText="1"/>
    </xf>
    <xf numFmtId="0" fontId="24" fillId="7" borderId="0" xfId="850" applyFont="1" applyFill="1" applyAlignment="1">
      <alignment horizontal="center"/>
    </xf>
    <xf numFmtId="0" fontId="6" fillId="7" borderId="0" xfId="850" applyFill="1"/>
    <xf numFmtId="0" fontId="42" fillId="7" borderId="1" xfId="850" applyFont="1" applyFill="1" applyBorder="1" applyAlignment="1">
      <alignment horizontal="right" wrapText="1"/>
    </xf>
    <xf numFmtId="0" fontId="27" fillId="7" borderId="0" xfId="850" applyFont="1" applyFill="1"/>
    <xf numFmtId="0" fontId="42" fillId="7" borderId="1" xfId="850" applyFont="1" applyFill="1" applyBorder="1" applyAlignment="1">
      <alignment horizontal="center" wrapText="1"/>
    </xf>
    <xf numFmtId="17" fontId="32" fillId="7" borderId="1" xfId="851" applyNumberFormat="1" applyFont="1" applyFill="1" applyBorder="1" applyAlignment="1">
      <alignment horizontal="right"/>
    </xf>
    <xf numFmtId="3" fontId="32" fillId="7" borderId="1" xfId="850" applyNumberFormat="1" applyFont="1" applyFill="1" applyBorder="1"/>
    <xf numFmtId="3" fontId="32" fillId="7" borderId="1" xfId="851" applyNumberFormat="1" applyFont="1" applyFill="1" applyBorder="1"/>
    <xf numFmtId="3" fontId="32" fillId="7" borderId="3" xfId="850" applyNumberFormat="1" applyFont="1" applyFill="1" applyBorder="1"/>
    <xf numFmtId="10" fontId="32" fillId="7" borderId="1" xfId="850" applyNumberFormat="1" applyFont="1" applyFill="1" applyBorder="1"/>
    <xf numFmtId="3" fontId="32" fillId="7" borderId="0" xfId="850" applyNumberFormat="1" applyFont="1" applyFill="1" applyBorder="1"/>
    <xf numFmtId="0" fontId="24" fillId="7" borderId="0" xfId="850" applyFont="1" applyFill="1"/>
    <xf numFmtId="0" fontId="41" fillId="7" borderId="0" xfId="850" applyFont="1" applyFill="1"/>
    <xf numFmtId="0" fontId="47" fillId="7" borderId="0" xfId="850" applyFont="1" applyFill="1"/>
    <xf numFmtId="3" fontId="32" fillId="7" borderId="1" xfId="853" applyNumberFormat="1" applyFont="1" applyFill="1" applyBorder="1"/>
    <xf numFmtId="0" fontId="6" fillId="7" borderId="1" xfId="853" applyFill="1" applyBorder="1"/>
    <xf numFmtId="0" fontId="6" fillId="7" borderId="0" xfId="853" applyFill="1"/>
    <xf numFmtId="0" fontId="5" fillId="7" borderId="9" xfId="850" applyFont="1" applyFill="1" applyBorder="1"/>
    <xf numFmtId="0" fontId="5" fillId="7" borderId="5" xfId="850" applyFont="1" applyFill="1" applyBorder="1"/>
    <xf numFmtId="0" fontId="5" fillId="7" borderId="11" xfId="850" applyFont="1" applyFill="1" applyBorder="1"/>
    <xf numFmtId="0" fontId="5" fillId="7" borderId="0" xfId="850" applyFont="1" applyFill="1"/>
    <xf numFmtId="3" fontId="5" fillId="7" borderId="1" xfId="850" applyNumberFormat="1" applyFont="1" applyFill="1" applyBorder="1"/>
    <xf numFmtId="0" fontId="5" fillId="7" borderId="1" xfId="850" applyFont="1" applyFill="1" applyBorder="1"/>
    <xf numFmtId="165" fontId="5" fillId="7" borderId="1" xfId="852" applyNumberFormat="1" applyFont="1" applyFill="1" applyBorder="1"/>
    <xf numFmtId="0" fontId="5" fillId="7" borderId="1" xfId="853" applyFont="1" applyFill="1" applyBorder="1"/>
    <xf numFmtId="3" fontId="5" fillId="7" borderId="1" xfId="853" applyNumberFormat="1" applyFont="1" applyFill="1" applyBorder="1"/>
    <xf numFmtId="0" fontId="32" fillId="7" borderId="1" xfId="850" applyFont="1" applyFill="1" applyBorder="1"/>
    <xf numFmtId="0" fontId="32" fillId="7" borderId="0" xfId="850" applyFont="1" applyFill="1"/>
    <xf numFmtId="0" fontId="6" fillId="7" borderId="1" xfId="850" applyFill="1" applyBorder="1"/>
    <xf numFmtId="10" fontId="6" fillId="7" borderId="1" xfId="850" applyNumberFormat="1" applyFill="1" applyBorder="1"/>
    <xf numFmtId="0" fontId="52" fillId="7" borderId="0" xfId="850" applyFont="1" applyFill="1"/>
    <xf numFmtId="10" fontId="6" fillId="7" borderId="0" xfId="850" applyNumberFormat="1" applyFill="1"/>
    <xf numFmtId="0" fontId="5" fillId="7" borderId="5" xfId="853" applyFont="1" applyFill="1" applyBorder="1"/>
    <xf numFmtId="0" fontId="6" fillId="7" borderId="5" xfId="853" applyFill="1" applyBorder="1"/>
    <xf numFmtId="3" fontId="32" fillId="7" borderId="3" xfId="853" applyNumberFormat="1" applyFont="1" applyFill="1" applyBorder="1"/>
    <xf numFmtId="0" fontId="0" fillId="0" borderId="0" xfId="0" applyAlignment="1">
      <alignment wrapText="1"/>
    </xf>
    <xf numFmtId="0" fontId="0" fillId="0" borderId="0" xfId="0" applyAlignment="1">
      <alignment wrapText="1"/>
    </xf>
    <xf numFmtId="3" fontId="30" fillId="0" borderId="9" xfId="243" applyNumberFormat="1" applyFont="1" applyBorder="1" applyAlignment="1">
      <alignment horizontal="center" vertical="center" wrapText="1"/>
    </xf>
    <xf numFmtId="0" fontId="0" fillId="0" borderId="0" xfId="0" applyBorder="1" applyAlignment="1">
      <alignment wrapText="1"/>
    </xf>
    <xf numFmtId="3" fontId="20" fillId="0" borderId="9" xfId="243" applyNumberFormat="1" applyFont="1" applyBorder="1" applyAlignment="1">
      <alignment horizontal="center" vertical="center" wrapText="1"/>
    </xf>
    <xf numFmtId="0" fontId="53" fillId="0" borderId="0" xfId="243" applyFont="1" applyAlignment="1">
      <alignment wrapText="1"/>
    </xf>
    <xf numFmtId="0" fontId="55" fillId="0" borderId="0" xfId="0" applyFont="1" applyAlignment="1">
      <alignment wrapText="1"/>
    </xf>
    <xf numFmtId="0" fontId="20" fillId="0" borderId="0" xfId="243" applyFont="1" applyBorder="1" applyAlignment="1">
      <alignment wrapText="1"/>
    </xf>
    <xf numFmtId="0" fontId="30" fillId="0" borderId="0" xfId="243" applyFont="1" applyBorder="1" applyAlignment="1">
      <alignment horizontal="center" wrapText="1"/>
    </xf>
    <xf numFmtId="3" fontId="30" fillId="5" borderId="3" xfId="243" applyNumberFormat="1" applyFont="1" applyFill="1" applyBorder="1" applyAlignment="1">
      <alignment horizontal="center" vertical="center" wrapText="1"/>
    </xf>
    <xf numFmtId="3" fontId="30" fillId="0" borderId="5" xfId="243" applyNumberFormat="1" applyFont="1" applyBorder="1" applyAlignment="1">
      <alignment horizontal="center" vertical="center" wrapText="1"/>
    </xf>
    <xf numFmtId="16" fontId="30" fillId="0" borderId="0" xfId="243" applyNumberFormat="1" applyFont="1" applyBorder="1" applyAlignment="1">
      <alignment wrapText="1"/>
    </xf>
    <xf numFmtId="3" fontId="30" fillId="0" borderId="5" xfId="243" applyNumberFormat="1" applyFont="1" applyFill="1" applyBorder="1" applyAlignment="1">
      <alignment horizontal="center" vertical="center" wrapText="1"/>
    </xf>
    <xf numFmtId="3" fontId="30" fillId="0" borderId="11" xfId="243" applyNumberFormat="1" applyFont="1" applyFill="1" applyBorder="1" applyAlignment="1">
      <alignment horizontal="center" vertical="center" wrapText="1"/>
    </xf>
    <xf numFmtId="3" fontId="30" fillId="0" borderId="1" xfId="243" applyNumberFormat="1" applyFont="1" applyFill="1" applyBorder="1" applyAlignment="1">
      <alignment horizontal="center" wrapText="1"/>
    </xf>
    <xf numFmtId="9" fontId="20" fillId="0" borderId="0" xfId="288" applyFont="1" applyFill="1" applyAlignment="1">
      <alignment wrapText="1"/>
    </xf>
    <xf numFmtId="0" fontId="0" fillId="0" borderId="0" xfId="0" applyAlignment="1">
      <alignment wrapText="1"/>
    </xf>
    <xf numFmtId="3" fontId="30" fillId="0" borderId="0" xfId="243" applyNumberFormat="1" applyFont="1" applyAlignment="1">
      <alignment horizontal="center" vertical="center" wrapText="1"/>
    </xf>
    <xf numFmtId="0" fontId="0" fillId="0" borderId="0" xfId="0" applyAlignment="1">
      <alignment wrapText="1"/>
    </xf>
    <xf numFmtId="166" fontId="0" fillId="0" borderId="0" xfId="0" applyNumberFormat="1" applyAlignment="1">
      <alignment horizontal="center" wrapText="1"/>
    </xf>
    <xf numFmtId="3" fontId="0" fillId="0" borderId="0" xfId="0" applyNumberFormat="1" applyAlignment="1">
      <alignment horizontal="center" wrapText="1"/>
    </xf>
    <xf numFmtId="49" fontId="0" fillId="0" borderId="0" xfId="0" applyNumberFormat="1" applyAlignment="1">
      <alignment wrapText="1"/>
    </xf>
    <xf numFmtId="167" fontId="0" fillId="0" borderId="0" xfId="0" applyNumberFormat="1" applyAlignment="1">
      <alignment horizontal="center" wrapText="1"/>
    </xf>
    <xf numFmtId="0" fontId="56" fillId="0" borderId="0" xfId="0" applyFont="1" applyAlignment="1">
      <alignment vertical="center" wrapText="1"/>
    </xf>
    <xf numFmtId="49" fontId="57" fillId="14" borderId="0" xfId="0" applyNumberFormat="1" applyFont="1" applyFill="1" applyAlignment="1">
      <alignment wrapText="1"/>
    </xf>
    <xf numFmtId="167" fontId="57" fillId="14" borderId="0" xfId="0" applyNumberFormat="1" applyFont="1" applyFill="1" applyAlignment="1">
      <alignment horizontal="center" wrapText="1"/>
    </xf>
    <xf numFmtId="166" fontId="57" fillId="14" borderId="0" xfId="0" applyNumberFormat="1" applyFont="1" applyFill="1" applyAlignment="1">
      <alignment horizontal="center" wrapText="1"/>
    </xf>
    <xf numFmtId="0" fontId="17" fillId="0" borderId="0" xfId="0" applyFont="1" applyAlignment="1">
      <alignment horizontal="left"/>
    </xf>
    <xf numFmtId="0" fontId="0" fillId="0" borderId="0" xfId="0" applyAlignment="1">
      <alignment wrapText="1"/>
    </xf>
    <xf numFmtId="3" fontId="0" fillId="0" borderId="0" xfId="0" applyNumberFormat="1" applyAlignment="1">
      <alignment wrapText="1"/>
    </xf>
    <xf numFmtId="3" fontId="55" fillId="0" borderId="0" xfId="0" applyNumberFormat="1" applyFont="1" applyAlignment="1">
      <alignment wrapText="1"/>
    </xf>
    <xf numFmtId="0" fontId="0" fillId="0" borderId="0" xfId="0" applyAlignment="1">
      <alignment wrapText="1"/>
    </xf>
    <xf numFmtId="0" fontId="0" fillId="0" borderId="0" xfId="0" applyAlignment="1">
      <alignment wrapText="1"/>
    </xf>
    <xf numFmtId="0" fontId="32" fillId="6" borderId="0" xfId="941" applyFont="1" applyFill="1" applyBorder="1" applyAlignment="1">
      <alignment wrapText="1"/>
    </xf>
    <xf numFmtId="0" fontId="46" fillId="13" borderId="10" xfId="941" applyFont="1" applyFill="1" applyBorder="1" applyAlignment="1">
      <alignment wrapText="1"/>
    </xf>
    <xf numFmtId="0" fontId="51" fillId="12" borderId="1" xfId="941" applyFont="1" applyFill="1" applyBorder="1" applyAlignment="1">
      <alignment wrapText="1"/>
    </xf>
    <xf numFmtId="0" fontId="49" fillId="0" borderId="0" xfId="941" applyFont="1" applyAlignment="1">
      <alignment wrapText="1"/>
    </xf>
    <xf numFmtId="0" fontId="17" fillId="0" borderId="0" xfId="941" applyBorder="1" applyAlignment="1">
      <alignment horizontal="right" wrapText="1"/>
    </xf>
    <xf numFmtId="0" fontId="32" fillId="0" borderId="0" xfId="941" applyFont="1" applyFill="1" applyBorder="1" applyAlignment="1">
      <alignment wrapText="1"/>
    </xf>
    <xf numFmtId="0" fontId="11" fillId="0" borderId="0" xfId="941" applyFont="1" applyAlignment="1">
      <alignment wrapText="1"/>
    </xf>
    <xf numFmtId="0" fontId="32" fillId="0" borderId="1" xfId="941" applyFont="1" applyFill="1" applyBorder="1" applyAlignment="1">
      <alignment wrapText="1"/>
    </xf>
    <xf numFmtId="0" fontId="37" fillId="8" borderId="1" xfId="941" applyFont="1" applyFill="1" applyBorder="1" applyAlignment="1">
      <alignment wrapText="1"/>
    </xf>
    <xf numFmtId="0" fontId="24" fillId="0" borderId="0" xfId="941" applyFont="1" applyAlignment="1">
      <alignment wrapText="1"/>
    </xf>
    <xf numFmtId="0" fontId="32" fillId="0" borderId="5" xfId="941" applyFont="1" applyFill="1" applyBorder="1" applyAlignment="1">
      <alignment wrapText="1"/>
    </xf>
    <xf numFmtId="0" fontId="17" fillId="0" borderId="0" xfId="941" applyFill="1" applyBorder="1" applyAlignment="1">
      <alignment wrapText="1"/>
    </xf>
    <xf numFmtId="0" fontId="17" fillId="0" borderId="0" xfId="941" applyBorder="1" applyAlignment="1">
      <alignment wrapText="1"/>
    </xf>
    <xf numFmtId="0" fontId="39" fillId="9" borderId="9" xfId="941" applyFont="1" applyFill="1" applyBorder="1" applyAlignment="1"/>
    <xf numFmtId="0" fontId="39" fillId="9" borderId="10" xfId="941" applyFont="1" applyFill="1" applyBorder="1" applyAlignment="1"/>
    <xf numFmtId="3" fontId="17" fillId="8" borderId="1" xfId="941" applyNumberFormat="1" applyFill="1" applyBorder="1" applyAlignment="1"/>
    <xf numFmtId="10" fontId="0" fillId="8" borderId="1" xfId="942" applyNumberFormat="1" applyFont="1" applyFill="1" applyBorder="1" applyAlignment="1"/>
    <xf numFmtId="10" fontId="17" fillId="8" borderId="1" xfId="941" applyNumberFormat="1" applyFill="1" applyBorder="1" applyAlignment="1"/>
    <xf numFmtId="165" fontId="0" fillId="8" borderId="1" xfId="943" applyNumberFormat="1" applyFont="1" applyFill="1" applyBorder="1" applyAlignment="1"/>
    <xf numFmtId="164" fontId="17" fillId="3" borderId="1" xfId="941" applyNumberFormat="1" applyFill="1" applyBorder="1" applyAlignment="1">
      <alignment horizontal="center"/>
    </xf>
    <xf numFmtId="164" fontId="17" fillId="0" borderId="1" xfId="941" applyNumberFormat="1" applyBorder="1" applyAlignment="1">
      <alignment horizontal="center"/>
    </xf>
    <xf numFmtId="164" fontId="17" fillId="3" borderId="1" xfId="941" applyNumberFormat="1" applyFont="1" applyFill="1" applyBorder="1" applyAlignment="1">
      <alignment horizontal="center"/>
    </xf>
    <xf numFmtId="3" fontId="17" fillId="0" borderId="1" xfId="941" applyNumberFormat="1" applyBorder="1" applyAlignment="1">
      <alignment horizontal="center"/>
    </xf>
    <xf numFmtId="0" fontId="17" fillId="0" borderId="1" xfId="941" applyBorder="1" applyAlignment="1"/>
    <xf numFmtId="0" fontId="17" fillId="0" borderId="1" xfId="941" applyBorder="1" applyAlignment="1">
      <alignment horizontal="center"/>
    </xf>
    <xf numFmtId="0" fontId="17" fillId="0" borderId="0" xfId="941" applyAlignment="1"/>
    <xf numFmtId="0" fontId="0" fillId="0" borderId="0" xfId="0" applyAlignment="1"/>
    <xf numFmtId="10" fontId="17" fillId="0" borderId="1" xfId="941" applyNumberFormat="1" applyBorder="1"/>
    <xf numFmtId="165" fontId="17" fillId="0" borderId="1" xfId="941" applyNumberFormat="1" applyBorder="1"/>
    <xf numFmtId="0" fontId="37" fillId="10" borderId="1" xfId="941" applyFont="1" applyFill="1" applyBorder="1" applyAlignment="1">
      <alignment wrapText="1"/>
    </xf>
    <xf numFmtId="10" fontId="0" fillId="8" borderId="1" xfId="942" applyNumberFormat="1" applyFont="1" applyFill="1" applyBorder="1"/>
    <xf numFmtId="165" fontId="0" fillId="8" borderId="1" xfId="943" applyNumberFormat="1" applyFont="1" applyFill="1" applyBorder="1"/>
    <xf numFmtId="10" fontId="17" fillId="8" borderId="1" xfId="941" applyNumberFormat="1" applyFill="1" applyBorder="1"/>
    <xf numFmtId="0" fontId="39" fillId="9" borderId="1" xfId="941" applyFont="1" applyFill="1" applyBorder="1"/>
    <xf numFmtId="0" fontId="17" fillId="0" borderId="0" xfId="941"/>
    <xf numFmtId="0" fontId="24" fillId="0" borderId="0" xfId="941" applyFont="1"/>
    <xf numFmtId="10" fontId="50" fillId="13" borderId="6" xfId="941" applyNumberFormat="1" applyFont="1" applyFill="1" applyBorder="1" applyAlignment="1"/>
    <xf numFmtId="165" fontId="50" fillId="13" borderId="6" xfId="941" applyNumberFormat="1" applyFont="1" applyFill="1" applyBorder="1" applyAlignment="1"/>
    <xf numFmtId="0" fontId="51" fillId="12" borderId="3" xfId="941" applyFont="1" applyFill="1" applyBorder="1" applyAlignment="1"/>
    <xf numFmtId="0" fontId="50" fillId="0" borderId="0" xfId="941" applyFont="1" applyAlignment="1"/>
    <xf numFmtId="0" fontId="49" fillId="0" borderId="0" xfId="941" applyFont="1" applyAlignment="1"/>
    <xf numFmtId="0" fontId="39" fillId="9" borderId="1" xfId="941" applyFont="1" applyFill="1" applyBorder="1" applyAlignment="1">
      <alignment wrapText="1"/>
    </xf>
    <xf numFmtId="165" fontId="17" fillId="0" borderId="0" xfId="941" applyNumberFormat="1" applyFill="1" applyBorder="1"/>
    <xf numFmtId="0" fontId="37" fillId="0" borderId="0" xfId="941" applyFont="1" applyFill="1" applyBorder="1" applyAlignment="1">
      <alignment wrapText="1"/>
    </xf>
    <xf numFmtId="0" fontId="48" fillId="0" borderId="0" xfId="941" applyFont="1"/>
    <xf numFmtId="3" fontId="17" fillId="8" borderId="1" xfId="941" applyNumberFormat="1" applyFill="1" applyBorder="1"/>
    <xf numFmtId="0" fontId="32" fillId="8" borderId="1" xfId="941" applyFont="1" applyFill="1" applyBorder="1" applyAlignment="1">
      <alignment wrapText="1"/>
    </xf>
    <xf numFmtId="0" fontId="39" fillId="9" borderId="9" xfId="941" applyFont="1" applyFill="1" applyBorder="1" applyAlignment="1">
      <alignment wrapText="1"/>
    </xf>
    <xf numFmtId="0" fontId="39" fillId="9" borderId="10" xfId="941" applyFont="1" applyFill="1" applyBorder="1" applyAlignment="1">
      <alignment wrapText="1"/>
    </xf>
    <xf numFmtId="0" fontId="24" fillId="11" borderId="1" xfId="941" applyFont="1" applyFill="1" applyBorder="1" applyAlignment="1">
      <alignment wrapText="1"/>
    </xf>
    <xf numFmtId="0" fontId="39" fillId="9" borderId="9" xfId="941" applyFont="1" applyFill="1" applyBorder="1"/>
    <xf numFmtId="0" fontId="39" fillId="9" borderId="10" xfId="941" applyFont="1" applyFill="1" applyBorder="1"/>
    <xf numFmtId="0" fontId="37" fillId="10" borderId="1" xfId="941" applyFont="1" applyFill="1" applyBorder="1"/>
    <xf numFmtId="10" fontId="0" fillId="0" borderId="0" xfId="942" applyNumberFormat="1" applyFont="1" applyFill="1" applyBorder="1"/>
    <xf numFmtId="165" fontId="0" fillId="0" borderId="0" xfId="943" applyNumberFormat="1" applyFont="1" applyFill="1" applyBorder="1"/>
    <xf numFmtId="10" fontId="17" fillId="0" borderId="0" xfId="941" applyNumberFormat="1" applyFill="1" applyBorder="1"/>
    <xf numFmtId="0" fontId="24" fillId="10" borderId="1" xfId="941" applyFont="1" applyFill="1" applyBorder="1" applyAlignment="1">
      <alignment horizontal="left" wrapText="1"/>
    </xf>
    <xf numFmtId="3" fontId="17" fillId="0" borderId="1" xfId="941" applyNumberFormat="1" applyBorder="1"/>
    <xf numFmtId="0" fontId="17" fillId="0" borderId="1" xfId="941" applyBorder="1"/>
    <xf numFmtId="0" fontId="11" fillId="8" borderId="1" xfId="941" applyFont="1" applyFill="1" applyBorder="1" applyAlignment="1">
      <alignment horizontal="right" wrapText="1"/>
    </xf>
    <xf numFmtId="0" fontId="11" fillId="8" borderId="1" xfId="941" applyFont="1" applyFill="1" applyBorder="1" applyAlignment="1">
      <alignment horizontal="left" wrapText="1"/>
    </xf>
    <xf numFmtId="10" fontId="0" fillId="0" borderId="1" xfId="942" applyNumberFormat="1" applyFont="1" applyBorder="1"/>
    <xf numFmtId="165" fontId="0" fillId="0" borderId="1" xfId="943" applyNumberFormat="1" applyFont="1" applyFill="1" applyBorder="1"/>
    <xf numFmtId="10" fontId="0" fillId="0" borderId="1" xfId="942" applyNumberFormat="1" applyFont="1" applyFill="1" applyBorder="1"/>
    <xf numFmtId="0" fontId="17" fillId="0" borderId="1" xfId="941" applyFill="1" applyBorder="1"/>
    <xf numFmtId="10" fontId="17" fillId="0" borderId="1" xfId="941" applyNumberFormat="1" applyFill="1" applyBorder="1"/>
    <xf numFmtId="0" fontId="37" fillId="8" borderId="1" xfId="941" applyFont="1" applyFill="1" applyBorder="1"/>
    <xf numFmtId="10" fontId="17" fillId="5" borderId="1" xfId="941" applyNumberFormat="1" applyFill="1" applyBorder="1"/>
    <xf numFmtId="0" fontId="33" fillId="0" borderId="1" xfId="941" applyFont="1" applyFill="1" applyBorder="1" applyAlignment="1">
      <alignment horizontal="left"/>
    </xf>
    <xf numFmtId="0" fontId="17" fillId="0" borderId="3" xfId="941" applyBorder="1" applyAlignment="1">
      <alignment wrapText="1"/>
    </xf>
    <xf numFmtId="165" fontId="0" fillId="6" borderId="1" xfId="943" applyNumberFormat="1" applyFont="1" applyFill="1" applyBorder="1"/>
    <xf numFmtId="0" fontId="17" fillId="0" borderId="0" xfId="941" applyAlignment="1">
      <alignment horizontal="left" wrapText="1"/>
    </xf>
    <xf numFmtId="0" fontId="34" fillId="0" borderId="0" xfId="941" applyFont="1"/>
    <xf numFmtId="0" fontId="33" fillId="0" borderId="6" xfId="941" applyFont="1" applyFill="1" applyBorder="1" applyAlignment="1">
      <alignment horizontal="left"/>
    </xf>
    <xf numFmtId="10" fontId="32" fillId="0" borderId="1" xfId="941" applyNumberFormat="1" applyFont="1" applyFill="1" applyBorder="1"/>
    <xf numFmtId="164" fontId="17" fillId="0" borderId="1" xfId="941" applyNumberFormat="1" applyFill="1" applyBorder="1" applyAlignment="1">
      <alignment horizontal="center" wrapText="1"/>
    </xf>
    <xf numFmtId="0" fontId="17" fillId="0" borderId="1" xfId="941" applyBorder="1" applyAlignment="1">
      <alignment horizontal="center" wrapText="1"/>
    </xf>
    <xf numFmtId="164" fontId="17" fillId="3" borderId="1" xfId="941" applyNumberFormat="1" applyFill="1" applyBorder="1" applyAlignment="1">
      <alignment horizontal="center" wrapText="1"/>
    </xf>
    <xf numFmtId="164" fontId="17" fillId="0" borderId="0" xfId="941" applyNumberFormat="1" applyAlignment="1">
      <alignment wrapText="1"/>
    </xf>
    <xf numFmtId="10" fontId="0" fillId="0" borderId="0" xfId="942" applyNumberFormat="1" applyFont="1" applyAlignment="1">
      <alignment wrapText="1"/>
    </xf>
    <xf numFmtId="0" fontId="11" fillId="2" borderId="1" xfId="941" applyFont="1" applyFill="1" applyBorder="1" applyAlignment="1">
      <alignment wrapText="1"/>
    </xf>
    <xf numFmtId="10" fontId="17" fillId="0" borderId="0" xfId="941" applyNumberFormat="1" applyBorder="1"/>
    <xf numFmtId="0" fontId="17" fillId="0" borderId="0" xfId="941" applyBorder="1"/>
    <xf numFmtId="165" fontId="17" fillId="0" borderId="0" xfId="941" applyNumberFormat="1" applyBorder="1"/>
    <xf numFmtId="164" fontId="17" fillId="0" borderId="0" xfId="941" applyNumberFormat="1" applyFill="1" applyBorder="1" applyAlignment="1">
      <alignment horizontal="center" wrapText="1"/>
    </xf>
    <xf numFmtId="0" fontId="17" fillId="0" borderId="0" xfId="941" applyBorder="1" applyAlignment="1">
      <alignment horizontal="center" wrapText="1"/>
    </xf>
    <xf numFmtId="10" fontId="0" fillId="0" borderId="0" xfId="942" applyNumberFormat="1" applyFont="1"/>
    <xf numFmtId="10" fontId="0" fillId="0" borderId="1" xfId="942" applyNumberFormat="1" applyFont="1" applyBorder="1" applyAlignment="1">
      <alignment horizontal="center"/>
    </xf>
    <xf numFmtId="10" fontId="17" fillId="3" borderId="1" xfId="941" applyNumberFormat="1" applyFill="1" applyBorder="1" applyAlignment="1">
      <alignment horizontal="center" wrapText="1"/>
    </xf>
    <xf numFmtId="10" fontId="0" fillId="0" borderId="0" xfId="942" applyNumberFormat="1" applyFont="1" applyAlignment="1">
      <alignment horizontal="center"/>
    </xf>
    <xf numFmtId="164" fontId="17" fillId="0" borderId="1" xfId="941" applyNumberFormat="1" applyBorder="1" applyAlignment="1">
      <alignment horizontal="center" wrapText="1"/>
    </xf>
    <xf numFmtId="3" fontId="17" fillId="0" borderId="1" xfId="941" applyNumberFormat="1" applyBorder="1" applyAlignment="1">
      <alignment horizontal="center" wrapText="1"/>
    </xf>
    <xf numFmtId="0" fontId="17" fillId="0" borderId="1" xfId="941" applyBorder="1" applyAlignment="1">
      <alignment wrapText="1"/>
    </xf>
    <xf numFmtId="0" fontId="17" fillId="6" borderId="0" xfId="941" applyFill="1" applyAlignment="1">
      <alignment wrapText="1"/>
    </xf>
    <xf numFmtId="165" fontId="0" fillId="6" borderId="0" xfId="943" applyNumberFormat="1" applyFont="1" applyFill="1" applyBorder="1"/>
    <xf numFmtId="10" fontId="17" fillId="6" borderId="0" xfId="941" applyNumberFormat="1" applyFill="1" applyBorder="1"/>
    <xf numFmtId="10" fontId="0" fillId="6" borderId="0" xfId="942" applyNumberFormat="1" applyFont="1" applyFill="1" applyBorder="1"/>
    <xf numFmtId="165" fontId="16" fillId="13" borderId="6" xfId="941" applyNumberFormat="1" applyFont="1" applyFill="1" applyBorder="1" applyAlignment="1"/>
    <xf numFmtId="0" fontId="0" fillId="0" borderId="0" xfId="0" applyAlignment="1">
      <alignment wrapText="1"/>
    </xf>
    <xf numFmtId="0" fontId="17" fillId="0" borderId="0" xfId="941" applyAlignment="1">
      <alignment wrapText="1"/>
    </xf>
    <xf numFmtId="0" fontId="11" fillId="2" borderId="1" xfId="941" applyFont="1" applyFill="1" applyBorder="1" applyAlignment="1">
      <alignment horizontal="center" wrapText="1"/>
    </xf>
    <xf numFmtId="0" fontId="0" fillId="0" borderId="0" xfId="0" applyAlignment="1">
      <alignment wrapText="1"/>
    </xf>
    <xf numFmtId="0" fontId="17" fillId="0" borderId="0" xfId="941" applyAlignment="1">
      <alignment wrapText="1"/>
    </xf>
    <xf numFmtId="0" fontId="0" fillId="0" borderId="0" xfId="0" applyAlignment="1">
      <alignment wrapText="1"/>
    </xf>
    <xf numFmtId="3" fontId="30" fillId="6" borderId="1" xfId="243" applyNumberFormat="1" applyFont="1" applyFill="1" applyBorder="1" applyAlignment="1">
      <alignment horizontal="center" vertical="center" wrapText="1"/>
    </xf>
    <xf numFmtId="0" fontId="0" fillId="0" borderId="0" xfId="0" applyAlignment="1">
      <alignment wrapText="1"/>
    </xf>
    <xf numFmtId="0" fontId="0" fillId="0" borderId="0" xfId="0" applyAlignment="1">
      <alignment wrapText="1"/>
    </xf>
    <xf numFmtId="0" fontId="17" fillId="0" borderId="0" xfId="94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17" fillId="0" borderId="0" xfId="941" applyAlignment="1">
      <alignment wrapText="1"/>
    </xf>
    <xf numFmtId="0" fontId="0" fillId="0" borderId="0" xfId="0" applyAlignment="1">
      <alignment wrapText="1"/>
    </xf>
    <xf numFmtId="0" fontId="0" fillId="0" borderId="0" xfId="0" applyAlignment="1">
      <alignment wrapText="1"/>
    </xf>
    <xf numFmtId="0" fontId="17" fillId="0" borderId="0" xfId="941" applyAlignment="1">
      <alignment wrapText="1"/>
    </xf>
    <xf numFmtId="0" fontId="0" fillId="0" borderId="0" xfId="0" applyAlignment="1">
      <alignment wrapText="1"/>
    </xf>
    <xf numFmtId="0" fontId="39" fillId="9" borderId="0" xfId="941" applyFont="1" applyFill="1" applyAlignment="1">
      <alignment wrapText="1"/>
    </xf>
    <xf numFmtId="165" fontId="17" fillId="0" borderId="0" xfId="941" applyNumberFormat="1" applyAlignment="1">
      <alignment wrapText="1"/>
    </xf>
    <xf numFmtId="10" fontId="17" fillId="0" borderId="0" xfId="941" applyNumberFormat="1" applyAlignment="1">
      <alignment wrapText="1"/>
    </xf>
    <xf numFmtId="0" fontId="0" fillId="0" borderId="0" xfId="0" applyAlignment="1">
      <alignment wrapText="1"/>
    </xf>
    <xf numFmtId="0" fontId="30" fillId="0" borderId="0" xfId="243" applyFont="1" applyAlignment="1">
      <alignment wrapText="1"/>
    </xf>
    <xf numFmtId="3" fontId="30" fillId="0" borderId="0" xfId="243" applyNumberFormat="1" applyFont="1" applyAlignment="1">
      <alignment wrapText="1"/>
    </xf>
    <xf numFmtId="3" fontId="30" fillId="0" borderId="0" xfId="243" applyNumberFormat="1" applyFont="1" applyBorder="1" applyAlignment="1">
      <alignment wrapText="1"/>
    </xf>
    <xf numFmtId="0" fontId="35" fillId="0" borderId="0" xfId="243" applyFont="1" applyBorder="1" applyAlignment="1">
      <alignment wrapText="1"/>
    </xf>
    <xf numFmtId="0" fontId="53" fillId="0" borderId="0" xfId="243" applyFont="1" applyAlignment="1">
      <alignment wrapText="1"/>
    </xf>
    <xf numFmtId="0" fontId="55" fillId="0" borderId="0" xfId="0" applyFont="1" applyAlignment="1">
      <alignment wrapText="1"/>
    </xf>
    <xf numFmtId="3" fontId="30" fillId="0" borderId="1" xfId="243" applyNumberFormat="1" applyFont="1" applyBorder="1" applyAlignment="1">
      <alignment wrapText="1"/>
    </xf>
    <xf numFmtId="3" fontId="30" fillId="0" borderId="1" xfId="243" applyNumberFormat="1" applyFont="1" applyBorder="1" applyAlignment="1">
      <alignment horizontal="right" wrapText="1"/>
    </xf>
    <xf numFmtId="3" fontId="30" fillId="0" borderId="1" xfId="243" applyNumberFormat="1" applyFont="1" applyBorder="1" applyAlignment="1">
      <alignment horizontal="center" wrapText="1"/>
    </xf>
    <xf numFmtId="3" fontId="30" fillId="6" borderId="1" xfId="243" applyNumberFormat="1" applyFont="1" applyFill="1" applyBorder="1" applyAlignment="1">
      <alignment horizontal="center" wrapText="1"/>
    </xf>
    <xf numFmtId="3" fontId="53" fillId="0" borderId="1" xfId="0" applyNumberFormat="1" applyFont="1" applyBorder="1" applyAlignment="1">
      <alignment horizontal="center"/>
    </xf>
    <xf numFmtId="0" fontId="53" fillId="0" borderId="1" xfId="0" applyFont="1" applyBorder="1" applyAlignment="1">
      <alignment horizontal="center"/>
    </xf>
    <xf numFmtId="3" fontId="53" fillId="0" borderId="1" xfId="0" applyNumberFormat="1" applyFont="1" applyFill="1" applyBorder="1" applyAlignment="1">
      <alignment horizontal="center"/>
    </xf>
    <xf numFmtId="0" fontId="20" fillId="0" borderId="0" xfId="243" applyFont="1" applyAlignment="1">
      <alignment wrapText="1"/>
    </xf>
    <xf numFmtId="3" fontId="20" fillId="0" borderId="0" xfId="243" applyNumberFormat="1" applyFont="1" applyAlignment="1">
      <alignment wrapText="1"/>
    </xf>
    <xf numFmtId="0" fontId="17" fillId="0" borderId="0" xfId="941" applyAlignment="1">
      <alignment wrapText="1"/>
    </xf>
    <xf numFmtId="0" fontId="0" fillId="0" borderId="0" xfId="0" applyAlignment="1">
      <alignment wrapText="1"/>
    </xf>
    <xf numFmtId="0" fontId="0" fillId="0" borderId="0" xfId="0" applyAlignment="1">
      <alignment wrapText="1"/>
    </xf>
    <xf numFmtId="3" fontId="57" fillId="14" borderId="0" xfId="0" applyNumberFormat="1" applyFont="1" applyFill="1" applyAlignment="1">
      <alignment horizontal="center" wrapText="1"/>
    </xf>
    <xf numFmtId="17" fontId="0" fillId="0" borderId="0" xfId="0" applyNumberFormat="1" applyAlignment="1">
      <alignment wrapText="1"/>
    </xf>
    <xf numFmtId="167" fontId="0" fillId="0" borderId="0" xfId="0" applyNumberFormat="1" applyAlignment="1">
      <alignment wrapText="1"/>
    </xf>
    <xf numFmtId="0" fontId="22" fillId="0" borderId="7" xfId="243" applyFont="1" applyBorder="1" applyAlignment="1">
      <alignment horizontal="center" wrapText="1"/>
    </xf>
    <xf numFmtId="16" fontId="21" fillId="0" borderId="5" xfId="243" applyNumberFormat="1" applyFont="1" applyBorder="1" applyAlignment="1">
      <alignment horizontal="center" wrapText="1"/>
    </xf>
    <xf numFmtId="16" fontId="21" fillId="0" borderId="3" xfId="243" applyNumberFormat="1" applyFont="1" applyBorder="1" applyAlignment="1">
      <alignment horizontal="center" wrapText="1"/>
    </xf>
    <xf numFmtId="0" fontId="30" fillId="0" borderId="2" xfId="243" applyFont="1" applyBorder="1" applyAlignment="1">
      <alignment horizontal="center" wrapText="1"/>
    </xf>
    <xf numFmtId="0" fontId="20" fillId="0" borderId="2" xfId="243" applyFont="1" applyBorder="1" applyAlignment="1">
      <alignment horizontal="center" wrapText="1"/>
    </xf>
    <xf numFmtId="16" fontId="36" fillId="0" borderId="5" xfId="243" applyNumberFormat="1" applyFont="1" applyBorder="1" applyAlignment="1">
      <alignment horizontal="center" wrapText="1"/>
    </xf>
    <xf numFmtId="16" fontId="36" fillId="0" borderId="3" xfId="243" applyNumberFormat="1" applyFont="1" applyBorder="1" applyAlignment="1">
      <alignment horizontal="center" wrapText="1"/>
    </xf>
    <xf numFmtId="0" fontId="22" fillId="0" borderId="0" xfId="243" applyFont="1" applyAlignment="1">
      <alignment horizontal="center" wrapText="1"/>
    </xf>
    <xf numFmtId="0" fontId="19" fillId="0" borderId="0" xfId="0" applyFont="1" applyFill="1" applyBorder="1" applyAlignment="1">
      <alignment horizontal="center" vertical="center" wrapText="1"/>
    </xf>
    <xf numFmtId="0" fontId="0" fillId="0" borderId="0" xfId="0" applyAlignment="1">
      <alignment wrapText="1"/>
    </xf>
    <xf numFmtId="0" fontId="14" fillId="0" borderId="0" xfId="260" applyAlignment="1">
      <alignment horizontal="center" wrapText="1"/>
    </xf>
    <xf numFmtId="0" fontId="14" fillId="0" borderId="0" xfId="260" applyAlignment="1">
      <alignment wrapText="1"/>
    </xf>
    <xf numFmtId="0" fontId="20" fillId="0" borderId="2" xfId="243" applyFont="1" applyBorder="1" applyAlignment="1">
      <alignment horizontal="center" wrapText="1"/>
    </xf>
    <xf numFmtId="0" fontId="22" fillId="0" borderId="0" xfId="243" applyFont="1" applyAlignment="1">
      <alignment horizontal="center"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9" fillId="0" borderId="0" xfId="0" applyFont="1" applyAlignment="1">
      <alignment wrapText="1"/>
    </xf>
    <xf numFmtId="165" fontId="17" fillId="8" borderId="1" xfId="352" applyNumberFormat="1" applyFill="1" applyBorder="1"/>
    <xf numFmtId="16" fontId="30" fillId="6" borderId="0" xfId="243" applyNumberFormat="1" applyFont="1" applyFill="1" applyBorder="1" applyAlignment="1">
      <alignment wrapText="1"/>
    </xf>
    <xf numFmtId="0" fontId="21" fillId="0" borderId="0" xfId="243" applyFont="1" applyBorder="1" applyAlignment="1">
      <alignment horizontal="center" wrapText="1"/>
    </xf>
    <xf numFmtId="0" fontId="53" fillId="0" borderId="0" xfId="0" applyFont="1" applyFill="1" applyAlignment="1"/>
    <xf numFmtId="0" fontId="17" fillId="0" borderId="0" xfId="941" applyAlignment="1">
      <alignment wrapText="1"/>
    </xf>
    <xf numFmtId="0" fontId="11" fillId="2" borderId="1" xfId="941" applyFont="1" applyFill="1" applyBorder="1" applyAlignment="1">
      <alignment horizontal="center" wrapText="1"/>
    </xf>
    <xf numFmtId="0" fontId="0" fillId="0" borderId="0" xfId="0" applyAlignment="1">
      <alignment wrapText="1"/>
    </xf>
    <xf numFmtId="0" fontId="0" fillId="0" borderId="0" xfId="0" applyAlignment="1">
      <alignment vertical="center" wrapText="1"/>
    </xf>
    <xf numFmtId="0" fontId="0" fillId="0" borderId="0" xfId="0" applyBorder="1" applyAlignment="1">
      <alignment vertical="center" wrapText="1"/>
    </xf>
    <xf numFmtId="0" fontId="17" fillId="0" borderId="0" xfId="0" applyFont="1" applyAlignment="1">
      <alignment vertical="center" wrapText="1"/>
    </xf>
    <xf numFmtId="164" fontId="17" fillId="0" borderId="0" xfId="941" applyNumberFormat="1" applyBorder="1" applyAlignment="1">
      <alignment horizontal="center"/>
    </xf>
    <xf numFmtId="164" fontId="17" fillId="0" borderId="0" xfId="941" applyNumberFormat="1" applyFont="1" applyFill="1" applyBorder="1" applyAlignment="1">
      <alignment horizontal="center"/>
    </xf>
    <xf numFmtId="0" fontId="24" fillId="7" borderId="12" xfId="850" applyFont="1" applyFill="1" applyBorder="1"/>
    <xf numFmtId="0" fontId="6" fillId="7" borderId="3" xfId="850" applyFill="1" applyBorder="1"/>
    <xf numFmtId="0" fontId="50" fillId="7" borderId="1" xfId="0" applyFont="1" applyFill="1" applyBorder="1" applyAlignment="1">
      <alignment horizontal="right" vertical="center"/>
    </xf>
    <xf numFmtId="0" fontId="6" fillId="0" borderId="0" xfId="850" applyFill="1"/>
    <xf numFmtId="0" fontId="6" fillId="0" borderId="0" xfId="853" applyFill="1"/>
    <xf numFmtId="0" fontId="6" fillId="0" borderId="0" xfId="853" applyFill="1" applyBorder="1"/>
    <xf numFmtId="0" fontId="47" fillId="0" borderId="0" xfId="853" applyFont="1" applyFill="1" applyBorder="1"/>
    <xf numFmtId="2" fontId="45" fillId="0" borderId="13" xfId="850" applyNumberFormat="1" applyFont="1" applyFill="1" applyBorder="1"/>
    <xf numFmtId="2" fontId="46" fillId="0" borderId="7" xfId="850" applyNumberFormat="1" applyFont="1" applyFill="1" applyBorder="1"/>
    <xf numFmtId="2" fontId="46" fillId="0" borderId="7" xfId="850" applyNumberFormat="1" applyFont="1" applyFill="1" applyBorder="1" applyAlignment="1">
      <alignment horizontal="center"/>
    </xf>
    <xf numFmtId="165" fontId="46" fillId="0" borderId="7" xfId="852" applyNumberFormat="1" applyFont="1" applyFill="1" applyBorder="1"/>
    <xf numFmtId="2" fontId="46" fillId="0" borderId="7" xfId="853" applyNumberFormat="1" applyFont="1" applyFill="1" applyBorder="1" applyAlignment="1">
      <alignment horizontal="center"/>
    </xf>
    <xf numFmtId="0" fontId="47" fillId="0" borderId="7" xfId="853" applyFont="1" applyFill="1" applyBorder="1"/>
    <xf numFmtId="0" fontId="47" fillId="0" borderId="14" xfId="853" applyFont="1" applyFill="1" applyBorder="1"/>
    <xf numFmtId="0" fontId="26" fillId="0" borderId="8" xfId="850" applyFont="1" applyFill="1" applyBorder="1"/>
    <xf numFmtId="2" fontId="46" fillId="0" borderId="0" xfId="850" applyNumberFormat="1" applyFont="1" applyFill="1" applyBorder="1"/>
    <xf numFmtId="2" fontId="26" fillId="0" borderId="0" xfId="850" applyNumberFormat="1" applyFont="1" applyFill="1" applyBorder="1"/>
    <xf numFmtId="165" fontId="46" fillId="0" borderId="0" xfId="852" applyNumberFormat="1" applyFont="1" applyFill="1" applyBorder="1"/>
    <xf numFmtId="2" fontId="46" fillId="0" borderId="0" xfId="853" applyNumberFormat="1" applyFont="1" applyFill="1" applyBorder="1"/>
    <xf numFmtId="0" fontId="47" fillId="0" borderId="15" xfId="853" applyFont="1" applyFill="1" applyBorder="1"/>
    <xf numFmtId="0" fontId="46" fillId="0" borderId="8" xfId="850" applyFont="1" applyFill="1" applyBorder="1"/>
    <xf numFmtId="0" fontId="47" fillId="0" borderId="2" xfId="853" applyFont="1" applyFill="1" applyBorder="1"/>
    <xf numFmtId="0" fontId="46" fillId="0" borderId="16" xfId="850" applyFont="1" applyFill="1" applyBorder="1"/>
    <xf numFmtId="2" fontId="46" fillId="0" borderId="2" xfId="850" applyNumberFormat="1" applyFont="1" applyFill="1" applyBorder="1"/>
    <xf numFmtId="165" fontId="46" fillId="0" borderId="2" xfId="852" applyNumberFormat="1" applyFont="1" applyFill="1" applyBorder="1"/>
    <xf numFmtId="2" fontId="46" fillId="0" borderId="2" xfId="853" applyNumberFormat="1" applyFont="1" applyFill="1" applyBorder="1"/>
    <xf numFmtId="0" fontId="47" fillId="0" borderId="6" xfId="853" applyFont="1" applyFill="1" applyBorder="1"/>
    <xf numFmtId="0" fontId="42" fillId="7" borderId="10" xfId="850" applyFont="1" applyFill="1" applyBorder="1" applyAlignment="1">
      <alignment horizontal="center" wrapText="1"/>
    </xf>
    <xf numFmtId="0" fontId="43" fillId="7" borderId="3" xfId="850" applyFont="1" applyFill="1" applyBorder="1" applyAlignment="1">
      <alignment horizontal="center" wrapText="1"/>
    </xf>
    <xf numFmtId="0" fontId="43" fillId="7" borderId="1" xfId="850" applyFont="1" applyFill="1" applyBorder="1" applyAlignment="1">
      <alignment horizontal="center" wrapText="1"/>
    </xf>
    <xf numFmtId="0" fontId="42" fillId="7" borderId="5" xfId="853" applyFont="1" applyFill="1" applyBorder="1" applyAlignment="1">
      <alignment horizontal="center" wrapText="1"/>
    </xf>
    <xf numFmtId="0" fontId="42" fillId="7" borderId="1" xfId="853" applyFont="1" applyFill="1" applyBorder="1" applyAlignment="1">
      <alignment horizontal="center" wrapText="1"/>
    </xf>
    <xf numFmtId="0" fontId="61" fillId="0" borderId="1" xfId="0" applyFont="1" applyBorder="1"/>
    <xf numFmtId="44" fontId="61" fillId="0" borderId="1" xfId="962" applyFont="1" applyBorder="1"/>
    <xf numFmtId="44" fontId="24" fillId="0" borderId="1" xfId="0" applyNumberFormat="1" applyFont="1" applyBorder="1"/>
    <xf numFmtId="0" fontId="24" fillId="0" borderId="1" xfId="0" applyFont="1" applyBorder="1"/>
    <xf numFmtId="0" fontId="61" fillId="0" borderId="1" xfId="0" applyFont="1" applyBorder="1" applyAlignment="1">
      <alignment wrapText="1"/>
    </xf>
    <xf numFmtId="0" fontId="61" fillId="2" borderId="1" xfId="0" applyFont="1" applyFill="1" applyBorder="1" applyAlignment="1">
      <alignment wrapText="1"/>
    </xf>
    <xf numFmtId="44" fontId="61" fillId="2" borderId="1" xfId="962" applyFont="1" applyFill="1" applyBorder="1" applyAlignment="1">
      <alignment wrapText="1"/>
    </xf>
    <xf numFmtId="10" fontId="61" fillId="2" borderId="1" xfId="288" applyNumberFormat="1" applyFont="1" applyFill="1" applyBorder="1" applyAlignment="1">
      <alignment wrapText="1"/>
    </xf>
    <xf numFmtId="44" fontId="24" fillId="2" borderId="1" xfId="962" applyFont="1" applyFill="1" applyBorder="1" applyAlignment="1">
      <alignment wrapText="1"/>
    </xf>
    <xf numFmtId="10" fontId="24" fillId="2" borderId="1" xfId="288" applyNumberFormat="1" applyFont="1" applyFill="1" applyBorder="1" applyAlignment="1">
      <alignment wrapText="1"/>
    </xf>
    <xf numFmtId="165" fontId="61" fillId="0" borderId="1" xfId="352" applyNumberFormat="1" applyFont="1" applyBorder="1"/>
    <xf numFmtId="165" fontId="24" fillId="0" borderId="1" xfId="352" applyNumberFormat="1" applyFont="1" applyBorder="1"/>
    <xf numFmtId="0" fontId="61" fillId="0" borderId="0" xfId="0" applyFont="1" applyFill="1" applyBorder="1" applyAlignment="1">
      <alignment wrapText="1"/>
    </xf>
    <xf numFmtId="10" fontId="61" fillId="0" borderId="0" xfId="288" applyNumberFormat="1" applyFont="1" applyFill="1" applyBorder="1" applyAlignment="1">
      <alignment wrapText="1"/>
    </xf>
    <xf numFmtId="10" fontId="24" fillId="0" borderId="0" xfId="288" applyNumberFormat="1" applyFont="1" applyFill="1" applyBorder="1" applyAlignment="1">
      <alignment wrapText="1"/>
    </xf>
    <xf numFmtId="165" fontId="24" fillId="2" borderId="1" xfId="352" applyNumberFormat="1" applyFont="1" applyFill="1" applyBorder="1" applyAlignment="1">
      <alignment wrapText="1"/>
    </xf>
    <xf numFmtId="165" fontId="61" fillId="2" borderId="1" xfId="352" applyNumberFormat="1" applyFont="1" applyFill="1" applyBorder="1" applyAlignment="1">
      <alignment wrapText="1"/>
    </xf>
    <xf numFmtId="10" fontId="17" fillId="0" borderId="1" xfId="941" applyNumberFormat="1" applyFill="1" applyBorder="1" applyAlignment="1">
      <alignment horizontal="center"/>
    </xf>
    <xf numFmtId="10" fontId="17" fillId="0" borderId="1" xfId="941" applyNumberFormat="1" applyFont="1" applyFill="1" applyBorder="1" applyAlignment="1">
      <alignment horizontal="center"/>
    </xf>
    <xf numFmtId="164" fontId="17" fillId="0" borderId="1" xfId="941" applyNumberFormat="1" applyFont="1" applyFill="1" applyBorder="1" applyAlignment="1">
      <alignment horizontal="center"/>
    </xf>
    <xf numFmtId="0" fontId="0" fillId="0" borderId="0" xfId="0" applyAlignment="1">
      <alignment horizontal="left" vertical="top" wrapText="1"/>
    </xf>
    <xf numFmtId="0" fontId="0" fillId="0" borderId="0" xfId="0" applyAlignment="1">
      <alignment wrapText="1"/>
    </xf>
    <xf numFmtId="0" fontId="20" fillId="0" borderId="2" xfId="243" applyFont="1" applyBorder="1" applyAlignment="1">
      <alignment horizontal="center" wrapText="1"/>
    </xf>
    <xf numFmtId="0" fontId="22" fillId="0" borderId="0" xfId="243" applyFont="1" applyAlignment="1">
      <alignment horizontal="center" wrapText="1"/>
    </xf>
    <xf numFmtId="0" fontId="0" fillId="0" borderId="0" xfId="0" applyAlignment="1">
      <alignment wrapText="1"/>
    </xf>
    <xf numFmtId="3" fontId="57" fillId="14" borderId="0" xfId="0" applyNumberFormat="1" applyFont="1" applyFill="1" applyAlignment="1">
      <alignment horizontal="center" wrapText="1"/>
    </xf>
    <xf numFmtId="0" fontId="17" fillId="0" borderId="0" xfId="941" applyAlignment="1">
      <alignment wrapText="1"/>
    </xf>
    <xf numFmtId="0" fontId="0" fillId="0" borderId="0" xfId="0" applyAlignment="1">
      <alignment wrapText="1"/>
    </xf>
    <xf numFmtId="3" fontId="30" fillId="15" borderId="1" xfId="243" applyNumberFormat="1" applyFont="1" applyFill="1" applyBorder="1" applyAlignment="1">
      <alignment horizontal="center" vertical="center" wrapText="1"/>
    </xf>
    <xf numFmtId="3" fontId="30" fillId="0" borderId="1" xfId="243" quotePrefix="1" applyNumberFormat="1" applyFont="1" applyFill="1" applyBorder="1" applyAlignment="1">
      <alignment horizontal="center" vertical="center" wrapText="1"/>
    </xf>
    <xf numFmtId="0" fontId="35" fillId="0" borderId="0" xfId="243" applyFont="1" applyFill="1" applyAlignment="1">
      <alignment horizontal="center" wrapText="1"/>
    </xf>
    <xf numFmtId="0" fontId="30" fillId="0" borderId="0" xfId="243" applyFont="1" applyFill="1" applyAlignment="1">
      <alignment horizontal="center" vertical="center" wrapText="1"/>
    </xf>
    <xf numFmtId="0" fontId="20" fillId="0" borderId="0" xfId="243" applyFont="1" applyFill="1" applyAlignment="1">
      <alignment horizontal="center" vertical="center" wrapText="1"/>
    </xf>
    <xf numFmtId="0" fontId="20" fillId="0" borderId="0" xfId="243" applyFont="1" applyFill="1" applyAlignment="1">
      <alignment horizontal="center" wrapText="1"/>
    </xf>
    <xf numFmtId="0" fontId="53" fillId="0" borderId="1" xfId="0" applyFont="1" applyFill="1" applyBorder="1" applyAlignment="1">
      <alignment horizontal="center"/>
    </xf>
    <xf numFmtId="0" fontId="53" fillId="0" borderId="0" xfId="0" applyFont="1" applyFill="1" applyAlignment="1">
      <alignment horizontal="center"/>
    </xf>
    <xf numFmtId="3" fontId="53" fillId="0" borderId="0" xfId="0" applyNumberFormat="1" applyFont="1" applyFill="1" applyAlignment="1">
      <alignment horizontal="center"/>
    </xf>
    <xf numFmtId="37" fontId="53" fillId="0" borderId="1" xfId="352" applyNumberFormat="1" applyFont="1" applyFill="1" applyBorder="1" applyAlignment="1">
      <alignment horizontal="center"/>
    </xf>
    <xf numFmtId="168" fontId="30" fillId="0" borderId="1" xfId="243" applyNumberFormat="1" applyFont="1" applyBorder="1" applyAlignment="1">
      <alignment wrapText="1"/>
    </xf>
    <xf numFmtId="168" fontId="30" fillId="0" borderId="1" xfId="243" applyNumberFormat="1" applyFont="1" applyFill="1" applyBorder="1" applyAlignment="1">
      <alignment wrapText="1"/>
    </xf>
    <xf numFmtId="168" fontId="30" fillId="6" borderId="1" xfId="243" applyNumberFormat="1" applyFont="1" applyFill="1" applyBorder="1" applyAlignment="1">
      <alignment wrapText="1"/>
    </xf>
    <xf numFmtId="168" fontId="54" fillId="0" borderId="1" xfId="243" applyNumberFormat="1" applyFont="1" applyFill="1" applyBorder="1" applyAlignment="1">
      <alignment wrapText="1"/>
    </xf>
    <xf numFmtId="168" fontId="30" fillId="16" borderId="1" xfId="243" applyNumberFormat="1" applyFont="1" applyFill="1" applyBorder="1" applyAlignment="1">
      <alignment wrapText="1"/>
    </xf>
    <xf numFmtId="3" fontId="30" fillId="16" borderId="1" xfId="243" applyNumberFormat="1" applyFont="1" applyFill="1" applyBorder="1" applyAlignment="1">
      <alignment horizontal="center" vertical="center" wrapText="1"/>
    </xf>
    <xf numFmtId="3" fontId="35" fillId="16" borderId="1" xfId="243" applyNumberFormat="1" applyFont="1" applyFill="1" applyBorder="1" applyAlignment="1">
      <alignment horizontal="center" vertical="center" wrapText="1"/>
    </xf>
    <xf numFmtId="168" fontId="30" fillId="17" borderId="1" xfId="243" applyNumberFormat="1" applyFont="1" applyFill="1" applyBorder="1" applyAlignment="1">
      <alignment wrapText="1"/>
    </xf>
    <xf numFmtId="3" fontId="53" fillId="17" borderId="1" xfId="0" applyNumberFormat="1" applyFont="1" applyFill="1" applyBorder="1" applyAlignment="1">
      <alignment horizontal="center"/>
    </xf>
    <xf numFmtId="3" fontId="30" fillId="17" borderId="1" xfId="243" applyNumberFormat="1" applyFont="1" applyFill="1" applyBorder="1" applyAlignment="1">
      <alignment horizontal="center" wrapText="1"/>
    </xf>
    <xf numFmtId="0" fontId="53" fillId="17" borderId="1" xfId="0" applyFont="1" applyFill="1" applyBorder="1" applyAlignment="1">
      <alignment horizontal="center"/>
    </xf>
    <xf numFmtId="3" fontId="30" fillId="17" borderId="1" xfId="243" applyNumberFormat="1" applyFont="1" applyFill="1" applyBorder="1" applyAlignment="1">
      <alignment wrapText="1"/>
    </xf>
    <xf numFmtId="3" fontId="30" fillId="17" borderId="1" xfId="243" applyNumberFormat="1" applyFont="1" applyFill="1" applyBorder="1" applyAlignment="1">
      <alignment horizontal="center" vertical="center" wrapText="1"/>
    </xf>
    <xf numFmtId="0" fontId="63" fillId="0" borderId="0" xfId="0" applyFont="1" applyAlignment="1">
      <alignment wrapText="1"/>
    </xf>
    <xf numFmtId="0" fontId="0" fillId="2" borderId="0" xfId="0" applyFill="1" applyAlignment="1">
      <alignment wrapText="1"/>
    </xf>
    <xf numFmtId="0" fontId="63" fillId="2" borderId="0" xfId="0" applyFont="1" applyFill="1" applyAlignment="1">
      <alignment wrapText="1"/>
    </xf>
    <xf numFmtId="0" fontId="14" fillId="2" borderId="0" xfId="260" applyFill="1" applyAlignment="1">
      <alignment horizontal="center" wrapText="1"/>
    </xf>
    <xf numFmtId="0" fontId="14" fillId="2" borderId="0" xfId="260" applyFill="1" applyAlignment="1">
      <alignment wrapText="1"/>
    </xf>
    <xf numFmtId="0" fontId="0" fillId="2" borderId="0" xfId="0" applyFill="1" applyAlignment="1"/>
    <xf numFmtId="0" fontId="64" fillId="0" borderId="0" xfId="0" applyFont="1" applyAlignment="1">
      <alignment wrapText="1"/>
    </xf>
    <xf numFmtId="0" fontId="17" fillId="0" borderId="0" xfId="941" applyBorder="1" applyAlignment="1">
      <alignment horizontal="left" vertical="center" wrapText="1"/>
    </xf>
    <xf numFmtId="0" fontId="20" fillId="16" borderId="0" xfId="243" applyFont="1" applyFill="1" applyAlignment="1">
      <alignment horizontal="center" vertical="center" wrapText="1"/>
    </xf>
    <xf numFmtId="0" fontId="20" fillId="16" borderId="0" xfId="243" applyFont="1" applyFill="1" applyAlignment="1">
      <alignment wrapText="1"/>
    </xf>
    <xf numFmtId="3" fontId="20" fillId="16" borderId="1" xfId="243" applyNumberFormat="1" applyFont="1" applyFill="1" applyBorder="1" applyAlignment="1">
      <alignment horizontal="center" vertical="center" wrapText="1"/>
    </xf>
    <xf numFmtId="0" fontId="30" fillId="16" borderId="0" xfId="243" applyFont="1" applyFill="1" applyAlignment="1">
      <alignment horizontal="center" wrapText="1"/>
    </xf>
    <xf numFmtId="0" fontId="30" fillId="6" borderId="0" xfId="243" applyFont="1" applyFill="1" applyAlignment="1">
      <alignment wrapText="1"/>
    </xf>
    <xf numFmtId="0" fontId="30" fillId="6" borderId="0" xfId="243" applyFont="1" applyFill="1" applyAlignment="1">
      <alignment horizontal="center" vertical="center" wrapText="1"/>
    </xf>
    <xf numFmtId="0" fontId="30" fillId="6" borderId="0" xfId="243" applyFont="1" applyFill="1" applyAlignment="1">
      <alignment horizontal="center" wrapText="1"/>
    </xf>
    <xf numFmtId="0" fontId="20" fillId="6" borderId="0" xfId="243" applyFont="1" applyFill="1" applyAlignment="1">
      <alignment wrapText="1"/>
    </xf>
    <xf numFmtId="0" fontId="20" fillId="6" borderId="0" xfId="243" applyFont="1" applyFill="1" applyAlignment="1">
      <alignment horizontal="center" wrapText="1"/>
    </xf>
    <xf numFmtId="0" fontId="35" fillId="6" borderId="0" xfId="243" applyFont="1" applyFill="1" applyAlignment="1">
      <alignment horizontal="center" wrapText="1"/>
    </xf>
    <xf numFmtId="168" fontId="54" fillId="17" borderId="1" xfId="243" applyNumberFormat="1" applyFont="1" applyFill="1" applyBorder="1" applyAlignment="1">
      <alignment wrapText="1"/>
    </xf>
    <xf numFmtId="0" fontId="53" fillId="17" borderId="0" xfId="0" applyFont="1" applyFill="1" applyAlignment="1">
      <alignment horizontal="center"/>
    </xf>
    <xf numFmtId="3" fontId="53" fillId="17" borderId="0" xfId="0" applyNumberFormat="1" applyFont="1" applyFill="1" applyAlignment="1">
      <alignment horizontal="center"/>
    </xf>
    <xf numFmtId="0" fontId="53" fillId="6" borderId="0" xfId="0" applyFont="1" applyFill="1" applyAlignment="1"/>
    <xf numFmtId="3" fontId="53" fillId="6" borderId="0" xfId="0" applyNumberFormat="1" applyFont="1" applyFill="1" applyAlignment="1">
      <alignment horizontal="center"/>
    </xf>
    <xf numFmtId="168" fontId="20" fillId="16" borderId="1" xfId="243" applyNumberFormat="1" applyFont="1" applyFill="1" applyBorder="1" applyAlignment="1">
      <alignment wrapText="1"/>
    </xf>
    <xf numFmtId="3" fontId="20" fillId="16" borderId="1" xfId="243" applyNumberFormat="1" applyFont="1" applyFill="1" applyBorder="1" applyAlignment="1">
      <alignment vertical="center" wrapText="1"/>
    </xf>
    <xf numFmtId="0" fontId="20" fillId="16" borderId="1" xfId="243" applyFont="1" applyFill="1" applyBorder="1" applyAlignment="1">
      <alignment vertical="center" wrapText="1"/>
    </xf>
    <xf numFmtId="3" fontId="20" fillId="6" borderId="0" xfId="243" applyNumberFormat="1" applyFont="1" applyFill="1" applyAlignment="1">
      <alignment wrapText="1"/>
    </xf>
    <xf numFmtId="0" fontId="20" fillId="6" borderId="0" xfId="243" applyFont="1" applyFill="1" applyBorder="1" applyAlignment="1">
      <alignment wrapText="1"/>
    </xf>
    <xf numFmtId="3" fontId="20" fillId="6" borderId="0" xfId="243" applyNumberFormat="1" applyFont="1" applyFill="1" applyBorder="1" applyAlignment="1">
      <alignment horizontal="center" vertical="center" wrapText="1"/>
    </xf>
    <xf numFmtId="3" fontId="20" fillId="6" borderId="9" xfId="243" applyNumberFormat="1" applyFont="1" applyFill="1" applyBorder="1" applyAlignment="1">
      <alignment horizontal="center" vertical="center" wrapText="1"/>
    </xf>
    <xf numFmtId="3" fontId="20" fillId="6" borderId="1" xfId="243" applyNumberFormat="1" applyFont="1" applyFill="1" applyBorder="1" applyAlignment="1">
      <alignment vertical="center" wrapText="1"/>
    </xf>
    <xf numFmtId="3" fontId="20" fillId="6" borderId="1" xfId="243" applyNumberFormat="1" applyFont="1" applyFill="1" applyBorder="1" applyAlignment="1">
      <alignment horizontal="center" vertical="center" wrapText="1"/>
    </xf>
    <xf numFmtId="0" fontId="0" fillId="0" borderId="17" xfId="0" applyBorder="1" applyAlignment="1">
      <alignment wrapText="1"/>
    </xf>
    <xf numFmtId="49" fontId="17" fillId="6" borderId="18" xfId="0" applyNumberFormat="1" applyFont="1" applyFill="1" applyBorder="1" applyAlignment="1">
      <alignment wrapText="1"/>
    </xf>
    <xf numFmtId="167" fontId="0" fillId="6" borderId="18" xfId="0" applyNumberFormat="1" applyFill="1" applyBorder="1" applyAlignment="1">
      <alignment horizontal="center" wrapText="1"/>
    </xf>
    <xf numFmtId="3" fontId="0" fillId="6" borderId="18" xfId="0" applyNumberFormat="1" applyFill="1" applyBorder="1" applyAlignment="1">
      <alignment horizontal="center" wrapText="1"/>
    </xf>
    <xf numFmtId="166" fontId="0" fillId="6" borderId="18" xfId="0" applyNumberFormat="1" applyFill="1" applyBorder="1" applyAlignment="1">
      <alignment horizontal="center" wrapText="1"/>
    </xf>
    <xf numFmtId="49" fontId="0" fillId="6" borderId="18" xfId="0" applyNumberFormat="1" applyFill="1" applyBorder="1" applyAlignment="1">
      <alignment wrapText="1"/>
    </xf>
    <xf numFmtId="49" fontId="0" fillId="17" borderId="18" xfId="0" applyNumberFormat="1" applyFill="1" applyBorder="1" applyAlignment="1">
      <alignment wrapText="1"/>
    </xf>
    <xf numFmtId="167" fontId="0" fillId="17" borderId="18" xfId="0" applyNumberFormat="1" applyFill="1" applyBorder="1" applyAlignment="1">
      <alignment horizontal="center" wrapText="1"/>
    </xf>
    <xf numFmtId="3" fontId="0" fillId="17" borderId="18" xfId="0" applyNumberFormat="1" applyFill="1" applyBorder="1" applyAlignment="1">
      <alignment horizontal="center" wrapText="1"/>
    </xf>
    <xf numFmtId="166" fontId="0" fillId="17" borderId="18" xfId="0" applyNumberFormat="1" applyFill="1" applyBorder="1" applyAlignment="1">
      <alignment horizontal="center" wrapText="1"/>
    </xf>
    <xf numFmtId="49" fontId="0" fillId="16" borderId="18" xfId="0" applyNumberFormat="1" applyFont="1" applyFill="1" applyBorder="1" applyAlignment="1"/>
    <xf numFmtId="167" fontId="0" fillId="16" borderId="18" xfId="961" applyNumberFormat="1" applyFont="1" applyFill="1" applyBorder="1" applyAlignment="1"/>
    <xf numFmtId="165" fontId="0" fillId="16" borderId="18" xfId="352" applyNumberFormat="1" applyFont="1" applyFill="1" applyBorder="1" applyAlignment="1"/>
    <xf numFmtId="166" fontId="0" fillId="16" borderId="18" xfId="961" applyNumberFormat="1" applyFont="1" applyFill="1" applyBorder="1" applyAlignment="1"/>
    <xf numFmtId="49" fontId="17" fillId="16" borderId="18" xfId="0" applyNumberFormat="1" applyFont="1" applyFill="1" applyBorder="1" applyAlignment="1"/>
    <xf numFmtId="49" fontId="17" fillId="6" borderId="18" xfId="0" applyNumberFormat="1" applyFont="1" applyFill="1" applyBorder="1" applyAlignment="1"/>
    <xf numFmtId="167" fontId="0" fillId="6" borderId="18" xfId="961" applyNumberFormat="1" applyFont="1" applyFill="1" applyBorder="1" applyAlignment="1"/>
    <xf numFmtId="165" fontId="0" fillId="6" borderId="18" xfId="352" applyNumberFormat="1" applyFont="1" applyFill="1" applyBorder="1" applyAlignment="1"/>
    <xf numFmtId="166" fontId="0" fillId="6" borderId="18" xfId="961" applyNumberFormat="1" applyFont="1" applyFill="1" applyBorder="1" applyAlignment="1"/>
    <xf numFmtId="167" fontId="0" fillId="6" borderId="18" xfId="0" applyNumberFormat="1" applyFill="1" applyBorder="1" applyAlignment="1">
      <alignment wrapText="1"/>
    </xf>
    <xf numFmtId="3" fontId="0" fillId="6" borderId="18" xfId="0" applyNumberFormat="1" applyFill="1" applyBorder="1" applyAlignment="1">
      <alignment wrapText="1"/>
    </xf>
    <xf numFmtId="166" fontId="0" fillId="6" borderId="18" xfId="0" applyNumberFormat="1" applyFill="1" applyBorder="1" applyAlignment="1">
      <alignment wrapText="1"/>
    </xf>
    <xf numFmtId="0" fontId="17" fillId="18" borderId="0" xfId="941" applyFill="1" applyAlignment="1">
      <alignment wrapText="1"/>
    </xf>
    <xf numFmtId="0" fontId="17" fillId="18" borderId="0" xfId="941" applyFill="1" applyBorder="1" applyAlignment="1">
      <alignment horizontal="left" vertical="center" wrapText="1"/>
    </xf>
    <xf numFmtId="0" fontId="17" fillId="18" borderId="0" xfId="941" applyFill="1" applyAlignment="1"/>
    <xf numFmtId="164" fontId="17" fillId="18" borderId="0" xfId="941" applyNumberFormat="1" applyFill="1" applyBorder="1" applyAlignment="1">
      <alignment horizontal="center"/>
    </xf>
    <xf numFmtId="164" fontId="17" fillId="18" borderId="0" xfId="941" applyNumberFormat="1" applyFont="1" applyFill="1" applyBorder="1" applyAlignment="1">
      <alignment horizontal="center"/>
    </xf>
    <xf numFmtId="0" fontId="66" fillId="0" borderId="0" xfId="850" applyFont="1" applyFill="1"/>
    <xf numFmtId="0" fontId="2" fillId="0" borderId="0" xfId="963"/>
    <xf numFmtId="0" fontId="20" fillId="0" borderId="0" xfId="963" applyFont="1" applyAlignment="1">
      <alignment wrapText="1"/>
    </xf>
    <xf numFmtId="0" fontId="53" fillId="17" borderId="1" xfId="963" applyFont="1" applyFill="1" applyBorder="1" applyAlignment="1"/>
    <xf numFmtId="3" fontId="53" fillId="17" borderId="1" xfId="963" applyNumberFormat="1" applyFont="1" applyFill="1" applyBorder="1" applyAlignment="1"/>
    <xf numFmtId="0" fontId="53" fillId="6" borderId="0" xfId="963" applyFont="1" applyFill="1" applyAlignment="1"/>
    <xf numFmtId="3" fontId="53" fillId="6" borderId="0" xfId="963" applyNumberFormat="1" applyFont="1" applyFill="1" applyAlignment="1"/>
    <xf numFmtId="1" fontId="53" fillId="17" borderId="1" xfId="963" applyNumberFormat="1" applyFont="1" applyFill="1" applyBorder="1" applyAlignment="1"/>
    <xf numFmtId="0" fontId="53" fillId="0" borderId="1" xfId="963" applyFont="1" applyBorder="1" applyAlignment="1"/>
    <xf numFmtId="3" fontId="53" fillId="0" borderId="1" xfId="963" applyNumberFormat="1" applyFont="1" applyBorder="1" applyAlignment="1"/>
    <xf numFmtId="3" fontId="53" fillId="6" borderId="1" xfId="963" applyNumberFormat="1" applyFont="1" applyFill="1" applyBorder="1" applyAlignment="1"/>
    <xf numFmtId="1" fontId="53" fillId="0" borderId="1" xfId="963" applyNumberFormat="1" applyFont="1" applyBorder="1" applyAlignment="1"/>
    <xf numFmtId="0" fontId="53" fillId="0" borderId="1" xfId="963" applyFont="1" applyFill="1" applyBorder="1" applyAlignment="1"/>
    <xf numFmtId="3" fontId="53" fillId="0" borderId="1" xfId="963" applyNumberFormat="1" applyFont="1" applyFill="1" applyBorder="1" applyAlignment="1"/>
    <xf numFmtId="0" fontId="53" fillId="6" borderId="1" xfId="963" applyFont="1" applyFill="1" applyBorder="1" applyAlignment="1"/>
    <xf numFmtId="0" fontId="53" fillId="0" borderId="1" xfId="963" applyFont="1" applyBorder="1" applyAlignment="1">
      <alignment horizontal="right"/>
    </xf>
    <xf numFmtId="0" fontId="53" fillId="6" borderId="1" xfId="963" applyFont="1" applyFill="1" applyBorder="1" applyAlignment="1">
      <alignment horizontal="right"/>
    </xf>
    <xf numFmtId="3" fontId="53" fillId="0" borderId="1" xfId="963" applyNumberFormat="1" applyFont="1" applyBorder="1" applyAlignment="1">
      <alignment horizontal="right"/>
    </xf>
    <xf numFmtId="3" fontId="53" fillId="6" borderId="0" xfId="963" applyNumberFormat="1" applyFont="1" applyFill="1" applyBorder="1" applyAlignment="1"/>
    <xf numFmtId="3" fontId="20" fillId="6" borderId="0" xfId="243" applyNumberFormat="1" applyFont="1" applyFill="1" applyBorder="1" applyAlignment="1">
      <alignment wrapText="1"/>
    </xf>
    <xf numFmtId="0" fontId="53" fillId="6" borderId="0" xfId="963" applyFont="1" applyFill="1" applyAlignment="1">
      <alignment wrapText="1"/>
    </xf>
    <xf numFmtId="165" fontId="20" fillId="0" borderId="1" xfId="964" applyNumberFormat="1" applyFont="1" applyFill="1" applyBorder="1" applyAlignment="1">
      <alignment vertical="center" wrapText="1"/>
    </xf>
    <xf numFmtId="165" fontId="20" fillId="6" borderId="0" xfId="964" applyNumberFormat="1" applyFont="1" applyFill="1" applyAlignment="1">
      <alignment wrapText="1"/>
    </xf>
    <xf numFmtId="0" fontId="2" fillId="0" borderId="0" xfId="963" applyAlignment="1">
      <alignment wrapText="1"/>
    </xf>
    <xf numFmtId="0" fontId="2" fillId="6" borderId="0" xfId="963" applyFill="1" applyAlignment="1">
      <alignment wrapText="1"/>
    </xf>
    <xf numFmtId="0" fontId="11" fillId="0" borderId="0" xfId="963" applyFont="1" applyAlignment="1">
      <alignment wrapText="1"/>
    </xf>
    <xf numFmtId="0" fontId="2" fillId="6" borderId="0" xfId="963" applyFill="1" applyBorder="1" applyAlignment="1">
      <alignment wrapText="1"/>
    </xf>
    <xf numFmtId="0" fontId="53" fillId="0" borderId="12" xfId="963" applyFont="1" applyBorder="1" applyAlignment="1"/>
    <xf numFmtId="3" fontId="53" fillId="0" borderId="12" xfId="963" applyNumberFormat="1" applyFont="1" applyBorder="1" applyAlignment="1"/>
    <xf numFmtId="1" fontId="53" fillId="0" borderId="12" xfId="963" applyNumberFormat="1" applyFont="1" applyBorder="1" applyAlignment="1"/>
    <xf numFmtId="1" fontId="53" fillId="0" borderId="1" xfId="963" applyNumberFormat="1" applyFont="1" applyFill="1" applyBorder="1" applyAlignment="1"/>
    <xf numFmtId="3" fontId="53" fillId="6" borderId="1" xfId="963" applyNumberFormat="1" applyFont="1" applyFill="1" applyBorder="1" applyAlignment="1">
      <alignment horizontal="right"/>
    </xf>
    <xf numFmtId="165" fontId="20" fillId="16" borderId="1" xfId="964" applyNumberFormat="1" applyFont="1" applyFill="1" applyBorder="1" applyAlignment="1">
      <alignment vertical="center" wrapText="1"/>
    </xf>
    <xf numFmtId="49" fontId="0" fillId="17" borderId="0" xfId="0" applyNumberFormat="1" applyFill="1" applyBorder="1" applyAlignment="1">
      <alignment wrapText="1"/>
    </xf>
    <xf numFmtId="167" fontId="0" fillId="17" borderId="0" xfId="0" applyNumberFormat="1" applyFill="1" applyBorder="1" applyAlignment="1">
      <alignment horizontal="center" wrapText="1"/>
    </xf>
    <xf numFmtId="3" fontId="0" fillId="17" borderId="0" xfId="0" applyNumberFormat="1" applyFill="1" applyBorder="1" applyAlignment="1">
      <alignment horizontal="center" wrapText="1"/>
    </xf>
    <xf numFmtId="166" fontId="0" fillId="17" borderId="0" xfId="0" applyNumberFormat="1" applyFill="1" applyBorder="1" applyAlignment="1">
      <alignment horizontal="center" wrapText="1"/>
    </xf>
    <xf numFmtId="0" fontId="17" fillId="0" borderId="0" xfId="941" applyAlignment="1">
      <alignment wrapText="1"/>
    </xf>
    <xf numFmtId="0" fontId="11" fillId="2" borderId="1" xfId="941" applyFont="1" applyFill="1" applyBorder="1" applyAlignment="1">
      <alignment horizontal="center" wrapText="1"/>
    </xf>
    <xf numFmtId="0" fontId="39" fillId="0" borderId="0" xfId="941" applyFont="1" applyFill="1" applyBorder="1"/>
    <xf numFmtId="0" fontId="17" fillId="0" borderId="0" xfId="0" applyFont="1" applyAlignment="1">
      <alignment wrapText="1"/>
    </xf>
    <xf numFmtId="0" fontId="23" fillId="0" borderId="0" xfId="0" applyFont="1" applyAlignment="1">
      <alignment wrapText="1"/>
    </xf>
    <xf numFmtId="0" fontId="23" fillId="0" borderId="0" xfId="0" applyFont="1"/>
    <xf numFmtId="0" fontId="23" fillId="0" borderId="0" xfId="0" applyFont="1" applyAlignment="1">
      <alignment horizontal="left"/>
    </xf>
    <xf numFmtId="166" fontId="23" fillId="0" borderId="0" xfId="0" applyNumberFormat="1" applyFont="1"/>
    <xf numFmtId="0" fontId="23" fillId="0" borderId="0" xfId="0" applyFont="1" applyAlignment="1">
      <alignment horizontal="right"/>
    </xf>
    <xf numFmtId="8" fontId="23" fillId="0" borderId="0" xfId="0" applyNumberFormat="1" applyFont="1"/>
    <xf numFmtId="165" fontId="23" fillId="0" borderId="0" xfId="352" applyNumberFormat="1" applyFont="1" applyAlignment="1">
      <alignment horizontal="right"/>
    </xf>
    <xf numFmtId="3" fontId="23" fillId="0" borderId="0" xfId="0" applyNumberFormat="1" applyFont="1" applyAlignment="1">
      <alignment horizontal="right"/>
    </xf>
    <xf numFmtId="165" fontId="17" fillId="0" borderId="0" xfId="352" applyNumberFormat="1" applyFill="1" applyBorder="1"/>
    <xf numFmtId="3" fontId="53" fillId="6" borderId="0" xfId="979" applyNumberFormat="1" applyFont="1" applyFill="1" applyAlignment="1"/>
    <xf numFmtId="0" fontId="53" fillId="6" borderId="0" xfId="979" applyFont="1" applyFill="1" applyAlignment="1"/>
    <xf numFmtId="3" fontId="53" fillId="17" borderId="1" xfId="979" applyNumberFormat="1" applyFont="1" applyFill="1" applyBorder="1" applyAlignment="1"/>
    <xf numFmtId="0" fontId="53" fillId="17" borderId="1" xfId="979" applyFont="1" applyFill="1" applyBorder="1" applyAlignment="1"/>
    <xf numFmtId="1" fontId="53" fillId="17" borderId="1" xfId="979" applyNumberFormat="1" applyFont="1" applyFill="1" applyBorder="1" applyAlignment="1"/>
    <xf numFmtId="0" fontId="1" fillId="0" borderId="0" xfId="979"/>
    <xf numFmtId="8" fontId="0" fillId="0" borderId="0" xfId="0" applyNumberFormat="1" applyAlignment="1">
      <alignment wrapText="1"/>
    </xf>
    <xf numFmtId="0" fontId="6" fillId="0" borderId="1" xfId="850" applyFill="1" applyBorder="1"/>
    <xf numFmtId="44" fontId="6" fillId="0" borderId="1" xfId="853" applyNumberFormat="1" applyFill="1" applyBorder="1"/>
    <xf numFmtId="10" fontId="6" fillId="0" borderId="1" xfId="288" applyNumberFormat="1" applyFont="1" applyFill="1" applyBorder="1"/>
    <xf numFmtId="37" fontId="53" fillId="17" borderId="1" xfId="352" applyNumberFormat="1" applyFont="1" applyFill="1" applyBorder="1" applyAlignment="1"/>
    <xf numFmtId="0" fontId="0" fillId="0" borderId="0" xfId="0" applyFill="1" applyAlignment="1">
      <alignment wrapText="1"/>
    </xf>
    <xf numFmtId="0" fontId="0" fillId="0" borderId="0" xfId="0" applyFill="1" applyBorder="1" applyAlignment="1">
      <alignment wrapText="1"/>
    </xf>
    <xf numFmtId="0" fontId="24" fillId="0" borderId="0" xfId="941" applyFont="1" applyFill="1" applyBorder="1" applyAlignment="1">
      <alignment wrapText="1"/>
    </xf>
    <xf numFmtId="3" fontId="53" fillId="17" borderId="12" xfId="979" applyNumberFormat="1" applyFont="1" applyFill="1" applyBorder="1" applyAlignment="1"/>
    <xf numFmtId="0" fontId="53" fillId="17" borderId="12" xfId="979" applyFont="1" applyFill="1" applyBorder="1" applyAlignment="1"/>
    <xf numFmtId="1" fontId="53" fillId="17" borderId="12" xfId="979" applyNumberFormat="1" applyFont="1" applyFill="1" applyBorder="1" applyAlignment="1"/>
    <xf numFmtId="14" fontId="0" fillId="0" borderId="0" xfId="0" applyNumberFormat="1" applyAlignment="1">
      <alignment wrapText="1"/>
    </xf>
    <xf numFmtId="0" fontId="40" fillId="0" borderId="0" xfId="0" applyFont="1" applyAlignment="1">
      <alignment wrapText="1"/>
    </xf>
    <xf numFmtId="168" fontId="30" fillId="19" borderId="1" xfId="0" applyNumberFormat="1" applyFont="1" applyFill="1" applyBorder="1" applyAlignment="1">
      <alignment wrapText="1"/>
    </xf>
    <xf numFmtId="49" fontId="17" fillId="17" borderId="0" xfId="0" applyNumberFormat="1" applyFont="1" applyFill="1" applyBorder="1" applyAlignment="1">
      <alignment wrapText="1"/>
    </xf>
    <xf numFmtId="0" fontId="0" fillId="0" borderId="0" xfId="0" applyFont="1" applyAlignment="1">
      <alignment wrapText="1"/>
    </xf>
    <xf numFmtId="0" fontId="17" fillId="0" borderId="0" xfId="0" applyFont="1" applyAlignment="1">
      <alignment horizontal="left" vertical="center" wrapText="1"/>
    </xf>
    <xf numFmtId="0" fontId="17"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65" fillId="0" borderId="0" xfId="0" applyFont="1" applyAlignment="1">
      <alignment horizontal="left" vertical="top"/>
    </xf>
    <xf numFmtId="0" fontId="50" fillId="0" borderId="0" xfId="243" applyFont="1" applyAlignment="1">
      <alignment horizontal="left" wrapText="1"/>
    </xf>
    <xf numFmtId="0" fontId="20" fillId="0" borderId="2" xfId="243" applyFont="1" applyBorder="1" applyAlignment="1">
      <alignment horizontal="center" wrapText="1"/>
    </xf>
    <xf numFmtId="0" fontId="21" fillId="0" borderId="5" xfId="243" applyFont="1" applyBorder="1" applyAlignment="1">
      <alignment horizontal="center" wrapText="1"/>
    </xf>
    <xf numFmtId="0" fontId="21" fillId="0" borderId="3" xfId="243" applyFont="1" applyBorder="1" applyAlignment="1">
      <alignment horizontal="center" wrapText="1"/>
    </xf>
    <xf numFmtId="0" fontId="50" fillId="6" borderId="0" xfId="243" applyFont="1" applyFill="1" applyAlignment="1">
      <alignment horizontal="left" vertical="center" wrapText="1"/>
    </xf>
    <xf numFmtId="0" fontId="50" fillId="0" borderId="0" xfId="243" applyFont="1" applyAlignment="1">
      <alignment horizontal="left" vertical="center" wrapText="1"/>
    </xf>
    <xf numFmtId="0" fontId="65" fillId="0" borderId="0" xfId="963" applyFont="1" applyAlignment="1">
      <alignment horizontal="center" vertical="center" wrapText="1"/>
    </xf>
    <xf numFmtId="0" fontId="2" fillId="0" borderId="2" xfId="963" applyBorder="1" applyAlignment="1">
      <alignment horizontal="center" wrapText="1"/>
    </xf>
    <xf numFmtId="0" fontId="17" fillId="0" borderId="7" xfId="941" applyBorder="1" applyAlignment="1">
      <alignment horizontal="left" vertical="center" wrapText="1"/>
    </xf>
    <xf numFmtId="0" fontId="24" fillId="11" borderId="5" xfId="941" applyFont="1" applyFill="1" applyBorder="1" applyAlignment="1">
      <alignment horizontal="left"/>
    </xf>
    <xf numFmtId="0" fontId="24" fillId="11" borderId="11" xfId="941" applyFont="1" applyFill="1" applyBorder="1" applyAlignment="1">
      <alignment horizontal="left"/>
    </xf>
    <xf numFmtId="0" fontId="24" fillId="11" borderId="3" xfId="941" applyFont="1" applyFill="1" applyBorder="1" applyAlignment="1">
      <alignment horizontal="left"/>
    </xf>
    <xf numFmtId="0" fontId="17" fillId="0" borderId="0" xfId="941" applyAlignment="1">
      <alignment wrapText="1"/>
    </xf>
    <xf numFmtId="0" fontId="11" fillId="2" borderId="1" xfId="941" applyFont="1" applyFill="1" applyBorder="1" applyAlignment="1">
      <alignment horizontal="center" wrapText="1"/>
    </xf>
    <xf numFmtId="0" fontId="17" fillId="0" borderId="0" xfId="941" applyAlignment="1">
      <alignment horizontal="left" vertical="top" wrapText="1"/>
    </xf>
    <xf numFmtId="0" fontId="24" fillId="11" borderId="1" xfId="941" applyFont="1" applyFill="1" applyBorder="1" applyAlignment="1">
      <alignment horizontal="left"/>
    </xf>
    <xf numFmtId="0" fontId="5" fillId="0" borderId="1" xfId="850" applyFont="1" applyFill="1" applyBorder="1" applyAlignment="1">
      <alignment horizontal="left" wrapText="1"/>
    </xf>
    <xf numFmtId="0" fontId="5" fillId="0" borderId="5" xfId="850" applyFont="1" applyFill="1" applyBorder="1" applyAlignment="1">
      <alignment horizontal="center"/>
    </xf>
    <xf numFmtId="0" fontId="5" fillId="0" borderId="3" xfId="850" applyFont="1" applyFill="1" applyBorder="1" applyAlignment="1">
      <alignment horizontal="center"/>
    </xf>
    <xf numFmtId="0" fontId="24" fillId="7" borderId="8" xfId="853" applyFont="1" applyFill="1" applyBorder="1" applyAlignment="1">
      <alignment horizontal="center"/>
    </xf>
    <xf numFmtId="0" fontId="24" fillId="7" borderId="0" xfId="853" applyFont="1" applyFill="1" applyBorder="1" applyAlignment="1">
      <alignment horizontal="center"/>
    </xf>
    <xf numFmtId="0" fontId="24" fillId="7" borderId="16" xfId="853" applyFont="1" applyFill="1" applyBorder="1" applyAlignment="1">
      <alignment horizontal="center"/>
    </xf>
    <xf numFmtId="0" fontId="24" fillId="7" borderId="2" xfId="853" applyFont="1" applyFill="1" applyBorder="1" applyAlignment="1">
      <alignment horizontal="center"/>
    </xf>
    <xf numFmtId="0" fontId="24" fillId="7" borderId="5" xfId="850" applyFont="1" applyFill="1" applyBorder="1" applyAlignment="1">
      <alignment horizontal="center"/>
    </xf>
    <xf numFmtId="0" fontId="6" fillId="7" borderId="11" xfId="850" applyFill="1" applyBorder="1" applyAlignment="1">
      <alignment horizontal="center"/>
    </xf>
    <xf numFmtId="0" fontId="40" fillId="7" borderId="5" xfId="850" applyFont="1" applyFill="1" applyBorder="1" applyAlignment="1">
      <alignment horizontal="center" wrapText="1"/>
    </xf>
    <xf numFmtId="0" fontId="5" fillId="7" borderId="11" xfId="850" applyFont="1" applyFill="1" applyBorder="1" applyAlignment="1"/>
    <xf numFmtId="0" fontId="5" fillId="7" borderId="3" xfId="850" applyFont="1" applyFill="1" applyBorder="1" applyAlignment="1"/>
    <xf numFmtId="0" fontId="24" fillId="7" borderId="5" xfId="850" applyFont="1" applyFill="1" applyBorder="1" applyAlignment="1">
      <alignment horizontal="center" wrapText="1"/>
    </xf>
    <xf numFmtId="0" fontId="24" fillId="7" borderId="11" xfId="850" applyFont="1" applyFill="1" applyBorder="1" applyAlignment="1">
      <alignment horizontal="center" wrapText="1"/>
    </xf>
    <xf numFmtId="0" fontId="6" fillId="7" borderId="3" xfId="850" applyFill="1" applyBorder="1" applyAlignment="1">
      <alignment horizontal="center" wrapText="1"/>
    </xf>
    <xf numFmtId="0" fontId="41" fillId="7" borderId="5" xfId="850" applyFont="1" applyFill="1" applyBorder="1" applyAlignment="1">
      <alignment horizontal="center" wrapText="1"/>
    </xf>
    <xf numFmtId="0" fontId="41" fillId="7" borderId="11" xfId="850" applyFont="1" applyFill="1" applyBorder="1" applyAlignment="1">
      <alignment horizontal="center" wrapText="1"/>
    </xf>
    <xf numFmtId="0" fontId="24" fillId="0" borderId="5" xfId="850" applyFont="1" applyFill="1" applyBorder="1" applyAlignment="1">
      <alignment horizontal="left"/>
    </xf>
    <xf numFmtId="0" fontId="24" fillId="0" borderId="3" xfId="850" applyFont="1" applyFill="1" applyBorder="1" applyAlignment="1">
      <alignment horizontal="left"/>
    </xf>
    <xf numFmtId="0" fontId="19" fillId="2" borderId="0" xfId="0" applyFont="1" applyFill="1" applyBorder="1" applyAlignment="1">
      <alignment horizontal="center" vertical="center" wrapText="1"/>
    </xf>
    <xf numFmtId="0" fontId="0" fillId="2" borderId="0" xfId="0" applyFill="1" applyAlignment="1">
      <alignment wrapText="1"/>
    </xf>
    <xf numFmtId="0" fontId="62" fillId="0" borderId="0" xfId="0" applyFont="1" applyAlignment="1">
      <alignment horizontal="left" vertical="center" wrapText="1"/>
    </xf>
    <xf numFmtId="49" fontId="17" fillId="0" borderId="0" xfId="0" applyNumberFormat="1" applyFont="1" applyAlignment="1">
      <alignment horizontal="left" vertical="center" wrapText="1"/>
    </xf>
    <xf numFmtId="0" fontId="17" fillId="0" borderId="0" xfId="0" applyFont="1" applyAlignment="1">
      <alignment horizontal="left" wrapText="1"/>
    </xf>
    <xf numFmtId="0" fontId="0" fillId="0" borderId="0" xfId="0" applyAlignment="1">
      <alignment horizontal="left" wrapText="1"/>
    </xf>
  </cellXfs>
  <cellStyles count="982">
    <cellStyle name="Comma" xfId="352" builtinId="3"/>
    <cellStyle name="Comma 2" xfId="852" xr:uid="{00000000-0005-0000-0000-000001000000}"/>
    <cellStyle name="Comma 2 2" xfId="943" xr:uid="{00000000-0005-0000-0000-000002000000}"/>
    <cellStyle name="Comma 2 3" xfId="954" xr:uid="{00000000-0005-0000-0000-000003000000}"/>
    <cellStyle name="Comma 3" xfId="964" xr:uid="{00000000-0005-0000-0000-000004000000}"/>
    <cellStyle name="Comma 3 2" xfId="980" xr:uid="{00000000-0005-0000-0000-000005000000}"/>
    <cellStyle name="Comma 4" xfId="970" xr:uid="{00000000-0005-0000-0000-000006000000}"/>
    <cellStyle name="Currency" xfId="962" builtinId="4"/>
    <cellStyle name="Currency 2" xfId="835" xr:uid="{00000000-0005-0000-0000-000008000000}"/>
    <cellStyle name="Currency 2 2" xfId="951" xr:uid="{00000000-0005-0000-0000-000009000000}"/>
    <cellStyle name="Currency 3" xfId="956" xr:uid="{00000000-0005-0000-0000-00000A000000}"/>
    <cellStyle name="Currency 4" xfId="961" xr:uid="{00000000-0005-0000-0000-00000B000000}"/>
    <cellStyle name="Currency 4 2" xfId="977" xr:uid="{00000000-0005-0000-0000-00000C000000}"/>
    <cellStyle name="Currency 5" xfId="978" xr:uid="{00000000-0005-0000-0000-00000D000000}"/>
    <cellStyle name="Followed Hyperlink" xfId="2"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5" builtinId="9" hidden="1"/>
    <cellStyle name="Followed Hyperlink" xfId="286"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8"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81" builtinId="9" hidden="1"/>
    <cellStyle name="Hyperlink" xfId="1"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cellStyle name="Normal" xfId="0" builtinId="0"/>
    <cellStyle name="Normal 10" xfId="966" xr:uid="{00000000-0005-0000-0000-0000AA030000}"/>
    <cellStyle name="Normal 11" xfId="965" xr:uid="{00000000-0005-0000-0000-0000AB030000}"/>
    <cellStyle name="Normal 2" xfId="3" xr:uid="{00000000-0005-0000-0000-0000AC030000}"/>
    <cellStyle name="Normal 2 2" xfId="206" xr:uid="{00000000-0005-0000-0000-0000AD030000}"/>
    <cellStyle name="Normal 2 2 2" xfId="287" xr:uid="{00000000-0005-0000-0000-0000AE030000}"/>
    <cellStyle name="Normal 2 2 2 2" xfId="319" xr:uid="{00000000-0005-0000-0000-0000AF030000}"/>
    <cellStyle name="Normal 2 2 2 2 2" xfId="949" xr:uid="{00000000-0005-0000-0000-0000B0030000}"/>
    <cellStyle name="Normal 2 2 2 3" xfId="946" xr:uid="{00000000-0005-0000-0000-0000B1030000}"/>
    <cellStyle name="Normal 2 2 3" xfId="945" xr:uid="{00000000-0005-0000-0000-0000B2030000}"/>
    <cellStyle name="Normal 2 3" xfId="941" xr:uid="{00000000-0005-0000-0000-0000B3030000}"/>
    <cellStyle name="Normal 2 4" xfId="944" xr:uid="{00000000-0005-0000-0000-0000B4030000}"/>
    <cellStyle name="Normal 21" xfId="851" xr:uid="{00000000-0005-0000-0000-0000B5030000}"/>
    <cellStyle name="Normal 3" xfId="243" xr:uid="{00000000-0005-0000-0000-0000B6030000}"/>
    <cellStyle name="Normal 4" xfId="315" xr:uid="{00000000-0005-0000-0000-0000B7030000}"/>
    <cellStyle name="Normal 4 2" xfId="947" xr:uid="{00000000-0005-0000-0000-0000B8030000}"/>
    <cellStyle name="Normal 4 2 2" xfId="959" xr:uid="{00000000-0005-0000-0000-0000B9030000}"/>
    <cellStyle name="Normal 4 2 2 2" xfId="975" xr:uid="{00000000-0005-0000-0000-0000BA030000}"/>
    <cellStyle name="Normal 4 2 3" xfId="971" xr:uid="{00000000-0005-0000-0000-0000BB030000}"/>
    <cellStyle name="Normal 4 3" xfId="957" xr:uid="{00000000-0005-0000-0000-0000BC030000}"/>
    <cellStyle name="Normal 4 3 2" xfId="973" xr:uid="{00000000-0005-0000-0000-0000BD030000}"/>
    <cellStyle name="Normal 4 4" xfId="968" xr:uid="{00000000-0005-0000-0000-0000BE030000}"/>
    <cellStyle name="Normal 5" xfId="284" xr:uid="{00000000-0005-0000-0000-0000BF030000}"/>
    <cellStyle name="Normal 6" xfId="316" xr:uid="{00000000-0005-0000-0000-0000C0030000}"/>
    <cellStyle name="Normal 7" xfId="417" xr:uid="{00000000-0005-0000-0000-0000C1030000}"/>
    <cellStyle name="Normal 7 2" xfId="950" xr:uid="{00000000-0005-0000-0000-0000C2030000}"/>
    <cellStyle name="Normal 8" xfId="853" xr:uid="{00000000-0005-0000-0000-0000C3030000}"/>
    <cellStyle name="Normal 8 2" xfId="850" xr:uid="{00000000-0005-0000-0000-0000C4030000}"/>
    <cellStyle name="Normal 8 2 2" xfId="953" xr:uid="{00000000-0005-0000-0000-0000C5030000}"/>
    <cellStyle name="Normal 8 3" xfId="955" xr:uid="{00000000-0005-0000-0000-0000C6030000}"/>
    <cellStyle name="Normal 9" xfId="963" xr:uid="{00000000-0005-0000-0000-0000C7030000}"/>
    <cellStyle name="Normal 9 2" xfId="979" xr:uid="{00000000-0005-0000-0000-0000C8030000}"/>
    <cellStyle name="Note 2" xfId="317" xr:uid="{00000000-0005-0000-0000-0000C9030000}"/>
    <cellStyle name="Note 2 2" xfId="948" xr:uid="{00000000-0005-0000-0000-0000CA030000}"/>
    <cellStyle name="Note 2 2 2" xfId="960" xr:uid="{00000000-0005-0000-0000-0000CB030000}"/>
    <cellStyle name="Note 2 2 2 2" xfId="976" xr:uid="{00000000-0005-0000-0000-0000CC030000}"/>
    <cellStyle name="Note 2 2 3" xfId="972" xr:uid="{00000000-0005-0000-0000-0000CD030000}"/>
    <cellStyle name="Note 2 3" xfId="958" xr:uid="{00000000-0005-0000-0000-0000CE030000}"/>
    <cellStyle name="Note 2 3 2" xfId="974" xr:uid="{00000000-0005-0000-0000-0000CF030000}"/>
    <cellStyle name="Note 2 4" xfId="969" xr:uid="{00000000-0005-0000-0000-0000D0030000}"/>
    <cellStyle name="Percent" xfId="288" builtinId="5"/>
    <cellStyle name="Percent 2" xfId="836" xr:uid="{00000000-0005-0000-0000-0000D2030000}"/>
    <cellStyle name="Percent 2 2" xfId="942" xr:uid="{00000000-0005-0000-0000-0000D3030000}"/>
    <cellStyle name="Percent 2 3" xfId="952" xr:uid="{00000000-0005-0000-0000-0000D4030000}"/>
    <cellStyle name="Percent 3" xfId="967" xr:uid="{00000000-0005-0000-0000-0000D5030000}"/>
  </cellStyles>
  <dxfs count="8">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200">
                <a:latin typeface="Times New Roman"/>
                <a:cs typeface="Times New Roman"/>
              </a:rPr>
              <a:t>Overall Average CPA by Tactic</a:t>
            </a:r>
          </a:p>
        </c:rich>
      </c:tx>
      <c:overlay val="0"/>
    </c:title>
    <c:autoTitleDeleted val="0"/>
    <c:plotArea>
      <c:layout/>
      <c:lineChart>
        <c:grouping val="standard"/>
        <c:varyColors val="0"/>
        <c:ser>
          <c:idx val="0"/>
          <c:order val="0"/>
          <c:tx>
            <c:strRef>
              <c:f>[1]Sheet1!$B$1</c:f>
              <c:strCache>
                <c:ptCount val="1"/>
                <c:pt idx="0">
                  <c:v>SEM</c:v>
                </c:pt>
              </c:strCache>
            </c:strRef>
          </c:tx>
          <c:marker>
            <c:symbol val="none"/>
          </c:marker>
          <c:cat>
            <c:strRef>
              <c:f>[1]Sheet1!$A$2:$A$42</c:f>
              <c:strCache>
                <c:ptCount val="41"/>
                <c:pt idx="0">
                  <c:v>Dec. 21</c:v>
                </c:pt>
                <c:pt idx="1">
                  <c:v>Dec. 28</c:v>
                </c:pt>
                <c:pt idx="2">
                  <c:v>Jan. 4</c:v>
                </c:pt>
                <c:pt idx="3">
                  <c:v>Jan. 11</c:v>
                </c:pt>
                <c:pt idx="4">
                  <c:v>Jan. 18</c:v>
                </c:pt>
                <c:pt idx="5">
                  <c:v>Jan. 25</c:v>
                </c:pt>
                <c:pt idx="6">
                  <c:v>Feb. 1</c:v>
                </c:pt>
                <c:pt idx="7">
                  <c:v>Feb. 8</c:v>
                </c:pt>
                <c:pt idx="8">
                  <c:v>Feb. 15</c:v>
                </c:pt>
                <c:pt idx="9">
                  <c:v>Feb. 22</c:v>
                </c:pt>
                <c:pt idx="10">
                  <c:v>Feb. 29</c:v>
                </c:pt>
                <c:pt idx="11">
                  <c:v>Mar. 7</c:v>
                </c:pt>
                <c:pt idx="12">
                  <c:v>Mar. 14</c:v>
                </c:pt>
                <c:pt idx="13">
                  <c:v>Mar. 21</c:v>
                </c:pt>
                <c:pt idx="14">
                  <c:v>Mar. 28</c:v>
                </c:pt>
                <c:pt idx="15">
                  <c:v>Apr. 4</c:v>
                </c:pt>
                <c:pt idx="16">
                  <c:v>Apr. 11</c:v>
                </c:pt>
                <c:pt idx="17">
                  <c:v>Apr. 18</c:v>
                </c:pt>
                <c:pt idx="18">
                  <c:v>Apr. 25</c:v>
                </c:pt>
                <c:pt idx="19">
                  <c:v>May. 2</c:v>
                </c:pt>
                <c:pt idx="20">
                  <c:v>May. 9</c:v>
                </c:pt>
                <c:pt idx="21">
                  <c:v>May. 16</c:v>
                </c:pt>
                <c:pt idx="22">
                  <c:v>May. 23</c:v>
                </c:pt>
                <c:pt idx="23">
                  <c:v>May. 30</c:v>
                </c:pt>
                <c:pt idx="24">
                  <c:v>Jun. 6</c:v>
                </c:pt>
                <c:pt idx="25">
                  <c:v>Jun. 13</c:v>
                </c:pt>
                <c:pt idx="26">
                  <c:v>Jun. 20</c:v>
                </c:pt>
                <c:pt idx="27">
                  <c:v>Jun. 27</c:v>
                </c:pt>
                <c:pt idx="28">
                  <c:v>Jul. 4</c:v>
                </c:pt>
                <c:pt idx="29">
                  <c:v>Jul. 11</c:v>
                </c:pt>
                <c:pt idx="30">
                  <c:v>Jul. 18</c:v>
                </c:pt>
                <c:pt idx="31">
                  <c:v>Jul. 25</c:v>
                </c:pt>
                <c:pt idx="32">
                  <c:v>Aug. 1</c:v>
                </c:pt>
                <c:pt idx="33">
                  <c:v>Aug. 8</c:v>
                </c:pt>
                <c:pt idx="34">
                  <c:v>Aug. 15</c:v>
                </c:pt>
                <c:pt idx="35">
                  <c:v>Aug. 22</c:v>
                </c:pt>
                <c:pt idx="36">
                  <c:v>Aug. 29</c:v>
                </c:pt>
                <c:pt idx="37">
                  <c:v>Sept. 5</c:v>
                </c:pt>
                <c:pt idx="38">
                  <c:v>Sept. 12</c:v>
                </c:pt>
                <c:pt idx="39">
                  <c:v>Sept. 19</c:v>
                </c:pt>
                <c:pt idx="40">
                  <c:v>Sept. 26</c:v>
                </c:pt>
              </c:strCache>
            </c:strRef>
          </c:cat>
          <c:val>
            <c:numRef>
              <c:f>[1]Sheet1!$B$2:$B$42</c:f>
              <c:numCache>
                <c:formatCode>General</c:formatCode>
                <c:ptCount val="41"/>
                <c:pt idx="0">
                  <c:v>7.35</c:v>
                </c:pt>
                <c:pt idx="1">
                  <c:v>7.59</c:v>
                </c:pt>
                <c:pt idx="2">
                  <c:v>8.06</c:v>
                </c:pt>
                <c:pt idx="3">
                  <c:v>7.92</c:v>
                </c:pt>
                <c:pt idx="4">
                  <c:v>7.92</c:v>
                </c:pt>
                <c:pt idx="5">
                  <c:v>7.75</c:v>
                </c:pt>
                <c:pt idx="6">
                  <c:v>7.85</c:v>
                </c:pt>
                <c:pt idx="7">
                  <c:v>8.24</c:v>
                </c:pt>
                <c:pt idx="8">
                  <c:v>8.56</c:v>
                </c:pt>
                <c:pt idx="9">
                  <c:v>8.81</c:v>
                </c:pt>
                <c:pt idx="10">
                  <c:v>9.01</c:v>
                </c:pt>
                <c:pt idx="11">
                  <c:v>9.11</c:v>
                </c:pt>
                <c:pt idx="12">
                  <c:v>9.26</c:v>
                </c:pt>
                <c:pt idx="13">
                  <c:v>9.3800000000000008</c:v>
                </c:pt>
                <c:pt idx="14">
                  <c:v>9.4700000000000006</c:v>
                </c:pt>
                <c:pt idx="15">
                  <c:v>9.5500000000000007</c:v>
                </c:pt>
                <c:pt idx="16">
                  <c:v>9.6</c:v>
                </c:pt>
                <c:pt idx="17">
                  <c:v>9.61</c:v>
                </c:pt>
                <c:pt idx="18">
                  <c:v>9.5</c:v>
                </c:pt>
                <c:pt idx="19">
                  <c:v>9.4600000000000009</c:v>
                </c:pt>
                <c:pt idx="20">
                  <c:v>9.4600000000000009</c:v>
                </c:pt>
                <c:pt idx="21">
                  <c:v>9.42</c:v>
                </c:pt>
                <c:pt idx="22">
                  <c:v>9.44</c:v>
                </c:pt>
                <c:pt idx="23">
                  <c:v>9.39</c:v>
                </c:pt>
                <c:pt idx="24">
                  <c:v>9.32</c:v>
                </c:pt>
                <c:pt idx="25">
                  <c:v>9.3000000000000007</c:v>
                </c:pt>
                <c:pt idx="26">
                  <c:v>9.2799999999999994</c:v>
                </c:pt>
                <c:pt idx="27">
                  <c:v>9.2899999999999991</c:v>
                </c:pt>
                <c:pt idx="28">
                  <c:v>9.31</c:v>
                </c:pt>
                <c:pt idx="29">
                  <c:v>9.32</c:v>
                </c:pt>
                <c:pt idx="30">
                  <c:v>9.32</c:v>
                </c:pt>
                <c:pt idx="31">
                  <c:v>9.32</c:v>
                </c:pt>
                <c:pt idx="32">
                  <c:v>9.2899999999999991</c:v>
                </c:pt>
                <c:pt idx="33">
                  <c:v>9.2899999999999991</c:v>
                </c:pt>
                <c:pt idx="34">
                  <c:v>9.2799999999999994</c:v>
                </c:pt>
                <c:pt idx="35">
                  <c:v>9.2899999999999991</c:v>
                </c:pt>
                <c:pt idx="36">
                  <c:v>9.2899999999999991</c:v>
                </c:pt>
                <c:pt idx="37">
                  <c:v>9.2899999999999991</c:v>
                </c:pt>
                <c:pt idx="38">
                  <c:v>9.32</c:v>
                </c:pt>
                <c:pt idx="39">
                  <c:v>9.32</c:v>
                </c:pt>
                <c:pt idx="40">
                  <c:v>9.32</c:v>
                </c:pt>
              </c:numCache>
            </c:numRef>
          </c:val>
          <c:smooth val="0"/>
          <c:extLst>
            <c:ext xmlns:c16="http://schemas.microsoft.com/office/drawing/2014/chart" uri="{C3380CC4-5D6E-409C-BE32-E72D297353CC}">
              <c16:uniqueId val="{00000000-40EB-4D65-AD4D-2C0492C55DE3}"/>
            </c:ext>
          </c:extLst>
        </c:ser>
        <c:ser>
          <c:idx val="1"/>
          <c:order val="1"/>
          <c:tx>
            <c:strRef>
              <c:f>[1]Sheet1!$C$1</c:f>
              <c:strCache>
                <c:ptCount val="1"/>
                <c:pt idx="0">
                  <c:v>Remarketing</c:v>
                </c:pt>
              </c:strCache>
            </c:strRef>
          </c:tx>
          <c:spPr>
            <a:ln>
              <a:solidFill>
                <a:schemeClr val="accent2"/>
              </a:solidFill>
            </a:ln>
          </c:spPr>
          <c:marker>
            <c:symbol val="none"/>
          </c:marker>
          <c:cat>
            <c:strRef>
              <c:f>[1]Sheet1!$A$2:$A$42</c:f>
              <c:strCache>
                <c:ptCount val="41"/>
                <c:pt idx="0">
                  <c:v>Dec. 21</c:v>
                </c:pt>
                <c:pt idx="1">
                  <c:v>Dec. 28</c:v>
                </c:pt>
                <c:pt idx="2">
                  <c:v>Jan. 4</c:v>
                </c:pt>
                <c:pt idx="3">
                  <c:v>Jan. 11</c:v>
                </c:pt>
                <c:pt idx="4">
                  <c:v>Jan. 18</c:v>
                </c:pt>
                <c:pt idx="5">
                  <c:v>Jan. 25</c:v>
                </c:pt>
                <c:pt idx="6">
                  <c:v>Feb. 1</c:v>
                </c:pt>
                <c:pt idx="7">
                  <c:v>Feb. 8</c:v>
                </c:pt>
                <c:pt idx="8">
                  <c:v>Feb. 15</c:v>
                </c:pt>
                <c:pt idx="9">
                  <c:v>Feb. 22</c:v>
                </c:pt>
                <c:pt idx="10">
                  <c:v>Feb. 29</c:v>
                </c:pt>
                <c:pt idx="11">
                  <c:v>Mar. 7</c:v>
                </c:pt>
                <c:pt idx="12">
                  <c:v>Mar. 14</c:v>
                </c:pt>
                <c:pt idx="13">
                  <c:v>Mar. 21</c:v>
                </c:pt>
                <c:pt idx="14">
                  <c:v>Mar. 28</c:v>
                </c:pt>
                <c:pt idx="15">
                  <c:v>Apr. 4</c:v>
                </c:pt>
                <c:pt idx="16">
                  <c:v>Apr. 11</c:v>
                </c:pt>
                <c:pt idx="17">
                  <c:v>Apr. 18</c:v>
                </c:pt>
                <c:pt idx="18">
                  <c:v>Apr. 25</c:v>
                </c:pt>
                <c:pt idx="19">
                  <c:v>May. 2</c:v>
                </c:pt>
                <c:pt idx="20">
                  <c:v>May. 9</c:v>
                </c:pt>
                <c:pt idx="21">
                  <c:v>May. 16</c:v>
                </c:pt>
                <c:pt idx="22">
                  <c:v>May. 23</c:v>
                </c:pt>
                <c:pt idx="23">
                  <c:v>May. 30</c:v>
                </c:pt>
                <c:pt idx="24">
                  <c:v>Jun. 6</c:v>
                </c:pt>
                <c:pt idx="25">
                  <c:v>Jun. 13</c:v>
                </c:pt>
                <c:pt idx="26">
                  <c:v>Jun. 20</c:v>
                </c:pt>
                <c:pt idx="27">
                  <c:v>Jun. 27</c:v>
                </c:pt>
                <c:pt idx="28">
                  <c:v>Jul. 4</c:v>
                </c:pt>
                <c:pt idx="29">
                  <c:v>Jul. 11</c:v>
                </c:pt>
                <c:pt idx="30">
                  <c:v>Jul. 18</c:v>
                </c:pt>
                <c:pt idx="31">
                  <c:v>Jul. 25</c:v>
                </c:pt>
                <c:pt idx="32">
                  <c:v>Aug. 1</c:v>
                </c:pt>
                <c:pt idx="33">
                  <c:v>Aug. 8</c:v>
                </c:pt>
                <c:pt idx="34">
                  <c:v>Aug. 15</c:v>
                </c:pt>
                <c:pt idx="35">
                  <c:v>Aug. 22</c:v>
                </c:pt>
                <c:pt idx="36">
                  <c:v>Aug. 29</c:v>
                </c:pt>
                <c:pt idx="37">
                  <c:v>Sept. 5</c:v>
                </c:pt>
                <c:pt idx="38">
                  <c:v>Sept. 12</c:v>
                </c:pt>
                <c:pt idx="39">
                  <c:v>Sept. 19</c:v>
                </c:pt>
                <c:pt idx="40">
                  <c:v>Sept. 26</c:v>
                </c:pt>
              </c:strCache>
            </c:strRef>
          </c:cat>
          <c:val>
            <c:numRef>
              <c:f>[1]Sheet1!$C$2:$C$42</c:f>
              <c:numCache>
                <c:formatCode>General</c:formatCode>
                <c:ptCount val="41"/>
                <c:pt idx="1">
                  <c:v>6.79</c:v>
                </c:pt>
                <c:pt idx="2">
                  <c:v>6.99</c:v>
                </c:pt>
                <c:pt idx="3">
                  <c:v>7.4</c:v>
                </c:pt>
                <c:pt idx="4">
                  <c:v>7.83</c:v>
                </c:pt>
                <c:pt idx="5">
                  <c:v>8.18</c:v>
                </c:pt>
                <c:pt idx="6">
                  <c:v>8.15</c:v>
                </c:pt>
                <c:pt idx="7">
                  <c:v>7.74</c:v>
                </c:pt>
                <c:pt idx="8">
                  <c:v>8.34</c:v>
                </c:pt>
                <c:pt idx="9">
                  <c:v>8.98</c:v>
                </c:pt>
                <c:pt idx="10">
                  <c:v>8.76</c:v>
                </c:pt>
                <c:pt idx="11">
                  <c:v>8.5299999999999994</c:v>
                </c:pt>
                <c:pt idx="12">
                  <c:v>8.5500000000000007</c:v>
                </c:pt>
                <c:pt idx="13">
                  <c:v>8.4499999999999993</c:v>
                </c:pt>
                <c:pt idx="14">
                  <c:v>8.3800000000000008</c:v>
                </c:pt>
                <c:pt idx="15">
                  <c:v>8.1999999999999993</c:v>
                </c:pt>
                <c:pt idx="16">
                  <c:v>8.0500000000000007</c:v>
                </c:pt>
                <c:pt idx="17">
                  <c:v>7.85</c:v>
                </c:pt>
                <c:pt idx="18">
                  <c:v>7.68</c:v>
                </c:pt>
                <c:pt idx="19">
                  <c:v>7.55</c:v>
                </c:pt>
                <c:pt idx="20">
                  <c:v>7.32</c:v>
                </c:pt>
                <c:pt idx="21">
                  <c:v>7.09</c:v>
                </c:pt>
                <c:pt idx="22">
                  <c:v>6.85</c:v>
                </c:pt>
                <c:pt idx="23">
                  <c:v>6.7</c:v>
                </c:pt>
                <c:pt idx="24">
                  <c:v>6.54</c:v>
                </c:pt>
                <c:pt idx="25">
                  <c:v>6.41</c:v>
                </c:pt>
                <c:pt idx="26">
                  <c:v>6.23</c:v>
                </c:pt>
                <c:pt idx="27">
                  <c:v>6.02</c:v>
                </c:pt>
                <c:pt idx="28">
                  <c:v>5.89</c:v>
                </c:pt>
                <c:pt idx="29">
                  <c:v>5.65</c:v>
                </c:pt>
                <c:pt idx="30">
                  <c:v>5.45</c:v>
                </c:pt>
                <c:pt idx="31">
                  <c:v>5.3</c:v>
                </c:pt>
                <c:pt idx="32">
                  <c:v>5.16</c:v>
                </c:pt>
                <c:pt idx="33">
                  <c:v>5.05</c:v>
                </c:pt>
                <c:pt idx="34">
                  <c:v>4.96</c:v>
                </c:pt>
                <c:pt idx="35">
                  <c:v>4.88</c:v>
                </c:pt>
                <c:pt idx="36">
                  <c:v>4.8</c:v>
                </c:pt>
                <c:pt idx="37">
                  <c:v>4.74</c:v>
                </c:pt>
                <c:pt idx="38">
                  <c:v>4.7300000000000004</c:v>
                </c:pt>
                <c:pt idx="39">
                  <c:v>4.71</c:v>
                </c:pt>
                <c:pt idx="40">
                  <c:v>4.68</c:v>
                </c:pt>
              </c:numCache>
            </c:numRef>
          </c:val>
          <c:smooth val="0"/>
          <c:extLst>
            <c:ext xmlns:c16="http://schemas.microsoft.com/office/drawing/2014/chart" uri="{C3380CC4-5D6E-409C-BE32-E72D297353CC}">
              <c16:uniqueId val="{00000001-40EB-4D65-AD4D-2C0492C55DE3}"/>
            </c:ext>
          </c:extLst>
        </c:ser>
        <c:dLbls>
          <c:showLegendKey val="0"/>
          <c:showVal val="0"/>
          <c:showCatName val="0"/>
          <c:showSerName val="0"/>
          <c:showPercent val="0"/>
          <c:showBubbleSize val="0"/>
        </c:dLbls>
        <c:marker val="1"/>
        <c:smooth val="0"/>
        <c:axId val="-1798930640"/>
        <c:axId val="-1357226848"/>
      </c:lineChart>
      <c:lineChart>
        <c:grouping val="standard"/>
        <c:varyColors val="0"/>
        <c:ser>
          <c:idx val="2"/>
          <c:order val="2"/>
          <c:tx>
            <c:strRef>
              <c:f>[1]Sheet1!$D$1</c:f>
              <c:strCache>
                <c:ptCount val="1"/>
                <c:pt idx="0">
                  <c:v>Video</c:v>
                </c:pt>
              </c:strCache>
            </c:strRef>
          </c:tx>
          <c:marker>
            <c:symbol val="none"/>
          </c:marker>
          <c:cat>
            <c:strRef>
              <c:f>[1]Sheet1!$A$2:$A$42</c:f>
              <c:strCache>
                <c:ptCount val="41"/>
                <c:pt idx="0">
                  <c:v>Dec. 21</c:v>
                </c:pt>
                <c:pt idx="1">
                  <c:v>Dec. 28</c:v>
                </c:pt>
                <c:pt idx="2">
                  <c:v>Jan. 4</c:v>
                </c:pt>
                <c:pt idx="3">
                  <c:v>Jan. 11</c:v>
                </c:pt>
                <c:pt idx="4">
                  <c:v>Jan. 18</c:v>
                </c:pt>
                <c:pt idx="5">
                  <c:v>Jan. 25</c:v>
                </c:pt>
                <c:pt idx="6">
                  <c:v>Feb. 1</c:v>
                </c:pt>
                <c:pt idx="7">
                  <c:v>Feb. 8</c:v>
                </c:pt>
                <c:pt idx="8">
                  <c:v>Feb. 15</c:v>
                </c:pt>
                <c:pt idx="9">
                  <c:v>Feb. 22</c:v>
                </c:pt>
                <c:pt idx="10">
                  <c:v>Feb. 29</c:v>
                </c:pt>
                <c:pt idx="11">
                  <c:v>Mar. 7</c:v>
                </c:pt>
                <c:pt idx="12">
                  <c:v>Mar. 14</c:v>
                </c:pt>
                <c:pt idx="13">
                  <c:v>Mar. 21</c:v>
                </c:pt>
                <c:pt idx="14">
                  <c:v>Mar. 28</c:v>
                </c:pt>
                <c:pt idx="15">
                  <c:v>Apr. 4</c:v>
                </c:pt>
                <c:pt idx="16">
                  <c:v>Apr. 11</c:v>
                </c:pt>
                <c:pt idx="17">
                  <c:v>Apr. 18</c:v>
                </c:pt>
                <c:pt idx="18">
                  <c:v>Apr. 25</c:v>
                </c:pt>
                <c:pt idx="19">
                  <c:v>May. 2</c:v>
                </c:pt>
                <c:pt idx="20">
                  <c:v>May. 9</c:v>
                </c:pt>
                <c:pt idx="21">
                  <c:v>May. 16</c:v>
                </c:pt>
                <c:pt idx="22">
                  <c:v>May. 23</c:v>
                </c:pt>
                <c:pt idx="23">
                  <c:v>May. 30</c:v>
                </c:pt>
                <c:pt idx="24">
                  <c:v>Jun. 6</c:v>
                </c:pt>
                <c:pt idx="25">
                  <c:v>Jun. 13</c:v>
                </c:pt>
                <c:pt idx="26">
                  <c:v>Jun. 20</c:v>
                </c:pt>
                <c:pt idx="27">
                  <c:v>Jun. 27</c:v>
                </c:pt>
                <c:pt idx="28">
                  <c:v>Jul. 4</c:v>
                </c:pt>
                <c:pt idx="29">
                  <c:v>Jul. 11</c:v>
                </c:pt>
                <c:pt idx="30">
                  <c:v>Jul. 18</c:v>
                </c:pt>
                <c:pt idx="31">
                  <c:v>Jul. 25</c:v>
                </c:pt>
                <c:pt idx="32">
                  <c:v>Aug. 1</c:v>
                </c:pt>
                <c:pt idx="33">
                  <c:v>Aug. 8</c:v>
                </c:pt>
                <c:pt idx="34">
                  <c:v>Aug. 15</c:v>
                </c:pt>
                <c:pt idx="35">
                  <c:v>Aug. 22</c:v>
                </c:pt>
                <c:pt idx="36">
                  <c:v>Aug. 29</c:v>
                </c:pt>
                <c:pt idx="37">
                  <c:v>Sept. 5</c:v>
                </c:pt>
                <c:pt idx="38">
                  <c:v>Sept. 12</c:v>
                </c:pt>
                <c:pt idx="39">
                  <c:v>Sept. 19</c:v>
                </c:pt>
                <c:pt idx="40">
                  <c:v>Sept. 26</c:v>
                </c:pt>
              </c:strCache>
            </c:strRef>
          </c:cat>
          <c:val>
            <c:numRef>
              <c:f>[1]Sheet1!$D$2:$D$42</c:f>
              <c:numCache>
                <c:formatCode>General</c:formatCode>
                <c:ptCount val="41"/>
                <c:pt idx="11">
                  <c:v>107.14</c:v>
                </c:pt>
                <c:pt idx="12">
                  <c:v>106.48</c:v>
                </c:pt>
                <c:pt idx="13">
                  <c:v>130.02000000000001</c:v>
                </c:pt>
                <c:pt idx="14">
                  <c:v>111.81</c:v>
                </c:pt>
                <c:pt idx="15">
                  <c:v>108.84</c:v>
                </c:pt>
                <c:pt idx="16">
                  <c:v>105.99</c:v>
                </c:pt>
                <c:pt idx="17">
                  <c:v>104.93</c:v>
                </c:pt>
                <c:pt idx="18">
                  <c:v>101.05</c:v>
                </c:pt>
                <c:pt idx="19">
                  <c:v>102.03</c:v>
                </c:pt>
                <c:pt idx="20">
                  <c:v>101.39</c:v>
                </c:pt>
                <c:pt idx="21">
                  <c:v>92.06</c:v>
                </c:pt>
                <c:pt idx="22">
                  <c:v>89.74</c:v>
                </c:pt>
                <c:pt idx="23">
                  <c:v>87.33</c:v>
                </c:pt>
                <c:pt idx="24">
                  <c:v>88.2</c:v>
                </c:pt>
                <c:pt idx="25">
                  <c:v>88.9</c:v>
                </c:pt>
                <c:pt idx="26">
                  <c:v>89.84</c:v>
                </c:pt>
                <c:pt idx="27">
                  <c:v>90.39</c:v>
                </c:pt>
                <c:pt idx="28">
                  <c:v>90.15</c:v>
                </c:pt>
                <c:pt idx="29">
                  <c:v>92.35</c:v>
                </c:pt>
                <c:pt idx="30">
                  <c:v>90.9</c:v>
                </c:pt>
                <c:pt idx="31">
                  <c:v>89.19</c:v>
                </c:pt>
                <c:pt idx="32">
                  <c:v>80.88</c:v>
                </c:pt>
                <c:pt idx="33">
                  <c:v>78.73</c:v>
                </c:pt>
                <c:pt idx="34">
                  <c:v>75.459999999999994</c:v>
                </c:pt>
                <c:pt idx="35">
                  <c:v>74.12</c:v>
                </c:pt>
                <c:pt idx="36">
                  <c:v>73.13</c:v>
                </c:pt>
                <c:pt idx="37">
                  <c:v>73.05</c:v>
                </c:pt>
                <c:pt idx="38">
                  <c:v>73.290000000000006</c:v>
                </c:pt>
                <c:pt idx="39">
                  <c:v>72.38</c:v>
                </c:pt>
                <c:pt idx="40">
                  <c:v>71.48</c:v>
                </c:pt>
              </c:numCache>
            </c:numRef>
          </c:val>
          <c:smooth val="0"/>
          <c:extLst>
            <c:ext xmlns:c16="http://schemas.microsoft.com/office/drawing/2014/chart" uri="{C3380CC4-5D6E-409C-BE32-E72D297353CC}">
              <c16:uniqueId val="{00000002-40EB-4D65-AD4D-2C0492C55DE3}"/>
            </c:ext>
          </c:extLst>
        </c:ser>
        <c:ser>
          <c:idx val="3"/>
          <c:order val="3"/>
          <c:tx>
            <c:strRef>
              <c:f>[1]Sheet1!$E$1</c:f>
              <c:strCache>
                <c:ptCount val="1"/>
                <c:pt idx="0">
                  <c:v>Audience</c:v>
                </c:pt>
              </c:strCache>
            </c:strRef>
          </c:tx>
          <c:marker>
            <c:symbol val="none"/>
          </c:marker>
          <c:cat>
            <c:strRef>
              <c:f>[1]Sheet1!$A$2:$A$42</c:f>
              <c:strCache>
                <c:ptCount val="41"/>
                <c:pt idx="0">
                  <c:v>Dec. 21</c:v>
                </c:pt>
                <c:pt idx="1">
                  <c:v>Dec. 28</c:v>
                </c:pt>
                <c:pt idx="2">
                  <c:v>Jan. 4</c:v>
                </c:pt>
                <c:pt idx="3">
                  <c:v>Jan. 11</c:v>
                </c:pt>
                <c:pt idx="4">
                  <c:v>Jan. 18</c:v>
                </c:pt>
                <c:pt idx="5">
                  <c:v>Jan. 25</c:v>
                </c:pt>
                <c:pt idx="6">
                  <c:v>Feb. 1</c:v>
                </c:pt>
                <c:pt idx="7">
                  <c:v>Feb. 8</c:v>
                </c:pt>
                <c:pt idx="8">
                  <c:v>Feb. 15</c:v>
                </c:pt>
                <c:pt idx="9">
                  <c:v>Feb. 22</c:v>
                </c:pt>
                <c:pt idx="10">
                  <c:v>Feb. 29</c:v>
                </c:pt>
                <c:pt idx="11">
                  <c:v>Mar. 7</c:v>
                </c:pt>
                <c:pt idx="12">
                  <c:v>Mar. 14</c:v>
                </c:pt>
                <c:pt idx="13">
                  <c:v>Mar. 21</c:v>
                </c:pt>
                <c:pt idx="14">
                  <c:v>Mar. 28</c:v>
                </c:pt>
                <c:pt idx="15">
                  <c:v>Apr. 4</c:v>
                </c:pt>
                <c:pt idx="16">
                  <c:v>Apr. 11</c:v>
                </c:pt>
                <c:pt idx="17">
                  <c:v>Apr. 18</c:v>
                </c:pt>
                <c:pt idx="18">
                  <c:v>Apr. 25</c:v>
                </c:pt>
                <c:pt idx="19">
                  <c:v>May. 2</c:v>
                </c:pt>
                <c:pt idx="20">
                  <c:v>May. 9</c:v>
                </c:pt>
                <c:pt idx="21">
                  <c:v>May. 16</c:v>
                </c:pt>
                <c:pt idx="22">
                  <c:v>May. 23</c:v>
                </c:pt>
                <c:pt idx="23">
                  <c:v>May. 30</c:v>
                </c:pt>
                <c:pt idx="24">
                  <c:v>Jun. 6</c:v>
                </c:pt>
                <c:pt idx="25">
                  <c:v>Jun. 13</c:v>
                </c:pt>
                <c:pt idx="26">
                  <c:v>Jun. 20</c:v>
                </c:pt>
                <c:pt idx="27">
                  <c:v>Jun. 27</c:v>
                </c:pt>
                <c:pt idx="28">
                  <c:v>Jul. 4</c:v>
                </c:pt>
                <c:pt idx="29">
                  <c:v>Jul. 11</c:v>
                </c:pt>
                <c:pt idx="30">
                  <c:v>Jul. 18</c:v>
                </c:pt>
                <c:pt idx="31">
                  <c:v>Jul. 25</c:v>
                </c:pt>
                <c:pt idx="32">
                  <c:v>Aug. 1</c:v>
                </c:pt>
                <c:pt idx="33">
                  <c:v>Aug. 8</c:v>
                </c:pt>
                <c:pt idx="34">
                  <c:v>Aug. 15</c:v>
                </c:pt>
                <c:pt idx="35">
                  <c:v>Aug. 22</c:v>
                </c:pt>
                <c:pt idx="36">
                  <c:v>Aug. 29</c:v>
                </c:pt>
                <c:pt idx="37">
                  <c:v>Sept. 5</c:v>
                </c:pt>
                <c:pt idx="38">
                  <c:v>Sept. 12</c:v>
                </c:pt>
                <c:pt idx="39">
                  <c:v>Sept. 19</c:v>
                </c:pt>
                <c:pt idx="40">
                  <c:v>Sept. 26</c:v>
                </c:pt>
              </c:strCache>
            </c:strRef>
          </c:cat>
          <c:val>
            <c:numRef>
              <c:f>[1]Sheet1!$E$2:$E$42</c:f>
              <c:numCache>
                <c:formatCode>General</c:formatCode>
                <c:ptCount val="41"/>
                <c:pt idx="1">
                  <c:v>25.28</c:v>
                </c:pt>
                <c:pt idx="2">
                  <c:v>24.04</c:v>
                </c:pt>
                <c:pt idx="3">
                  <c:v>18.22</c:v>
                </c:pt>
                <c:pt idx="4">
                  <c:v>17.739999999999998</c:v>
                </c:pt>
                <c:pt idx="5">
                  <c:v>19.39</c:v>
                </c:pt>
                <c:pt idx="6">
                  <c:v>22.45</c:v>
                </c:pt>
                <c:pt idx="7">
                  <c:v>21.25</c:v>
                </c:pt>
              </c:numCache>
            </c:numRef>
          </c:val>
          <c:smooth val="0"/>
          <c:extLst>
            <c:ext xmlns:c16="http://schemas.microsoft.com/office/drawing/2014/chart" uri="{C3380CC4-5D6E-409C-BE32-E72D297353CC}">
              <c16:uniqueId val="{00000003-40EB-4D65-AD4D-2C0492C55DE3}"/>
            </c:ext>
          </c:extLst>
        </c:ser>
        <c:dLbls>
          <c:showLegendKey val="0"/>
          <c:showVal val="0"/>
          <c:showCatName val="0"/>
          <c:showSerName val="0"/>
          <c:showPercent val="0"/>
          <c:showBubbleSize val="0"/>
        </c:dLbls>
        <c:marker val="1"/>
        <c:smooth val="0"/>
        <c:axId val="-1312007392"/>
        <c:axId val="-1357255040"/>
      </c:lineChart>
      <c:catAx>
        <c:axId val="-1798930640"/>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357226848"/>
        <c:crosses val="autoZero"/>
        <c:auto val="1"/>
        <c:lblAlgn val="ctr"/>
        <c:lblOffset val="100"/>
        <c:noMultiLvlLbl val="0"/>
      </c:catAx>
      <c:valAx>
        <c:axId val="-1357226848"/>
        <c:scaling>
          <c:orientation val="minMax"/>
          <c:max val="15"/>
          <c:min val="4"/>
        </c:scaling>
        <c:delete val="0"/>
        <c:axPos val="l"/>
        <c:majorGridlines/>
        <c:numFmt formatCode="General" sourceLinked="1"/>
        <c:majorTickMark val="out"/>
        <c:minorTickMark val="none"/>
        <c:tickLblPos val="nextTo"/>
        <c:crossAx val="-1798930640"/>
        <c:crosses val="autoZero"/>
        <c:crossBetween val="between"/>
        <c:majorUnit val="1"/>
      </c:valAx>
      <c:valAx>
        <c:axId val="-1357255040"/>
        <c:scaling>
          <c:orientation val="minMax"/>
        </c:scaling>
        <c:delete val="0"/>
        <c:axPos val="r"/>
        <c:numFmt formatCode="General" sourceLinked="1"/>
        <c:majorTickMark val="out"/>
        <c:minorTickMark val="none"/>
        <c:tickLblPos val="nextTo"/>
        <c:crossAx val="-1312007392"/>
        <c:crosses val="max"/>
        <c:crossBetween val="between"/>
      </c:valAx>
      <c:catAx>
        <c:axId val="-1312007392"/>
        <c:scaling>
          <c:orientation val="minMax"/>
        </c:scaling>
        <c:delete val="1"/>
        <c:axPos val="b"/>
        <c:numFmt formatCode="General" sourceLinked="1"/>
        <c:majorTickMark val="out"/>
        <c:minorTickMark val="none"/>
        <c:tickLblPos val="nextTo"/>
        <c:crossAx val="-1357255040"/>
        <c:crosses val="autoZero"/>
        <c:auto val="1"/>
        <c:lblAlgn val="ctr"/>
        <c:lblOffset val="100"/>
        <c:noMultiLvlLbl val="0"/>
      </c:catAx>
      <c:spPr>
        <a:solidFill>
          <a:schemeClr val="bg1">
            <a:lumMod val="75000"/>
          </a:schemeClr>
        </a:solidFill>
      </c:spPr>
    </c:plotArea>
    <c:legend>
      <c:legendPos val="b"/>
      <c:overlay val="0"/>
    </c:legend>
    <c:plotVisOnly val="1"/>
    <c:dispBlanksAs val="gap"/>
    <c:showDLblsOverMax val="0"/>
  </c:chart>
  <c:spPr>
    <a:solidFill>
      <a:schemeClr val="bg1">
        <a:lumMod val="75000"/>
      </a:schemeClr>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200">
                <a:latin typeface="Times New Roman"/>
                <a:cs typeface="Times New Roman"/>
              </a:rPr>
              <a:t>Weekly CPA Break</a:t>
            </a:r>
            <a:r>
              <a:rPr lang="en-US" sz="1200" baseline="0">
                <a:latin typeface="Times New Roman"/>
                <a:cs typeface="Times New Roman"/>
              </a:rPr>
              <a:t> Out</a:t>
            </a:r>
            <a:r>
              <a:rPr lang="en-US" sz="1200">
                <a:latin typeface="Times New Roman"/>
                <a:cs typeface="Times New Roman"/>
              </a:rPr>
              <a:t> </a:t>
            </a:r>
          </a:p>
        </c:rich>
      </c:tx>
      <c:overlay val="0"/>
    </c:title>
    <c:autoTitleDeleted val="0"/>
    <c:plotArea>
      <c:layout/>
      <c:lineChart>
        <c:grouping val="standard"/>
        <c:varyColors val="0"/>
        <c:ser>
          <c:idx val="0"/>
          <c:order val="0"/>
          <c:tx>
            <c:strRef>
              <c:f>[2]Sheet1!$B$1</c:f>
              <c:strCache>
                <c:ptCount val="1"/>
                <c:pt idx="0">
                  <c:v>SEM</c:v>
                </c:pt>
              </c:strCache>
            </c:strRef>
          </c:tx>
          <c:marker>
            <c:symbol val="none"/>
          </c:marker>
          <c:cat>
            <c:strRef>
              <c:f>[2]Sheet1!$A$2:$A$43</c:f>
              <c:strCache>
                <c:ptCount val="42"/>
                <c:pt idx="0">
                  <c:v>Dec. 14</c:v>
                </c:pt>
                <c:pt idx="1">
                  <c:v>Dec. 21</c:v>
                </c:pt>
                <c:pt idx="2">
                  <c:v>Dec. 28</c:v>
                </c:pt>
                <c:pt idx="3">
                  <c:v>Jan. 4</c:v>
                </c:pt>
                <c:pt idx="4">
                  <c:v>Jan. 11</c:v>
                </c:pt>
                <c:pt idx="5">
                  <c:v>Jan. 18</c:v>
                </c:pt>
                <c:pt idx="6">
                  <c:v>Jan. 25</c:v>
                </c:pt>
                <c:pt idx="7">
                  <c:v>Feb. 1</c:v>
                </c:pt>
                <c:pt idx="8">
                  <c:v>Feb. 8</c:v>
                </c:pt>
                <c:pt idx="9">
                  <c:v>Feb. 15</c:v>
                </c:pt>
                <c:pt idx="10">
                  <c:v>Feb. 22</c:v>
                </c:pt>
                <c:pt idx="11">
                  <c:v>Feb. 29</c:v>
                </c:pt>
                <c:pt idx="12">
                  <c:v>Mar. 7</c:v>
                </c:pt>
                <c:pt idx="13">
                  <c:v>Mar. 14</c:v>
                </c:pt>
                <c:pt idx="14">
                  <c:v>Mar. 21</c:v>
                </c:pt>
                <c:pt idx="15">
                  <c:v>Mar. 28</c:v>
                </c:pt>
                <c:pt idx="16">
                  <c:v>Apr. 4</c:v>
                </c:pt>
                <c:pt idx="17">
                  <c:v>Apr. 11</c:v>
                </c:pt>
                <c:pt idx="18">
                  <c:v>Apr. 18</c:v>
                </c:pt>
                <c:pt idx="19">
                  <c:v>Apr. 25</c:v>
                </c:pt>
                <c:pt idx="20">
                  <c:v>May. 2</c:v>
                </c:pt>
                <c:pt idx="21">
                  <c:v>May. 9</c:v>
                </c:pt>
                <c:pt idx="22">
                  <c:v>May. 16</c:v>
                </c:pt>
                <c:pt idx="23">
                  <c:v>May. 23</c:v>
                </c:pt>
                <c:pt idx="24">
                  <c:v>May. 30</c:v>
                </c:pt>
                <c:pt idx="25">
                  <c:v>Jun. 6</c:v>
                </c:pt>
                <c:pt idx="26">
                  <c:v>Jun. 13</c:v>
                </c:pt>
                <c:pt idx="27">
                  <c:v>Jun. 20</c:v>
                </c:pt>
                <c:pt idx="28">
                  <c:v>Jun. 27</c:v>
                </c:pt>
                <c:pt idx="29">
                  <c:v>Jul. 4</c:v>
                </c:pt>
                <c:pt idx="30">
                  <c:v>Jul. 11</c:v>
                </c:pt>
                <c:pt idx="31">
                  <c:v>Jul. 18</c:v>
                </c:pt>
                <c:pt idx="32">
                  <c:v>Jul. 25</c:v>
                </c:pt>
                <c:pt idx="33">
                  <c:v>Aug. 1</c:v>
                </c:pt>
                <c:pt idx="34">
                  <c:v>Aug. 8</c:v>
                </c:pt>
                <c:pt idx="35">
                  <c:v>Aug. 15</c:v>
                </c:pt>
                <c:pt idx="36">
                  <c:v>Aug. 22</c:v>
                </c:pt>
                <c:pt idx="37">
                  <c:v>Aug. 29</c:v>
                </c:pt>
                <c:pt idx="38">
                  <c:v>Sept. 5</c:v>
                </c:pt>
                <c:pt idx="39">
                  <c:v>Sept. 12</c:v>
                </c:pt>
                <c:pt idx="40">
                  <c:v>Sept. 19</c:v>
                </c:pt>
                <c:pt idx="41">
                  <c:v>Sept. 26</c:v>
                </c:pt>
              </c:strCache>
            </c:strRef>
          </c:cat>
          <c:val>
            <c:numRef>
              <c:f>[2]Sheet1!$B$2:$B$43</c:f>
              <c:numCache>
                <c:formatCode>General</c:formatCode>
                <c:ptCount val="42"/>
                <c:pt idx="0">
                  <c:v>8.77</c:v>
                </c:pt>
                <c:pt idx="1">
                  <c:v>6.59</c:v>
                </c:pt>
                <c:pt idx="2">
                  <c:v>7.97</c:v>
                </c:pt>
                <c:pt idx="3">
                  <c:v>9.11</c:v>
                </c:pt>
                <c:pt idx="4">
                  <c:v>7.56</c:v>
                </c:pt>
                <c:pt idx="5">
                  <c:v>7.92</c:v>
                </c:pt>
                <c:pt idx="6">
                  <c:v>7.13</c:v>
                </c:pt>
                <c:pt idx="7">
                  <c:v>8.2200000000000006</c:v>
                </c:pt>
                <c:pt idx="8">
                  <c:v>10.74</c:v>
                </c:pt>
                <c:pt idx="9">
                  <c:v>10.94</c:v>
                </c:pt>
                <c:pt idx="10">
                  <c:v>11.01</c:v>
                </c:pt>
                <c:pt idx="11">
                  <c:v>10.84</c:v>
                </c:pt>
                <c:pt idx="12">
                  <c:v>10.16</c:v>
                </c:pt>
                <c:pt idx="13">
                  <c:v>11.07</c:v>
                </c:pt>
                <c:pt idx="14">
                  <c:v>10.8</c:v>
                </c:pt>
                <c:pt idx="15">
                  <c:v>10.77</c:v>
                </c:pt>
                <c:pt idx="16">
                  <c:v>10.88</c:v>
                </c:pt>
                <c:pt idx="17">
                  <c:v>10.5</c:v>
                </c:pt>
                <c:pt idx="18">
                  <c:v>9.77</c:v>
                </c:pt>
                <c:pt idx="19">
                  <c:v>7.83</c:v>
                </c:pt>
                <c:pt idx="20">
                  <c:v>8.7899999999999991</c:v>
                </c:pt>
                <c:pt idx="21">
                  <c:v>9.3800000000000008</c:v>
                </c:pt>
                <c:pt idx="22">
                  <c:v>8.7200000000000006</c:v>
                </c:pt>
                <c:pt idx="23">
                  <c:v>9.74</c:v>
                </c:pt>
                <c:pt idx="24">
                  <c:v>8.3800000000000008</c:v>
                </c:pt>
                <c:pt idx="25">
                  <c:v>7.9</c:v>
                </c:pt>
                <c:pt idx="26">
                  <c:v>9.0299999999999994</c:v>
                </c:pt>
                <c:pt idx="27">
                  <c:v>8.7200000000000006</c:v>
                </c:pt>
                <c:pt idx="28">
                  <c:v>9.52</c:v>
                </c:pt>
                <c:pt idx="29">
                  <c:v>10.050000000000001</c:v>
                </c:pt>
                <c:pt idx="30">
                  <c:v>9.65</c:v>
                </c:pt>
                <c:pt idx="31">
                  <c:v>9.23</c:v>
                </c:pt>
                <c:pt idx="32">
                  <c:v>9.42</c:v>
                </c:pt>
                <c:pt idx="33">
                  <c:v>8.36</c:v>
                </c:pt>
                <c:pt idx="34">
                  <c:v>9.0500000000000007</c:v>
                </c:pt>
                <c:pt idx="35">
                  <c:v>9.0299999999999994</c:v>
                </c:pt>
                <c:pt idx="36">
                  <c:v>9.73</c:v>
                </c:pt>
                <c:pt idx="37">
                  <c:v>9.1199999999999992</c:v>
                </c:pt>
                <c:pt idx="38">
                  <c:v>9.5399999999999991</c:v>
                </c:pt>
                <c:pt idx="39">
                  <c:v>9.86</c:v>
                </c:pt>
                <c:pt idx="40">
                  <c:v>9.43</c:v>
                </c:pt>
                <c:pt idx="41">
                  <c:v>9.35</c:v>
                </c:pt>
              </c:numCache>
            </c:numRef>
          </c:val>
          <c:smooth val="0"/>
          <c:extLst>
            <c:ext xmlns:c16="http://schemas.microsoft.com/office/drawing/2014/chart" uri="{C3380CC4-5D6E-409C-BE32-E72D297353CC}">
              <c16:uniqueId val="{00000000-EB14-44C5-9EFF-DD6237773876}"/>
            </c:ext>
          </c:extLst>
        </c:ser>
        <c:ser>
          <c:idx val="1"/>
          <c:order val="1"/>
          <c:tx>
            <c:strRef>
              <c:f>[2]Sheet1!$C$1</c:f>
              <c:strCache>
                <c:ptCount val="1"/>
                <c:pt idx="0">
                  <c:v>Remarketing</c:v>
                </c:pt>
              </c:strCache>
            </c:strRef>
          </c:tx>
          <c:spPr>
            <a:ln>
              <a:solidFill>
                <a:schemeClr val="accent2"/>
              </a:solidFill>
            </a:ln>
          </c:spPr>
          <c:marker>
            <c:symbol val="none"/>
          </c:marker>
          <c:cat>
            <c:strRef>
              <c:f>[2]Sheet1!$A$2:$A$43</c:f>
              <c:strCache>
                <c:ptCount val="42"/>
                <c:pt idx="0">
                  <c:v>Dec. 14</c:v>
                </c:pt>
                <c:pt idx="1">
                  <c:v>Dec. 21</c:v>
                </c:pt>
                <c:pt idx="2">
                  <c:v>Dec. 28</c:v>
                </c:pt>
                <c:pt idx="3">
                  <c:v>Jan. 4</c:v>
                </c:pt>
                <c:pt idx="4">
                  <c:v>Jan. 11</c:v>
                </c:pt>
                <c:pt idx="5">
                  <c:v>Jan. 18</c:v>
                </c:pt>
                <c:pt idx="6">
                  <c:v>Jan. 25</c:v>
                </c:pt>
                <c:pt idx="7">
                  <c:v>Feb. 1</c:v>
                </c:pt>
                <c:pt idx="8">
                  <c:v>Feb. 8</c:v>
                </c:pt>
                <c:pt idx="9">
                  <c:v>Feb. 15</c:v>
                </c:pt>
                <c:pt idx="10">
                  <c:v>Feb. 22</c:v>
                </c:pt>
                <c:pt idx="11">
                  <c:v>Feb. 29</c:v>
                </c:pt>
                <c:pt idx="12">
                  <c:v>Mar. 7</c:v>
                </c:pt>
                <c:pt idx="13">
                  <c:v>Mar. 14</c:v>
                </c:pt>
                <c:pt idx="14">
                  <c:v>Mar. 21</c:v>
                </c:pt>
                <c:pt idx="15">
                  <c:v>Mar. 28</c:v>
                </c:pt>
                <c:pt idx="16">
                  <c:v>Apr. 4</c:v>
                </c:pt>
                <c:pt idx="17">
                  <c:v>Apr. 11</c:v>
                </c:pt>
                <c:pt idx="18">
                  <c:v>Apr. 18</c:v>
                </c:pt>
                <c:pt idx="19">
                  <c:v>Apr. 25</c:v>
                </c:pt>
                <c:pt idx="20">
                  <c:v>May. 2</c:v>
                </c:pt>
                <c:pt idx="21">
                  <c:v>May. 9</c:v>
                </c:pt>
                <c:pt idx="22">
                  <c:v>May. 16</c:v>
                </c:pt>
                <c:pt idx="23">
                  <c:v>May. 23</c:v>
                </c:pt>
                <c:pt idx="24">
                  <c:v>May. 30</c:v>
                </c:pt>
                <c:pt idx="25">
                  <c:v>Jun. 6</c:v>
                </c:pt>
                <c:pt idx="26">
                  <c:v>Jun. 13</c:v>
                </c:pt>
                <c:pt idx="27">
                  <c:v>Jun. 20</c:v>
                </c:pt>
                <c:pt idx="28">
                  <c:v>Jun. 27</c:v>
                </c:pt>
                <c:pt idx="29">
                  <c:v>Jul. 4</c:v>
                </c:pt>
                <c:pt idx="30">
                  <c:v>Jul. 11</c:v>
                </c:pt>
                <c:pt idx="31">
                  <c:v>Jul. 18</c:v>
                </c:pt>
                <c:pt idx="32">
                  <c:v>Jul. 25</c:v>
                </c:pt>
                <c:pt idx="33">
                  <c:v>Aug. 1</c:v>
                </c:pt>
                <c:pt idx="34">
                  <c:v>Aug. 8</c:v>
                </c:pt>
                <c:pt idx="35">
                  <c:v>Aug. 15</c:v>
                </c:pt>
                <c:pt idx="36">
                  <c:v>Aug. 22</c:v>
                </c:pt>
                <c:pt idx="37">
                  <c:v>Aug. 29</c:v>
                </c:pt>
                <c:pt idx="38">
                  <c:v>Sept. 5</c:v>
                </c:pt>
                <c:pt idx="39">
                  <c:v>Sept. 12</c:v>
                </c:pt>
                <c:pt idx="40">
                  <c:v>Sept. 19</c:v>
                </c:pt>
                <c:pt idx="41">
                  <c:v>Sept. 26</c:v>
                </c:pt>
              </c:strCache>
            </c:strRef>
          </c:cat>
          <c:val>
            <c:numRef>
              <c:f>[2]Sheet1!$C$2:$C$43</c:f>
              <c:numCache>
                <c:formatCode>General</c:formatCode>
                <c:ptCount val="42"/>
                <c:pt idx="1">
                  <c:v>5.98</c:v>
                </c:pt>
                <c:pt idx="2">
                  <c:v>7.46</c:v>
                </c:pt>
                <c:pt idx="3">
                  <c:v>7.24</c:v>
                </c:pt>
                <c:pt idx="4">
                  <c:v>8.2799999999999994</c:v>
                </c:pt>
                <c:pt idx="5">
                  <c:v>9.25</c:v>
                </c:pt>
                <c:pt idx="6">
                  <c:v>9.73</c:v>
                </c:pt>
                <c:pt idx="7">
                  <c:v>8.0399999999999991</c:v>
                </c:pt>
                <c:pt idx="8">
                  <c:v>5.52</c:v>
                </c:pt>
                <c:pt idx="9">
                  <c:v>13.54</c:v>
                </c:pt>
                <c:pt idx="10">
                  <c:v>14.93</c:v>
                </c:pt>
                <c:pt idx="11">
                  <c:v>7.09</c:v>
                </c:pt>
                <c:pt idx="12">
                  <c:v>6.71</c:v>
                </c:pt>
                <c:pt idx="13">
                  <c:v>8.69</c:v>
                </c:pt>
                <c:pt idx="14">
                  <c:v>7.22</c:v>
                </c:pt>
                <c:pt idx="15">
                  <c:v>7.34</c:v>
                </c:pt>
                <c:pt idx="16">
                  <c:v>5.98</c:v>
                </c:pt>
                <c:pt idx="17">
                  <c:v>6.27</c:v>
                </c:pt>
                <c:pt idx="18">
                  <c:v>5.67</c:v>
                </c:pt>
                <c:pt idx="19">
                  <c:v>5.49</c:v>
                </c:pt>
                <c:pt idx="20">
                  <c:v>5.44</c:v>
                </c:pt>
                <c:pt idx="21">
                  <c:v>3.56</c:v>
                </c:pt>
                <c:pt idx="22">
                  <c:v>3.37</c:v>
                </c:pt>
                <c:pt idx="23">
                  <c:v>3.14</c:v>
                </c:pt>
                <c:pt idx="24">
                  <c:v>3.44</c:v>
                </c:pt>
                <c:pt idx="25">
                  <c:v>3.25</c:v>
                </c:pt>
                <c:pt idx="26">
                  <c:v>3.63</c:v>
                </c:pt>
                <c:pt idx="27">
                  <c:v>2.98</c:v>
                </c:pt>
                <c:pt idx="28">
                  <c:v>2.4500000000000002</c:v>
                </c:pt>
                <c:pt idx="29">
                  <c:v>3.1</c:v>
                </c:pt>
                <c:pt idx="30">
                  <c:v>2.72</c:v>
                </c:pt>
                <c:pt idx="31">
                  <c:v>3.01</c:v>
                </c:pt>
                <c:pt idx="32">
                  <c:v>3.21</c:v>
                </c:pt>
                <c:pt idx="33">
                  <c:v>3.12</c:v>
                </c:pt>
                <c:pt idx="34">
                  <c:v>3.42</c:v>
                </c:pt>
                <c:pt idx="35">
                  <c:v>3.66</c:v>
                </c:pt>
                <c:pt idx="36">
                  <c:v>3.39</c:v>
                </c:pt>
                <c:pt idx="37">
                  <c:v>3.47</c:v>
                </c:pt>
                <c:pt idx="38">
                  <c:v>3.64</c:v>
                </c:pt>
                <c:pt idx="39">
                  <c:v>4.5999999999999996</c:v>
                </c:pt>
                <c:pt idx="40">
                  <c:v>4.28</c:v>
                </c:pt>
                <c:pt idx="41">
                  <c:v>3.94</c:v>
                </c:pt>
              </c:numCache>
            </c:numRef>
          </c:val>
          <c:smooth val="0"/>
          <c:extLst>
            <c:ext xmlns:c16="http://schemas.microsoft.com/office/drawing/2014/chart" uri="{C3380CC4-5D6E-409C-BE32-E72D297353CC}">
              <c16:uniqueId val="{00000001-EB14-44C5-9EFF-DD6237773876}"/>
            </c:ext>
          </c:extLst>
        </c:ser>
        <c:ser>
          <c:idx val="4"/>
          <c:order val="4"/>
          <c:tx>
            <c:strRef>
              <c:f>[2]Sheet1!$F$1</c:f>
              <c:strCache>
                <c:ptCount val="1"/>
              </c:strCache>
            </c:strRef>
          </c:tx>
          <c:marker>
            <c:symbol val="none"/>
          </c:marker>
          <c:cat>
            <c:strRef>
              <c:f>[2]Sheet1!$A$2:$A$43</c:f>
              <c:strCache>
                <c:ptCount val="42"/>
                <c:pt idx="0">
                  <c:v>Dec. 14</c:v>
                </c:pt>
                <c:pt idx="1">
                  <c:v>Dec. 21</c:v>
                </c:pt>
                <c:pt idx="2">
                  <c:v>Dec. 28</c:v>
                </c:pt>
                <c:pt idx="3">
                  <c:v>Jan. 4</c:v>
                </c:pt>
                <c:pt idx="4">
                  <c:v>Jan. 11</c:v>
                </c:pt>
                <c:pt idx="5">
                  <c:v>Jan. 18</c:v>
                </c:pt>
                <c:pt idx="6">
                  <c:v>Jan. 25</c:v>
                </c:pt>
                <c:pt idx="7">
                  <c:v>Feb. 1</c:v>
                </c:pt>
                <c:pt idx="8">
                  <c:v>Feb. 8</c:v>
                </c:pt>
                <c:pt idx="9">
                  <c:v>Feb. 15</c:v>
                </c:pt>
                <c:pt idx="10">
                  <c:v>Feb. 22</c:v>
                </c:pt>
                <c:pt idx="11">
                  <c:v>Feb. 29</c:v>
                </c:pt>
                <c:pt idx="12">
                  <c:v>Mar. 7</c:v>
                </c:pt>
                <c:pt idx="13">
                  <c:v>Mar. 14</c:v>
                </c:pt>
                <c:pt idx="14">
                  <c:v>Mar. 21</c:v>
                </c:pt>
                <c:pt idx="15">
                  <c:v>Mar. 28</c:v>
                </c:pt>
                <c:pt idx="16">
                  <c:v>Apr. 4</c:v>
                </c:pt>
                <c:pt idx="17">
                  <c:v>Apr. 11</c:v>
                </c:pt>
                <c:pt idx="18">
                  <c:v>Apr. 18</c:v>
                </c:pt>
                <c:pt idx="19">
                  <c:v>Apr. 25</c:v>
                </c:pt>
                <c:pt idx="20">
                  <c:v>May. 2</c:v>
                </c:pt>
                <c:pt idx="21">
                  <c:v>May. 9</c:v>
                </c:pt>
                <c:pt idx="22">
                  <c:v>May. 16</c:v>
                </c:pt>
                <c:pt idx="23">
                  <c:v>May. 23</c:v>
                </c:pt>
                <c:pt idx="24">
                  <c:v>May. 30</c:v>
                </c:pt>
                <c:pt idx="25">
                  <c:v>Jun. 6</c:v>
                </c:pt>
                <c:pt idx="26">
                  <c:v>Jun. 13</c:v>
                </c:pt>
                <c:pt idx="27">
                  <c:v>Jun. 20</c:v>
                </c:pt>
                <c:pt idx="28">
                  <c:v>Jun. 27</c:v>
                </c:pt>
                <c:pt idx="29">
                  <c:v>Jul. 4</c:v>
                </c:pt>
                <c:pt idx="30">
                  <c:v>Jul. 11</c:v>
                </c:pt>
                <c:pt idx="31">
                  <c:v>Jul. 18</c:v>
                </c:pt>
                <c:pt idx="32">
                  <c:v>Jul. 25</c:v>
                </c:pt>
                <c:pt idx="33">
                  <c:v>Aug. 1</c:v>
                </c:pt>
                <c:pt idx="34">
                  <c:v>Aug. 8</c:v>
                </c:pt>
                <c:pt idx="35">
                  <c:v>Aug. 15</c:v>
                </c:pt>
                <c:pt idx="36">
                  <c:v>Aug. 22</c:v>
                </c:pt>
                <c:pt idx="37">
                  <c:v>Aug. 29</c:v>
                </c:pt>
                <c:pt idx="38">
                  <c:v>Sept. 5</c:v>
                </c:pt>
                <c:pt idx="39">
                  <c:v>Sept. 12</c:v>
                </c:pt>
                <c:pt idx="40">
                  <c:v>Sept. 19</c:v>
                </c:pt>
                <c:pt idx="41">
                  <c:v>Sept. 26</c:v>
                </c:pt>
              </c:strCache>
            </c:strRef>
          </c:cat>
          <c:val>
            <c:numRef>
              <c:f>[2]Sheet1!$F$2:$F$43</c:f>
              <c:numCache>
                <c:formatCode>General</c:formatCode>
                <c:ptCount val="42"/>
              </c:numCache>
            </c:numRef>
          </c:val>
          <c:smooth val="0"/>
          <c:extLst>
            <c:ext xmlns:c16="http://schemas.microsoft.com/office/drawing/2014/chart" uri="{C3380CC4-5D6E-409C-BE32-E72D297353CC}">
              <c16:uniqueId val="{00000002-EB14-44C5-9EFF-DD6237773876}"/>
            </c:ext>
          </c:extLst>
        </c:ser>
        <c:dLbls>
          <c:showLegendKey val="0"/>
          <c:showVal val="0"/>
          <c:showCatName val="0"/>
          <c:showSerName val="0"/>
          <c:showPercent val="0"/>
          <c:showBubbleSize val="0"/>
        </c:dLbls>
        <c:marker val="1"/>
        <c:smooth val="0"/>
        <c:axId val="-1738251392"/>
        <c:axId val="-1351324720"/>
      </c:lineChart>
      <c:lineChart>
        <c:grouping val="standard"/>
        <c:varyColors val="0"/>
        <c:ser>
          <c:idx val="2"/>
          <c:order val="2"/>
          <c:tx>
            <c:strRef>
              <c:f>[2]Sheet1!$D$1</c:f>
              <c:strCache>
                <c:ptCount val="1"/>
                <c:pt idx="0">
                  <c:v>Video</c:v>
                </c:pt>
              </c:strCache>
            </c:strRef>
          </c:tx>
          <c:marker>
            <c:symbol val="none"/>
          </c:marker>
          <c:cat>
            <c:strRef>
              <c:f>[2]Sheet1!$A$2:$A$43</c:f>
              <c:strCache>
                <c:ptCount val="42"/>
                <c:pt idx="0">
                  <c:v>Dec. 14</c:v>
                </c:pt>
                <c:pt idx="1">
                  <c:v>Dec. 21</c:v>
                </c:pt>
                <c:pt idx="2">
                  <c:v>Dec. 28</c:v>
                </c:pt>
                <c:pt idx="3">
                  <c:v>Jan. 4</c:v>
                </c:pt>
                <c:pt idx="4">
                  <c:v>Jan. 11</c:v>
                </c:pt>
                <c:pt idx="5">
                  <c:v>Jan. 18</c:v>
                </c:pt>
                <c:pt idx="6">
                  <c:v>Jan. 25</c:v>
                </c:pt>
                <c:pt idx="7">
                  <c:v>Feb. 1</c:v>
                </c:pt>
                <c:pt idx="8">
                  <c:v>Feb. 8</c:v>
                </c:pt>
                <c:pt idx="9">
                  <c:v>Feb. 15</c:v>
                </c:pt>
                <c:pt idx="10">
                  <c:v>Feb. 22</c:v>
                </c:pt>
                <c:pt idx="11">
                  <c:v>Feb. 29</c:v>
                </c:pt>
                <c:pt idx="12">
                  <c:v>Mar. 7</c:v>
                </c:pt>
                <c:pt idx="13">
                  <c:v>Mar. 14</c:v>
                </c:pt>
                <c:pt idx="14">
                  <c:v>Mar. 21</c:v>
                </c:pt>
                <c:pt idx="15">
                  <c:v>Mar. 28</c:v>
                </c:pt>
                <c:pt idx="16">
                  <c:v>Apr. 4</c:v>
                </c:pt>
                <c:pt idx="17">
                  <c:v>Apr. 11</c:v>
                </c:pt>
                <c:pt idx="18">
                  <c:v>Apr. 18</c:v>
                </c:pt>
                <c:pt idx="19">
                  <c:v>Apr. 25</c:v>
                </c:pt>
                <c:pt idx="20">
                  <c:v>May. 2</c:v>
                </c:pt>
                <c:pt idx="21">
                  <c:v>May. 9</c:v>
                </c:pt>
                <c:pt idx="22">
                  <c:v>May. 16</c:v>
                </c:pt>
                <c:pt idx="23">
                  <c:v>May. 23</c:v>
                </c:pt>
                <c:pt idx="24">
                  <c:v>May. 30</c:v>
                </c:pt>
                <c:pt idx="25">
                  <c:v>Jun. 6</c:v>
                </c:pt>
                <c:pt idx="26">
                  <c:v>Jun. 13</c:v>
                </c:pt>
                <c:pt idx="27">
                  <c:v>Jun. 20</c:v>
                </c:pt>
                <c:pt idx="28">
                  <c:v>Jun. 27</c:v>
                </c:pt>
                <c:pt idx="29">
                  <c:v>Jul. 4</c:v>
                </c:pt>
                <c:pt idx="30">
                  <c:v>Jul. 11</c:v>
                </c:pt>
                <c:pt idx="31">
                  <c:v>Jul. 18</c:v>
                </c:pt>
                <c:pt idx="32">
                  <c:v>Jul. 25</c:v>
                </c:pt>
                <c:pt idx="33">
                  <c:v>Aug. 1</c:v>
                </c:pt>
                <c:pt idx="34">
                  <c:v>Aug. 8</c:v>
                </c:pt>
                <c:pt idx="35">
                  <c:v>Aug. 15</c:v>
                </c:pt>
                <c:pt idx="36">
                  <c:v>Aug. 22</c:v>
                </c:pt>
                <c:pt idx="37">
                  <c:v>Aug. 29</c:v>
                </c:pt>
                <c:pt idx="38">
                  <c:v>Sept. 5</c:v>
                </c:pt>
                <c:pt idx="39">
                  <c:v>Sept. 12</c:v>
                </c:pt>
                <c:pt idx="40">
                  <c:v>Sept. 19</c:v>
                </c:pt>
                <c:pt idx="41">
                  <c:v>Sept. 26</c:v>
                </c:pt>
              </c:strCache>
            </c:strRef>
          </c:cat>
          <c:val>
            <c:numRef>
              <c:f>[2]Sheet1!$D$2:$D$43</c:f>
              <c:numCache>
                <c:formatCode>General</c:formatCode>
                <c:ptCount val="42"/>
                <c:pt idx="12">
                  <c:v>107.14</c:v>
                </c:pt>
                <c:pt idx="13">
                  <c:v>106.24</c:v>
                </c:pt>
                <c:pt idx="14">
                  <c:v>174.98</c:v>
                </c:pt>
                <c:pt idx="15">
                  <c:v>86.48</c:v>
                </c:pt>
                <c:pt idx="16">
                  <c:v>79.14</c:v>
                </c:pt>
                <c:pt idx="17">
                  <c:v>79.38</c:v>
                </c:pt>
                <c:pt idx="18">
                  <c:v>92.14</c:v>
                </c:pt>
                <c:pt idx="19">
                  <c:v>63.47</c:v>
                </c:pt>
                <c:pt idx="20">
                  <c:v>121.69</c:v>
                </c:pt>
                <c:pt idx="21">
                  <c:v>79.959999999999994</c:v>
                </c:pt>
                <c:pt idx="22">
                  <c:v>18.66</c:v>
                </c:pt>
                <c:pt idx="23">
                  <c:v>44.6</c:v>
                </c:pt>
                <c:pt idx="24">
                  <c:v>37.840000000000003</c:v>
                </c:pt>
                <c:pt idx="25">
                  <c:v>182.08</c:v>
                </c:pt>
                <c:pt idx="26">
                  <c:v>240.96</c:v>
                </c:pt>
                <c:pt idx="27">
                  <c:v>157.97</c:v>
                </c:pt>
                <c:pt idx="28">
                  <c:v>110.51</c:v>
                </c:pt>
                <c:pt idx="29">
                  <c:v>79.2</c:v>
                </c:pt>
                <c:pt idx="30">
                  <c:v>220</c:v>
                </c:pt>
                <c:pt idx="31">
                  <c:v>64.91</c:v>
                </c:pt>
                <c:pt idx="32">
                  <c:v>74.709999999999994</c:v>
                </c:pt>
                <c:pt idx="33">
                  <c:v>48.61</c:v>
                </c:pt>
                <c:pt idx="34">
                  <c:v>56.55</c:v>
                </c:pt>
                <c:pt idx="35">
                  <c:v>36.47</c:v>
                </c:pt>
                <c:pt idx="36">
                  <c:v>48.69</c:v>
                </c:pt>
                <c:pt idx="37">
                  <c:v>53.48</c:v>
                </c:pt>
                <c:pt idx="38">
                  <c:v>71.09</c:v>
                </c:pt>
                <c:pt idx="39">
                  <c:v>76.69</c:v>
                </c:pt>
                <c:pt idx="40">
                  <c:v>63.31</c:v>
                </c:pt>
                <c:pt idx="41">
                  <c:v>51.71</c:v>
                </c:pt>
              </c:numCache>
            </c:numRef>
          </c:val>
          <c:smooth val="0"/>
          <c:extLst>
            <c:ext xmlns:c16="http://schemas.microsoft.com/office/drawing/2014/chart" uri="{C3380CC4-5D6E-409C-BE32-E72D297353CC}">
              <c16:uniqueId val="{00000003-EB14-44C5-9EFF-DD6237773876}"/>
            </c:ext>
          </c:extLst>
        </c:ser>
        <c:ser>
          <c:idx val="3"/>
          <c:order val="3"/>
          <c:tx>
            <c:strRef>
              <c:f>[2]Sheet1!$E$1</c:f>
              <c:strCache>
                <c:ptCount val="1"/>
                <c:pt idx="0">
                  <c:v>Audience</c:v>
                </c:pt>
              </c:strCache>
            </c:strRef>
          </c:tx>
          <c:marker>
            <c:symbol val="none"/>
          </c:marker>
          <c:cat>
            <c:strRef>
              <c:f>[2]Sheet1!$A$2:$A$43</c:f>
              <c:strCache>
                <c:ptCount val="42"/>
                <c:pt idx="0">
                  <c:v>Dec. 14</c:v>
                </c:pt>
                <c:pt idx="1">
                  <c:v>Dec. 21</c:v>
                </c:pt>
                <c:pt idx="2">
                  <c:v>Dec. 28</c:v>
                </c:pt>
                <c:pt idx="3">
                  <c:v>Jan. 4</c:v>
                </c:pt>
                <c:pt idx="4">
                  <c:v>Jan. 11</c:v>
                </c:pt>
                <c:pt idx="5">
                  <c:v>Jan. 18</c:v>
                </c:pt>
                <c:pt idx="6">
                  <c:v>Jan. 25</c:v>
                </c:pt>
                <c:pt idx="7">
                  <c:v>Feb. 1</c:v>
                </c:pt>
                <c:pt idx="8">
                  <c:v>Feb. 8</c:v>
                </c:pt>
                <c:pt idx="9">
                  <c:v>Feb. 15</c:v>
                </c:pt>
                <c:pt idx="10">
                  <c:v>Feb. 22</c:v>
                </c:pt>
                <c:pt idx="11">
                  <c:v>Feb. 29</c:v>
                </c:pt>
                <c:pt idx="12">
                  <c:v>Mar. 7</c:v>
                </c:pt>
                <c:pt idx="13">
                  <c:v>Mar. 14</c:v>
                </c:pt>
                <c:pt idx="14">
                  <c:v>Mar. 21</c:v>
                </c:pt>
                <c:pt idx="15">
                  <c:v>Mar. 28</c:v>
                </c:pt>
                <c:pt idx="16">
                  <c:v>Apr. 4</c:v>
                </c:pt>
                <c:pt idx="17">
                  <c:v>Apr. 11</c:v>
                </c:pt>
                <c:pt idx="18">
                  <c:v>Apr. 18</c:v>
                </c:pt>
                <c:pt idx="19">
                  <c:v>Apr. 25</c:v>
                </c:pt>
                <c:pt idx="20">
                  <c:v>May. 2</c:v>
                </c:pt>
                <c:pt idx="21">
                  <c:v>May. 9</c:v>
                </c:pt>
                <c:pt idx="22">
                  <c:v>May. 16</c:v>
                </c:pt>
                <c:pt idx="23">
                  <c:v>May. 23</c:v>
                </c:pt>
                <c:pt idx="24">
                  <c:v>May. 30</c:v>
                </c:pt>
                <c:pt idx="25">
                  <c:v>Jun. 6</c:v>
                </c:pt>
                <c:pt idx="26">
                  <c:v>Jun. 13</c:v>
                </c:pt>
                <c:pt idx="27">
                  <c:v>Jun. 20</c:v>
                </c:pt>
                <c:pt idx="28">
                  <c:v>Jun. 27</c:v>
                </c:pt>
                <c:pt idx="29">
                  <c:v>Jul. 4</c:v>
                </c:pt>
                <c:pt idx="30">
                  <c:v>Jul. 11</c:v>
                </c:pt>
                <c:pt idx="31">
                  <c:v>Jul. 18</c:v>
                </c:pt>
                <c:pt idx="32">
                  <c:v>Jul. 25</c:v>
                </c:pt>
                <c:pt idx="33">
                  <c:v>Aug. 1</c:v>
                </c:pt>
                <c:pt idx="34">
                  <c:v>Aug. 8</c:v>
                </c:pt>
                <c:pt idx="35">
                  <c:v>Aug. 15</c:v>
                </c:pt>
                <c:pt idx="36">
                  <c:v>Aug. 22</c:v>
                </c:pt>
                <c:pt idx="37">
                  <c:v>Aug. 29</c:v>
                </c:pt>
                <c:pt idx="38">
                  <c:v>Sept. 5</c:v>
                </c:pt>
                <c:pt idx="39">
                  <c:v>Sept. 12</c:v>
                </c:pt>
                <c:pt idx="40">
                  <c:v>Sept. 19</c:v>
                </c:pt>
                <c:pt idx="41">
                  <c:v>Sept. 26</c:v>
                </c:pt>
              </c:strCache>
            </c:strRef>
          </c:cat>
          <c:val>
            <c:numRef>
              <c:f>[2]Sheet1!$E$2:$E$43</c:f>
              <c:numCache>
                <c:formatCode>General</c:formatCode>
                <c:ptCount val="42"/>
                <c:pt idx="2">
                  <c:v>27.3</c:v>
                </c:pt>
                <c:pt idx="3">
                  <c:v>23.18</c:v>
                </c:pt>
                <c:pt idx="4">
                  <c:v>13.17</c:v>
                </c:pt>
                <c:pt idx="5">
                  <c:v>16.63</c:v>
                </c:pt>
                <c:pt idx="6">
                  <c:v>28.7</c:v>
                </c:pt>
                <c:pt idx="7">
                  <c:v>74.569999999999993</c:v>
                </c:pt>
                <c:pt idx="8">
                  <c:v>6.87</c:v>
                </c:pt>
              </c:numCache>
            </c:numRef>
          </c:val>
          <c:smooth val="0"/>
          <c:extLst>
            <c:ext xmlns:c16="http://schemas.microsoft.com/office/drawing/2014/chart" uri="{C3380CC4-5D6E-409C-BE32-E72D297353CC}">
              <c16:uniqueId val="{00000004-EB14-44C5-9EFF-DD6237773876}"/>
            </c:ext>
          </c:extLst>
        </c:ser>
        <c:dLbls>
          <c:showLegendKey val="0"/>
          <c:showVal val="0"/>
          <c:showCatName val="0"/>
          <c:showSerName val="0"/>
          <c:showPercent val="0"/>
          <c:showBubbleSize val="0"/>
        </c:dLbls>
        <c:marker val="1"/>
        <c:smooth val="0"/>
        <c:axId val="-1353683952"/>
        <c:axId val="-1356125376"/>
      </c:lineChart>
      <c:catAx>
        <c:axId val="-1738251392"/>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351324720"/>
        <c:crosses val="autoZero"/>
        <c:auto val="1"/>
        <c:lblAlgn val="ctr"/>
        <c:lblOffset val="100"/>
        <c:noMultiLvlLbl val="0"/>
      </c:catAx>
      <c:valAx>
        <c:axId val="-1351324720"/>
        <c:scaling>
          <c:orientation val="minMax"/>
          <c:max val="20"/>
          <c:min val="0"/>
        </c:scaling>
        <c:delete val="0"/>
        <c:axPos val="l"/>
        <c:majorGridlines/>
        <c:numFmt formatCode="General" sourceLinked="1"/>
        <c:majorTickMark val="out"/>
        <c:minorTickMark val="none"/>
        <c:tickLblPos val="nextTo"/>
        <c:crossAx val="-1738251392"/>
        <c:crosses val="autoZero"/>
        <c:crossBetween val="between"/>
      </c:valAx>
      <c:valAx>
        <c:axId val="-1356125376"/>
        <c:scaling>
          <c:orientation val="minMax"/>
          <c:max val="260"/>
          <c:min val="0"/>
        </c:scaling>
        <c:delete val="0"/>
        <c:axPos val="r"/>
        <c:numFmt formatCode="General" sourceLinked="1"/>
        <c:majorTickMark val="out"/>
        <c:minorTickMark val="none"/>
        <c:tickLblPos val="nextTo"/>
        <c:crossAx val="-1353683952"/>
        <c:crosses val="max"/>
        <c:crossBetween val="between"/>
      </c:valAx>
      <c:catAx>
        <c:axId val="-1353683952"/>
        <c:scaling>
          <c:orientation val="minMax"/>
        </c:scaling>
        <c:delete val="1"/>
        <c:axPos val="b"/>
        <c:numFmt formatCode="General" sourceLinked="1"/>
        <c:majorTickMark val="out"/>
        <c:minorTickMark val="none"/>
        <c:tickLblPos val="nextTo"/>
        <c:crossAx val="-1356125376"/>
        <c:crosses val="autoZero"/>
        <c:auto val="1"/>
        <c:lblAlgn val="ctr"/>
        <c:lblOffset val="100"/>
        <c:noMultiLvlLbl val="0"/>
      </c:catAx>
      <c:spPr>
        <a:solidFill>
          <a:schemeClr val="bg1">
            <a:lumMod val="75000"/>
          </a:schemeClr>
        </a:solidFill>
      </c:spPr>
    </c:plotArea>
    <c:legend>
      <c:legendPos val="b"/>
      <c:legendEntry>
        <c:idx val="2"/>
        <c:delete val="1"/>
      </c:legendEntry>
      <c:overlay val="0"/>
    </c:legend>
    <c:plotVisOnly val="1"/>
    <c:dispBlanksAs val="gap"/>
    <c:showDLblsOverMax val="0"/>
  </c:chart>
  <c:spPr>
    <a:solidFill>
      <a:schemeClr val="bg1">
        <a:lumMod val="75000"/>
      </a:schemeClr>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r>
              <a:rPr lang="en-US"/>
              <a:t>CPA Over Time</a:t>
            </a:r>
          </a:p>
        </c:rich>
      </c:tx>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2"/>
            </a:solidFill>
            <a:round/>
          </a:ln>
          <a:effectLst/>
        </c:spPr>
        <c:marker>
          <c:symbol val="none"/>
        </c:marker>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8.7680054609243399E-2"/>
          <c:y val="9.5976899232749699E-2"/>
          <c:w val="0.72536498705195196"/>
          <c:h val="0.597272647037002"/>
        </c:manualLayout>
      </c:layout>
      <c:lineChart>
        <c:grouping val="standard"/>
        <c:varyColors val="0"/>
        <c:ser>
          <c:idx val="0"/>
          <c:order val="0"/>
          <c:tx>
            <c:strRef>
              <c:f>'CPA Over Time'!$E$14</c:f>
              <c:strCache>
                <c:ptCount val="1"/>
                <c:pt idx="0">
                  <c:v>Total Spend</c:v>
                </c:pt>
              </c:strCache>
            </c:strRef>
          </c:tx>
          <c:spPr>
            <a:ln w="28575" cap="rnd">
              <a:solidFill>
                <a:schemeClr val="accent1"/>
              </a:solidFill>
              <a:round/>
            </a:ln>
            <a:effectLst/>
          </c:spPr>
          <c:marker>
            <c:symbol val="none"/>
          </c:marker>
          <c:cat>
            <c:strRef>
              <c:f>'CPA Over Time'!$D$15:$D$57</c:f>
              <c:strCache>
                <c:ptCount val="43"/>
                <c:pt idx="0">
                  <c:v>11/7/16-11/13/16</c:v>
                </c:pt>
                <c:pt idx="1">
                  <c:v>11/14/16-11/20/16</c:v>
                </c:pt>
                <c:pt idx="2">
                  <c:v>11/21/16-11/27/16</c:v>
                </c:pt>
                <c:pt idx="3">
                  <c:v>11/28/16-12/4/16</c:v>
                </c:pt>
                <c:pt idx="4">
                  <c:v>12/5/16-12/11/16</c:v>
                </c:pt>
                <c:pt idx="5">
                  <c:v>12/12/16-12/18/16</c:v>
                </c:pt>
                <c:pt idx="6">
                  <c:v>12/19/16-12/25/16</c:v>
                </c:pt>
                <c:pt idx="7">
                  <c:v>12/26/16-1/1/17</c:v>
                </c:pt>
                <c:pt idx="8">
                  <c:v>1/2/17-1/8/17</c:v>
                </c:pt>
                <c:pt idx="9">
                  <c:v>1/9/17-1/15/17</c:v>
                </c:pt>
                <c:pt idx="10">
                  <c:v>1/16/17-1/22/17</c:v>
                </c:pt>
                <c:pt idx="11">
                  <c:v>1/23/17-1/29/17</c:v>
                </c:pt>
                <c:pt idx="12">
                  <c:v>1/30/17-2/5/17</c:v>
                </c:pt>
                <c:pt idx="13">
                  <c:v>2/6/17-2/12/17</c:v>
                </c:pt>
                <c:pt idx="14">
                  <c:v>2/13/17-2/19/17</c:v>
                </c:pt>
                <c:pt idx="15">
                  <c:v>2/20/17-2/26/17</c:v>
                </c:pt>
                <c:pt idx="16">
                  <c:v>2/27/17-3/5/17</c:v>
                </c:pt>
                <c:pt idx="17">
                  <c:v>3/6/17-3/12/17</c:v>
                </c:pt>
                <c:pt idx="18">
                  <c:v>3/13/17-3/19/17</c:v>
                </c:pt>
                <c:pt idx="19">
                  <c:v>3/20/17-3/26/17</c:v>
                </c:pt>
                <c:pt idx="20">
                  <c:v>3/27/17-4/2/17</c:v>
                </c:pt>
                <c:pt idx="21">
                  <c:v>4/3/17-4/9/17</c:v>
                </c:pt>
                <c:pt idx="22">
                  <c:v>4/10/17-4/16/17</c:v>
                </c:pt>
                <c:pt idx="23">
                  <c:v>4/17/17-4/23/17</c:v>
                </c:pt>
                <c:pt idx="24">
                  <c:v>4/24/17-4/30/17</c:v>
                </c:pt>
                <c:pt idx="25">
                  <c:v>5/1/17-5/7/17</c:v>
                </c:pt>
                <c:pt idx="26">
                  <c:v>5/8/2017-5/14/17</c:v>
                </c:pt>
                <c:pt idx="27">
                  <c:v>5/15/17-5/21/17</c:v>
                </c:pt>
                <c:pt idx="28">
                  <c:v>5/22/17-5/28/17</c:v>
                </c:pt>
                <c:pt idx="29">
                  <c:v>5/29/17-6/4/17</c:v>
                </c:pt>
                <c:pt idx="30">
                  <c:v>6/5/17-6/11/17</c:v>
                </c:pt>
                <c:pt idx="31">
                  <c:v>6/12/17-6/18/17</c:v>
                </c:pt>
                <c:pt idx="32">
                  <c:v>6/19/17-6/25/17</c:v>
                </c:pt>
                <c:pt idx="33">
                  <c:v>6/26/17-7/2/17</c:v>
                </c:pt>
                <c:pt idx="34">
                  <c:v>7/3/17-7/9/17</c:v>
                </c:pt>
                <c:pt idx="35">
                  <c:v>7/10/17-7/16/17</c:v>
                </c:pt>
                <c:pt idx="36">
                  <c:v>7/17/17-7/23/17</c:v>
                </c:pt>
                <c:pt idx="37">
                  <c:v>7/24/17-7/30/17</c:v>
                </c:pt>
                <c:pt idx="38">
                  <c:v>7/31/17-8/6/17</c:v>
                </c:pt>
                <c:pt idx="39">
                  <c:v>8/7/17-8/13/17</c:v>
                </c:pt>
                <c:pt idx="40">
                  <c:v>8/14/17-8/20/17</c:v>
                </c:pt>
                <c:pt idx="41">
                  <c:v>8/21/17-8/27/17</c:v>
                </c:pt>
                <c:pt idx="42">
                  <c:v>8/28/17-9/3/17</c:v>
                </c:pt>
              </c:strCache>
            </c:strRef>
          </c:cat>
          <c:val>
            <c:numRef>
              <c:f>'CPA Over Time'!$E$15:$E$57</c:f>
              <c:numCache>
                <c:formatCode>"$"#,##0.00</c:formatCode>
                <c:ptCount val="43"/>
                <c:pt idx="0">
                  <c:v>1794.66</c:v>
                </c:pt>
                <c:pt idx="1">
                  <c:v>15486.71</c:v>
                </c:pt>
                <c:pt idx="2">
                  <c:v>15332.62</c:v>
                </c:pt>
                <c:pt idx="3">
                  <c:v>8658.11</c:v>
                </c:pt>
                <c:pt idx="4" formatCode="&quot;$&quot;#,##0.00_);[Red]\(&quot;$&quot;#,##0.00\)">
                  <c:v>16244.42</c:v>
                </c:pt>
                <c:pt idx="5" formatCode="&quot;$&quot;#,##0.00_);[Red]\(&quot;$&quot;#,##0.00\)">
                  <c:v>15495.7</c:v>
                </c:pt>
                <c:pt idx="6" formatCode="&quot;$&quot;#,##0.00_);[Red]\(&quot;$&quot;#,##0.00\)">
                  <c:v>14548.59</c:v>
                </c:pt>
                <c:pt idx="7" formatCode="&quot;$&quot;#,##0.00_);[Red]\(&quot;$&quot;#,##0.00\)">
                  <c:v>13950.58</c:v>
                </c:pt>
                <c:pt idx="8" formatCode="&quot;$&quot;#,##0.00_);[Red]\(&quot;$&quot;#,##0.00\)">
                  <c:v>15177.94</c:v>
                </c:pt>
                <c:pt idx="9" formatCode="&quot;$&quot;#,##0.00_);[Red]\(&quot;$&quot;#,##0.00\)">
                  <c:v>14638.68</c:v>
                </c:pt>
                <c:pt idx="10" formatCode="&quot;$&quot;#,##0.00_);[Red]\(&quot;$&quot;#,##0.00\)">
                  <c:v>14563.34</c:v>
                </c:pt>
                <c:pt idx="11" formatCode="&quot;$&quot;#,##0.00_);[Red]\(&quot;$&quot;#,##0.00\)">
                  <c:v>14180.29</c:v>
                </c:pt>
                <c:pt idx="12" formatCode="&quot;$&quot;#,##0.00_);[Red]\(&quot;$&quot;#,##0.00\)">
                  <c:v>14832.63</c:v>
                </c:pt>
                <c:pt idx="13" formatCode="&quot;$&quot;#,##0.00_);[Red]\(&quot;$&quot;#,##0.00\)">
                  <c:v>15227.38</c:v>
                </c:pt>
                <c:pt idx="14" formatCode="&quot;$&quot;#,##0.00_);[Red]\(&quot;$&quot;#,##0.00\)">
                  <c:v>15581.35</c:v>
                </c:pt>
                <c:pt idx="15" formatCode="&quot;$&quot;#,##0.00_);[Red]\(&quot;$&quot;#,##0.00\)">
                  <c:v>15305.01</c:v>
                </c:pt>
                <c:pt idx="16" formatCode="&quot;$&quot;#,##0.00_);[Red]\(&quot;$&quot;#,##0.00\)">
                  <c:v>14904.69</c:v>
                </c:pt>
                <c:pt idx="17" formatCode="&quot;$&quot;#,##0.00_);[Red]\(&quot;$&quot;#,##0.00\)">
                  <c:v>15354.87</c:v>
                </c:pt>
                <c:pt idx="18" formatCode="&quot;$&quot;#,##0.00_);[Red]\(&quot;$&quot;#,##0.00\)">
                  <c:v>15380.61</c:v>
                </c:pt>
                <c:pt idx="19" formatCode="&quot;$&quot;#,##0.00_);[Red]\(&quot;$&quot;#,##0.00\)">
                  <c:v>15362.66</c:v>
                </c:pt>
                <c:pt idx="20" formatCode="&quot;$&quot;#,##0.00_);[Red]\(&quot;$&quot;#,##0.00\)">
                  <c:v>10044.69</c:v>
                </c:pt>
                <c:pt idx="21" formatCode="&quot;$&quot;#,##0.00_);[Red]\(&quot;$&quot;#,##0.00\)">
                  <c:v>15167.179999999998</c:v>
                </c:pt>
                <c:pt idx="22" formatCode="&quot;$&quot;#,##0.00_);[Red]\(&quot;$&quot;#,##0.00\)">
                  <c:v>19800.3</c:v>
                </c:pt>
                <c:pt idx="23" formatCode="&quot;$&quot;#,##0.00_);[Red]\(&quot;$&quot;#,##0.00\)">
                  <c:v>21707.370000000003</c:v>
                </c:pt>
                <c:pt idx="24" formatCode="&quot;$&quot;#,##0.00_);[Red]\(&quot;$&quot;#,##0.00\)">
                  <c:v>21030.21</c:v>
                </c:pt>
                <c:pt idx="25" formatCode="&quot;$&quot;#,##0.00_);[Red]\(&quot;$&quot;#,##0.00\)">
                  <c:v>20638.5</c:v>
                </c:pt>
                <c:pt idx="26" formatCode="&quot;$&quot;#,##0.00_);[Red]\(&quot;$&quot;#,##0.00\)">
                  <c:v>19719.419999999998</c:v>
                </c:pt>
                <c:pt idx="27" formatCode="&quot;$&quot;#,##0.00_);[Red]\(&quot;$&quot;#,##0.00\)">
                  <c:v>15838.23</c:v>
                </c:pt>
                <c:pt idx="28" formatCode="&quot;$&quot;#,##0.00_);[Red]\(&quot;$&quot;#,##0.00\)">
                  <c:v>20130.400000000001</c:v>
                </c:pt>
                <c:pt idx="29" formatCode="&quot;$&quot;#,##0.00_);[Red]\(&quot;$&quot;#,##0.00\)">
                  <c:v>19643.439999999999</c:v>
                </c:pt>
                <c:pt idx="30" formatCode="&quot;$&quot;#,##0.00_);[Red]\(&quot;$&quot;#,##0.00\)">
                  <c:v>22129.200000000001</c:v>
                </c:pt>
                <c:pt idx="31" formatCode="&quot;$&quot;#,##0.00_);[Red]\(&quot;$&quot;#,##0.00\)">
                  <c:v>19652.41</c:v>
                </c:pt>
                <c:pt idx="32" formatCode="&quot;$&quot;#,##0.00_);[Red]\(&quot;$&quot;#,##0.00\)">
                  <c:v>30005.89</c:v>
                </c:pt>
                <c:pt idx="33" formatCode="&quot;$&quot;#,##0.00_);[Red]\(&quot;$&quot;#,##0.00\)">
                  <c:v>30825.489999999998</c:v>
                </c:pt>
                <c:pt idx="34" formatCode="&quot;$&quot;#,##0.00_);[Red]\(&quot;$&quot;#,##0.00\)">
                  <c:v>30611.73</c:v>
                </c:pt>
                <c:pt idx="35" formatCode="&quot;$&quot;#,##0.00_);[Red]\(&quot;$&quot;#,##0.00\)">
                  <c:v>33233.67</c:v>
                </c:pt>
                <c:pt idx="36" formatCode="&quot;$&quot;#,##0.00_);[Red]\(&quot;$&quot;#,##0.00\)">
                  <c:v>33979.229999999996</c:v>
                </c:pt>
                <c:pt idx="37" formatCode="&quot;$&quot;#,##0.00_);[Red]\(&quot;$&quot;#,##0.00\)">
                  <c:v>34135.21</c:v>
                </c:pt>
                <c:pt idx="38" formatCode="&quot;$&quot;#,##0.00_);[Red]\(&quot;$&quot;#,##0.00\)">
                  <c:v>32913.33</c:v>
                </c:pt>
                <c:pt idx="39" formatCode="&quot;$&quot;#,##0.00_);[Red]\(&quot;$&quot;#,##0.00\)">
                  <c:v>33918.68</c:v>
                </c:pt>
                <c:pt idx="40" formatCode="&quot;$&quot;#,##0.00_);[Red]\(&quot;$&quot;#,##0.00\)">
                  <c:v>34095.64</c:v>
                </c:pt>
                <c:pt idx="41" formatCode="&quot;$&quot;#,##0.00_);[Red]\(&quot;$&quot;#,##0.00\)">
                  <c:v>33177.78</c:v>
                </c:pt>
                <c:pt idx="42" formatCode="&quot;$&quot;#,##0.00_);[Red]\(&quot;$&quot;#,##0.00\)">
                  <c:v>34829.049999999996</c:v>
                </c:pt>
              </c:numCache>
            </c:numRef>
          </c:val>
          <c:smooth val="0"/>
          <c:extLst>
            <c:ext xmlns:c16="http://schemas.microsoft.com/office/drawing/2014/chart" uri="{C3380CC4-5D6E-409C-BE32-E72D297353CC}">
              <c16:uniqueId val="{00000000-17B7-44EC-BB7B-AB43C6465409}"/>
            </c:ext>
          </c:extLst>
        </c:ser>
        <c:dLbls>
          <c:showLegendKey val="0"/>
          <c:showVal val="0"/>
          <c:showCatName val="0"/>
          <c:showSerName val="0"/>
          <c:showPercent val="0"/>
          <c:showBubbleSize val="0"/>
        </c:dLbls>
        <c:marker val="1"/>
        <c:smooth val="0"/>
        <c:axId val="-1702291600"/>
        <c:axId val="-1697611760"/>
      </c:lineChart>
      <c:lineChart>
        <c:grouping val="standard"/>
        <c:varyColors val="0"/>
        <c:ser>
          <c:idx val="1"/>
          <c:order val="1"/>
          <c:tx>
            <c:strRef>
              <c:f>'CPA Over Time'!$F$14</c:f>
              <c:strCache>
                <c:ptCount val="1"/>
                <c:pt idx="0">
                  <c:v>Applies</c:v>
                </c:pt>
              </c:strCache>
            </c:strRef>
          </c:tx>
          <c:spPr>
            <a:ln w="28575" cap="rnd">
              <a:solidFill>
                <a:schemeClr val="accent2"/>
              </a:solidFill>
              <a:round/>
            </a:ln>
            <a:effectLst/>
          </c:spPr>
          <c:marker>
            <c:symbol val="none"/>
          </c:marker>
          <c:cat>
            <c:strRef>
              <c:f>'CPA Over Time'!$D$15:$D$57</c:f>
              <c:strCache>
                <c:ptCount val="43"/>
                <c:pt idx="0">
                  <c:v>11/7/16-11/13/16</c:v>
                </c:pt>
                <c:pt idx="1">
                  <c:v>11/14/16-11/20/16</c:v>
                </c:pt>
                <c:pt idx="2">
                  <c:v>11/21/16-11/27/16</c:v>
                </c:pt>
                <c:pt idx="3">
                  <c:v>11/28/16-12/4/16</c:v>
                </c:pt>
                <c:pt idx="4">
                  <c:v>12/5/16-12/11/16</c:v>
                </c:pt>
                <c:pt idx="5">
                  <c:v>12/12/16-12/18/16</c:v>
                </c:pt>
                <c:pt idx="6">
                  <c:v>12/19/16-12/25/16</c:v>
                </c:pt>
                <c:pt idx="7">
                  <c:v>12/26/16-1/1/17</c:v>
                </c:pt>
                <c:pt idx="8">
                  <c:v>1/2/17-1/8/17</c:v>
                </c:pt>
                <c:pt idx="9">
                  <c:v>1/9/17-1/15/17</c:v>
                </c:pt>
                <c:pt idx="10">
                  <c:v>1/16/17-1/22/17</c:v>
                </c:pt>
                <c:pt idx="11">
                  <c:v>1/23/17-1/29/17</c:v>
                </c:pt>
                <c:pt idx="12">
                  <c:v>1/30/17-2/5/17</c:v>
                </c:pt>
                <c:pt idx="13">
                  <c:v>2/6/17-2/12/17</c:v>
                </c:pt>
                <c:pt idx="14">
                  <c:v>2/13/17-2/19/17</c:v>
                </c:pt>
                <c:pt idx="15">
                  <c:v>2/20/17-2/26/17</c:v>
                </c:pt>
                <c:pt idx="16">
                  <c:v>2/27/17-3/5/17</c:v>
                </c:pt>
                <c:pt idx="17">
                  <c:v>3/6/17-3/12/17</c:v>
                </c:pt>
                <c:pt idx="18">
                  <c:v>3/13/17-3/19/17</c:v>
                </c:pt>
                <c:pt idx="19">
                  <c:v>3/20/17-3/26/17</c:v>
                </c:pt>
                <c:pt idx="20">
                  <c:v>3/27/17-4/2/17</c:v>
                </c:pt>
                <c:pt idx="21">
                  <c:v>4/3/17-4/9/17</c:v>
                </c:pt>
                <c:pt idx="22">
                  <c:v>4/10/17-4/16/17</c:v>
                </c:pt>
                <c:pt idx="23">
                  <c:v>4/17/17-4/23/17</c:v>
                </c:pt>
                <c:pt idx="24">
                  <c:v>4/24/17-4/30/17</c:v>
                </c:pt>
                <c:pt idx="25">
                  <c:v>5/1/17-5/7/17</c:v>
                </c:pt>
                <c:pt idx="26">
                  <c:v>5/8/2017-5/14/17</c:v>
                </c:pt>
                <c:pt idx="27">
                  <c:v>5/15/17-5/21/17</c:v>
                </c:pt>
                <c:pt idx="28">
                  <c:v>5/22/17-5/28/17</c:v>
                </c:pt>
                <c:pt idx="29">
                  <c:v>5/29/17-6/4/17</c:v>
                </c:pt>
                <c:pt idx="30">
                  <c:v>6/5/17-6/11/17</c:v>
                </c:pt>
                <c:pt idx="31">
                  <c:v>6/12/17-6/18/17</c:v>
                </c:pt>
                <c:pt idx="32">
                  <c:v>6/19/17-6/25/17</c:v>
                </c:pt>
                <c:pt idx="33">
                  <c:v>6/26/17-7/2/17</c:v>
                </c:pt>
                <c:pt idx="34">
                  <c:v>7/3/17-7/9/17</c:v>
                </c:pt>
                <c:pt idx="35">
                  <c:v>7/10/17-7/16/17</c:v>
                </c:pt>
                <c:pt idx="36">
                  <c:v>7/17/17-7/23/17</c:v>
                </c:pt>
                <c:pt idx="37">
                  <c:v>7/24/17-7/30/17</c:v>
                </c:pt>
                <c:pt idx="38">
                  <c:v>7/31/17-8/6/17</c:v>
                </c:pt>
                <c:pt idx="39">
                  <c:v>8/7/17-8/13/17</c:v>
                </c:pt>
                <c:pt idx="40">
                  <c:v>8/14/17-8/20/17</c:v>
                </c:pt>
                <c:pt idx="41">
                  <c:v>8/21/17-8/27/17</c:v>
                </c:pt>
                <c:pt idx="42">
                  <c:v>8/28/17-9/3/17</c:v>
                </c:pt>
              </c:strCache>
            </c:strRef>
          </c:cat>
          <c:val>
            <c:numRef>
              <c:f>'CPA Over Time'!$F$15:$F$57</c:f>
            </c:numRef>
          </c:val>
          <c:smooth val="0"/>
          <c:extLst>
            <c:ext xmlns:c16="http://schemas.microsoft.com/office/drawing/2014/chart" uri="{C3380CC4-5D6E-409C-BE32-E72D297353CC}">
              <c16:uniqueId val="{00000001-17B7-44EC-BB7B-AB43C6465409}"/>
            </c:ext>
          </c:extLst>
        </c:ser>
        <c:ser>
          <c:idx val="2"/>
          <c:order val="2"/>
          <c:tx>
            <c:strRef>
              <c:f>'CPA Over Time'!$G$14</c:f>
              <c:strCache>
                <c:ptCount val="1"/>
                <c:pt idx="0">
                  <c:v>CPA </c:v>
                </c:pt>
              </c:strCache>
            </c:strRef>
          </c:tx>
          <c:spPr>
            <a:ln w="28575" cap="rnd">
              <a:solidFill>
                <a:schemeClr val="accent3"/>
              </a:solidFill>
              <a:round/>
            </a:ln>
            <a:effectLst/>
          </c:spPr>
          <c:marker>
            <c:symbol val="none"/>
          </c:marker>
          <c:cat>
            <c:strRef>
              <c:f>'CPA Over Time'!$D$15:$D$57</c:f>
              <c:strCache>
                <c:ptCount val="43"/>
                <c:pt idx="0">
                  <c:v>11/7/16-11/13/16</c:v>
                </c:pt>
                <c:pt idx="1">
                  <c:v>11/14/16-11/20/16</c:v>
                </c:pt>
                <c:pt idx="2">
                  <c:v>11/21/16-11/27/16</c:v>
                </c:pt>
                <c:pt idx="3">
                  <c:v>11/28/16-12/4/16</c:v>
                </c:pt>
                <c:pt idx="4">
                  <c:v>12/5/16-12/11/16</c:v>
                </c:pt>
                <c:pt idx="5">
                  <c:v>12/12/16-12/18/16</c:v>
                </c:pt>
                <c:pt idx="6">
                  <c:v>12/19/16-12/25/16</c:v>
                </c:pt>
                <c:pt idx="7">
                  <c:v>12/26/16-1/1/17</c:v>
                </c:pt>
                <c:pt idx="8">
                  <c:v>1/2/17-1/8/17</c:v>
                </c:pt>
                <c:pt idx="9">
                  <c:v>1/9/17-1/15/17</c:v>
                </c:pt>
                <c:pt idx="10">
                  <c:v>1/16/17-1/22/17</c:v>
                </c:pt>
                <c:pt idx="11">
                  <c:v>1/23/17-1/29/17</c:v>
                </c:pt>
                <c:pt idx="12">
                  <c:v>1/30/17-2/5/17</c:v>
                </c:pt>
                <c:pt idx="13">
                  <c:v>2/6/17-2/12/17</c:v>
                </c:pt>
                <c:pt idx="14">
                  <c:v>2/13/17-2/19/17</c:v>
                </c:pt>
                <c:pt idx="15">
                  <c:v>2/20/17-2/26/17</c:v>
                </c:pt>
                <c:pt idx="16">
                  <c:v>2/27/17-3/5/17</c:v>
                </c:pt>
                <c:pt idx="17">
                  <c:v>3/6/17-3/12/17</c:v>
                </c:pt>
                <c:pt idx="18">
                  <c:v>3/13/17-3/19/17</c:v>
                </c:pt>
                <c:pt idx="19">
                  <c:v>3/20/17-3/26/17</c:v>
                </c:pt>
                <c:pt idx="20">
                  <c:v>3/27/17-4/2/17</c:v>
                </c:pt>
                <c:pt idx="21">
                  <c:v>4/3/17-4/9/17</c:v>
                </c:pt>
                <c:pt idx="22">
                  <c:v>4/10/17-4/16/17</c:v>
                </c:pt>
                <c:pt idx="23">
                  <c:v>4/17/17-4/23/17</c:v>
                </c:pt>
                <c:pt idx="24">
                  <c:v>4/24/17-4/30/17</c:v>
                </c:pt>
                <c:pt idx="25">
                  <c:v>5/1/17-5/7/17</c:v>
                </c:pt>
                <c:pt idx="26">
                  <c:v>5/8/2017-5/14/17</c:v>
                </c:pt>
                <c:pt idx="27">
                  <c:v>5/15/17-5/21/17</c:v>
                </c:pt>
                <c:pt idx="28">
                  <c:v>5/22/17-5/28/17</c:v>
                </c:pt>
                <c:pt idx="29">
                  <c:v>5/29/17-6/4/17</c:v>
                </c:pt>
                <c:pt idx="30">
                  <c:v>6/5/17-6/11/17</c:v>
                </c:pt>
                <c:pt idx="31">
                  <c:v>6/12/17-6/18/17</c:v>
                </c:pt>
                <c:pt idx="32">
                  <c:v>6/19/17-6/25/17</c:v>
                </c:pt>
                <c:pt idx="33">
                  <c:v>6/26/17-7/2/17</c:v>
                </c:pt>
                <c:pt idx="34">
                  <c:v>7/3/17-7/9/17</c:v>
                </c:pt>
                <c:pt idx="35">
                  <c:v>7/10/17-7/16/17</c:v>
                </c:pt>
                <c:pt idx="36">
                  <c:v>7/17/17-7/23/17</c:v>
                </c:pt>
                <c:pt idx="37">
                  <c:v>7/24/17-7/30/17</c:v>
                </c:pt>
                <c:pt idx="38">
                  <c:v>7/31/17-8/6/17</c:v>
                </c:pt>
                <c:pt idx="39">
                  <c:v>8/7/17-8/13/17</c:v>
                </c:pt>
                <c:pt idx="40">
                  <c:v>8/14/17-8/20/17</c:v>
                </c:pt>
                <c:pt idx="41">
                  <c:v>8/21/17-8/27/17</c:v>
                </c:pt>
                <c:pt idx="42">
                  <c:v>8/28/17-9/3/17</c:v>
                </c:pt>
              </c:strCache>
            </c:strRef>
          </c:cat>
          <c:val>
            <c:numRef>
              <c:f>'CPA Over Time'!$G$15:$G$57</c:f>
              <c:numCache>
                <c:formatCode>"$"#,##0.00</c:formatCode>
                <c:ptCount val="43"/>
                <c:pt idx="0">
                  <c:v>2.2266253101736972</c:v>
                </c:pt>
                <c:pt idx="1">
                  <c:v>10.549529972752042</c:v>
                </c:pt>
                <c:pt idx="2">
                  <c:v>10.221746666666666</c:v>
                </c:pt>
                <c:pt idx="3">
                  <c:v>8.41</c:v>
                </c:pt>
                <c:pt idx="4" formatCode="&quot;$&quot;#,##0.00_);[Red]\(&quot;$&quot;#,##0.00\)">
                  <c:v>7.7761704164672096</c:v>
                </c:pt>
                <c:pt idx="5" formatCode="&quot;$&quot;#,##0.00_);[Red]\(&quot;$&quot;#,##0.00\)">
                  <c:v>7.5039709443099278</c:v>
                </c:pt>
                <c:pt idx="6" formatCode="&quot;$&quot;#,##0.00_);[Red]\(&quot;$&quot;#,##0.00\)">
                  <c:v>7.6330482686253935</c:v>
                </c:pt>
                <c:pt idx="7" formatCode="&quot;$&quot;#,##0.00_);[Red]\(&quot;$&quot;#,##0.00\)">
                  <c:v>6.3210602628001809</c:v>
                </c:pt>
                <c:pt idx="8" formatCode="&quot;$&quot;#,##0.00_);[Red]\(&quot;$&quot;#,##0.00\)">
                  <c:v>5.9873530571992113</c:v>
                </c:pt>
                <c:pt idx="9" formatCode="&quot;$&quot;#,##0.00_);[Red]\(&quot;$&quot;#,##0.00\)">
                  <c:v>5.7587254130605823</c:v>
                </c:pt>
                <c:pt idx="10" formatCode="&quot;$&quot;#,##0.00_);[Red]\(&quot;$&quot;#,##0.00\)">
                  <c:v>5.1117374517374516</c:v>
                </c:pt>
                <c:pt idx="11" formatCode="&quot;$&quot;#,##0.00_);[Red]\(&quot;$&quot;#,##0.00\)">
                  <c:v>4.7841734143049939</c:v>
                </c:pt>
                <c:pt idx="12" formatCode="&quot;$&quot;#,##0.00_);[Red]\(&quot;$&quot;#,##0.00\)">
                  <c:v>4.6526442910915931</c:v>
                </c:pt>
                <c:pt idx="13" formatCode="&quot;$&quot;#,##0.00_);[Red]\(&quot;$&quot;#,##0.00\)">
                  <c:v>4.5769101292455661</c:v>
                </c:pt>
                <c:pt idx="14" formatCode="&quot;$&quot;#,##0.00_);[Red]\(&quot;$&quot;#,##0.00\)">
                  <c:v>4.5163333333333338</c:v>
                </c:pt>
                <c:pt idx="15" formatCode="&quot;$&quot;#,##0.00_);[Red]\(&quot;$&quot;#,##0.00\)">
                  <c:v>4.2431411144995845</c:v>
                </c:pt>
                <c:pt idx="16" formatCode="&quot;$&quot;#,##0.00_);[Red]\(&quot;$&quot;#,##0.00\)">
                  <c:v>4.2451409854742241</c:v>
                </c:pt>
                <c:pt idx="17" formatCode="&quot;$&quot;#,##0.00_);[Red]\(&quot;$&quot;#,##0.00\)">
                  <c:v>4.1320963401507003</c:v>
                </c:pt>
                <c:pt idx="18" formatCode="&quot;$&quot;#,##0.00_);[Red]\(&quot;$&quot;#,##0.00\)">
                  <c:v>4.6397013574660635</c:v>
                </c:pt>
                <c:pt idx="19" formatCode="&quot;$&quot;#,##0.00_);[Red]\(&quot;$&quot;#,##0.00\)">
                  <c:v>4.7023752678298134</c:v>
                </c:pt>
                <c:pt idx="20" formatCode="&quot;$&quot;#,##0.00_);[Red]\(&quot;$&quot;#,##0.00\)">
                  <c:v>5.6209792949076665</c:v>
                </c:pt>
                <c:pt idx="21" formatCode="&quot;$&quot;#,##0.00_);[Red]\(&quot;$&quot;#,##0.00\)">
                  <c:v>5.3765260545905704</c:v>
                </c:pt>
                <c:pt idx="22" formatCode="&quot;$&quot;#,##0.00_);[Red]\(&quot;$&quot;#,##0.00\)">
                  <c:v>4.850636942675159</c:v>
                </c:pt>
                <c:pt idx="23" formatCode="&quot;$&quot;#,##0.00_);[Red]\(&quot;$&quot;#,##0.00\)">
                  <c:v>4.5139051777916412</c:v>
                </c:pt>
                <c:pt idx="24" formatCode="&quot;$&quot;#,##0.00_);[Red]\(&quot;$&quot;#,##0.00\)">
                  <c:v>4.1463347791798109</c:v>
                </c:pt>
                <c:pt idx="25" formatCode="&quot;$&quot;#,##0.00_);[Red]\(&quot;$&quot;#,##0.00\)">
                  <c:v>4.1063469956227614</c:v>
                </c:pt>
                <c:pt idx="26" formatCode="&quot;$&quot;#,##0.00_);[Red]\(&quot;$&quot;#,##0.00\)">
                  <c:v>4.1453479083455953</c:v>
                </c:pt>
                <c:pt idx="27" formatCode="&quot;$&quot;#,##0.00_);[Red]\(&quot;$&quot;#,##0.00\)">
                  <c:v>4.1635725552050475</c:v>
                </c:pt>
                <c:pt idx="28" formatCode="&quot;$&quot;#,##0.00_);[Red]\(&quot;$&quot;#,##0.00\)">
                  <c:v>4.1225476141716157</c:v>
                </c:pt>
                <c:pt idx="29" formatCode="&quot;$&quot;#,##0.00_);[Red]\(&quot;$&quot;#,##0.00\)">
                  <c:v>4.1529471458773779</c:v>
                </c:pt>
                <c:pt idx="30" formatCode="&quot;$&quot;#,##0.00_);[Red]\(&quot;$&quot;#,##0.00\)">
                  <c:v>3.8795932678821883</c:v>
                </c:pt>
                <c:pt idx="31" formatCode="&quot;$&quot;#,##0.00_);[Red]\(&quot;$&quot;#,##0.00\)">
                  <c:v>4.0304368334700573</c:v>
                </c:pt>
                <c:pt idx="32" formatCode="&quot;$&quot;#,##0.00_);[Red]\(&quot;$&quot;#,##0.00\)">
                  <c:v>4.0548500000000001</c:v>
                </c:pt>
                <c:pt idx="33" formatCode="&quot;$&quot;#,##0.00_);[Red]\(&quot;$&quot;#,##0.00\)">
                  <c:v>4.1554987867349684</c:v>
                </c:pt>
                <c:pt idx="34" formatCode="&quot;$&quot;#,##0.00_);[Red]\(&quot;$&quot;#,##0.00\)">
                  <c:v>4.3030264267641272</c:v>
                </c:pt>
                <c:pt idx="35" formatCode="&quot;$&quot;#,##0.00_);[Red]\(&quot;$&quot;#,##0.00\)">
                  <c:v>3.8860699251637043</c:v>
                </c:pt>
                <c:pt idx="36" formatCode="&quot;$&quot;#,##0.00_);[Red]\(&quot;$&quot;#,##0.00\)">
                  <c:v>3.7906325301204813</c:v>
                </c:pt>
                <c:pt idx="37" formatCode="&quot;$&quot;#,##0.00_);[Red]\(&quot;$&quot;#,##0.00\)">
                  <c:v>3.6240800509608238</c:v>
                </c:pt>
                <c:pt idx="38" formatCode="&quot;$&quot;#,##0.00_);[Red]\(&quot;$&quot;#,##0.00\)">
                  <c:v>3.7056214816482775</c:v>
                </c:pt>
                <c:pt idx="39" formatCode="&quot;$&quot;#,##0.00_);[Red]\(&quot;$&quot;#,##0.00\)">
                  <c:v>3.6976648860787091</c:v>
                </c:pt>
                <c:pt idx="40" formatCode="&quot;$&quot;#,##0.00_);[Red]\(&quot;$&quot;#,##0.00\)">
                  <c:v>3.7108881149325206</c:v>
                </c:pt>
                <c:pt idx="41" formatCode="&quot;$&quot;#,##0.00_);[Red]\(&quot;$&quot;#,##0.00\)">
                  <c:v>3.6905205784204669</c:v>
                </c:pt>
                <c:pt idx="42" formatCode="&quot;$&quot;#,##0.00_);[Red]\(&quot;$&quot;#,##0.00\)">
                  <c:v>3.6879553155442606</c:v>
                </c:pt>
              </c:numCache>
            </c:numRef>
          </c:val>
          <c:smooth val="0"/>
          <c:extLst>
            <c:ext xmlns:c16="http://schemas.microsoft.com/office/drawing/2014/chart" uri="{C3380CC4-5D6E-409C-BE32-E72D297353CC}">
              <c16:uniqueId val="{00000000-80F4-4CB1-9D87-C700DE1E3A22}"/>
            </c:ext>
          </c:extLst>
        </c:ser>
        <c:dLbls>
          <c:showLegendKey val="0"/>
          <c:showVal val="0"/>
          <c:showCatName val="0"/>
          <c:showSerName val="0"/>
          <c:showPercent val="0"/>
          <c:showBubbleSize val="0"/>
        </c:dLbls>
        <c:marker val="1"/>
        <c:smooth val="0"/>
        <c:axId val="-1740234416"/>
        <c:axId val="-1740441408"/>
      </c:lineChart>
      <c:catAx>
        <c:axId val="-1702291600"/>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520000" spcFirstLastPara="1" vertOverflow="ellipsis"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97611760"/>
        <c:crosses val="autoZero"/>
        <c:auto val="1"/>
        <c:lblAlgn val="ctr"/>
        <c:lblOffset val="100"/>
        <c:noMultiLvlLbl val="0"/>
      </c:catAx>
      <c:valAx>
        <c:axId val="-1697611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a:t>Total Spend</a:t>
                </a:r>
                <a:r>
                  <a:rPr lang="en-US" baseline="0"/>
                  <a:t> </a:t>
                </a:r>
                <a:endParaRPr lang="en-US"/>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702291600"/>
        <c:crosses val="autoZero"/>
        <c:crossBetween val="between"/>
      </c:valAx>
      <c:valAx>
        <c:axId val="-1740441408"/>
        <c:scaling>
          <c:orientation val="minMax"/>
        </c:scaling>
        <c:delete val="0"/>
        <c:axPos val="r"/>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a:t>Cost</a:t>
                </a:r>
                <a:r>
                  <a:rPr lang="en-US" baseline="0"/>
                  <a:t> Per Application</a:t>
                </a:r>
                <a:endParaRPr lang="en-US"/>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0"/>
        <c:majorTickMark val="out"/>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740234416"/>
        <c:crosses val="max"/>
        <c:crossBetween val="between"/>
      </c:valAx>
      <c:catAx>
        <c:axId val="-1740234416"/>
        <c:scaling>
          <c:orientation val="minMax"/>
        </c:scaling>
        <c:delete val="1"/>
        <c:axPos val="b"/>
        <c:numFmt formatCode="General" sourceLinked="1"/>
        <c:majorTickMark val="out"/>
        <c:minorTickMark val="none"/>
        <c:tickLblPos val="nextTo"/>
        <c:crossAx val="-174044140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Spend</a:t>
            </a:r>
            <a:r>
              <a:rPr lang="en-US" b="1" baseline="0">
                <a:solidFill>
                  <a:sysClr val="windowText" lastClr="000000"/>
                </a:solidFill>
              </a:rPr>
              <a:t> and CPA - Monthly</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1397015179906301E-2"/>
          <c:y val="0.131661469168733"/>
          <c:w val="0.87635066639508896"/>
          <c:h val="0.70478798708549595"/>
        </c:manualLayout>
      </c:layout>
      <c:lineChart>
        <c:grouping val="standard"/>
        <c:varyColors val="0"/>
        <c:ser>
          <c:idx val="0"/>
          <c:order val="0"/>
          <c:tx>
            <c:strRef>
              <c:f>'CPA Comparision'!$B$27</c:f>
              <c:strCache>
                <c:ptCount val="1"/>
                <c:pt idx="0">
                  <c:v>Paid Media Spend</c:v>
                </c:pt>
              </c:strCache>
            </c:strRef>
          </c:tx>
          <c:spPr>
            <a:ln w="28575" cap="rnd">
              <a:solidFill>
                <a:schemeClr val="accent1"/>
              </a:solidFill>
              <a:round/>
            </a:ln>
            <a:effectLst/>
          </c:spPr>
          <c:marker>
            <c:symbol val="none"/>
          </c:marker>
          <c:cat>
            <c:strRef>
              <c:f>'CPA Comparision'!$A$28:$A$48</c:f>
              <c:strCache>
                <c:ptCount val="21"/>
                <c:pt idx="0">
                  <c:v>Dec 2015</c:v>
                </c:pt>
                <c:pt idx="1">
                  <c:v>Jan 2016</c:v>
                </c:pt>
                <c:pt idx="2">
                  <c:v>Feb 2016</c:v>
                </c:pt>
                <c:pt idx="3">
                  <c:v>Mar 2016</c:v>
                </c:pt>
                <c:pt idx="4">
                  <c:v>Apr 2016</c:v>
                </c:pt>
                <c:pt idx="5">
                  <c:v>May 2016</c:v>
                </c:pt>
                <c:pt idx="6">
                  <c:v>Jun 2016</c:v>
                </c:pt>
                <c:pt idx="7">
                  <c:v>July 2016</c:v>
                </c:pt>
                <c:pt idx="8">
                  <c:v>Aug 2016</c:v>
                </c:pt>
                <c:pt idx="9">
                  <c:v>Sept 2016</c:v>
                </c:pt>
                <c:pt idx="10">
                  <c:v>Oct 2016</c:v>
                </c:pt>
                <c:pt idx="11">
                  <c:v>Nov 2016</c:v>
                </c:pt>
                <c:pt idx="12">
                  <c:v>Dec 2016</c:v>
                </c:pt>
                <c:pt idx="13">
                  <c:v>Jan 2017</c:v>
                </c:pt>
                <c:pt idx="14">
                  <c:v>Feb 2017</c:v>
                </c:pt>
                <c:pt idx="15">
                  <c:v>March 2017</c:v>
                </c:pt>
                <c:pt idx="16">
                  <c:v>April 2017</c:v>
                </c:pt>
                <c:pt idx="17">
                  <c:v>May 2017</c:v>
                </c:pt>
                <c:pt idx="18">
                  <c:v>June 2017</c:v>
                </c:pt>
                <c:pt idx="19">
                  <c:v>July 2017</c:v>
                </c:pt>
                <c:pt idx="20">
                  <c:v>August 2017</c:v>
                </c:pt>
              </c:strCache>
            </c:strRef>
          </c:cat>
          <c:val>
            <c:numRef>
              <c:f>'CPA Comparision'!$B$28:$B$48</c:f>
              <c:numCache>
                <c:formatCode>"$"#,##0</c:formatCode>
                <c:ptCount val="21"/>
                <c:pt idx="0">
                  <c:v>45000</c:v>
                </c:pt>
                <c:pt idx="1">
                  <c:v>97481.14</c:v>
                </c:pt>
                <c:pt idx="2">
                  <c:v>116174.62</c:v>
                </c:pt>
                <c:pt idx="3">
                  <c:v>129753.36</c:v>
                </c:pt>
                <c:pt idx="4">
                  <c:v>103227.65</c:v>
                </c:pt>
                <c:pt idx="5">
                  <c:v>100891.26</c:v>
                </c:pt>
                <c:pt idx="6">
                  <c:v>102288.76</c:v>
                </c:pt>
                <c:pt idx="7">
                  <c:v>105921</c:v>
                </c:pt>
                <c:pt idx="8">
                  <c:v>95653.2</c:v>
                </c:pt>
                <c:pt idx="9">
                  <c:v>116000</c:v>
                </c:pt>
                <c:pt idx="10">
                  <c:v>0</c:v>
                </c:pt>
                <c:pt idx="11">
                  <c:v>42643.29</c:v>
                </c:pt>
                <c:pt idx="12">
                  <c:v>60376.05</c:v>
                </c:pt>
                <c:pt idx="13">
                  <c:v>64662</c:v>
                </c:pt>
                <c:pt idx="14">
                  <c:v>61116</c:v>
                </c:pt>
                <c:pt idx="15">
                  <c:v>66820.81</c:v>
                </c:pt>
                <c:pt idx="16">
                  <c:v>77705</c:v>
                </c:pt>
                <c:pt idx="17">
                  <c:v>84961.97</c:v>
                </c:pt>
                <c:pt idx="18">
                  <c:v>106162.72</c:v>
                </c:pt>
                <c:pt idx="19">
                  <c:v>144408.28</c:v>
                </c:pt>
                <c:pt idx="20">
                  <c:v>150976.60999999999</c:v>
                </c:pt>
              </c:numCache>
            </c:numRef>
          </c:val>
          <c:smooth val="0"/>
          <c:extLst>
            <c:ext xmlns:c16="http://schemas.microsoft.com/office/drawing/2014/chart" uri="{C3380CC4-5D6E-409C-BE32-E72D297353CC}">
              <c16:uniqueId val="{00000000-1B94-471D-BB58-81E8E05C50E9}"/>
            </c:ext>
          </c:extLst>
        </c:ser>
        <c:dLbls>
          <c:showLegendKey val="0"/>
          <c:showVal val="0"/>
          <c:showCatName val="0"/>
          <c:showSerName val="0"/>
          <c:showPercent val="0"/>
          <c:showBubbleSize val="0"/>
        </c:dLbls>
        <c:marker val="1"/>
        <c:smooth val="0"/>
        <c:axId val="-1691516560"/>
        <c:axId val="-1806026864"/>
        <c:extLst>
          <c:ext xmlns:c15="http://schemas.microsoft.com/office/drawing/2012/chart" uri="{02D57815-91ED-43cb-92C2-25804820EDAC}">
            <c15:filteredLineSeries>
              <c15:ser>
                <c:idx val="1"/>
                <c:order val="1"/>
                <c:tx>
                  <c:strRef>
                    <c:extLst>
                      <c:ext uri="{02D57815-91ED-43cb-92C2-25804820EDAC}">
                        <c15:formulaRef>
                          <c15:sqref>'CPA Comparision'!$C$27</c15:sqref>
                        </c15:formulaRef>
                      </c:ext>
                    </c:extLst>
                    <c:strCache>
                      <c:ptCount val="1"/>
                      <c:pt idx="0">
                        <c:v>Paid Media Applies</c:v>
                      </c:pt>
                    </c:strCache>
                  </c:strRef>
                </c:tx>
                <c:spPr>
                  <a:ln w="28575" cap="rnd">
                    <a:solidFill>
                      <a:schemeClr val="accent2"/>
                    </a:solidFill>
                    <a:round/>
                  </a:ln>
                  <a:effectLst/>
                </c:spPr>
                <c:marker>
                  <c:symbol val="none"/>
                </c:marker>
                <c:cat>
                  <c:strRef>
                    <c:extLst>
                      <c:ext uri="{02D57815-91ED-43cb-92C2-25804820EDAC}">
                        <c15:formulaRef>
                          <c15:sqref>'CPA Comparision'!$A$28:$A$48</c15:sqref>
                        </c15:formulaRef>
                      </c:ext>
                    </c:extLst>
                    <c:strCache>
                      <c:ptCount val="21"/>
                      <c:pt idx="0">
                        <c:v>Dec 2015</c:v>
                      </c:pt>
                      <c:pt idx="1">
                        <c:v>Jan 2016</c:v>
                      </c:pt>
                      <c:pt idx="2">
                        <c:v>Feb 2016</c:v>
                      </c:pt>
                      <c:pt idx="3">
                        <c:v>Mar 2016</c:v>
                      </c:pt>
                      <c:pt idx="4">
                        <c:v>Apr 2016</c:v>
                      </c:pt>
                      <c:pt idx="5">
                        <c:v>May 2016</c:v>
                      </c:pt>
                      <c:pt idx="6">
                        <c:v>Jun 2016</c:v>
                      </c:pt>
                      <c:pt idx="7">
                        <c:v>July 2016</c:v>
                      </c:pt>
                      <c:pt idx="8">
                        <c:v>Aug 2016</c:v>
                      </c:pt>
                      <c:pt idx="9">
                        <c:v>Sept 2016</c:v>
                      </c:pt>
                      <c:pt idx="10">
                        <c:v>Oct 2016</c:v>
                      </c:pt>
                      <c:pt idx="11">
                        <c:v>Nov 2016</c:v>
                      </c:pt>
                      <c:pt idx="12">
                        <c:v>Dec 2016</c:v>
                      </c:pt>
                      <c:pt idx="13">
                        <c:v>Jan 2017</c:v>
                      </c:pt>
                      <c:pt idx="14">
                        <c:v>Feb 2017</c:v>
                      </c:pt>
                      <c:pt idx="15">
                        <c:v>March 2017</c:v>
                      </c:pt>
                      <c:pt idx="16">
                        <c:v>April 2017</c:v>
                      </c:pt>
                      <c:pt idx="17">
                        <c:v>May 2017</c:v>
                      </c:pt>
                      <c:pt idx="18">
                        <c:v>June 2017</c:v>
                      </c:pt>
                      <c:pt idx="19">
                        <c:v>July 2017</c:v>
                      </c:pt>
                      <c:pt idx="20">
                        <c:v>August 2017</c:v>
                      </c:pt>
                    </c:strCache>
                  </c:strRef>
                </c:cat>
                <c:val>
                  <c:numRef>
                    <c:extLst>
                      <c:ext uri="{02D57815-91ED-43cb-92C2-25804820EDAC}">
                        <c15:formulaRef>
                          <c15:sqref>'CPA Comparision'!$C$28:$C$40</c15:sqref>
                        </c15:formulaRef>
                      </c:ext>
                    </c:extLst>
                    <c:numCache>
                      <c:formatCode>#,##0</c:formatCode>
                      <c:ptCount val="13"/>
                      <c:pt idx="0">
                        <c:v>2420</c:v>
                      </c:pt>
                      <c:pt idx="1">
                        <c:v>5875</c:v>
                      </c:pt>
                      <c:pt idx="2">
                        <c:v>5804</c:v>
                      </c:pt>
                      <c:pt idx="3">
                        <c:v>6875</c:v>
                      </c:pt>
                      <c:pt idx="4">
                        <c:v>7021</c:v>
                      </c:pt>
                      <c:pt idx="5">
                        <c:v>7696</c:v>
                      </c:pt>
                      <c:pt idx="6">
                        <c:v>7693</c:v>
                      </c:pt>
                      <c:pt idx="7">
                        <c:v>7299</c:v>
                      </c:pt>
                      <c:pt idx="8">
                        <c:v>6908</c:v>
                      </c:pt>
                      <c:pt idx="9">
                        <c:v>8023</c:v>
                      </c:pt>
                      <c:pt idx="10">
                        <c:v>0</c:v>
                      </c:pt>
                      <c:pt idx="11">
                        <c:v>4154</c:v>
                      </c:pt>
                      <c:pt idx="12">
                        <c:v>8184</c:v>
                      </c:pt>
                    </c:numCache>
                  </c:numRef>
                </c:val>
                <c:smooth val="0"/>
                <c:extLst>
                  <c:ext xmlns:c16="http://schemas.microsoft.com/office/drawing/2014/chart" uri="{C3380CC4-5D6E-409C-BE32-E72D297353CC}">
                    <c16:uniqueId val="{00000001-9AD8-4DEC-82E1-4356DEAA48EC}"/>
                  </c:ext>
                </c:extLst>
              </c15:ser>
            </c15:filteredLineSeries>
          </c:ext>
        </c:extLst>
      </c:lineChart>
      <c:lineChart>
        <c:grouping val="standard"/>
        <c:varyColors val="0"/>
        <c:ser>
          <c:idx val="2"/>
          <c:order val="2"/>
          <c:tx>
            <c:strRef>
              <c:f>'CPA Comparision'!$D$27</c:f>
              <c:strCache>
                <c:ptCount val="1"/>
                <c:pt idx="0">
                  <c:v>Cost per Apply</c:v>
                </c:pt>
              </c:strCache>
            </c:strRef>
          </c:tx>
          <c:spPr>
            <a:ln w="28575" cap="rnd">
              <a:solidFill>
                <a:schemeClr val="accent3"/>
              </a:solidFill>
              <a:round/>
            </a:ln>
            <a:effectLst/>
          </c:spPr>
          <c:marker>
            <c:symbol val="none"/>
          </c:marker>
          <c:cat>
            <c:strRef>
              <c:f>'CPA Comparision'!$A$28:$A$48</c:f>
              <c:strCache>
                <c:ptCount val="21"/>
                <c:pt idx="0">
                  <c:v>Dec 2015</c:v>
                </c:pt>
                <c:pt idx="1">
                  <c:v>Jan 2016</c:v>
                </c:pt>
                <c:pt idx="2">
                  <c:v>Feb 2016</c:v>
                </c:pt>
                <c:pt idx="3">
                  <c:v>Mar 2016</c:v>
                </c:pt>
                <c:pt idx="4">
                  <c:v>Apr 2016</c:v>
                </c:pt>
                <c:pt idx="5">
                  <c:v>May 2016</c:v>
                </c:pt>
                <c:pt idx="6">
                  <c:v>Jun 2016</c:v>
                </c:pt>
                <c:pt idx="7">
                  <c:v>July 2016</c:v>
                </c:pt>
                <c:pt idx="8">
                  <c:v>Aug 2016</c:v>
                </c:pt>
                <c:pt idx="9">
                  <c:v>Sept 2016</c:v>
                </c:pt>
                <c:pt idx="10">
                  <c:v>Oct 2016</c:v>
                </c:pt>
                <c:pt idx="11">
                  <c:v>Nov 2016</c:v>
                </c:pt>
                <c:pt idx="12">
                  <c:v>Dec 2016</c:v>
                </c:pt>
                <c:pt idx="13">
                  <c:v>Jan 2017</c:v>
                </c:pt>
                <c:pt idx="14">
                  <c:v>Feb 2017</c:v>
                </c:pt>
                <c:pt idx="15">
                  <c:v>March 2017</c:v>
                </c:pt>
                <c:pt idx="16">
                  <c:v>April 2017</c:v>
                </c:pt>
                <c:pt idx="17">
                  <c:v>May 2017</c:v>
                </c:pt>
                <c:pt idx="18">
                  <c:v>June 2017</c:v>
                </c:pt>
                <c:pt idx="19">
                  <c:v>July 2017</c:v>
                </c:pt>
                <c:pt idx="20">
                  <c:v>August 2017</c:v>
                </c:pt>
              </c:strCache>
            </c:strRef>
          </c:cat>
          <c:val>
            <c:numRef>
              <c:f>'CPA Comparision'!$D$28:$D$48</c:f>
              <c:numCache>
                <c:formatCode>"$"#,##0.00</c:formatCode>
                <c:ptCount val="21"/>
                <c:pt idx="0">
                  <c:v>18.595041322314049</c:v>
                </c:pt>
                <c:pt idx="1">
                  <c:v>16.592534468085105</c:v>
                </c:pt>
                <c:pt idx="2">
                  <c:v>20.016302549965541</c:v>
                </c:pt>
                <c:pt idx="3">
                  <c:v>18.87</c:v>
                </c:pt>
                <c:pt idx="4">
                  <c:v>14.702699045719982</c:v>
                </c:pt>
                <c:pt idx="5">
                  <c:v>13.109571205821204</c:v>
                </c:pt>
                <c:pt idx="6">
                  <c:v>13.296342129208371</c:v>
                </c:pt>
                <c:pt idx="7">
                  <c:v>14.51</c:v>
                </c:pt>
                <c:pt idx="8">
                  <c:v>13.846728430804864</c:v>
                </c:pt>
                <c:pt idx="9">
                  <c:v>14.458432007977066</c:v>
                </c:pt>
                <c:pt idx="10">
                  <c:v>0</c:v>
                </c:pt>
                <c:pt idx="11">
                  <c:v>10.265597014925373</c:v>
                </c:pt>
                <c:pt idx="12">
                  <c:v>7.3773277126099712</c:v>
                </c:pt>
                <c:pt idx="13">
                  <c:v>5.3167242229896399</c:v>
                </c:pt>
                <c:pt idx="14">
                  <c:v>4.4577680525164114</c:v>
                </c:pt>
                <c:pt idx="15">
                  <c:v>4.6080139300737875</c:v>
                </c:pt>
                <c:pt idx="16">
                  <c:v>4.6263991426530122</c:v>
                </c:pt>
                <c:pt idx="17">
                  <c:v>4.083924726014228</c:v>
                </c:pt>
                <c:pt idx="18">
                  <c:v>4.0714370086289549</c:v>
                </c:pt>
                <c:pt idx="19">
                  <c:v>3.8805868916776394</c:v>
                </c:pt>
                <c:pt idx="20">
                  <c:v>3.698684681153384</c:v>
                </c:pt>
              </c:numCache>
            </c:numRef>
          </c:val>
          <c:smooth val="0"/>
          <c:extLst>
            <c:ext xmlns:c16="http://schemas.microsoft.com/office/drawing/2014/chart" uri="{C3380CC4-5D6E-409C-BE32-E72D297353CC}">
              <c16:uniqueId val="{00000002-9AD8-4DEC-82E1-4356DEAA48EC}"/>
            </c:ext>
          </c:extLst>
        </c:ser>
        <c:dLbls>
          <c:showLegendKey val="0"/>
          <c:showVal val="0"/>
          <c:showCatName val="0"/>
          <c:showSerName val="0"/>
          <c:showPercent val="0"/>
          <c:showBubbleSize val="0"/>
        </c:dLbls>
        <c:marker val="1"/>
        <c:smooth val="0"/>
        <c:axId val="-1797078032"/>
        <c:axId val="-1691858016"/>
      </c:lineChart>
      <c:catAx>
        <c:axId val="-169151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100000" spcFirstLastPara="1" vertOverflow="ellipsis" wrap="square" anchor="ctr" anchorCtr="1"/>
          <a:lstStyle/>
          <a:p>
            <a:pPr>
              <a:defRPr sz="900" b="0" i="0" u="none" strike="noStrike" kern="1200" baseline="0">
                <a:solidFill>
                  <a:sysClr val="windowText" lastClr="000000"/>
                </a:solidFill>
                <a:latin typeface="+mn-lt"/>
                <a:ea typeface="+mn-ea"/>
                <a:cs typeface="+mn-cs"/>
              </a:defRPr>
            </a:pPr>
            <a:endParaRPr lang="en-US"/>
          </a:p>
        </c:txPr>
        <c:crossAx val="-1806026864"/>
        <c:crosses val="autoZero"/>
        <c:auto val="1"/>
        <c:lblAlgn val="ctr"/>
        <c:lblOffset val="100"/>
        <c:noMultiLvlLbl val="0"/>
      </c:catAx>
      <c:valAx>
        <c:axId val="-18060268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91516560"/>
        <c:crosses val="autoZero"/>
        <c:crossBetween val="between"/>
      </c:valAx>
      <c:valAx>
        <c:axId val="-1691858016"/>
        <c:scaling>
          <c:orientation val="minMax"/>
        </c:scaling>
        <c:delete val="0"/>
        <c:axPos val="r"/>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078032"/>
        <c:crosses val="max"/>
        <c:crossBetween val="between"/>
      </c:valAx>
      <c:catAx>
        <c:axId val="-1797078032"/>
        <c:scaling>
          <c:orientation val="minMax"/>
        </c:scaling>
        <c:delete val="1"/>
        <c:axPos val="b"/>
        <c:numFmt formatCode="General" sourceLinked="1"/>
        <c:majorTickMark val="out"/>
        <c:minorTickMark val="none"/>
        <c:tickLblPos val="nextTo"/>
        <c:crossAx val="-169185801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11.png"/><Relationship Id="rId1" Type="http://schemas.openxmlformats.org/officeDocument/2006/relationships/image" Target="../media/image10.png"/><Relationship Id="rId5" Type="http://schemas.openxmlformats.org/officeDocument/2006/relationships/chart" Target="../charts/chart3.xml"/><Relationship Id="rId4"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16</xdr:row>
      <xdr:rowOff>50800</xdr:rowOff>
    </xdr:from>
    <xdr:to>
      <xdr:col>4</xdr:col>
      <xdr:colOff>224791</xdr:colOff>
      <xdr:row>30</xdr:row>
      <xdr:rowOff>81280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330200" y="3365500"/>
          <a:ext cx="2853691" cy="2164080"/>
        </a:xfrm>
        <a:prstGeom prst="rect">
          <a:avLst/>
        </a:prstGeom>
      </xdr:spPr>
    </xdr:pic>
    <xdr:clientData/>
  </xdr:twoCellAnchor>
  <xdr:twoCellAnchor editAs="oneCell">
    <xdr:from>
      <xdr:col>6</xdr:col>
      <xdr:colOff>0</xdr:colOff>
      <xdr:row>16</xdr:row>
      <xdr:rowOff>50800</xdr:rowOff>
    </xdr:from>
    <xdr:to>
      <xdr:col>9</xdr:col>
      <xdr:colOff>270510</xdr:colOff>
      <xdr:row>30</xdr:row>
      <xdr:rowOff>100330</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4152900" y="3365500"/>
          <a:ext cx="2899410" cy="2183130"/>
        </a:xfrm>
        <a:prstGeom prst="rect">
          <a:avLst/>
        </a:prstGeom>
      </xdr:spPr>
    </xdr:pic>
    <xdr:clientData/>
  </xdr:twoCellAnchor>
  <xdr:twoCellAnchor editAs="oneCell">
    <xdr:from>
      <xdr:col>10</xdr:col>
      <xdr:colOff>812800</xdr:colOff>
      <xdr:row>16</xdr:row>
      <xdr:rowOff>76200</xdr:rowOff>
    </xdr:from>
    <xdr:to>
      <xdr:col>14</xdr:col>
      <xdr:colOff>490220</xdr:colOff>
      <xdr:row>29</xdr:row>
      <xdr:rowOff>133350</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stretch>
          <a:fillRect/>
        </a:stretch>
      </xdr:blipFill>
      <xdr:spPr>
        <a:xfrm>
          <a:off x="7912100" y="3390900"/>
          <a:ext cx="3182620" cy="2038350"/>
        </a:xfrm>
        <a:prstGeom prst="rect">
          <a:avLst/>
        </a:prstGeom>
      </xdr:spPr>
    </xdr:pic>
    <xdr:clientData/>
  </xdr:twoCellAnchor>
  <xdr:twoCellAnchor editAs="oneCell">
    <xdr:from>
      <xdr:col>16</xdr:col>
      <xdr:colOff>25400</xdr:colOff>
      <xdr:row>16</xdr:row>
      <xdr:rowOff>114300</xdr:rowOff>
    </xdr:from>
    <xdr:to>
      <xdr:col>19</xdr:col>
      <xdr:colOff>570229</xdr:colOff>
      <xdr:row>29</xdr:row>
      <xdr:rowOff>114300</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4"/>
        <a:stretch>
          <a:fillRect/>
        </a:stretch>
      </xdr:blipFill>
      <xdr:spPr>
        <a:xfrm>
          <a:off x="12382500" y="3429000"/>
          <a:ext cx="3173729" cy="1981200"/>
        </a:xfrm>
        <a:prstGeom prst="rect">
          <a:avLst/>
        </a:prstGeom>
      </xdr:spPr>
    </xdr:pic>
    <xdr:clientData/>
  </xdr:twoCellAnchor>
  <xdr:twoCellAnchor editAs="oneCell">
    <xdr:from>
      <xdr:col>1</xdr:col>
      <xdr:colOff>1</xdr:colOff>
      <xdr:row>39</xdr:row>
      <xdr:rowOff>101600</xdr:rowOff>
    </xdr:from>
    <xdr:to>
      <xdr:col>4</xdr:col>
      <xdr:colOff>232411</xdr:colOff>
      <xdr:row>52</xdr:row>
      <xdr:rowOff>78740</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5"/>
        <a:stretch>
          <a:fillRect/>
        </a:stretch>
      </xdr:blipFill>
      <xdr:spPr>
        <a:xfrm>
          <a:off x="330201" y="6921500"/>
          <a:ext cx="2861310" cy="1958340"/>
        </a:xfrm>
        <a:prstGeom prst="rect">
          <a:avLst/>
        </a:prstGeom>
      </xdr:spPr>
    </xdr:pic>
    <xdr:clientData/>
  </xdr:twoCellAnchor>
  <xdr:twoCellAnchor editAs="oneCell">
    <xdr:from>
      <xdr:col>5</xdr:col>
      <xdr:colOff>292099</xdr:colOff>
      <xdr:row>39</xdr:row>
      <xdr:rowOff>76200</xdr:rowOff>
    </xdr:from>
    <xdr:to>
      <xdr:col>9</xdr:col>
      <xdr:colOff>245108</xdr:colOff>
      <xdr:row>54</xdr:row>
      <xdr:rowOff>22859</xdr:rowOff>
    </xdr:to>
    <xdr:pic>
      <xdr:nvPicPr>
        <xdr:cNvPr id="7" name="Picture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6"/>
        <a:stretch>
          <a:fillRect/>
        </a:stretch>
      </xdr:blipFill>
      <xdr:spPr>
        <a:xfrm>
          <a:off x="4127499" y="6896100"/>
          <a:ext cx="2899409" cy="2232659"/>
        </a:xfrm>
        <a:prstGeom prst="rect">
          <a:avLst/>
        </a:prstGeom>
      </xdr:spPr>
    </xdr:pic>
    <xdr:clientData/>
  </xdr:twoCellAnchor>
  <xdr:twoCellAnchor editAs="oneCell">
    <xdr:from>
      <xdr:col>10</xdr:col>
      <xdr:colOff>812801</xdr:colOff>
      <xdr:row>39</xdr:row>
      <xdr:rowOff>76199</xdr:rowOff>
    </xdr:from>
    <xdr:to>
      <xdr:col>14</xdr:col>
      <xdr:colOff>185419</xdr:colOff>
      <xdr:row>53</xdr:row>
      <xdr:rowOff>68578</xdr:rowOff>
    </xdr:to>
    <xdr:pic>
      <xdr:nvPicPr>
        <xdr:cNvPr id="8" name="Picture 7">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7"/>
        <a:stretch>
          <a:fillRect/>
        </a:stretch>
      </xdr:blipFill>
      <xdr:spPr>
        <a:xfrm>
          <a:off x="7912101" y="6896099"/>
          <a:ext cx="2877818" cy="2125979"/>
        </a:xfrm>
        <a:prstGeom prst="rect">
          <a:avLst/>
        </a:prstGeom>
      </xdr:spPr>
    </xdr:pic>
    <xdr:clientData/>
  </xdr:twoCellAnchor>
  <xdr:twoCellAnchor editAs="oneCell">
    <xdr:from>
      <xdr:col>10</xdr:col>
      <xdr:colOff>487740</xdr:colOff>
      <xdr:row>68</xdr:row>
      <xdr:rowOff>101600</xdr:rowOff>
    </xdr:from>
    <xdr:to>
      <xdr:col>19</xdr:col>
      <xdr:colOff>14159</xdr:colOff>
      <xdr:row>131</xdr:row>
      <xdr:rowOff>76200</xdr:rowOff>
    </xdr:to>
    <xdr:pic>
      <xdr:nvPicPr>
        <xdr:cNvPr id="9" name="Picture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8"/>
        <a:stretch>
          <a:fillRect/>
        </a:stretch>
      </xdr:blipFill>
      <xdr:spPr>
        <a:xfrm>
          <a:off x="7587040" y="11849100"/>
          <a:ext cx="7413119" cy="9575800"/>
        </a:xfrm>
        <a:prstGeom prst="rect">
          <a:avLst/>
        </a:prstGeom>
      </xdr:spPr>
    </xdr:pic>
    <xdr:clientData/>
  </xdr:twoCellAnchor>
  <xdr:twoCellAnchor editAs="oneCell">
    <xdr:from>
      <xdr:col>0</xdr:col>
      <xdr:colOff>5140</xdr:colOff>
      <xdr:row>68</xdr:row>
      <xdr:rowOff>114300</xdr:rowOff>
    </xdr:from>
    <xdr:to>
      <xdr:col>10</xdr:col>
      <xdr:colOff>318959</xdr:colOff>
      <xdr:row>131</xdr:row>
      <xdr:rowOff>88900</xdr:rowOff>
    </xdr:to>
    <xdr:pic>
      <xdr:nvPicPr>
        <xdr:cNvPr id="10" name="Picture 9">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9"/>
        <a:stretch>
          <a:fillRect/>
        </a:stretch>
      </xdr:blipFill>
      <xdr:spPr>
        <a:xfrm>
          <a:off x="5140" y="11861800"/>
          <a:ext cx="7413119" cy="9575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1102179</xdr:colOff>
      <xdr:row>111</xdr:row>
      <xdr:rowOff>81644</xdr:rowOff>
    </xdr:from>
    <xdr:ext cx="13920106" cy="7544674"/>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1442358" y="15621001"/>
          <a:ext cx="13920106" cy="7544674"/>
        </a:xfrm>
        <a:prstGeom prst="rect">
          <a:avLst/>
        </a:prstGeom>
      </xdr:spPr>
    </xdr:pic>
    <xdr:clientData/>
  </xdr:oneCellAnchor>
  <xdr:oneCellAnchor>
    <xdr:from>
      <xdr:col>13</xdr:col>
      <xdr:colOff>109683</xdr:colOff>
      <xdr:row>111</xdr:row>
      <xdr:rowOff>68034</xdr:rowOff>
    </xdr:from>
    <xdr:ext cx="9581496" cy="7701644"/>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15730683" y="15607391"/>
          <a:ext cx="9581496" cy="7701644"/>
        </a:xfrm>
        <a:prstGeom prst="rect">
          <a:avLst/>
        </a:prstGeom>
        <a:solidFill>
          <a:schemeClr val="bg1">
            <a:lumMod val="85000"/>
          </a:schemeClr>
        </a:solidFill>
      </xdr:spPr>
    </xdr:pic>
    <xdr:clientData/>
  </xdr:oneCellAnchor>
  <xdr:twoCellAnchor>
    <xdr:from>
      <xdr:col>0</xdr:col>
      <xdr:colOff>299358</xdr:colOff>
      <xdr:row>61</xdr:row>
      <xdr:rowOff>13607</xdr:rowOff>
    </xdr:from>
    <xdr:to>
      <xdr:col>12</xdr:col>
      <xdr:colOff>78520</xdr:colOff>
      <xdr:row>105</xdr:row>
      <xdr:rowOff>131671</xdr:rowOff>
    </xdr:to>
    <xdr:graphicFrame macro="">
      <xdr:nvGraphicFramePr>
        <xdr:cNvPr id="4" name="Chart 3">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503464</xdr:colOff>
      <xdr:row>60</xdr:row>
      <xdr:rowOff>149679</xdr:rowOff>
    </xdr:from>
    <xdr:to>
      <xdr:col>23</xdr:col>
      <xdr:colOff>589188</xdr:colOff>
      <xdr:row>101</xdr:row>
      <xdr:rowOff>102374</xdr:rowOff>
    </xdr:to>
    <xdr:graphicFrame macro="">
      <xdr:nvGraphicFramePr>
        <xdr:cNvPr id="5" name="Chart 4">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254000</xdr:colOff>
      <xdr:row>11</xdr:row>
      <xdr:rowOff>120198</xdr:rowOff>
    </xdr:from>
    <xdr:to>
      <xdr:col>17</xdr:col>
      <xdr:colOff>433160</xdr:colOff>
      <xdr:row>57</xdr:row>
      <xdr:rowOff>174625</xdr:rowOff>
    </xdr:to>
    <xdr:graphicFrame macro="">
      <xdr:nvGraphicFramePr>
        <xdr:cNvPr id="6" name="Chart 5">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1060990</xdr:colOff>
      <xdr:row>1</xdr:row>
      <xdr:rowOff>92927</xdr:rowOff>
    </xdr:from>
    <xdr:to>
      <xdr:col>11</xdr:col>
      <xdr:colOff>104543</xdr:colOff>
      <xdr:row>26</xdr:row>
      <xdr:rowOff>185854</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KMS%20Clients\Schatz%20Publishing%20Group\VA\2016%20Campaign%20Reports\Report%20Charts\CPA\Running%20CP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KMS%20Clients\Schatz%20Publishing%20Group\VA\2016%20Campaign%20Reports\Report%20Charts\CPA\Weekly%20CPA%20Breakou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SEM</v>
          </cell>
          <cell r="C1" t="str">
            <v>Remarketing</v>
          </cell>
          <cell r="D1" t="str">
            <v>Video</v>
          </cell>
          <cell r="E1" t="str">
            <v>Audience</v>
          </cell>
        </row>
        <row r="2">
          <cell r="A2" t="str">
            <v>Dec. 21</v>
          </cell>
          <cell r="B2">
            <v>7.35</v>
          </cell>
        </row>
        <row r="3">
          <cell r="A3" t="str">
            <v>Dec. 28</v>
          </cell>
          <cell r="B3">
            <v>7.59</v>
          </cell>
          <cell r="C3">
            <v>6.79</v>
          </cell>
          <cell r="E3">
            <v>25.28</v>
          </cell>
        </row>
        <row r="4">
          <cell r="A4" t="str">
            <v>Jan. 4</v>
          </cell>
          <cell r="B4">
            <v>8.06</v>
          </cell>
          <cell r="C4">
            <v>6.99</v>
          </cell>
          <cell r="E4">
            <v>24.04</v>
          </cell>
        </row>
        <row r="5">
          <cell r="A5" t="str">
            <v>Jan. 11</v>
          </cell>
          <cell r="B5">
            <v>7.92</v>
          </cell>
          <cell r="C5">
            <v>7.4</v>
          </cell>
          <cell r="E5">
            <v>18.22</v>
          </cell>
        </row>
        <row r="6">
          <cell r="A6" t="str">
            <v>Jan. 18</v>
          </cell>
          <cell r="B6">
            <v>7.92</v>
          </cell>
          <cell r="C6">
            <v>7.83</v>
          </cell>
          <cell r="E6">
            <v>17.739999999999998</v>
          </cell>
        </row>
        <row r="7">
          <cell r="A7" t="str">
            <v>Jan. 25</v>
          </cell>
          <cell r="B7">
            <v>7.75</v>
          </cell>
          <cell r="C7">
            <v>8.18</v>
          </cell>
          <cell r="E7">
            <v>19.39</v>
          </cell>
        </row>
        <row r="8">
          <cell r="A8" t="str">
            <v>Feb. 1</v>
          </cell>
          <cell r="B8">
            <v>7.85</v>
          </cell>
          <cell r="C8">
            <v>8.15</v>
          </cell>
          <cell r="E8">
            <v>22.45</v>
          </cell>
        </row>
        <row r="9">
          <cell r="A9" t="str">
            <v>Feb. 8</v>
          </cell>
          <cell r="B9">
            <v>8.24</v>
          </cell>
          <cell r="C9">
            <v>7.74</v>
          </cell>
          <cell r="E9">
            <v>21.25</v>
          </cell>
        </row>
        <row r="10">
          <cell r="A10" t="str">
            <v>Feb. 15</v>
          </cell>
          <cell r="B10">
            <v>8.56</v>
          </cell>
          <cell r="C10">
            <v>8.34</v>
          </cell>
        </row>
        <row r="11">
          <cell r="A11" t="str">
            <v>Feb. 22</v>
          </cell>
          <cell r="B11">
            <v>8.81</v>
          </cell>
          <cell r="C11">
            <v>8.98</v>
          </cell>
        </row>
        <row r="12">
          <cell r="A12" t="str">
            <v>Feb. 29</v>
          </cell>
          <cell r="B12">
            <v>9.01</v>
          </cell>
          <cell r="C12">
            <v>8.76</v>
          </cell>
        </row>
        <row r="13">
          <cell r="A13" t="str">
            <v>Mar. 7</v>
          </cell>
          <cell r="B13">
            <v>9.11</v>
          </cell>
          <cell r="C13">
            <v>8.5299999999999994</v>
          </cell>
          <cell r="D13">
            <v>107.14</v>
          </cell>
        </row>
        <row r="14">
          <cell r="A14" t="str">
            <v>Mar. 14</v>
          </cell>
          <cell r="B14">
            <v>9.26</v>
          </cell>
          <cell r="C14">
            <v>8.5500000000000007</v>
          </cell>
          <cell r="D14">
            <v>106.48</v>
          </cell>
        </row>
        <row r="15">
          <cell r="A15" t="str">
            <v>Mar. 21</v>
          </cell>
          <cell r="B15">
            <v>9.3800000000000008</v>
          </cell>
          <cell r="C15">
            <v>8.4499999999999993</v>
          </cell>
          <cell r="D15">
            <v>130.02000000000001</v>
          </cell>
        </row>
        <row r="16">
          <cell r="A16" t="str">
            <v>Mar. 28</v>
          </cell>
          <cell r="B16">
            <v>9.4700000000000006</v>
          </cell>
          <cell r="C16">
            <v>8.3800000000000008</v>
          </cell>
          <cell r="D16">
            <v>111.81</v>
          </cell>
        </row>
        <row r="17">
          <cell r="A17" t="str">
            <v>Apr. 4</v>
          </cell>
          <cell r="B17">
            <v>9.5500000000000007</v>
          </cell>
          <cell r="C17">
            <v>8.1999999999999993</v>
          </cell>
          <cell r="D17">
            <v>108.84</v>
          </cell>
        </row>
        <row r="18">
          <cell r="A18" t="str">
            <v>Apr. 11</v>
          </cell>
          <cell r="B18">
            <v>9.6</v>
          </cell>
          <cell r="C18">
            <v>8.0500000000000007</v>
          </cell>
          <cell r="D18">
            <v>105.99</v>
          </cell>
        </row>
        <row r="19">
          <cell r="A19" t="str">
            <v>Apr. 18</v>
          </cell>
          <cell r="B19">
            <v>9.61</v>
          </cell>
          <cell r="C19">
            <v>7.85</v>
          </cell>
          <cell r="D19">
            <v>104.93</v>
          </cell>
        </row>
        <row r="20">
          <cell r="A20" t="str">
            <v>Apr. 25</v>
          </cell>
          <cell r="B20">
            <v>9.5</v>
          </cell>
          <cell r="C20">
            <v>7.68</v>
          </cell>
          <cell r="D20">
            <v>101.05</v>
          </cell>
        </row>
        <row r="21">
          <cell r="A21" t="str">
            <v>May. 2</v>
          </cell>
          <cell r="B21">
            <v>9.4600000000000009</v>
          </cell>
          <cell r="C21">
            <v>7.55</v>
          </cell>
          <cell r="D21">
            <v>102.03</v>
          </cell>
        </row>
        <row r="22">
          <cell r="A22" t="str">
            <v>May. 9</v>
          </cell>
          <cell r="B22">
            <v>9.4600000000000009</v>
          </cell>
          <cell r="C22">
            <v>7.32</v>
          </cell>
          <cell r="D22">
            <v>101.39</v>
          </cell>
        </row>
        <row r="23">
          <cell r="A23" t="str">
            <v>May. 16</v>
          </cell>
          <cell r="B23">
            <v>9.42</v>
          </cell>
          <cell r="C23">
            <v>7.09</v>
          </cell>
          <cell r="D23">
            <v>92.06</v>
          </cell>
        </row>
        <row r="24">
          <cell r="A24" t="str">
            <v>May. 23</v>
          </cell>
          <cell r="B24">
            <v>9.44</v>
          </cell>
          <cell r="C24">
            <v>6.85</v>
          </cell>
          <cell r="D24">
            <v>89.74</v>
          </cell>
        </row>
        <row r="25">
          <cell r="A25" t="str">
            <v>May. 30</v>
          </cell>
          <cell r="B25">
            <v>9.39</v>
          </cell>
          <cell r="C25">
            <v>6.7</v>
          </cell>
          <cell r="D25">
            <v>87.33</v>
          </cell>
        </row>
        <row r="26">
          <cell r="A26" t="str">
            <v>Jun. 6</v>
          </cell>
          <cell r="B26">
            <v>9.32</v>
          </cell>
          <cell r="C26">
            <v>6.54</v>
          </cell>
          <cell r="D26">
            <v>88.2</v>
          </cell>
        </row>
        <row r="27">
          <cell r="A27" t="str">
            <v>Jun. 13</v>
          </cell>
          <cell r="B27">
            <v>9.3000000000000007</v>
          </cell>
          <cell r="C27">
            <v>6.41</v>
          </cell>
          <cell r="D27">
            <v>88.9</v>
          </cell>
        </row>
        <row r="28">
          <cell r="A28" t="str">
            <v>Jun. 20</v>
          </cell>
          <cell r="B28">
            <v>9.2799999999999994</v>
          </cell>
          <cell r="C28">
            <v>6.23</v>
          </cell>
          <cell r="D28">
            <v>89.84</v>
          </cell>
        </row>
        <row r="29">
          <cell r="A29" t="str">
            <v>Jun. 27</v>
          </cell>
          <cell r="B29">
            <v>9.2899999999999991</v>
          </cell>
          <cell r="C29">
            <v>6.02</v>
          </cell>
          <cell r="D29">
            <v>90.39</v>
          </cell>
        </row>
        <row r="30">
          <cell r="A30" t="str">
            <v>Jul. 4</v>
          </cell>
          <cell r="B30">
            <v>9.31</v>
          </cell>
          <cell r="C30">
            <v>5.89</v>
          </cell>
          <cell r="D30">
            <v>90.15</v>
          </cell>
        </row>
        <row r="31">
          <cell r="A31" t="str">
            <v>Jul. 11</v>
          </cell>
          <cell r="B31">
            <v>9.32</v>
          </cell>
          <cell r="C31">
            <v>5.65</v>
          </cell>
          <cell r="D31">
            <v>92.35</v>
          </cell>
        </row>
        <row r="32">
          <cell r="A32" t="str">
            <v>Jul. 18</v>
          </cell>
          <cell r="B32">
            <v>9.32</v>
          </cell>
          <cell r="C32">
            <v>5.45</v>
          </cell>
          <cell r="D32">
            <v>90.9</v>
          </cell>
        </row>
        <row r="33">
          <cell r="A33" t="str">
            <v>Jul. 25</v>
          </cell>
          <cell r="B33">
            <v>9.32</v>
          </cell>
          <cell r="C33">
            <v>5.3</v>
          </cell>
          <cell r="D33">
            <v>89.19</v>
          </cell>
        </row>
        <row r="34">
          <cell r="A34" t="str">
            <v>Aug. 1</v>
          </cell>
          <cell r="B34">
            <v>9.2899999999999991</v>
          </cell>
          <cell r="C34">
            <v>5.16</v>
          </cell>
          <cell r="D34">
            <v>80.88</v>
          </cell>
        </row>
        <row r="35">
          <cell r="A35" t="str">
            <v>Aug. 8</v>
          </cell>
          <cell r="B35">
            <v>9.2899999999999991</v>
          </cell>
          <cell r="C35">
            <v>5.05</v>
          </cell>
          <cell r="D35">
            <v>78.73</v>
          </cell>
        </row>
        <row r="36">
          <cell r="A36" t="str">
            <v>Aug. 15</v>
          </cell>
          <cell r="B36">
            <v>9.2799999999999994</v>
          </cell>
          <cell r="C36">
            <v>4.96</v>
          </cell>
          <cell r="D36">
            <v>75.459999999999994</v>
          </cell>
        </row>
        <row r="37">
          <cell r="A37" t="str">
            <v>Aug. 22</v>
          </cell>
          <cell r="B37">
            <v>9.2899999999999991</v>
          </cell>
          <cell r="C37">
            <v>4.88</v>
          </cell>
          <cell r="D37">
            <v>74.12</v>
          </cell>
        </row>
        <row r="38">
          <cell r="A38" t="str">
            <v>Aug. 29</v>
          </cell>
          <cell r="B38">
            <v>9.2899999999999991</v>
          </cell>
          <cell r="C38">
            <v>4.8</v>
          </cell>
          <cell r="D38">
            <v>73.13</v>
          </cell>
        </row>
        <row r="39">
          <cell r="A39" t="str">
            <v>Sept. 5</v>
          </cell>
          <cell r="B39">
            <v>9.2899999999999991</v>
          </cell>
          <cell r="C39">
            <v>4.74</v>
          </cell>
          <cell r="D39">
            <v>73.05</v>
          </cell>
        </row>
        <row r="40">
          <cell r="A40" t="str">
            <v>Sept. 12</v>
          </cell>
          <cell r="B40">
            <v>9.32</v>
          </cell>
          <cell r="C40">
            <v>4.7300000000000004</v>
          </cell>
          <cell r="D40">
            <v>73.290000000000006</v>
          </cell>
        </row>
        <row r="41">
          <cell r="A41" t="str">
            <v>Sept. 19</v>
          </cell>
          <cell r="B41">
            <v>9.32</v>
          </cell>
          <cell r="C41">
            <v>4.71</v>
          </cell>
          <cell r="D41">
            <v>72.38</v>
          </cell>
        </row>
        <row r="42">
          <cell r="A42" t="str">
            <v>Sept. 26</v>
          </cell>
          <cell r="B42">
            <v>9.32</v>
          </cell>
          <cell r="C42">
            <v>4.68</v>
          </cell>
          <cell r="D42">
            <v>71.48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SEM</v>
          </cell>
          <cell r="C1" t="str">
            <v>Remarketing</v>
          </cell>
          <cell r="D1" t="str">
            <v>Video</v>
          </cell>
          <cell r="E1" t="str">
            <v>Audience</v>
          </cell>
        </row>
        <row r="2">
          <cell r="A2" t="str">
            <v>Dec. 14</v>
          </cell>
          <cell r="B2">
            <v>8.77</v>
          </cell>
        </row>
        <row r="3">
          <cell r="A3" t="str">
            <v>Dec. 21</v>
          </cell>
          <cell r="B3">
            <v>6.59</v>
          </cell>
          <cell r="C3">
            <v>5.98</v>
          </cell>
        </row>
        <row r="4">
          <cell r="A4" t="str">
            <v>Dec. 28</v>
          </cell>
          <cell r="B4">
            <v>7.97</v>
          </cell>
          <cell r="C4">
            <v>7.46</v>
          </cell>
          <cell r="E4">
            <v>27.3</v>
          </cell>
        </row>
        <row r="5">
          <cell r="A5" t="str">
            <v>Jan. 4</v>
          </cell>
          <cell r="B5">
            <v>9.11</v>
          </cell>
          <cell r="C5">
            <v>7.24</v>
          </cell>
          <cell r="E5">
            <v>23.18</v>
          </cell>
        </row>
        <row r="6">
          <cell r="A6" t="str">
            <v>Jan. 11</v>
          </cell>
          <cell r="B6">
            <v>7.56</v>
          </cell>
          <cell r="C6">
            <v>8.2799999999999994</v>
          </cell>
          <cell r="E6">
            <v>13.17</v>
          </cell>
        </row>
        <row r="7">
          <cell r="A7" t="str">
            <v>Jan. 18</v>
          </cell>
          <cell r="B7">
            <v>7.92</v>
          </cell>
          <cell r="C7">
            <v>9.25</v>
          </cell>
          <cell r="E7">
            <v>16.63</v>
          </cell>
        </row>
        <row r="8">
          <cell r="A8" t="str">
            <v>Jan. 25</v>
          </cell>
          <cell r="B8">
            <v>7.13</v>
          </cell>
          <cell r="C8">
            <v>9.73</v>
          </cell>
          <cell r="E8">
            <v>28.7</v>
          </cell>
        </row>
        <row r="9">
          <cell r="A9" t="str">
            <v>Feb. 1</v>
          </cell>
          <cell r="B9">
            <v>8.2200000000000006</v>
          </cell>
          <cell r="C9">
            <v>8.0399999999999991</v>
          </cell>
          <cell r="E9">
            <v>74.569999999999993</v>
          </cell>
        </row>
        <row r="10">
          <cell r="A10" t="str">
            <v>Feb. 8</v>
          </cell>
          <cell r="B10">
            <v>10.74</v>
          </cell>
          <cell r="C10">
            <v>5.52</v>
          </cell>
          <cell r="E10">
            <v>6.87</v>
          </cell>
        </row>
        <row r="11">
          <cell r="A11" t="str">
            <v>Feb. 15</v>
          </cell>
          <cell r="B11">
            <v>10.94</v>
          </cell>
          <cell r="C11">
            <v>13.54</v>
          </cell>
        </row>
        <row r="12">
          <cell r="A12" t="str">
            <v>Feb. 22</v>
          </cell>
          <cell r="B12">
            <v>11.01</v>
          </cell>
          <cell r="C12">
            <v>14.93</v>
          </cell>
        </row>
        <row r="13">
          <cell r="A13" t="str">
            <v>Feb. 29</v>
          </cell>
          <cell r="B13">
            <v>10.84</v>
          </cell>
          <cell r="C13">
            <v>7.09</v>
          </cell>
        </row>
        <row r="14">
          <cell r="A14" t="str">
            <v>Mar. 7</v>
          </cell>
          <cell r="B14">
            <v>10.16</v>
          </cell>
          <cell r="C14">
            <v>6.71</v>
          </cell>
          <cell r="D14">
            <v>107.14</v>
          </cell>
        </row>
        <row r="15">
          <cell r="A15" t="str">
            <v>Mar. 14</v>
          </cell>
          <cell r="B15">
            <v>11.07</v>
          </cell>
          <cell r="C15">
            <v>8.69</v>
          </cell>
          <cell r="D15">
            <v>106.24</v>
          </cell>
        </row>
        <row r="16">
          <cell r="A16" t="str">
            <v>Mar. 21</v>
          </cell>
          <cell r="B16">
            <v>10.8</v>
          </cell>
          <cell r="C16">
            <v>7.22</v>
          </cell>
          <cell r="D16">
            <v>174.98</v>
          </cell>
        </row>
        <row r="17">
          <cell r="A17" t="str">
            <v>Mar. 28</v>
          </cell>
          <cell r="B17">
            <v>10.77</v>
          </cell>
          <cell r="C17">
            <v>7.34</v>
          </cell>
          <cell r="D17">
            <v>86.48</v>
          </cell>
        </row>
        <row r="18">
          <cell r="A18" t="str">
            <v>Apr. 4</v>
          </cell>
          <cell r="B18">
            <v>10.88</v>
          </cell>
          <cell r="C18">
            <v>5.98</v>
          </cell>
          <cell r="D18">
            <v>79.14</v>
          </cell>
        </row>
        <row r="19">
          <cell r="A19" t="str">
            <v>Apr. 11</v>
          </cell>
          <cell r="B19">
            <v>10.5</v>
          </cell>
          <cell r="C19">
            <v>6.27</v>
          </cell>
          <cell r="D19">
            <v>79.38</v>
          </cell>
        </row>
        <row r="20">
          <cell r="A20" t="str">
            <v>Apr. 18</v>
          </cell>
          <cell r="B20">
            <v>9.77</v>
          </cell>
          <cell r="C20">
            <v>5.67</v>
          </cell>
          <cell r="D20">
            <v>92.14</v>
          </cell>
        </row>
        <row r="21">
          <cell r="A21" t="str">
            <v>Apr. 25</v>
          </cell>
          <cell r="B21">
            <v>7.83</v>
          </cell>
          <cell r="C21">
            <v>5.49</v>
          </cell>
          <cell r="D21">
            <v>63.47</v>
          </cell>
        </row>
        <row r="22">
          <cell r="A22" t="str">
            <v>May. 2</v>
          </cell>
          <cell r="B22">
            <v>8.7899999999999991</v>
          </cell>
          <cell r="C22">
            <v>5.44</v>
          </cell>
          <cell r="D22">
            <v>121.69</v>
          </cell>
        </row>
        <row r="23">
          <cell r="A23" t="str">
            <v>May. 9</v>
          </cell>
          <cell r="B23">
            <v>9.3800000000000008</v>
          </cell>
          <cell r="C23">
            <v>3.56</v>
          </cell>
          <cell r="D23">
            <v>79.959999999999994</v>
          </cell>
        </row>
        <row r="24">
          <cell r="A24" t="str">
            <v>May. 16</v>
          </cell>
          <cell r="B24">
            <v>8.7200000000000006</v>
          </cell>
          <cell r="C24">
            <v>3.37</v>
          </cell>
          <cell r="D24">
            <v>18.66</v>
          </cell>
        </row>
        <row r="25">
          <cell r="A25" t="str">
            <v>May. 23</v>
          </cell>
          <cell r="B25">
            <v>9.74</v>
          </cell>
          <cell r="C25">
            <v>3.14</v>
          </cell>
          <cell r="D25">
            <v>44.6</v>
          </cell>
        </row>
        <row r="26">
          <cell r="A26" t="str">
            <v>May. 30</v>
          </cell>
          <cell r="B26">
            <v>8.3800000000000008</v>
          </cell>
          <cell r="C26">
            <v>3.44</v>
          </cell>
          <cell r="D26">
            <v>37.840000000000003</v>
          </cell>
        </row>
        <row r="27">
          <cell r="A27" t="str">
            <v>Jun. 6</v>
          </cell>
          <cell r="B27">
            <v>7.9</v>
          </cell>
          <cell r="C27">
            <v>3.25</v>
          </cell>
          <cell r="D27">
            <v>182.08</v>
          </cell>
        </row>
        <row r="28">
          <cell r="A28" t="str">
            <v>Jun. 13</v>
          </cell>
          <cell r="B28">
            <v>9.0299999999999994</v>
          </cell>
          <cell r="C28">
            <v>3.63</v>
          </cell>
          <cell r="D28">
            <v>240.96</v>
          </cell>
        </row>
        <row r="29">
          <cell r="A29" t="str">
            <v>Jun. 20</v>
          </cell>
          <cell r="B29">
            <v>8.7200000000000006</v>
          </cell>
          <cell r="C29">
            <v>2.98</v>
          </cell>
          <cell r="D29">
            <v>157.97</v>
          </cell>
        </row>
        <row r="30">
          <cell r="A30" t="str">
            <v>Jun. 27</v>
          </cell>
          <cell r="B30">
            <v>9.52</v>
          </cell>
          <cell r="C30">
            <v>2.4500000000000002</v>
          </cell>
          <cell r="D30">
            <v>110.51</v>
          </cell>
        </row>
        <row r="31">
          <cell r="A31" t="str">
            <v>Jul. 4</v>
          </cell>
          <cell r="B31">
            <v>10.050000000000001</v>
          </cell>
          <cell r="C31">
            <v>3.1</v>
          </cell>
          <cell r="D31">
            <v>79.2</v>
          </cell>
        </row>
        <row r="32">
          <cell r="A32" t="str">
            <v>Jul. 11</v>
          </cell>
          <cell r="B32">
            <v>9.65</v>
          </cell>
          <cell r="C32">
            <v>2.72</v>
          </cell>
          <cell r="D32">
            <v>220</v>
          </cell>
        </row>
        <row r="33">
          <cell r="A33" t="str">
            <v>Jul. 18</v>
          </cell>
          <cell r="B33">
            <v>9.23</v>
          </cell>
          <cell r="C33">
            <v>3.01</v>
          </cell>
          <cell r="D33">
            <v>64.91</v>
          </cell>
        </row>
        <row r="34">
          <cell r="A34" t="str">
            <v>Jul. 25</v>
          </cell>
          <cell r="B34">
            <v>9.42</v>
          </cell>
          <cell r="C34">
            <v>3.21</v>
          </cell>
          <cell r="D34">
            <v>74.709999999999994</v>
          </cell>
        </row>
        <row r="35">
          <cell r="A35" t="str">
            <v>Aug. 1</v>
          </cell>
          <cell r="B35">
            <v>8.36</v>
          </cell>
          <cell r="C35">
            <v>3.12</v>
          </cell>
          <cell r="D35">
            <v>48.61</v>
          </cell>
        </row>
        <row r="36">
          <cell r="A36" t="str">
            <v>Aug. 8</v>
          </cell>
          <cell r="B36">
            <v>9.0500000000000007</v>
          </cell>
          <cell r="C36">
            <v>3.42</v>
          </cell>
          <cell r="D36">
            <v>56.55</v>
          </cell>
        </row>
        <row r="37">
          <cell r="A37" t="str">
            <v>Aug. 15</v>
          </cell>
          <cell r="B37">
            <v>9.0299999999999994</v>
          </cell>
          <cell r="C37">
            <v>3.66</v>
          </cell>
          <cell r="D37">
            <v>36.47</v>
          </cell>
        </row>
        <row r="38">
          <cell r="A38" t="str">
            <v>Aug. 22</v>
          </cell>
          <cell r="B38">
            <v>9.73</v>
          </cell>
          <cell r="C38">
            <v>3.39</v>
          </cell>
          <cell r="D38">
            <v>48.69</v>
          </cell>
        </row>
        <row r="39">
          <cell r="A39" t="str">
            <v>Aug. 29</v>
          </cell>
          <cell r="B39">
            <v>9.1199999999999992</v>
          </cell>
          <cell r="C39">
            <v>3.47</v>
          </cell>
          <cell r="D39">
            <v>53.48</v>
          </cell>
        </row>
        <row r="40">
          <cell r="A40" t="str">
            <v>Sept. 5</v>
          </cell>
          <cell r="B40">
            <v>9.5399999999999991</v>
          </cell>
          <cell r="C40">
            <v>3.64</v>
          </cell>
          <cell r="D40">
            <v>71.09</v>
          </cell>
        </row>
        <row r="41">
          <cell r="A41" t="str">
            <v>Sept. 12</v>
          </cell>
          <cell r="B41">
            <v>9.86</v>
          </cell>
          <cell r="C41">
            <v>4.5999999999999996</v>
          </cell>
          <cell r="D41">
            <v>76.69</v>
          </cell>
        </row>
        <row r="42">
          <cell r="A42" t="str">
            <v>Sept. 19</v>
          </cell>
          <cell r="B42">
            <v>9.43</v>
          </cell>
          <cell r="C42">
            <v>4.28</v>
          </cell>
          <cell r="D42">
            <v>63.31</v>
          </cell>
        </row>
        <row r="43">
          <cell r="A43" t="str">
            <v>Sept. 26</v>
          </cell>
          <cell r="B43">
            <v>9.35</v>
          </cell>
          <cell r="C43">
            <v>3.94</v>
          </cell>
          <cell r="D43">
            <v>51.71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P303"/>
  <sheetViews>
    <sheetView showGridLines="0" topLeftCell="A5" zoomScale="110" zoomScaleNormal="110" workbookViewId="0">
      <pane ySplit="1" topLeftCell="A260" activePane="bottomLeft" state="frozen"/>
      <selection activeCell="A5" sqref="A5"/>
      <selection pane="bottomLeft" activeCell="K271" sqref="K271"/>
    </sheetView>
  </sheetViews>
  <sheetFormatPr defaultColWidth="11.42578125" defaultRowHeight="12.75" x14ac:dyDescent="0.2"/>
  <cols>
    <col min="1" max="1" width="3.42578125" style="2" customWidth="1"/>
    <col min="2" max="2" width="9.42578125" style="262" customWidth="1"/>
    <col min="3" max="3" width="10.85546875" style="262" customWidth="1"/>
    <col min="4" max="4" width="3" style="262" customWidth="1"/>
    <col min="5" max="6" width="10.85546875" style="262" customWidth="1"/>
    <col min="7" max="8" width="10.85546875" style="262" hidden="1" customWidth="1"/>
    <col min="9" max="9" width="10.85546875" style="262" customWidth="1"/>
    <col min="10" max="10" width="6.42578125" style="262" hidden="1" customWidth="1"/>
    <col min="11" max="11" width="19.42578125" style="262" customWidth="1"/>
    <col min="12" max="12" width="16.85546875" style="262" customWidth="1"/>
    <col min="13" max="15" width="10.85546875" style="262" hidden="1" customWidth="1"/>
    <col min="16" max="16" width="3.42578125" style="262" customWidth="1"/>
    <col min="17" max="17" width="10.85546875" style="262" customWidth="1"/>
    <col min="18" max="18" width="3" style="262" customWidth="1"/>
    <col min="19" max="20" width="10.85546875" style="262" customWidth="1"/>
    <col min="21" max="21" width="2.28515625" style="262" hidden="1" customWidth="1"/>
    <col min="22" max="22" width="13.7109375" style="262" hidden="1" customWidth="1"/>
    <col min="23" max="23" width="10.140625" style="262" hidden="1" customWidth="1"/>
    <col min="24" max="24" width="10.85546875" style="262" hidden="1" customWidth="1"/>
    <col min="25" max="25" width="3" style="262" customWidth="1"/>
    <col min="26" max="29" width="10.85546875" style="262" customWidth="1"/>
    <col min="30" max="30" width="11.42578125" style="262"/>
    <col min="35" max="16384" width="11.42578125" style="2"/>
  </cols>
  <sheetData>
    <row r="2" spans="2:30" ht="18" customHeight="1" x14ac:dyDescent="0.3">
      <c r="B2" s="270" t="s">
        <v>72</v>
      </c>
      <c r="C2" s="270"/>
      <c r="D2" s="270"/>
      <c r="E2" s="270"/>
      <c r="F2" s="270"/>
      <c r="G2" s="270"/>
      <c r="H2" s="270"/>
      <c r="I2" s="270"/>
      <c r="J2" s="270"/>
      <c r="K2" s="270"/>
      <c r="L2" s="270"/>
      <c r="M2" s="270"/>
      <c r="N2" s="270"/>
      <c r="O2" s="270"/>
      <c r="P2" s="270"/>
      <c r="Q2" s="270"/>
      <c r="R2" s="270"/>
      <c r="S2" s="270"/>
      <c r="T2" s="270"/>
      <c r="U2" s="270"/>
      <c r="V2" s="270"/>
      <c r="W2" s="270"/>
      <c r="X2" s="270"/>
      <c r="Y2" s="270"/>
      <c r="Z2" s="270"/>
      <c r="AA2" s="270"/>
      <c r="AB2" s="270"/>
      <c r="AC2" s="270"/>
      <c r="AD2" s="270"/>
    </row>
    <row r="3" spans="2:30" ht="18.75" x14ac:dyDescent="0.3">
      <c r="B3" s="277"/>
      <c r="C3" s="277"/>
      <c r="D3" s="277"/>
      <c r="E3" s="277"/>
      <c r="F3" s="355"/>
      <c r="G3" s="277"/>
      <c r="H3" s="283"/>
      <c r="I3" s="277"/>
      <c r="J3" s="277"/>
      <c r="K3" s="277"/>
      <c r="L3" s="355"/>
      <c r="M3" s="277"/>
      <c r="N3" s="277"/>
      <c r="O3" s="277"/>
      <c r="P3" s="277"/>
      <c r="Q3" s="277"/>
      <c r="R3" s="277"/>
      <c r="S3" s="277"/>
      <c r="T3" s="277"/>
      <c r="U3" s="277"/>
      <c r="V3" s="277"/>
      <c r="W3" s="59">
        <v>1408</v>
      </c>
      <c r="X3" s="29"/>
      <c r="Y3" s="29"/>
      <c r="Z3" s="29"/>
      <c r="AA3" s="279"/>
      <c r="AB3" s="279"/>
      <c r="AC3" s="279"/>
      <c r="AD3" s="279"/>
    </row>
    <row r="4" spans="2:30" ht="12.75" customHeight="1" x14ac:dyDescent="0.2">
      <c r="E4" s="274" t="s">
        <v>70</v>
      </c>
      <c r="F4" s="354"/>
      <c r="G4" s="274"/>
      <c r="H4" s="282"/>
      <c r="I4" s="274"/>
      <c r="J4" s="274"/>
      <c r="K4" s="274"/>
      <c r="L4" s="354"/>
      <c r="M4" s="274"/>
      <c r="N4" s="274"/>
      <c r="O4" s="274"/>
      <c r="Q4" s="41"/>
      <c r="S4" s="41"/>
      <c r="T4" s="41"/>
      <c r="U4" s="41"/>
      <c r="W4" s="59">
        <v>1242</v>
      </c>
      <c r="Z4" s="274" t="s">
        <v>71</v>
      </c>
      <c r="AA4" s="274"/>
      <c r="AB4" s="274"/>
      <c r="AC4" s="274"/>
      <c r="AD4" s="274"/>
    </row>
    <row r="5" spans="2:30" ht="51" x14ac:dyDescent="0.2">
      <c r="B5" s="3" t="s">
        <v>17</v>
      </c>
      <c r="C5" s="3" t="s">
        <v>18</v>
      </c>
      <c r="E5" s="3" t="s">
        <v>4</v>
      </c>
      <c r="F5" s="3" t="s">
        <v>397</v>
      </c>
      <c r="G5" s="3" t="s">
        <v>13</v>
      </c>
      <c r="H5" s="3" t="s">
        <v>367</v>
      </c>
      <c r="I5" s="3" t="s">
        <v>14</v>
      </c>
      <c r="J5" s="30" t="s">
        <v>69</v>
      </c>
      <c r="K5" s="3" t="s">
        <v>150</v>
      </c>
      <c r="L5" s="3" t="s">
        <v>398</v>
      </c>
      <c r="M5" s="3" t="s">
        <v>15</v>
      </c>
      <c r="N5" s="3" t="s">
        <v>77</v>
      </c>
      <c r="O5" s="3" t="s">
        <v>363</v>
      </c>
      <c r="Q5" s="3" t="s">
        <v>149</v>
      </c>
      <c r="S5" s="3" t="s">
        <v>173</v>
      </c>
      <c r="T5" s="3" t="s">
        <v>174</v>
      </c>
      <c r="V5" s="3" t="s">
        <v>16</v>
      </c>
      <c r="W5" s="263"/>
      <c r="X5" s="3" t="s">
        <v>76</v>
      </c>
      <c r="Z5" s="3" t="s">
        <v>66</v>
      </c>
      <c r="AA5" s="3" t="s">
        <v>395</v>
      </c>
      <c r="AB5" s="3" t="s">
        <v>67</v>
      </c>
      <c r="AC5" s="3" t="s">
        <v>68</v>
      </c>
      <c r="AD5" s="3" t="s">
        <v>364</v>
      </c>
    </row>
    <row r="6" spans="2:30" x14ac:dyDescent="0.2">
      <c r="B6" s="374">
        <v>41526</v>
      </c>
      <c r="C6" s="374">
        <v>41532</v>
      </c>
      <c r="D6" s="249"/>
      <c r="E6" s="375">
        <v>90092</v>
      </c>
      <c r="F6" s="375">
        <v>20444</v>
      </c>
      <c r="G6" s="375">
        <v>20444</v>
      </c>
      <c r="H6" s="375"/>
      <c r="I6" s="375">
        <v>459</v>
      </c>
      <c r="J6" s="375"/>
      <c r="K6" s="375" t="s">
        <v>145</v>
      </c>
      <c r="L6" s="375">
        <v>8762</v>
      </c>
      <c r="M6" s="35">
        <v>13667</v>
      </c>
      <c r="N6" s="35">
        <v>8762</v>
      </c>
      <c r="O6" s="35" t="s">
        <v>145</v>
      </c>
      <c r="P6" s="37"/>
      <c r="Q6" s="375" t="s">
        <v>145</v>
      </c>
      <c r="R6" s="37"/>
      <c r="S6" s="375" t="s">
        <v>145</v>
      </c>
      <c r="T6" s="375" t="s">
        <v>145</v>
      </c>
      <c r="U6" s="35"/>
      <c r="V6" s="35" t="s">
        <v>5</v>
      </c>
      <c r="W6" s="37"/>
      <c r="X6" s="35">
        <v>1198</v>
      </c>
      <c r="Y6" s="38"/>
      <c r="Z6" s="375">
        <v>49441</v>
      </c>
      <c r="AA6" s="375">
        <v>16892</v>
      </c>
      <c r="AB6" s="375">
        <v>6459</v>
      </c>
      <c r="AC6" s="375">
        <v>4927</v>
      </c>
      <c r="AD6" s="375">
        <v>12359</v>
      </c>
    </row>
    <row r="7" spans="2:30" ht="18.75" x14ac:dyDescent="0.3">
      <c r="B7" s="374">
        <v>41533</v>
      </c>
      <c r="C7" s="374">
        <v>41539</v>
      </c>
      <c r="D7" s="249"/>
      <c r="E7" s="375">
        <v>100010</v>
      </c>
      <c r="F7" s="375">
        <v>17226</v>
      </c>
      <c r="G7" s="375">
        <v>17226</v>
      </c>
      <c r="H7" s="375"/>
      <c r="I7" s="375">
        <v>390</v>
      </c>
      <c r="J7" s="375"/>
      <c r="K7" s="375" t="s">
        <v>145</v>
      </c>
      <c r="L7" s="375">
        <v>10222</v>
      </c>
      <c r="M7" s="35">
        <v>16293</v>
      </c>
      <c r="N7" s="35">
        <v>10222</v>
      </c>
      <c r="O7" s="35" t="s">
        <v>145</v>
      </c>
      <c r="P7" s="37"/>
      <c r="Q7" s="375" t="s">
        <v>145</v>
      </c>
      <c r="R7" s="37"/>
      <c r="S7" s="375" t="s">
        <v>145</v>
      </c>
      <c r="T7" s="375" t="s">
        <v>145</v>
      </c>
      <c r="U7" s="277"/>
      <c r="V7" s="35">
        <v>259088</v>
      </c>
      <c r="W7" s="37"/>
      <c r="X7" s="35">
        <v>1155</v>
      </c>
      <c r="Y7" s="38"/>
      <c r="Z7" s="375">
        <v>74806</v>
      </c>
      <c r="AA7" s="375">
        <v>15008</v>
      </c>
      <c r="AB7" s="375">
        <v>4271</v>
      </c>
      <c r="AC7" s="375">
        <v>4857</v>
      </c>
      <c r="AD7" s="375">
        <v>1058</v>
      </c>
    </row>
    <row r="8" spans="2:30" x14ac:dyDescent="0.2">
      <c r="B8" s="374">
        <v>41540</v>
      </c>
      <c r="C8" s="374">
        <v>41546</v>
      </c>
      <c r="D8" s="249"/>
      <c r="E8" s="375">
        <v>132190</v>
      </c>
      <c r="F8" s="375">
        <v>24413</v>
      </c>
      <c r="G8" s="375">
        <v>24413</v>
      </c>
      <c r="H8" s="375"/>
      <c r="I8" s="375">
        <v>590</v>
      </c>
      <c r="J8" s="375"/>
      <c r="K8" s="375" t="s">
        <v>145</v>
      </c>
      <c r="L8" s="375">
        <v>14135</v>
      </c>
      <c r="M8" s="35">
        <v>24390</v>
      </c>
      <c r="N8" s="35">
        <v>14135</v>
      </c>
      <c r="O8" s="35" t="s">
        <v>145</v>
      </c>
      <c r="P8" s="37"/>
      <c r="Q8" s="375" t="s">
        <v>145</v>
      </c>
      <c r="R8" s="37"/>
      <c r="S8" s="375" t="s">
        <v>145</v>
      </c>
      <c r="T8" s="375" t="s">
        <v>145</v>
      </c>
      <c r="V8" s="35">
        <v>428082</v>
      </c>
      <c r="W8" s="37"/>
      <c r="X8" s="35">
        <v>12229</v>
      </c>
      <c r="Y8" s="38"/>
      <c r="Z8" s="375">
        <v>97082</v>
      </c>
      <c r="AA8" s="375">
        <v>16755</v>
      </c>
      <c r="AB8" s="375">
        <v>5256</v>
      </c>
      <c r="AC8" s="375">
        <v>4828</v>
      </c>
      <c r="AD8" s="375">
        <v>8246</v>
      </c>
    </row>
    <row r="9" spans="2:30" x14ac:dyDescent="0.2">
      <c r="B9" s="374">
        <v>41547</v>
      </c>
      <c r="C9" s="374">
        <v>41553</v>
      </c>
      <c r="D9" s="249"/>
      <c r="E9" s="375">
        <v>139951</v>
      </c>
      <c r="F9" s="375">
        <v>30102</v>
      </c>
      <c r="G9" s="375">
        <v>30102</v>
      </c>
      <c r="H9" s="375"/>
      <c r="I9" s="375">
        <v>509</v>
      </c>
      <c r="J9" s="375"/>
      <c r="K9" s="375" t="s">
        <v>145</v>
      </c>
      <c r="L9" s="375">
        <v>13538</v>
      </c>
      <c r="M9" s="35">
        <v>23340</v>
      </c>
      <c r="N9" s="35">
        <v>13538</v>
      </c>
      <c r="O9" s="35" t="s">
        <v>145</v>
      </c>
      <c r="P9" s="37"/>
      <c r="Q9" s="375" t="s">
        <v>145</v>
      </c>
      <c r="R9" s="37"/>
      <c r="S9" s="375" t="s">
        <v>145</v>
      </c>
      <c r="T9" s="375" t="s">
        <v>145</v>
      </c>
      <c r="V9" s="35">
        <v>482260</v>
      </c>
      <c r="W9" s="37"/>
      <c r="X9" s="35">
        <v>19863</v>
      </c>
      <c r="Y9" s="38"/>
      <c r="Z9" s="375">
        <v>115489</v>
      </c>
      <c r="AA9" s="375">
        <v>14233</v>
      </c>
      <c r="AB9" s="375">
        <v>3914</v>
      </c>
      <c r="AC9" s="375">
        <v>4644</v>
      </c>
      <c r="AD9" s="375">
        <v>1664</v>
      </c>
    </row>
    <row r="10" spans="2:30" x14ac:dyDescent="0.2">
      <c r="B10" s="374">
        <v>41554</v>
      </c>
      <c r="C10" s="374">
        <v>41560</v>
      </c>
      <c r="D10" s="249"/>
      <c r="E10" s="375">
        <v>101003</v>
      </c>
      <c r="F10" s="375">
        <v>24876</v>
      </c>
      <c r="G10" s="375">
        <v>24876</v>
      </c>
      <c r="H10" s="375"/>
      <c r="I10" s="375">
        <v>384</v>
      </c>
      <c r="J10" s="375"/>
      <c r="K10" s="375" t="s">
        <v>145</v>
      </c>
      <c r="L10" s="375">
        <v>11312</v>
      </c>
      <c r="M10" s="35">
        <v>18841</v>
      </c>
      <c r="N10" s="35">
        <v>11312</v>
      </c>
      <c r="O10" s="35" t="s">
        <v>145</v>
      </c>
      <c r="P10" s="37"/>
      <c r="Q10" s="375" t="s">
        <v>145</v>
      </c>
      <c r="R10" s="37"/>
      <c r="S10" s="375" t="s">
        <v>145</v>
      </c>
      <c r="T10" s="375" t="s">
        <v>145</v>
      </c>
      <c r="U10" s="37"/>
      <c r="V10" s="35">
        <v>373662</v>
      </c>
      <c r="W10" s="37"/>
      <c r="X10" s="35">
        <v>12717</v>
      </c>
      <c r="Y10" s="38"/>
      <c r="Z10" s="375">
        <v>81722</v>
      </c>
      <c r="AA10" s="375">
        <v>11897</v>
      </c>
      <c r="AB10" s="375">
        <v>3125</v>
      </c>
      <c r="AC10" s="375">
        <v>3673</v>
      </c>
      <c r="AD10" s="375">
        <v>581</v>
      </c>
    </row>
    <row r="11" spans="2:30" x14ac:dyDescent="0.2">
      <c r="B11" s="374">
        <v>41561</v>
      </c>
      <c r="C11" s="374">
        <v>41567</v>
      </c>
      <c r="D11" s="249"/>
      <c r="E11" s="375">
        <v>14729</v>
      </c>
      <c r="F11" s="375">
        <v>14840</v>
      </c>
      <c r="G11" s="375">
        <v>14840</v>
      </c>
      <c r="H11" s="375"/>
      <c r="I11" s="375">
        <v>68</v>
      </c>
      <c r="J11" s="375"/>
      <c r="K11" s="375" t="s">
        <v>145</v>
      </c>
      <c r="L11" s="375">
        <v>1636</v>
      </c>
      <c r="M11" s="35">
        <v>2892</v>
      </c>
      <c r="N11" s="35">
        <v>1636</v>
      </c>
      <c r="O11" s="35" t="s">
        <v>145</v>
      </c>
      <c r="P11" s="38"/>
      <c r="Q11" s="375" t="s">
        <v>145</v>
      </c>
      <c r="R11" s="38"/>
      <c r="S11" s="375" t="s">
        <v>145</v>
      </c>
      <c r="T11" s="375" t="s">
        <v>145</v>
      </c>
      <c r="U11" s="37"/>
      <c r="V11" s="35">
        <v>220862</v>
      </c>
      <c r="W11" s="38"/>
      <c r="X11" s="35">
        <v>3439</v>
      </c>
      <c r="Y11" s="38"/>
      <c r="Z11" s="375">
        <v>1870</v>
      </c>
      <c r="AA11" s="375">
        <v>6904</v>
      </c>
      <c r="AB11" s="375">
        <v>2418</v>
      </c>
      <c r="AC11" s="375">
        <v>3107</v>
      </c>
      <c r="AD11" s="375">
        <v>423</v>
      </c>
    </row>
    <row r="12" spans="2:30" x14ac:dyDescent="0.2">
      <c r="B12" s="374">
        <v>41568</v>
      </c>
      <c r="C12" s="374">
        <v>41574</v>
      </c>
      <c r="D12" s="249"/>
      <c r="E12" s="375">
        <v>12853</v>
      </c>
      <c r="F12" s="375">
        <v>15523</v>
      </c>
      <c r="G12" s="375">
        <v>15523</v>
      </c>
      <c r="H12" s="375"/>
      <c r="I12" s="375">
        <v>65</v>
      </c>
      <c r="J12" s="375"/>
      <c r="K12" s="375" t="s">
        <v>145</v>
      </c>
      <c r="L12" s="375">
        <v>1627</v>
      </c>
      <c r="M12" s="35">
        <v>2851</v>
      </c>
      <c r="N12" s="35">
        <v>1627</v>
      </c>
      <c r="O12" s="35" t="s">
        <v>145</v>
      </c>
      <c r="P12" s="38"/>
      <c r="Q12" s="375" t="s">
        <v>145</v>
      </c>
      <c r="R12" s="38"/>
      <c r="S12" s="375" t="s">
        <v>145</v>
      </c>
      <c r="T12" s="375" t="s">
        <v>145</v>
      </c>
      <c r="U12" s="37"/>
      <c r="V12" s="35">
        <v>227027</v>
      </c>
      <c r="W12" s="38"/>
      <c r="X12" s="35">
        <v>2278</v>
      </c>
      <c r="Y12" s="38"/>
      <c r="Z12" s="375">
        <v>1195</v>
      </c>
      <c r="AA12" s="375">
        <v>6294</v>
      </c>
      <c r="AB12" s="375">
        <v>2316</v>
      </c>
      <c r="AC12" s="375">
        <v>2747</v>
      </c>
      <c r="AD12" s="375">
        <v>298</v>
      </c>
    </row>
    <row r="13" spans="2:30" x14ac:dyDescent="0.2">
      <c r="B13" s="374">
        <v>41575</v>
      </c>
      <c r="C13" s="374">
        <v>41581</v>
      </c>
      <c r="D13" s="249"/>
      <c r="E13" s="375">
        <v>14803</v>
      </c>
      <c r="F13" s="375">
        <v>16048</v>
      </c>
      <c r="G13" s="375">
        <v>16048</v>
      </c>
      <c r="H13" s="375" t="s">
        <v>145</v>
      </c>
      <c r="I13" s="375">
        <v>77</v>
      </c>
      <c r="J13" s="375"/>
      <c r="K13" s="375" t="s">
        <v>145</v>
      </c>
      <c r="L13" s="375">
        <v>1708</v>
      </c>
      <c r="M13" s="35">
        <v>3223</v>
      </c>
      <c r="N13" s="35">
        <v>1708</v>
      </c>
      <c r="O13" s="35" t="s">
        <v>145</v>
      </c>
      <c r="P13" s="38"/>
      <c r="Q13" s="375" t="s">
        <v>145</v>
      </c>
      <c r="R13" s="38"/>
      <c r="S13" s="375" t="s">
        <v>145</v>
      </c>
      <c r="T13" s="375" t="s">
        <v>145</v>
      </c>
      <c r="U13" s="37"/>
      <c r="V13" s="35">
        <v>241160</v>
      </c>
      <c r="W13" s="38"/>
      <c r="X13" s="35">
        <v>1923</v>
      </c>
      <c r="Y13" s="38"/>
      <c r="Z13" s="375">
        <v>1099</v>
      </c>
      <c r="AA13" s="375">
        <v>7470</v>
      </c>
      <c r="AB13" s="375">
        <v>2751</v>
      </c>
      <c r="AC13" s="375">
        <v>3240</v>
      </c>
      <c r="AD13" s="375">
        <v>234</v>
      </c>
    </row>
    <row r="14" spans="2:30" x14ac:dyDescent="0.2">
      <c r="B14" s="374">
        <v>41582</v>
      </c>
      <c r="C14" s="374">
        <v>41588</v>
      </c>
      <c r="D14" s="249"/>
      <c r="E14" s="375">
        <v>29321</v>
      </c>
      <c r="F14" s="375">
        <v>19267</v>
      </c>
      <c r="G14" s="375">
        <v>19267</v>
      </c>
      <c r="H14" s="375" t="s">
        <v>145</v>
      </c>
      <c r="I14" s="375">
        <v>183</v>
      </c>
      <c r="J14" s="375"/>
      <c r="K14" s="375" t="s">
        <v>145</v>
      </c>
      <c r="L14" s="375">
        <v>4349</v>
      </c>
      <c r="M14" s="35">
        <v>7170</v>
      </c>
      <c r="N14" s="35">
        <v>4349</v>
      </c>
      <c r="O14" s="35" t="s">
        <v>145</v>
      </c>
      <c r="P14" s="38"/>
      <c r="Q14" s="375" t="s">
        <v>145</v>
      </c>
      <c r="R14" s="38"/>
      <c r="S14" s="375" t="s">
        <v>145</v>
      </c>
      <c r="T14" s="375" t="s">
        <v>145</v>
      </c>
      <c r="U14" s="37"/>
      <c r="V14" s="35">
        <v>292985</v>
      </c>
      <c r="W14" s="38"/>
      <c r="X14" s="35">
        <v>2981</v>
      </c>
      <c r="Y14" s="38"/>
      <c r="Z14" s="375">
        <v>995</v>
      </c>
      <c r="AA14" s="375">
        <v>14579</v>
      </c>
      <c r="AB14" s="375">
        <v>3742</v>
      </c>
      <c r="AC14" s="375">
        <v>9712</v>
      </c>
      <c r="AD14" s="375">
        <v>286</v>
      </c>
    </row>
    <row r="15" spans="2:30" x14ac:dyDescent="0.2">
      <c r="B15" s="374">
        <v>41589</v>
      </c>
      <c r="C15" s="374">
        <v>41595</v>
      </c>
      <c r="D15" s="249"/>
      <c r="E15" s="375">
        <v>77725</v>
      </c>
      <c r="F15" s="375">
        <v>24789</v>
      </c>
      <c r="G15" s="375">
        <v>24789</v>
      </c>
      <c r="H15" s="375" t="s">
        <v>145</v>
      </c>
      <c r="I15" s="375">
        <v>313</v>
      </c>
      <c r="J15" s="375"/>
      <c r="K15" s="375" t="s">
        <v>145</v>
      </c>
      <c r="L15" s="375">
        <v>10136</v>
      </c>
      <c r="M15" s="35">
        <v>18074</v>
      </c>
      <c r="N15" s="35">
        <v>10136</v>
      </c>
      <c r="O15" s="35" t="s">
        <v>145</v>
      </c>
      <c r="P15" s="38"/>
      <c r="Q15" s="375" t="s">
        <v>145</v>
      </c>
      <c r="R15" s="38"/>
      <c r="S15" s="375" t="s">
        <v>145</v>
      </c>
      <c r="T15" s="375" t="s">
        <v>145</v>
      </c>
      <c r="U15" s="38"/>
      <c r="V15" s="35">
        <v>370435</v>
      </c>
      <c r="W15" s="38"/>
      <c r="X15" s="35">
        <v>4608</v>
      </c>
      <c r="Y15" s="38"/>
      <c r="Z15" s="375">
        <v>28693</v>
      </c>
      <c r="AA15" s="375">
        <v>18761</v>
      </c>
      <c r="AB15" s="375">
        <v>4293</v>
      </c>
      <c r="AC15" s="375">
        <v>8171</v>
      </c>
      <c r="AD15" s="375">
        <v>17796</v>
      </c>
    </row>
    <row r="16" spans="2:30" x14ac:dyDescent="0.2">
      <c r="B16" s="374">
        <v>41596</v>
      </c>
      <c r="C16" s="374">
        <v>41602</v>
      </c>
      <c r="D16" s="249"/>
      <c r="E16" s="375">
        <v>63959</v>
      </c>
      <c r="F16" s="375">
        <v>16927</v>
      </c>
      <c r="G16" s="375">
        <v>16927</v>
      </c>
      <c r="H16" s="375" t="s">
        <v>145</v>
      </c>
      <c r="I16" s="375">
        <v>176</v>
      </c>
      <c r="J16" s="375"/>
      <c r="K16" s="375" t="s">
        <v>145</v>
      </c>
      <c r="L16" s="375">
        <v>9083</v>
      </c>
      <c r="M16" s="35">
        <v>16319</v>
      </c>
      <c r="N16" s="35">
        <v>9083</v>
      </c>
      <c r="O16" s="35" t="s">
        <v>145</v>
      </c>
      <c r="P16" s="38"/>
      <c r="Q16" s="375" t="s">
        <v>145</v>
      </c>
      <c r="R16" s="38"/>
      <c r="S16" s="375" t="s">
        <v>145</v>
      </c>
      <c r="T16" s="375" t="s">
        <v>145</v>
      </c>
      <c r="U16" s="38"/>
      <c r="V16" s="35">
        <v>312825</v>
      </c>
      <c r="W16" s="38"/>
      <c r="X16" s="35">
        <v>2145</v>
      </c>
      <c r="Y16" s="38"/>
      <c r="Z16" s="375">
        <v>43209</v>
      </c>
      <c r="AA16" s="375">
        <v>12258</v>
      </c>
      <c r="AB16" s="375">
        <v>3118</v>
      </c>
      <c r="AC16" s="375">
        <v>4246</v>
      </c>
      <c r="AD16" s="375">
        <v>1122</v>
      </c>
    </row>
    <row r="17" spans="2:34" x14ac:dyDescent="0.2">
      <c r="B17" s="374">
        <v>41603</v>
      </c>
      <c r="C17" s="374">
        <v>41609</v>
      </c>
      <c r="D17" s="249"/>
      <c r="E17" s="375">
        <v>45568</v>
      </c>
      <c r="F17" s="375">
        <v>11359</v>
      </c>
      <c r="G17" s="375">
        <v>11359</v>
      </c>
      <c r="H17" s="375" t="s">
        <v>145</v>
      </c>
      <c r="I17" s="375">
        <v>138</v>
      </c>
      <c r="J17" s="375"/>
      <c r="K17" s="375" t="s">
        <v>145</v>
      </c>
      <c r="L17" s="375">
        <v>6362</v>
      </c>
      <c r="M17" s="35">
        <v>10956</v>
      </c>
      <c r="N17" s="35">
        <v>6362</v>
      </c>
      <c r="O17" s="35" t="s">
        <v>145</v>
      </c>
      <c r="P17" s="38"/>
      <c r="Q17" s="375" t="s">
        <v>145</v>
      </c>
      <c r="R17" s="38"/>
      <c r="S17" s="375" t="s">
        <v>145</v>
      </c>
      <c r="T17" s="375" t="s">
        <v>145</v>
      </c>
      <c r="U17" s="38"/>
      <c r="V17" s="35">
        <v>228258</v>
      </c>
      <c r="W17" s="38"/>
      <c r="X17" s="35">
        <v>1675</v>
      </c>
      <c r="Y17" s="38"/>
      <c r="Z17" s="375">
        <v>32113</v>
      </c>
      <c r="AA17" s="375">
        <v>7996</v>
      </c>
      <c r="AB17" s="375">
        <v>2178</v>
      </c>
      <c r="AC17" s="375">
        <v>2730</v>
      </c>
      <c r="AD17" s="375">
        <v>548</v>
      </c>
    </row>
    <row r="18" spans="2:34" s="39" customFormat="1" x14ac:dyDescent="0.2">
      <c r="B18" s="374">
        <v>41610</v>
      </c>
      <c r="C18" s="374">
        <v>41616</v>
      </c>
      <c r="D18" s="249"/>
      <c r="E18" s="375">
        <v>58044</v>
      </c>
      <c r="F18" s="375">
        <v>15294</v>
      </c>
      <c r="G18" s="375">
        <v>15294</v>
      </c>
      <c r="H18" s="375" t="s">
        <v>145</v>
      </c>
      <c r="I18" s="375">
        <v>164</v>
      </c>
      <c r="J18" s="375"/>
      <c r="K18" s="375" t="s">
        <v>145</v>
      </c>
      <c r="L18" s="375">
        <v>8310</v>
      </c>
      <c r="M18" s="35">
        <v>14884</v>
      </c>
      <c r="N18" s="35">
        <v>8310</v>
      </c>
      <c r="O18" s="35" t="s">
        <v>145</v>
      </c>
      <c r="P18" s="38"/>
      <c r="Q18" s="375" t="s">
        <v>145</v>
      </c>
      <c r="R18" s="38"/>
      <c r="S18" s="375" t="s">
        <v>145</v>
      </c>
      <c r="T18" s="375" t="s">
        <v>145</v>
      </c>
      <c r="U18" s="38"/>
      <c r="V18" s="35">
        <v>295917</v>
      </c>
      <c r="W18" s="38"/>
      <c r="X18" s="35">
        <v>3337</v>
      </c>
      <c r="Y18" s="38"/>
      <c r="Z18" s="375">
        <v>40878</v>
      </c>
      <c r="AA18" s="375">
        <v>10143</v>
      </c>
      <c r="AB18" s="375">
        <v>2855</v>
      </c>
      <c r="AC18" s="375">
        <v>3670</v>
      </c>
      <c r="AD18" s="375">
        <v>493</v>
      </c>
      <c r="AE18"/>
      <c r="AF18"/>
      <c r="AG18"/>
      <c r="AH18"/>
    </row>
    <row r="19" spans="2:34" s="39" customFormat="1" x14ac:dyDescent="0.2">
      <c r="B19" s="374">
        <v>41617</v>
      </c>
      <c r="C19" s="374">
        <v>41623</v>
      </c>
      <c r="D19" s="249"/>
      <c r="E19" s="375">
        <v>69669</v>
      </c>
      <c r="F19" s="375">
        <v>15846</v>
      </c>
      <c r="G19" s="375">
        <v>15846</v>
      </c>
      <c r="H19" s="375" t="s">
        <v>145</v>
      </c>
      <c r="I19" s="375">
        <v>252</v>
      </c>
      <c r="J19" s="375"/>
      <c r="K19" s="375" t="s">
        <v>145</v>
      </c>
      <c r="L19" s="375">
        <v>10176</v>
      </c>
      <c r="M19" s="35">
        <v>17231</v>
      </c>
      <c r="N19" s="35">
        <v>10176</v>
      </c>
      <c r="O19" s="35" t="s">
        <v>145</v>
      </c>
      <c r="P19" s="38"/>
      <c r="Q19" s="375" t="s">
        <v>145</v>
      </c>
      <c r="R19" s="38"/>
      <c r="S19" s="375" t="s">
        <v>145</v>
      </c>
      <c r="T19" s="375" t="s">
        <v>145</v>
      </c>
      <c r="U19" s="38"/>
      <c r="V19" s="35">
        <v>308177</v>
      </c>
      <c r="W19" s="38"/>
      <c r="X19" s="35">
        <v>1475</v>
      </c>
      <c r="Y19" s="38"/>
      <c r="Z19" s="375">
        <v>39045</v>
      </c>
      <c r="AA19" s="375">
        <v>11962</v>
      </c>
      <c r="AB19" s="375">
        <v>3517</v>
      </c>
      <c r="AC19" s="375">
        <v>3937</v>
      </c>
      <c r="AD19" s="375">
        <v>11206</v>
      </c>
      <c r="AE19"/>
      <c r="AF19"/>
      <c r="AG19"/>
      <c r="AH19"/>
    </row>
    <row r="20" spans="2:34" s="32" customFormat="1" x14ac:dyDescent="0.2">
      <c r="B20" s="374">
        <v>41624</v>
      </c>
      <c r="C20" s="374">
        <v>41630</v>
      </c>
      <c r="D20" s="51"/>
      <c r="E20" s="375">
        <v>50121</v>
      </c>
      <c r="F20" s="375">
        <v>12604</v>
      </c>
      <c r="G20" s="375">
        <v>12604</v>
      </c>
      <c r="H20" s="375" t="s">
        <v>145</v>
      </c>
      <c r="I20" s="375">
        <v>176</v>
      </c>
      <c r="J20" s="375"/>
      <c r="K20" s="375" t="s">
        <v>145</v>
      </c>
      <c r="L20" s="375">
        <v>7239</v>
      </c>
      <c r="M20" s="49">
        <v>12702</v>
      </c>
      <c r="N20" s="49">
        <v>7239</v>
      </c>
      <c r="O20" s="35" t="s">
        <v>145</v>
      </c>
      <c r="P20" s="52"/>
      <c r="Q20" s="375" t="s">
        <v>145</v>
      </c>
      <c r="R20" s="52"/>
      <c r="S20" s="375" t="s">
        <v>145</v>
      </c>
      <c r="T20" s="375" t="s">
        <v>145</v>
      </c>
      <c r="U20" s="38"/>
      <c r="V20" s="49">
        <v>253302</v>
      </c>
      <c r="W20" s="52"/>
      <c r="X20" s="49">
        <v>882</v>
      </c>
      <c r="Y20" s="52"/>
      <c r="Z20" s="375">
        <v>31715</v>
      </c>
      <c r="AA20" s="375">
        <v>8861</v>
      </c>
      <c r="AB20" s="375">
        <v>2667</v>
      </c>
      <c r="AC20" s="375">
        <v>2988</v>
      </c>
      <c r="AD20" s="375">
        <v>3882</v>
      </c>
      <c r="AE20"/>
      <c r="AF20"/>
      <c r="AG20"/>
      <c r="AH20"/>
    </row>
    <row r="21" spans="2:34" s="39" customFormat="1" x14ac:dyDescent="0.2">
      <c r="B21" s="374">
        <v>41631</v>
      </c>
      <c r="C21" s="374">
        <v>41637</v>
      </c>
      <c r="D21" s="249"/>
      <c r="E21" s="375">
        <v>59700</v>
      </c>
      <c r="F21" s="375">
        <v>13665</v>
      </c>
      <c r="G21" s="375">
        <v>13665</v>
      </c>
      <c r="H21" s="375" t="s">
        <v>145</v>
      </c>
      <c r="I21" s="375">
        <v>272</v>
      </c>
      <c r="J21" s="375"/>
      <c r="K21" s="375" t="s">
        <v>145</v>
      </c>
      <c r="L21" s="375">
        <v>6667</v>
      </c>
      <c r="M21" s="35">
        <v>14278</v>
      </c>
      <c r="N21" s="35">
        <v>6667</v>
      </c>
      <c r="O21" s="35" t="s">
        <v>145</v>
      </c>
      <c r="P21" s="38"/>
      <c r="Q21" s="375" t="s">
        <v>145</v>
      </c>
      <c r="R21" s="38"/>
      <c r="S21" s="375" t="s">
        <v>145</v>
      </c>
      <c r="T21" s="375" t="s">
        <v>145</v>
      </c>
      <c r="U21" s="38"/>
      <c r="V21" s="35">
        <v>231997</v>
      </c>
      <c r="W21" s="38"/>
      <c r="X21" s="35">
        <v>690</v>
      </c>
      <c r="Y21" s="38"/>
      <c r="Z21" s="375">
        <v>29829</v>
      </c>
      <c r="AA21" s="375">
        <v>9576</v>
      </c>
      <c r="AB21" s="375">
        <v>2268</v>
      </c>
      <c r="AC21" s="375">
        <v>2522</v>
      </c>
      <c r="AD21" s="375">
        <v>15498</v>
      </c>
      <c r="AE21"/>
      <c r="AF21"/>
      <c r="AG21"/>
      <c r="AH21"/>
    </row>
    <row r="22" spans="2:34" s="40" customFormat="1" x14ac:dyDescent="0.2">
      <c r="B22" s="374">
        <v>41638</v>
      </c>
      <c r="C22" s="374">
        <v>41644</v>
      </c>
      <c r="D22" s="249"/>
      <c r="E22" s="375">
        <v>47958</v>
      </c>
      <c r="F22" s="375">
        <v>13159</v>
      </c>
      <c r="G22" s="375">
        <v>13159</v>
      </c>
      <c r="H22" s="375" t="s">
        <v>145</v>
      </c>
      <c r="I22" s="375">
        <v>147</v>
      </c>
      <c r="J22" s="375"/>
      <c r="K22" s="375" t="s">
        <v>145</v>
      </c>
      <c r="L22" s="375">
        <v>6028</v>
      </c>
      <c r="M22" s="35">
        <v>12859</v>
      </c>
      <c r="N22" s="35">
        <v>6028</v>
      </c>
      <c r="O22" s="35" t="s">
        <v>145</v>
      </c>
      <c r="P22" s="38"/>
      <c r="Q22" s="375" t="s">
        <v>145</v>
      </c>
      <c r="R22" s="38"/>
      <c r="S22" s="375" t="s">
        <v>145</v>
      </c>
      <c r="T22" s="375" t="s">
        <v>145</v>
      </c>
      <c r="U22" s="38"/>
      <c r="V22" s="35">
        <v>253751</v>
      </c>
      <c r="W22" s="38"/>
      <c r="X22" s="35">
        <v>847</v>
      </c>
      <c r="Y22" s="38"/>
      <c r="Z22" s="375">
        <v>31357</v>
      </c>
      <c r="AA22" s="375">
        <v>8770</v>
      </c>
      <c r="AB22" s="375">
        <v>2674</v>
      </c>
      <c r="AC22" s="375">
        <v>3237</v>
      </c>
      <c r="AD22" s="375">
        <v>1918</v>
      </c>
      <c r="AE22"/>
      <c r="AF22"/>
      <c r="AG22"/>
      <c r="AH22"/>
    </row>
    <row r="23" spans="2:34" s="40" customFormat="1" x14ac:dyDescent="0.2">
      <c r="B23" s="374">
        <v>41645</v>
      </c>
      <c r="C23" s="374">
        <v>41651</v>
      </c>
      <c r="D23" s="249"/>
      <c r="E23" s="375">
        <v>47985</v>
      </c>
      <c r="F23" s="375">
        <v>15361</v>
      </c>
      <c r="G23" s="375">
        <v>15361</v>
      </c>
      <c r="H23" s="375" t="s">
        <v>145</v>
      </c>
      <c r="I23" s="375">
        <v>157</v>
      </c>
      <c r="J23" s="375"/>
      <c r="K23" s="375" t="s">
        <v>145</v>
      </c>
      <c r="L23" s="375">
        <v>6477</v>
      </c>
      <c r="M23" s="35">
        <v>13387</v>
      </c>
      <c r="N23" s="35">
        <v>6477</v>
      </c>
      <c r="O23" s="35" t="s">
        <v>145</v>
      </c>
      <c r="P23" s="38"/>
      <c r="Q23" s="375" t="s">
        <v>145</v>
      </c>
      <c r="R23" s="38"/>
      <c r="S23" s="375" t="s">
        <v>145</v>
      </c>
      <c r="T23" s="375" t="s">
        <v>145</v>
      </c>
      <c r="U23" s="38"/>
      <c r="V23" s="35">
        <v>286789</v>
      </c>
      <c r="W23" s="38"/>
      <c r="X23" s="35">
        <v>1178</v>
      </c>
      <c r="Y23" s="38"/>
      <c r="Z23" s="375">
        <v>29043</v>
      </c>
      <c r="AA23" s="375">
        <v>10505</v>
      </c>
      <c r="AB23" s="375">
        <v>3617</v>
      </c>
      <c r="AC23" s="375">
        <v>3800</v>
      </c>
      <c r="AD23" s="375">
        <v>1018</v>
      </c>
      <c r="AE23"/>
      <c r="AF23"/>
      <c r="AG23"/>
      <c r="AH23"/>
    </row>
    <row r="24" spans="2:34" s="40" customFormat="1" x14ac:dyDescent="0.2">
      <c r="B24" s="374">
        <v>41652</v>
      </c>
      <c r="C24" s="374">
        <v>41658</v>
      </c>
      <c r="D24" s="249"/>
      <c r="E24" s="375">
        <v>46581</v>
      </c>
      <c r="F24" s="375">
        <v>15796</v>
      </c>
      <c r="G24" s="375">
        <v>15796</v>
      </c>
      <c r="H24" s="375" t="s">
        <v>145</v>
      </c>
      <c r="I24" s="375">
        <v>166</v>
      </c>
      <c r="J24" s="375"/>
      <c r="K24" s="375" t="s">
        <v>145</v>
      </c>
      <c r="L24" s="375">
        <v>6563</v>
      </c>
      <c r="M24" s="35">
        <v>13812</v>
      </c>
      <c r="N24" s="35">
        <v>6563</v>
      </c>
      <c r="O24" s="35" t="s">
        <v>145</v>
      </c>
      <c r="P24" s="38"/>
      <c r="Q24" s="375" t="s">
        <v>145</v>
      </c>
      <c r="R24" s="38"/>
      <c r="S24" s="375" t="s">
        <v>145</v>
      </c>
      <c r="T24" s="375" t="s">
        <v>145</v>
      </c>
      <c r="U24" s="52"/>
      <c r="V24" s="35">
        <v>292971</v>
      </c>
      <c r="W24" s="38"/>
      <c r="X24" s="35">
        <v>1497</v>
      </c>
      <c r="Y24" s="38"/>
      <c r="Z24" s="375">
        <v>29261</v>
      </c>
      <c r="AA24" s="375">
        <v>9960</v>
      </c>
      <c r="AB24" s="375">
        <v>2997</v>
      </c>
      <c r="AC24" s="375">
        <v>3700</v>
      </c>
      <c r="AD24" s="375">
        <v>658</v>
      </c>
      <c r="AE24"/>
      <c r="AF24"/>
      <c r="AG24"/>
      <c r="AH24"/>
    </row>
    <row r="25" spans="2:34" s="40" customFormat="1" x14ac:dyDescent="0.2">
      <c r="B25" s="374">
        <v>41659</v>
      </c>
      <c r="C25" s="374">
        <v>41665</v>
      </c>
      <c r="D25" s="249"/>
      <c r="E25" s="375">
        <v>44805</v>
      </c>
      <c r="F25" s="375">
        <v>14517</v>
      </c>
      <c r="G25" s="375">
        <v>14517</v>
      </c>
      <c r="H25" s="375" t="s">
        <v>145</v>
      </c>
      <c r="I25" s="375">
        <v>163</v>
      </c>
      <c r="J25" s="375"/>
      <c r="K25" s="375" t="s">
        <v>145</v>
      </c>
      <c r="L25" s="375">
        <v>5718</v>
      </c>
      <c r="M25" s="35">
        <v>12550</v>
      </c>
      <c r="N25" s="35">
        <v>5718</v>
      </c>
      <c r="O25" s="35" t="s">
        <v>145</v>
      </c>
      <c r="P25" s="38"/>
      <c r="Q25" s="375" t="s">
        <v>145</v>
      </c>
      <c r="R25" s="38"/>
      <c r="S25" s="375" t="s">
        <v>145</v>
      </c>
      <c r="T25" s="375" t="s">
        <v>145</v>
      </c>
      <c r="U25" s="38"/>
      <c r="V25" s="35">
        <v>265708</v>
      </c>
      <c r="W25" s="38"/>
      <c r="X25" s="35">
        <v>858</v>
      </c>
      <c r="Y25" s="38"/>
      <c r="Z25" s="375">
        <v>28933</v>
      </c>
      <c r="AA25" s="375">
        <v>9291</v>
      </c>
      <c r="AB25" s="375">
        <v>2818</v>
      </c>
      <c r="AC25" s="375">
        <v>3293</v>
      </c>
      <c r="AD25" s="375">
        <v>462</v>
      </c>
      <c r="AE25"/>
      <c r="AF25"/>
      <c r="AG25"/>
      <c r="AH25"/>
    </row>
    <row r="26" spans="2:34" s="42" customFormat="1" x14ac:dyDescent="0.2">
      <c r="B26" s="374">
        <v>41666</v>
      </c>
      <c r="C26" s="374">
        <v>41672</v>
      </c>
      <c r="D26" s="249"/>
      <c r="E26" s="375">
        <v>43283</v>
      </c>
      <c r="F26" s="375">
        <v>14768</v>
      </c>
      <c r="G26" s="375">
        <v>14768</v>
      </c>
      <c r="H26" s="375" t="s">
        <v>145</v>
      </c>
      <c r="I26" s="375">
        <v>142</v>
      </c>
      <c r="J26" s="375"/>
      <c r="K26" s="375" t="s">
        <v>145</v>
      </c>
      <c r="L26" s="375">
        <v>5291</v>
      </c>
      <c r="M26" s="35">
        <v>11849</v>
      </c>
      <c r="N26" s="35">
        <v>5291</v>
      </c>
      <c r="O26" s="35" t="s">
        <v>145</v>
      </c>
      <c r="P26" s="38"/>
      <c r="Q26" s="375" t="s">
        <v>145</v>
      </c>
      <c r="R26" s="38"/>
      <c r="S26" s="375" t="s">
        <v>145</v>
      </c>
      <c r="T26" s="375" t="s">
        <v>145</v>
      </c>
      <c r="U26" s="38"/>
      <c r="V26" s="35">
        <v>275536</v>
      </c>
      <c r="W26" s="38"/>
      <c r="X26" s="35">
        <v>1060</v>
      </c>
      <c r="Y26" s="38"/>
      <c r="Z26" s="375">
        <v>27235</v>
      </c>
      <c r="AA26" s="375">
        <v>9547</v>
      </c>
      <c r="AB26" s="375">
        <v>2877</v>
      </c>
      <c r="AC26" s="375">
        <v>3262</v>
      </c>
      <c r="AD26" s="375">
        <v>358</v>
      </c>
      <c r="AE26"/>
      <c r="AF26"/>
      <c r="AG26"/>
      <c r="AH26"/>
    </row>
    <row r="27" spans="2:34" s="42" customFormat="1" x14ac:dyDescent="0.2">
      <c r="B27" s="374">
        <v>41673</v>
      </c>
      <c r="C27" s="374">
        <v>41679</v>
      </c>
      <c r="D27" s="249"/>
      <c r="E27" s="375">
        <v>74555</v>
      </c>
      <c r="F27" s="375">
        <v>22256</v>
      </c>
      <c r="G27" s="375">
        <v>22256</v>
      </c>
      <c r="H27" s="375" t="s">
        <v>145</v>
      </c>
      <c r="I27" s="375">
        <v>353</v>
      </c>
      <c r="J27" s="375"/>
      <c r="K27" s="375" t="s">
        <v>145</v>
      </c>
      <c r="L27" s="375">
        <v>8348</v>
      </c>
      <c r="M27" s="35">
        <v>18604</v>
      </c>
      <c r="N27" s="35">
        <v>8348</v>
      </c>
      <c r="O27" s="35" t="s">
        <v>145</v>
      </c>
      <c r="P27" s="38"/>
      <c r="Q27" s="375" t="s">
        <v>145</v>
      </c>
      <c r="R27" s="38"/>
      <c r="S27" s="375" t="s">
        <v>145</v>
      </c>
      <c r="T27" s="375" t="s">
        <v>145</v>
      </c>
      <c r="U27" s="38"/>
      <c r="V27" s="35">
        <v>325566</v>
      </c>
      <c r="W27" s="38"/>
      <c r="X27" s="35">
        <v>2211</v>
      </c>
      <c r="Y27" s="38"/>
      <c r="Z27" s="375">
        <v>28745</v>
      </c>
      <c r="AA27" s="375">
        <v>13232</v>
      </c>
      <c r="AB27" s="375">
        <v>3502</v>
      </c>
      <c r="AC27" s="375">
        <v>3436</v>
      </c>
      <c r="AD27" s="375">
        <v>25629</v>
      </c>
      <c r="AE27"/>
      <c r="AF27"/>
      <c r="AG27"/>
      <c r="AH27"/>
    </row>
    <row r="28" spans="2:34" s="42" customFormat="1" x14ac:dyDescent="0.2">
      <c r="B28" s="374">
        <v>41680</v>
      </c>
      <c r="C28" s="374">
        <v>41686</v>
      </c>
      <c r="D28" s="249"/>
      <c r="E28" s="375">
        <v>44695</v>
      </c>
      <c r="F28" s="375">
        <v>14186</v>
      </c>
      <c r="G28" s="375">
        <v>14186</v>
      </c>
      <c r="H28" s="375" t="s">
        <v>145</v>
      </c>
      <c r="I28" s="375">
        <v>193</v>
      </c>
      <c r="J28" s="375"/>
      <c r="K28" s="375" t="s">
        <v>145</v>
      </c>
      <c r="L28" s="375">
        <v>5298</v>
      </c>
      <c r="M28" s="35">
        <v>11971</v>
      </c>
      <c r="N28" s="35">
        <v>5298</v>
      </c>
      <c r="O28" s="35" t="s">
        <v>145</v>
      </c>
      <c r="P28" s="38"/>
      <c r="Q28" s="375" t="s">
        <v>145</v>
      </c>
      <c r="R28" s="38"/>
      <c r="S28" s="375" t="s">
        <v>145</v>
      </c>
      <c r="T28" s="375" t="s">
        <v>145</v>
      </c>
      <c r="U28" s="38"/>
      <c r="V28" s="35">
        <v>252215</v>
      </c>
      <c r="W28" s="38"/>
      <c r="X28" s="35">
        <v>1191</v>
      </c>
      <c r="Y28" s="38"/>
      <c r="Z28" s="375">
        <v>27962</v>
      </c>
      <c r="AA28" s="375">
        <v>8562</v>
      </c>
      <c r="AB28" s="375">
        <v>2816</v>
      </c>
      <c r="AC28" s="375">
        <v>2781</v>
      </c>
      <c r="AD28" s="375">
        <v>2557</v>
      </c>
      <c r="AE28"/>
      <c r="AF28"/>
      <c r="AG28"/>
      <c r="AH28"/>
    </row>
    <row r="29" spans="2:34" s="42" customFormat="1" x14ac:dyDescent="0.2">
      <c r="B29" s="374">
        <v>41687</v>
      </c>
      <c r="C29" s="374">
        <v>41693</v>
      </c>
      <c r="D29" s="249"/>
      <c r="E29" s="375">
        <v>45514</v>
      </c>
      <c r="F29" s="375">
        <v>13553</v>
      </c>
      <c r="G29" s="375">
        <v>13553</v>
      </c>
      <c r="H29" s="375" t="s">
        <v>145</v>
      </c>
      <c r="I29" s="375">
        <v>164</v>
      </c>
      <c r="J29" s="375"/>
      <c r="K29" s="375" t="s">
        <v>145</v>
      </c>
      <c r="L29" s="375">
        <v>5891</v>
      </c>
      <c r="M29" s="35">
        <v>12985</v>
      </c>
      <c r="N29" s="35">
        <v>5891</v>
      </c>
      <c r="O29" s="35" t="s">
        <v>145</v>
      </c>
      <c r="P29" s="38"/>
      <c r="Q29" s="375" t="s">
        <v>145</v>
      </c>
      <c r="R29" s="38"/>
      <c r="S29" s="375" t="s">
        <v>145</v>
      </c>
      <c r="T29" s="375" t="s">
        <v>145</v>
      </c>
      <c r="U29" s="38"/>
      <c r="V29" s="35">
        <v>252228</v>
      </c>
      <c r="W29" s="38"/>
      <c r="X29" s="35">
        <v>1573</v>
      </c>
      <c r="Y29" s="38"/>
      <c r="Z29" s="375">
        <v>29443</v>
      </c>
      <c r="AA29" s="375">
        <v>8827</v>
      </c>
      <c r="AB29" s="375">
        <v>2857</v>
      </c>
      <c r="AC29" s="375">
        <v>3050</v>
      </c>
      <c r="AD29" s="375">
        <v>1322</v>
      </c>
      <c r="AE29"/>
      <c r="AF29"/>
      <c r="AG29"/>
      <c r="AH29"/>
    </row>
    <row r="30" spans="2:34" s="43" customFormat="1" x14ac:dyDescent="0.2">
      <c r="B30" s="374">
        <v>41694</v>
      </c>
      <c r="C30" s="374">
        <v>41700</v>
      </c>
      <c r="D30" s="249"/>
      <c r="E30" s="375">
        <v>48798</v>
      </c>
      <c r="F30" s="375">
        <v>14919</v>
      </c>
      <c r="G30" s="375">
        <v>14919</v>
      </c>
      <c r="H30" s="375" t="s">
        <v>145</v>
      </c>
      <c r="I30" s="375">
        <v>182</v>
      </c>
      <c r="J30" s="375"/>
      <c r="K30" s="375" t="s">
        <v>145</v>
      </c>
      <c r="L30" s="375">
        <v>6189</v>
      </c>
      <c r="M30" s="35">
        <v>13506</v>
      </c>
      <c r="N30" s="35">
        <v>6189</v>
      </c>
      <c r="O30" s="35" t="s">
        <v>145</v>
      </c>
      <c r="P30" s="38"/>
      <c r="Q30" s="375" t="s">
        <v>145</v>
      </c>
      <c r="R30" s="38"/>
      <c r="S30" s="375" t="s">
        <v>145</v>
      </c>
      <c r="T30" s="375" t="s">
        <v>145</v>
      </c>
      <c r="U30" s="38"/>
      <c r="V30" s="35">
        <v>281076</v>
      </c>
      <c r="W30" s="38"/>
      <c r="X30" s="35">
        <v>1993</v>
      </c>
      <c r="Y30" s="38"/>
      <c r="Z30" s="375">
        <v>31897</v>
      </c>
      <c r="AA30" s="375">
        <v>9748</v>
      </c>
      <c r="AB30" s="375">
        <v>3019</v>
      </c>
      <c r="AC30" s="375">
        <v>3300</v>
      </c>
      <c r="AD30" s="375">
        <v>828</v>
      </c>
      <c r="AE30"/>
      <c r="AF30"/>
      <c r="AG30"/>
      <c r="AH30"/>
    </row>
    <row r="31" spans="2:34" s="43" customFormat="1" x14ac:dyDescent="0.2">
      <c r="B31" s="374">
        <v>41701</v>
      </c>
      <c r="C31" s="374">
        <v>41707</v>
      </c>
      <c r="D31" s="249"/>
      <c r="E31" s="375">
        <v>51107</v>
      </c>
      <c r="F31" s="375">
        <v>14609</v>
      </c>
      <c r="G31" s="375">
        <v>14609</v>
      </c>
      <c r="H31" s="375" t="s">
        <v>145</v>
      </c>
      <c r="I31" s="375">
        <v>206</v>
      </c>
      <c r="J31" s="375"/>
      <c r="K31" s="375" t="s">
        <v>145</v>
      </c>
      <c r="L31" s="375">
        <v>6240</v>
      </c>
      <c r="M31" s="35">
        <v>13462</v>
      </c>
      <c r="N31" s="35">
        <v>6240</v>
      </c>
      <c r="O31" s="35" t="s">
        <v>145</v>
      </c>
      <c r="P31" s="38"/>
      <c r="Q31" s="375" t="s">
        <v>145</v>
      </c>
      <c r="R31" s="38"/>
      <c r="S31" s="375" t="s">
        <v>145</v>
      </c>
      <c r="T31" s="375" t="s">
        <v>145</v>
      </c>
      <c r="U31" s="38"/>
      <c r="V31" s="35">
        <v>276429</v>
      </c>
      <c r="W31" s="38"/>
      <c r="X31" s="35">
        <v>1393</v>
      </c>
      <c r="Y31" s="38"/>
      <c r="Z31" s="375">
        <v>33921</v>
      </c>
      <c r="AA31" s="375">
        <v>10290</v>
      </c>
      <c r="AB31" s="375">
        <v>3164</v>
      </c>
      <c r="AC31" s="375">
        <v>3152</v>
      </c>
      <c r="AD31" s="375">
        <v>574</v>
      </c>
      <c r="AE31"/>
      <c r="AF31"/>
      <c r="AG31"/>
      <c r="AH31"/>
    </row>
    <row r="32" spans="2:34" s="43" customFormat="1" x14ac:dyDescent="0.2">
      <c r="B32" s="374">
        <v>41708</v>
      </c>
      <c r="C32" s="374">
        <v>41714</v>
      </c>
      <c r="D32" s="249"/>
      <c r="E32" s="375">
        <v>48763</v>
      </c>
      <c r="F32" s="375">
        <v>13908</v>
      </c>
      <c r="G32" s="375">
        <v>13908</v>
      </c>
      <c r="H32" s="375" t="s">
        <v>145</v>
      </c>
      <c r="I32" s="375">
        <v>150</v>
      </c>
      <c r="J32" s="375"/>
      <c r="K32" s="375" t="s">
        <v>145</v>
      </c>
      <c r="L32" s="375">
        <v>6013</v>
      </c>
      <c r="M32" s="35">
        <v>12813</v>
      </c>
      <c r="N32" s="35">
        <v>6013</v>
      </c>
      <c r="O32" s="35" t="s">
        <v>145</v>
      </c>
      <c r="P32" s="38"/>
      <c r="Q32" s="375" t="s">
        <v>145</v>
      </c>
      <c r="R32" s="38"/>
      <c r="S32" s="375" t="s">
        <v>145</v>
      </c>
      <c r="T32" s="375" t="s">
        <v>145</v>
      </c>
      <c r="U32" s="38"/>
      <c r="V32" s="35">
        <v>262826</v>
      </c>
      <c r="W32" s="38"/>
      <c r="X32" s="35">
        <v>7967</v>
      </c>
      <c r="Y32" s="38"/>
      <c r="Z32" s="375">
        <v>34265</v>
      </c>
      <c r="AA32" s="375">
        <v>8818</v>
      </c>
      <c r="AB32" s="375">
        <v>2666</v>
      </c>
      <c r="AC32" s="375">
        <v>2560</v>
      </c>
      <c r="AD32" s="375">
        <v>450</v>
      </c>
      <c r="AE32"/>
      <c r="AF32"/>
      <c r="AG32"/>
      <c r="AH32"/>
    </row>
    <row r="33" spans="2:34" s="43" customFormat="1" x14ac:dyDescent="0.2">
      <c r="B33" s="374">
        <v>41715</v>
      </c>
      <c r="C33" s="374">
        <v>41721</v>
      </c>
      <c r="D33" s="249"/>
      <c r="E33" s="375">
        <v>60139</v>
      </c>
      <c r="F33" s="375">
        <v>14177</v>
      </c>
      <c r="G33" s="375">
        <v>14177</v>
      </c>
      <c r="H33" s="375" t="s">
        <v>145</v>
      </c>
      <c r="I33" s="375">
        <v>181</v>
      </c>
      <c r="J33" s="375"/>
      <c r="K33" s="375" t="s">
        <v>145</v>
      </c>
      <c r="L33" s="375">
        <v>7242</v>
      </c>
      <c r="M33" s="35">
        <v>15368</v>
      </c>
      <c r="N33" s="35">
        <v>7242</v>
      </c>
      <c r="O33" s="35" t="s">
        <v>145</v>
      </c>
      <c r="P33" s="38"/>
      <c r="Q33" s="375" t="s">
        <v>145</v>
      </c>
      <c r="R33" s="38"/>
      <c r="S33" s="375" t="s">
        <v>145</v>
      </c>
      <c r="T33" s="375" t="s">
        <v>145</v>
      </c>
      <c r="U33" s="38"/>
      <c r="V33" s="35">
        <v>278123</v>
      </c>
      <c r="W33" s="38"/>
      <c r="X33" s="35">
        <v>7710</v>
      </c>
      <c r="Y33" s="38"/>
      <c r="Z33" s="375">
        <v>45636</v>
      </c>
      <c r="AA33" s="375">
        <v>9039</v>
      </c>
      <c r="AB33" s="375">
        <v>2563</v>
      </c>
      <c r="AC33" s="375">
        <v>2517</v>
      </c>
      <c r="AD33" s="375">
        <v>376</v>
      </c>
      <c r="AE33"/>
      <c r="AF33"/>
      <c r="AG33"/>
      <c r="AH33"/>
    </row>
    <row r="34" spans="2:34" s="44" customFormat="1" x14ac:dyDescent="0.2">
      <c r="B34" s="374">
        <v>41722</v>
      </c>
      <c r="C34" s="374">
        <v>41728</v>
      </c>
      <c r="D34" s="249"/>
      <c r="E34" s="375">
        <v>64113</v>
      </c>
      <c r="F34" s="375">
        <v>15936</v>
      </c>
      <c r="G34" s="375">
        <v>15936</v>
      </c>
      <c r="H34" s="375" t="s">
        <v>145</v>
      </c>
      <c r="I34" s="375">
        <v>207</v>
      </c>
      <c r="J34" s="375"/>
      <c r="K34" s="375" t="s">
        <v>145</v>
      </c>
      <c r="L34" s="375">
        <v>7948</v>
      </c>
      <c r="M34" s="35">
        <v>16636</v>
      </c>
      <c r="N34" s="35">
        <v>7948</v>
      </c>
      <c r="O34" s="35" t="s">
        <v>145</v>
      </c>
      <c r="P34" s="38"/>
      <c r="Q34" s="375" t="s">
        <v>145</v>
      </c>
      <c r="R34" s="38"/>
      <c r="S34" s="375" t="s">
        <v>145</v>
      </c>
      <c r="T34" s="375" t="s">
        <v>145</v>
      </c>
      <c r="U34" s="38"/>
      <c r="V34" s="35">
        <v>294382</v>
      </c>
      <c r="W34" s="38"/>
      <c r="X34" s="35">
        <v>9069</v>
      </c>
      <c r="Y34" s="38"/>
      <c r="Z34" s="375">
        <v>46368</v>
      </c>
      <c r="AA34" s="375">
        <v>10309</v>
      </c>
      <c r="AB34" s="375">
        <v>2923</v>
      </c>
      <c r="AC34" s="375">
        <v>2803</v>
      </c>
      <c r="AD34" s="375">
        <v>352</v>
      </c>
      <c r="AE34"/>
      <c r="AF34"/>
      <c r="AG34"/>
      <c r="AH34"/>
    </row>
    <row r="35" spans="2:34" s="44" customFormat="1" x14ac:dyDescent="0.2">
      <c r="B35" s="374">
        <v>41729</v>
      </c>
      <c r="C35" s="374">
        <v>41735</v>
      </c>
      <c r="D35" s="249"/>
      <c r="E35" s="375">
        <v>58009</v>
      </c>
      <c r="F35" s="375">
        <v>14671</v>
      </c>
      <c r="G35" s="375">
        <v>14671</v>
      </c>
      <c r="H35" s="375" t="s">
        <v>145</v>
      </c>
      <c r="I35" s="375">
        <v>188</v>
      </c>
      <c r="J35" s="375"/>
      <c r="K35" s="375" t="s">
        <v>145</v>
      </c>
      <c r="L35" s="375">
        <v>7336</v>
      </c>
      <c r="M35" s="35">
        <v>15299</v>
      </c>
      <c r="N35" s="35">
        <v>7336</v>
      </c>
      <c r="O35" s="35" t="s">
        <v>145</v>
      </c>
      <c r="P35" s="38"/>
      <c r="Q35" s="375" t="s">
        <v>145</v>
      </c>
      <c r="R35" s="38"/>
      <c r="S35" s="375" t="s">
        <v>145</v>
      </c>
      <c r="T35" s="375" t="s">
        <v>145</v>
      </c>
      <c r="U35" s="38"/>
      <c r="V35" s="35">
        <v>282662</v>
      </c>
      <c r="W35" s="38"/>
      <c r="X35" s="35">
        <v>9305</v>
      </c>
      <c r="Y35" s="38"/>
      <c r="Z35" s="375">
        <v>42453</v>
      </c>
      <c r="AA35" s="375">
        <v>9161</v>
      </c>
      <c r="AB35" s="375">
        <v>2400</v>
      </c>
      <c r="AC35" s="375">
        <v>2908</v>
      </c>
      <c r="AD35" s="375">
        <v>302</v>
      </c>
      <c r="AE35"/>
      <c r="AF35"/>
      <c r="AG35"/>
      <c r="AH35"/>
    </row>
    <row r="36" spans="2:34" s="45" customFormat="1" x14ac:dyDescent="0.2">
      <c r="B36" s="374">
        <v>41736</v>
      </c>
      <c r="C36" s="374">
        <v>41742</v>
      </c>
      <c r="D36" s="249"/>
      <c r="E36" s="375">
        <v>52352</v>
      </c>
      <c r="F36" s="375">
        <v>13053</v>
      </c>
      <c r="G36" s="375">
        <v>13053</v>
      </c>
      <c r="H36" s="375" t="s">
        <v>145</v>
      </c>
      <c r="I36" s="375">
        <v>188</v>
      </c>
      <c r="J36" s="375"/>
      <c r="K36" s="375" t="s">
        <v>145</v>
      </c>
      <c r="L36" s="375">
        <v>6528</v>
      </c>
      <c r="M36" s="35">
        <v>13917</v>
      </c>
      <c r="N36" s="35">
        <v>6528</v>
      </c>
      <c r="O36" s="35" t="s">
        <v>145</v>
      </c>
      <c r="P36" s="38"/>
      <c r="Q36" s="375" t="s">
        <v>145</v>
      </c>
      <c r="R36" s="38"/>
      <c r="S36" s="375" t="s">
        <v>145</v>
      </c>
      <c r="T36" s="375" t="s">
        <v>145</v>
      </c>
      <c r="U36" s="38"/>
      <c r="V36" s="35">
        <v>261434</v>
      </c>
      <c r="W36" s="38"/>
      <c r="X36" s="35">
        <v>8112</v>
      </c>
      <c r="Y36" s="38"/>
      <c r="Z36" s="375">
        <v>39175</v>
      </c>
      <c r="AA36" s="375">
        <v>8188</v>
      </c>
      <c r="AB36" s="375">
        <v>2072</v>
      </c>
      <c r="AC36" s="375">
        <v>2579</v>
      </c>
      <c r="AD36" s="375">
        <v>290</v>
      </c>
      <c r="AE36"/>
      <c r="AF36"/>
      <c r="AG36"/>
      <c r="AH36"/>
    </row>
    <row r="37" spans="2:34" s="45" customFormat="1" x14ac:dyDescent="0.2">
      <c r="B37" s="374">
        <v>41743</v>
      </c>
      <c r="C37" s="374">
        <v>41749</v>
      </c>
      <c r="D37" s="249"/>
      <c r="E37" s="375">
        <v>49260</v>
      </c>
      <c r="F37" s="375">
        <v>12646</v>
      </c>
      <c r="G37" s="375">
        <v>12646</v>
      </c>
      <c r="H37" s="375" t="s">
        <v>145</v>
      </c>
      <c r="I37" s="375">
        <v>161</v>
      </c>
      <c r="J37" s="375"/>
      <c r="K37" s="375" t="s">
        <v>145</v>
      </c>
      <c r="L37" s="375">
        <v>6312</v>
      </c>
      <c r="M37" s="35">
        <v>13385</v>
      </c>
      <c r="N37" s="35">
        <v>6312</v>
      </c>
      <c r="O37" s="35" t="s">
        <v>145</v>
      </c>
      <c r="P37" s="38"/>
      <c r="Q37" s="375" t="s">
        <v>145</v>
      </c>
      <c r="R37" s="38"/>
      <c r="S37" s="375" t="s">
        <v>145</v>
      </c>
      <c r="T37" s="375" t="s">
        <v>145</v>
      </c>
      <c r="U37" s="38"/>
      <c r="V37" s="35">
        <v>253692</v>
      </c>
      <c r="W37" s="38"/>
      <c r="X37" s="35">
        <v>6524</v>
      </c>
      <c r="Y37" s="38"/>
      <c r="Z37" s="375">
        <v>37847</v>
      </c>
      <c r="AA37" s="375">
        <v>6243</v>
      </c>
      <c r="AB37" s="375">
        <v>2122</v>
      </c>
      <c r="AC37" s="375">
        <v>2704</v>
      </c>
      <c r="AD37" s="375">
        <v>300</v>
      </c>
      <c r="AE37"/>
      <c r="AF37"/>
      <c r="AG37"/>
      <c r="AH37"/>
    </row>
    <row r="38" spans="2:34" s="45" customFormat="1" x14ac:dyDescent="0.2">
      <c r="B38" s="374">
        <v>41750</v>
      </c>
      <c r="C38" s="374">
        <v>41756</v>
      </c>
      <c r="D38" s="249"/>
      <c r="E38" s="375">
        <v>100787</v>
      </c>
      <c r="F38" s="375">
        <v>18044</v>
      </c>
      <c r="G38" s="375">
        <v>18044</v>
      </c>
      <c r="H38" s="375" t="s">
        <v>145</v>
      </c>
      <c r="I38" s="375">
        <v>297</v>
      </c>
      <c r="J38" s="375"/>
      <c r="K38" s="375" t="s">
        <v>145</v>
      </c>
      <c r="L38" s="375">
        <v>11067</v>
      </c>
      <c r="M38" s="35">
        <v>29061</v>
      </c>
      <c r="N38" s="35">
        <v>11067</v>
      </c>
      <c r="O38" s="35" t="s">
        <v>145</v>
      </c>
      <c r="P38" s="38"/>
      <c r="Q38" s="375" t="s">
        <v>145</v>
      </c>
      <c r="R38" s="38"/>
      <c r="S38" s="375" t="s">
        <v>145</v>
      </c>
      <c r="T38" s="375" t="s">
        <v>145</v>
      </c>
      <c r="U38" s="38"/>
      <c r="V38" s="35">
        <v>348999</v>
      </c>
      <c r="W38" s="38"/>
      <c r="X38" s="35">
        <v>6347</v>
      </c>
      <c r="Y38" s="38"/>
      <c r="Z38" s="375">
        <v>40691</v>
      </c>
      <c r="AA38" s="375">
        <v>8395</v>
      </c>
      <c r="AB38" s="375">
        <v>3168</v>
      </c>
      <c r="AC38" s="375">
        <v>2926</v>
      </c>
      <c r="AD38" s="375">
        <v>45579</v>
      </c>
      <c r="AE38"/>
      <c r="AF38"/>
      <c r="AG38"/>
      <c r="AH38"/>
    </row>
    <row r="39" spans="2:34" s="45" customFormat="1" x14ac:dyDescent="0.2">
      <c r="B39" s="374">
        <v>41757</v>
      </c>
      <c r="C39" s="374">
        <v>41763</v>
      </c>
      <c r="D39" s="249"/>
      <c r="E39" s="375">
        <v>57335</v>
      </c>
      <c r="F39" s="375">
        <v>13725</v>
      </c>
      <c r="G39" s="375">
        <v>13725</v>
      </c>
      <c r="H39" s="375" t="s">
        <v>145</v>
      </c>
      <c r="I39" s="375">
        <v>161</v>
      </c>
      <c r="J39" s="375"/>
      <c r="K39" s="375" t="s">
        <v>145</v>
      </c>
      <c r="L39" s="375">
        <v>6865</v>
      </c>
      <c r="M39" s="35">
        <v>15360</v>
      </c>
      <c r="N39" s="35">
        <v>6865</v>
      </c>
      <c r="O39" s="35" t="s">
        <v>145</v>
      </c>
      <c r="P39" s="38"/>
      <c r="Q39" s="375" t="s">
        <v>145</v>
      </c>
      <c r="R39" s="38"/>
      <c r="S39" s="375" t="s">
        <v>145</v>
      </c>
      <c r="T39" s="375" t="s">
        <v>145</v>
      </c>
      <c r="U39" s="38"/>
      <c r="V39" s="35">
        <v>291963</v>
      </c>
      <c r="W39" s="38"/>
      <c r="X39" s="35">
        <v>5838</v>
      </c>
      <c r="Y39" s="38"/>
      <c r="Z39" s="375">
        <v>40589</v>
      </c>
      <c r="AA39" s="375">
        <v>6226</v>
      </c>
      <c r="AB39" s="375">
        <v>2390</v>
      </c>
      <c r="AC39" s="375">
        <v>2836</v>
      </c>
      <c r="AD39" s="375">
        <v>5284</v>
      </c>
      <c r="AE39"/>
      <c r="AF39"/>
      <c r="AG39"/>
      <c r="AH39"/>
    </row>
    <row r="40" spans="2:34" s="45" customFormat="1" x14ac:dyDescent="0.2">
      <c r="B40" s="374">
        <v>41764</v>
      </c>
      <c r="C40" s="374">
        <v>41770</v>
      </c>
      <c r="D40" s="249"/>
      <c r="E40" s="375">
        <v>49950</v>
      </c>
      <c r="F40" s="375">
        <v>10651</v>
      </c>
      <c r="G40" s="375">
        <v>10651</v>
      </c>
      <c r="H40" s="375" t="s">
        <v>145</v>
      </c>
      <c r="I40" s="375">
        <v>140</v>
      </c>
      <c r="J40" s="375"/>
      <c r="K40" s="375" t="s">
        <v>145</v>
      </c>
      <c r="L40" s="375">
        <v>6003</v>
      </c>
      <c r="M40" s="35">
        <v>12961</v>
      </c>
      <c r="N40" s="35">
        <v>6003</v>
      </c>
      <c r="O40" s="35" t="s">
        <v>145</v>
      </c>
      <c r="P40" s="38"/>
      <c r="Q40" s="375" t="s">
        <v>145</v>
      </c>
      <c r="R40" s="38"/>
      <c r="S40" s="375" t="s">
        <v>145</v>
      </c>
      <c r="T40" s="375" t="s">
        <v>145</v>
      </c>
      <c r="U40" s="38"/>
      <c r="V40" s="35">
        <v>245807</v>
      </c>
      <c r="W40" s="38"/>
      <c r="X40" s="35">
        <v>4896</v>
      </c>
      <c r="Y40" s="38"/>
      <c r="Z40" s="375">
        <v>38681</v>
      </c>
      <c r="AA40" s="375">
        <v>5402</v>
      </c>
      <c r="AB40" s="375">
        <v>1787</v>
      </c>
      <c r="AC40" s="375">
        <v>2433</v>
      </c>
      <c r="AD40" s="375">
        <v>1638</v>
      </c>
      <c r="AE40"/>
      <c r="AF40"/>
      <c r="AG40"/>
      <c r="AH40"/>
    </row>
    <row r="41" spans="2:34" s="45" customFormat="1" x14ac:dyDescent="0.2">
      <c r="B41" s="374">
        <v>41771</v>
      </c>
      <c r="C41" s="374">
        <v>41777</v>
      </c>
      <c r="D41" s="249"/>
      <c r="E41" s="375">
        <v>51488</v>
      </c>
      <c r="F41" s="375">
        <v>11469</v>
      </c>
      <c r="G41" s="375">
        <v>11469</v>
      </c>
      <c r="H41" s="375" t="s">
        <v>145</v>
      </c>
      <c r="I41" s="375">
        <v>132</v>
      </c>
      <c r="J41" s="375"/>
      <c r="K41" s="375" t="s">
        <v>145</v>
      </c>
      <c r="L41" s="375">
        <v>5927</v>
      </c>
      <c r="M41" s="35">
        <v>12686</v>
      </c>
      <c r="N41" s="35">
        <v>5927</v>
      </c>
      <c r="O41" s="35" t="s">
        <v>145</v>
      </c>
      <c r="P41" s="38"/>
      <c r="Q41" s="375" t="s">
        <v>145</v>
      </c>
      <c r="R41" s="38"/>
      <c r="S41" s="375" t="s">
        <v>145</v>
      </c>
      <c r="T41" s="375" t="s">
        <v>145</v>
      </c>
      <c r="U41" s="38"/>
      <c r="V41" s="35">
        <v>251431</v>
      </c>
      <c r="W41" s="38"/>
      <c r="X41" s="35">
        <v>9647</v>
      </c>
      <c r="Y41" s="38"/>
      <c r="Z41" s="375">
        <v>40194</v>
      </c>
      <c r="AA41" s="375">
        <v>5786</v>
      </c>
      <c r="AB41" s="375">
        <v>1792</v>
      </c>
      <c r="AC41" s="375">
        <v>2660</v>
      </c>
      <c r="AD41" s="375">
        <v>1042</v>
      </c>
      <c r="AE41"/>
      <c r="AF41"/>
      <c r="AG41"/>
      <c r="AH41"/>
    </row>
    <row r="42" spans="2:34" s="45" customFormat="1" x14ac:dyDescent="0.2">
      <c r="B42" s="374">
        <v>41778</v>
      </c>
      <c r="C42" s="374">
        <v>41784</v>
      </c>
      <c r="D42" s="249"/>
      <c r="E42" s="375">
        <v>53299</v>
      </c>
      <c r="F42" s="375">
        <v>11405</v>
      </c>
      <c r="G42" s="375">
        <v>11405</v>
      </c>
      <c r="H42" s="375" t="s">
        <v>145</v>
      </c>
      <c r="I42" s="375">
        <v>181</v>
      </c>
      <c r="J42" s="375"/>
      <c r="K42" s="375" t="s">
        <v>145</v>
      </c>
      <c r="L42" s="375">
        <v>5888</v>
      </c>
      <c r="M42" s="35">
        <v>12635</v>
      </c>
      <c r="N42" s="35">
        <v>5888</v>
      </c>
      <c r="O42" s="35" t="s">
        <v>145</v>
      </c>
      <c r="P42" s="38"/>
      <c r="Q42" s="375" t="s">
        <v>145</v>
      </c>
      <c r="R42" s="38"/>
      <c r="S42" s="375" t="s">
        <v>145</v>
      </c>
      <c r="T42" s="375" t="s">
        <v>145</v>
      </c>
      <c r="U42" s="38"/>
      <c r="V42" s="35">
        <v>258714</v>
      </c>
      <c r="W42" s="38"/>
      <c r="X42" s="35">
        <v>10108</v>
      </c>
      <c r="Y42" s="38"/>
      <c r="Z42" s="375">
        <v>42531</v>
      </c>
      <c r="AA42" s="375">
        <v>5589</v>
      </c>
      <c r="AB42" s="375">
        <v>1821</v>
      </c>
      <c r="AC42" s="375">
        <v>2623</v>
      </c>
      <c r="AD42" s="375">
        <v>729</v>
      </c>
      <c r="AE42"/>
      <c r="AF42"/>
      <c r="AG42"/>
      <c r="AH42"/>
    </row>
    <row r="43" spans="2:34" s="44" customFormat="1" x14ac:dyDescent="0.2">
      <c r="B43" s="374">
        <v>41785</v>
      </c>
      <c r="C43" s="374">
        <v>41791</v>
      </c>
      <c r="D43" s="249"/>
      <c r="E43" s="375">
        <v>57353</v>
      </c>
      <c r="F43" s="375">
        <v>12358</v>
      </c>
      <c r="G43" s="375">
        <v>12358</v>
      </c>
      <c r="H43" s="375" t="s">
        <v>145</v>
      </c>
      <c r="I43" s="375">
        <v>182</v>
      </c>
      <c r="J43" s="375"/>
      <c r="K43" s="375" t="s">
        <v>145</v>
      </c>
      <c r="L43" s="375">
        <v>6535</v>
      </c>
      <c r="M43" s="35">
        <v>13816</v>
      </c>
      <c r="N43" s="35">
        <v>6535</v>
      </c>
      <c r="O43" s="35" t="s">
        <v>145</v>
      </c>
      <c r="P43" s="38"/>
      <c r="Q43" s="375" t="s">
        <v>145</v>
      </c>
      <c r="R43" s="38"/>
      <c r="S43" s="375" t="s">
        <v>145</v>
      </c>
      <c r="T43" s="375" t="s">
        <v>145</v>
      </c>
      <c r="U43" s="38"/>
      <c r="V43" s="35">
        <v>151369</v>
      </c>
      <c r="W43" s="38"/>
      <c r="X43" s="35">
        <v>8962</v>
      </c>
      <c r="Y43" s="38"/>
      <c r="Z43" s="375">
        <v>45453</v>
      </c>
      <c r="AA43" s="375">
        <v>6403</v>
      </c>
      <c r="AB43" s="375">
        <v>2090</v>
      </c>
      <c r="AC43" s="375">
        <v>2756</v>
      </c>
      <c r="AD43" s="375">
        <v>636</v>
      </c>
      <c r="AE43"/>
      <c r="AF43"/>
      <c r="AG43"/>
      <c r="AH43"/>
    </row>
    <row r="44" spans="2:34" s="44" customFormat="1" x14ac:dyDescent="0.2">
      <c r="B44" s="374">
        <v>41792</v>
      </c>
      <c r="C44" s="374">
        <v>41798</v>
      </c>
      <c r="D44" s="249"/>
      <c r="E44" s="375">
        <v>46052</v>
      </c>
      <c r="F44" s="375">
        <v>11001</v>
      </c>
      <c r="G44" s="375">
        <v>11001</v>
      </c>
      <c r="H44" s="375" t="s">
        <v>145</v>
      </c>
      <c r="I44" s="375">
        <v>145</v>
      </c>
      <c r="J44" s="375"/>
      <c r="K44" s="375" t="s">
        <v>145</v>
      </c>
      <c r="L44" s="375">
        <v>5438</v>
      </c>
      <c r="M44" s="35">
        <v>11465</v>
      </c>
      <c r="N44" s="35">
        <v>5438</v>
      </c>
      <c r="O44" s="35" t="s">
        <v>145</v>
      </c>
      <c r="P44" s="38"/>
      <c r="Q44" s="375" t="s">
        <v>145</v>
      </c>
      <c r="R44" s="38"/>
      <c r="S44" s="375" t="s">
        <v>145</v>
      </c>
      <c r="T44" s="375" t="s">
        <v>145</v>
      </c>
      <c r="U44" s="38"/>
      <c r="V44" s="35">
        <v>148784</v>
      </c>
      <c r="W44" s="38"/>
      <c r="X44" s="35">
        <v>11387</v>
      </c>
      <c r="Y44" s="38"/>
      <c r="Z44" s="375">
        <v>36146</v>
      </c>
      <c r="AA44" s="375">
        <v>5442</v>
      </c>
      <c r="AB44" s="375">
        <v>1469</v>
      </c>
      <c r="AC44" s="375">
        <v>2479</v>
      </c>
      <c r="AD44" s="375">
        <v>510</v>
      </c>
      <c r="AE44"/>
      <c r="AF44"/>
      <c r="AG44"/>
      <c r="AH44"/>
    </row>
    <row r="45" spans="2:34" s="44" customFormat="1" x14ac:dyDescent="0.2">
      <c r="B45" s="374">
        <v>41799</v>
      </c>
      <c r="C45" s="374">
        <v>41805</v>
      </c>
      <c r="D45" s="249"/>
      <c r="E45" s="375">
        <v>27969</v>
      </c>
      <c r="F45" s="375">
        <v>11010</v>
      </c>
      <c r="G45" s="375">
        <v>11010</v>
      </c>
      <c r="H45" s="375" t="s">
        <v>145</v>
      </c>
      <c r="I45" s="375">
        <v>103</v>
      </c>
      <c r="J45" s="375"/>
      <c r="K45" s="375" t="s">
        <v>145</v>
      </c>
      <c r="L45" s="375">
        <v>3313</v>
      </c>
      <c r="M45" s="35">
        <v>7421</v>
      </c>
      <c r="N45" s="35">
        <v>3313</v>
      </c>
      <c r="O45" s="35" t="s">
        <v>145</v>
      </c>
      <c r="P45" s="38"/>
      <c r="Q45" s="375" t="s">
        <v>145</v>
      </c>
      <c r="R45" s="38"/>
      <c r="S45" s="375" t="s">
        <v>145</v>
      </c>
      <c r="T45" s="375" t="s">
        <v>145</v>
      </c>
      <c r="U45" s="38"/>
      <c r="V45" s="35">
        <v>119498</v>
      </c>
      <c r="W45" s="38"/>
      <c r="X45" s="35">
        <v>7233</v>
      </c>
      <c r="Y45" s="38"/>
      <c r="Z45" s="375">
        <v>18671</v>
      </c>
      <c r="AA45" s="375">
        <v>4971</v>
      </c>
      <c r="AB45" s="375">
        <v>1415</v>
      </c>
      <c r="AC45" s="375">
        <v>2501</v>
      </c>
      <c r="AD45" s="375">
        <v>404</v>
      </c>
      <c r="AE45"/>
      <c r="AF45"/>
      <c r="AG45"/>
      <c r="AH45"/>
    </row>
    <row r="46" spans="2:34" s="45" customFormat="1" x14ac:dyDescent="0.2">
      <c r="B46" s="374">
        <v>41806</v>
      </c>
      <c r="C46" s="374">
        <v>41812</v>
      </c>
      <c r="D46" s="249"/>
      <c r="E46" s="375">
        <v>36936</v>
      </c>
      <c r="F46" s="375">
        <v>11012</v>
      </c>
      <c r="G46" s="375">
        <v>11012</v>
      </c>
      <c r="H46" s="375" t="s">
        <v>145</v>
      </c>
      <c r="I46" s="375">
        <v>113</v>
      </c>
      <c r="J46" s="375"/>
      <c r="K46" s="375" t="s">
        <v>145</v>
      </c>
      <c r="L46" s="375">
        <v>4280</v>
      </c>
      <c r="M46" s="35">
        <v>9426</v>
      </c>
      <c r="N46" s="35">
        <v>4280</v>
      </c>
      <c r="O46" s="35" t="s">
        <v>145</v>
      </c>
      <c r="P46" s="38"/>
      <c r="Q46" s="375" t="s">
        <v>145</v>
      </c>
      <c r="R46" s="38"/>
      <c r="S46" s="375" t="s">
        <v>145</v>
      </c>
      <c r="T46" s="375" t="s">
        <v>145</v>
      </c>
      <c r="U46" s="38"/>
      <c r="V46" s="35">
        <v>114636</v>
      </c>
      <c r="W46" s="38"/>
      <c r="X46" s="35">
        <v>6932</v>
      </c>
      <c r="Y46" s="38"/>
      <c r="Z46" s="375">
        <v>27805</v>
      </c>
      <c r="AA46" s="375">
        <v>4934</v>
      </c>
      <c r="AB46" s="375">
        <v>1428</v>
      </c>
      <c r="AC46" s="375">
        <v>2451</v>
      </c>
      <c r="AD46" s="375">
        <v>316</v>
      </c>
      <c r="AE46"/>
      <c r="AF46"/>
      <c r="AG46"/>
      <c r="AH46"/>
    </row>
    <row r="47" spans="2:34" s="45" customFormat="1" x14ac:dyDescent="0.2">
      <c r="B47" s="374">
        <v>41813</v>
      </c>
      <c r="C47" s="374">
        <v>41819</v>
      </c>
      <c r="D47" s="249"/>
      <c r="E47" s="375">
        <v>42616</v>
      </c>
      <c r="F47" s="375">
        <v>11527</v>
      </c>
      <c r="G47" s="375">
        <v>11527</v>
      </c>
      <c r="H47" s="375" t="s">
        <v>145</v>
      </c>
      <c r="I47" s="375">
        <v>113</v>
      </c>
      <c r="J47" s="375"/>
      <c r="K47" s="375" t="s">
        <v>145</v>
      </c>
      <c r="L47" s="375">
        <v>4796</v>
      </c>
      <c r="M47" s="35">
        <v>10806</v>
      </c>
      <c r="N47" s="35">
        <v>4796</v>
      </c>
      <c r="O47" s="35" t="s">
        <v>145</v>
      </c>
      <c r="P47" s="38"/>
      <c r="Q47" s="375" t="s">
        <v>145</v>
      </c>
      <c r="R47" s="38"/>
      <c r="S47" s="375" t="s">
        <v>145</v>
      </c>
      <c r="T47" s="375" t="s">
        <v>145</v>
      </c>
      <c r="U47" s="38"/>
      <c r="V47" s="35">
        <v>128073</v>
      </c>
      <c r="W47" s="38"/>
      <c r="X47" s="49">
        <v>5957</v>
      </c>
      <c r="Y47" s="38"/>
      <c r="Z47" s="375">
        <v>32980</v>
      </c>
      <c r="AA47" s="375">
        <v>5469</v>
      </c>
      <c r="AB47" s="375">
        <v>1311</v>
      </c>
      <c r="AC47" s="375">
        <v>2530</v>
      </c>
      <c r="AD47" s="375">
        <v>322</v>
      </c>
      <c r="AE47"/>
      <c r="AF47"/>
      <c r="AG47"/>
      <c r="AH47"/>
    </row>
    <row r="48" spans="2:34" s="45" customFormat="1" x14ac:dyDescent="0.2">
      <c r="B48" s="374">
        <v>41820</v>
      </c>
      <c r="C48" s="374">
        <v>41826</v>
      </c>
      <c r="D48" s="249"/>
      <c r="E48" s="375">
        <v>37158</v>
      </c>
      <c r="F48" s="375">
        <v>9967</v>
      </c>
      <c r="G48" s="375">
        <v>9967</v>
      </c>
      <c r="H48" s="375" t="s">
        <v>145</v>
      </c>
      <c r="I48" s="375">
        <v>99</v>
      </c>
      <c r="J48" s="375"/>
      <c r="K48" s="375" t="s">
        <v>145</v>
      </c>
      <c r="L48" s="375">
        <v>3994</v>
      </c>
      <c r="M48" s="35">
        <v>9339</v>
      </c>
      <c r="N48" s="35">
        <v>3994</v>
      </c>
      <c r="O48" s="35" t="s">
        <v>145</v>
      </c>
      <c r="P48" s="38"/>
      <c r="Q48" s="375" t="s">
        <v>145</v>
      </c>
      <c r="R48" s="38"/>
      <c r="S48" s="375" t="s">
        <v>145</v>
      </c>
      <c r="T48" s="375" t="s">
        <v>145</v>
      </c>
      <c r="U48" s="38"/>
      <c r="V48" s="35">
        <v>108682</v>
      </c>
      <c r="W48" s="38"/>
      <c r="X48" s="35">
        <v>6251</v>
      </c>
      <c r="Y48" s="38"/>
      <c r="Z48" s="375">
        <v>28665</v>
      </c>
      <c r="AA48" s="375">
        <v>4739</v>
      </c>
      <c r="AB48" s="375">
        <v>1413</v>
      </c>
      <c r="AC48" s="375">
        <v>2093</v>
      </c>
      <c r="AD48" s="375">
        <v>244</v>
      </c>
      <c r="AE48"/>
      <c r="AF48"/>
      <c r="AG48"/>
      <c r="AH48"/>
    </row>
    <row r="49" spans="2:34" s="45" customFormat="1" x14ac:dyDescent="0.2">
      <c r="B49" s="374">
        <v>41827</v>
      </c>
      <c r="C49" s="374">
        <v>41833</v>
      </c>
      <c r="D49" s="249"/>
      <c r="E49" s="375">
        <v>42274</v>
      </c>
      <c r="F49" s="375">
        <v>11640</v>
      </c>
      <c r="G49" s="375">
        <v>11640</v>
      </c>
      <c r="H49" s="375" t="s">
        <v>145</v>
      </c>
      <c r="I49" s="375">
        <v>135</v>
      </c>
      <c r="J49" s="375"/>
      <c r="K49" s="375" t="s">
        <v>145</v>
      </c>
      <c r="L49" s="375">
        <v>4725</v>
      </c>
      <c r="M49" s="35">
        <v>10708</v>
      </c>
      <c r="N49" s="35">
        <v>4725</v>
      </c>
      <c r="O49" s="35" t="s">
        <v>145</v>
      </c>
      <c r="P49" s="38"/>
      <c r="Q49" s="375" t="s">
        <v>145</v>
      </c>
      <c r="R49" s="38"/>
      <c r="S49" s="375" t="s">
        <v>145</v>
      </c>
      <c r="T49" s="375" t="s">
        <v>145</v>
      </c>
      <c r="U49" s="38"/>
      <c r="V49" s="35">
        <v>133252</v>
      </c>
      <c r="W49" s="38"/>
      <c r="X49" s="35">
        <v>7072</v>
      </c>
      <c r="Y49" s="38"/>
      <c r="Z49" s="375">
        <v>32474</v>
      </c>
      <c r="AA49" s="375">
        <v>5489</v>
      </c>
      <c r="AB49" s="375">
        <v>1508</v>
      </c>
      <c r="AC49" s="375">
        <v>2566</v>
      </c>
      <c r="AD49" s="375">
        <v>232</v>
      </c>
      <c r="AE49"/>
      <c r="AF49"/>
      <c r="AG49"/>
      <c r="AH49"/>
    </row>
    <row r="50" spans="2:34" s="45" customFormat="1" x14ac:dyDescent="0.2">
      <c r="B50" s="374">
        <v>41834</v>
      </c>
      <c r="C50" s="374">
        <v>41840</v>
      </c>
      <c r="D50" s="249"/>
      <c r="E50" s="375">
        <v>42092</v>
      </c>
      <c r="F50" s="375">
        <v>11441</v>
      </c>
      <c r="G50" s="375">
        <v>11441</v>
      </c>
      <c r="H50" s="375" t="s">
        <v>145</v>
      </c>
      <c r="I50" s="375">
        <v>120</v>
      </c>
      <c r="J50" s="375"/>
      <c r="K50" s="375" t="s">
        <v>145</v>
      </c>
      <c r="L50" s="375">
        <v>5084</v>
      </c>
      <c r="M50" s="35">
        <v>11115</v>
      </c>
      <c r="N50" s="35">
        <v>5084</v>
      </c>
      <c r="O50" s="35" t="s">
        <v>145</v>
      </c>
      <c r="P50" s="38"/>
      <c r="Q50" s="375" t="s">
        <v>145</v>
      </c>
      <c r="R50" s="38"/>
      <c r="S50" s="375" t="s">
        <v>145</v>
      </c>
      <c r="T50" s="375" t="s">
        <v>145</v>
      </c>
      <c r="U50" s="38"/>
      <c r="V50" s="35">
        <v>131430</v>
      </c>
      <c r="W50" s="38"/>
      <c r="X50" s="49">
        <v>6752</v>
      </c>
      <c r="Y50" s="38"/>
      <c r="Z50" s="375">
        <v>32537</v>
      </c>
      <c r="AA50" s="375">
        <v>5334</v>
      </c>
      <c r="AB50" s="375">
        <v>1418</v>
      </c>
      <c r="AC50" s="375">
        <v>2552</v>
      </c>
      <c r="AD50" s="375">
        <v>245</v>
      </c>
      <c r="AE50"/>
      <c r="AF50"/>
      <c r="AG50"/>
      <c r="AH50"/>
    </row>
    <row r="51" spans="2:34" s="45" customFormat="1" x14ac:dyDescent="0.2">
      <c r="B51" s="374">
        <v>41841</v>
      </c>
      <c r="C51" s="374">
        <v>41847</v>
      </c>
      <c r="D51" s="249"/>
      <c r="E51" s="375">
        <v>42075</v>
      </c>
      <c r="F51" s="375">
        <v>11327</v>
      </c>
      <c r="G51" s="375">
        <v>11327</v>
      </c>
      <c r="H51" s="375" t="s">
        <v>145</v>
      </c>
      <c r="I51" s="375">
        <v>137</v>
      </c>
      <c r="J51" s="375"/>
      <c r="K51" s="375" t="s">
        <v>145</v>
      </c>
      <c r="L51" s="375">
        <v>5026</v>
      </c>
      <c r="M51" s="35">
        <v>10987</v>
      </c>
      <c r="N51" s="35">
        <v>5026</v>
      </c>
      <c r="O51" s="35" t="s">
        <v>145</v>
      </c>
      <c r="P51" s="38"/>
      <c r="Q51" s="375" t="s">
        <v>145</v>
      </c>
      <c r="R51" s="38"/>
      <c r="S51" s="375" t="s">
        <v>145</v>
      </c>
      <c r="T51" s="375" t="s">
        <v>145</v>
      </c>
      <c r="U51" s="38"/>
      <c r="V51" s="35">
        <v>141240</v>
      </c>
      <c r="W51" s="38"/>
      <c r="X51" s="35">
        <v>7372</v>
      </c>
      <c r="Y51" s="38"/>
      <c r="Z51" s="375">
        <v>32395</v>
      </c>
      <c r="AA51" s="375">
        <v>5499</v>
      </c>
      <c r="AB51" s="375">
        <v>1422</v>
      </c>
      <c r="AC51" s="375">
        <v>2567</v>
      </c>
      <c r="AD51" s="375">
        <v>190</v>
      </c>
      <c r="AE51"/>
      <c r="AF51"/>
      <c r="AG51"/>
      <c r="AH51"/>
    </row>
    <row r="52" spans="2:34" s="45" customFormat="1" x14ac:dyDescent="0.2">
      <c r="B52" s="374">
        <v>41848</v>
      </c>
      <c r="C52" s="374">
        <v>41854</v>
      </c>
      <c r="D52" s="249"/>
      <c r="E52" s="375">
        <v>32709</v>
      </c>
      <c r="F52" s="375">
        <v>8309</v>
      </c>
      <c r="G52" s="375">
        <v>8309</v>
      </c>
      <c r="H52" s="375" t="s">
        <v>145</v>
      </c>
      <c r="I52" s="375">
        <v>86</v>
      </c>
      <c r="J52" s="375"/>
      <c r="K52" s="375">
        <v>120</v>
      </c>
      <c r="L52" s="375">
        <v>4526</v>
      </c>
      <c r="M52" s="53">
        <v>7700</v>
      </c>
      <c r="N52" s="53">
        <v>4526</v>
      </c>
      <c r="O52" s="35" t="s">
        <v>145</v>
      </c>
      <c r="P52" s="38"/>
      <c r="Q52" s="375">
        <v>188</v>
      </c>
      <c r="R52" s="38"/>
      <c r="S52" s="375" t="s">
        <v>145</v>
      </c>
      <c r="T52" s="375" t="s">
        <v>145</v>
      </c>
      <c r="U52" s="38"/>
      <c r="V52" s="53">
        <v>136012</v>
      </c>
      <c r="W52" s="38"/>
      <c r="X52" s="53">
        <v>8506</v>
      </c>
      <c r="Y52" s="38"/>
      <c r="Z52" s="375">
        <v>17365</v>
      </c>
      <c r="AA52" s="375">
        <v>6184</v>
      </c>
      <c r="AB52" s="375">
        <v>1899</v>
      </c>
      <c r="AC52" s="375">
        <v>7113</v>
      </c>
      <c r="AD52" s="375">
        <v>125</v>
      </c>
      <c r="AE52"/>
      <c r="AF52"/>
      <c r="AG52"/>
      <c r="AH52"/>
    </row>
    <row r="53" spans="2:34" s="45" customFormat="1" x14ac:dyDescent="0.2">
      <c r="B53" s="374">
        <v>41855</v>
      </c>
      <c r="C53" s="374">
        <v>41861</v>
      </c>
      <c r="D53" s="249"/>
      <c r="E53" s="375">
        <v>22298</v>
      </c>
      <c r="F53" s="375">
        <v>2297</v>
      </c>
      <c r="G53" s="375">
        <v>2297</v>
      </c>
      <c r="H53" s="375" t="s">
        <v>145</v>
      </c>
      <c r="I53" s="375">
        <v>22</v>
      </c>
      <c r="J53" s="375"/>
      <c r="K53" s="375">
        <v>12</v>
      </c>
      <c r="L53" s="375">
        <v>4861</v>
      </c>
      <c r="M53" s="53">
        <v>4861</v>
      </c>
      <c r="N53" s="53">
        <v>4861</v>
      </c>
      <c r="O53" s="35" t="s">
        <v>145</v>
      </c>
      <c r="P53" s="38"/>
      <c r="Q53" s="375">
        <v>660</v>
      </c>
      <c r="R53" s="38"/>
      <c r="S53" s="375" t="s">
        <v>145</v>
      </c>
      <c r="T53" s="375" t="s">
        <v>145</v>
      </c>
      <c r="U53" s="38"/>
      <c r="V53" s="53">
        <v>120157</v>
      </c>
      <c r="W53" s="38"/>
      <c r="X53" s="53">
        <v>6665</v>
      </c>
      <c r="Y53" s="38"/>
      <c r="Z53" s="375">
        <v>14402</v>
      </c>
      <c r="AA53" s="375">
        <v>3455</v>
      </c>
      <c r="AB53" s="375">
        <v>2401</v>
      </c>
      <c r="AC53" s="375">
        <v>2036</v>
      </c>
      <c r="AD53" s="375">
        <v>4</v>
      </c>
      <c r="AE53"/>
      <c r="AF53"/>
      <c r="AG53"/>
      <c r="AH53"/>
    </row>
    <row r="54" spans="2:34" s="45" customFormat="1" x14ac:dyDescent="0.2">
      <c r="B54" s="374">
        <v>41862</v>
      </c>
      <c r="C54" s="374">
        <v>41868</v>
      </c>
      <c r="D54" s="249"/>
      <c r="E54" s="375">
        <v>23538</v>
      </c>
      <c r="F54" s="375">
        <v>9580</v>
      </c>
      <c r="G54" s="375">
        <v>9580</v>
      </c>
      <c r="H54" s="375" t="s">
        <v>145</v>
      </c>
      <c r="I54" s="375">
        <v>45</v>
      </c>
      <c r="J54" s="375"/>
      <c r="K54" s="375">
        <v>19</v>
      </c>
      <c r="L54" s="375">
        <v>5916</v>
      </c>
      <c r="M54" s="53">
        <v>5916</v>
      </c>
      <c r="N54" s="53">
        <v>5916</v>
      </c>
      <c r="O54" s="35" t="s">
        <v>145</v>
      </c>
      <c r="P54" s="262"/>
      <c r="Q54" s="375">
        <v>820</v>
      </c>
      <c r="R54" s="262"/>
      <c r="S54" s="375" t="s">
        <v>145</v>
      </c>
      <c r="T54" s="375" t="s">
        <v>145</v>
      </c>
      <c r="U54" s="38"/>
      <c r="V54" s="53">
        <v>113180</v>
      </c>
      <c r="W54" s="262"/>
      <c r="X54" s="53">
        <v>8522</v>
      </c>
      <c r="Y54" s="262"/>
      <c r="Z54" s="375">
        <v>15779</v>
      </c>
      <c r="AA54" s="375">
        <v>1875</v>
      </c>
      <c r="AB54" s="375">
        <v>5578</v>
      </c>
      <c r="AC54" s="375">
        <v>303</v>
      </c>
      <c r="AD54" s="375">
        <v>3</v>
      </c>
      <c r="AE54"/>
      <c r="AF54"/>
      <c r="AG54"/>
      <c r="AH54"/>
    </row>
    <row r="55" spans="2:34" s="45" customFormat="1" x14ac:dyDescent="0.2">
      <c r="B55" s="374">
        <v>41869</v>
      </c>
      <c r="C55" s="374">
        <v>41875</v>
      </c>
      <c r="D55" s="249"/>
      <c r="E55" s="375">
        <v>23658</v>
      </c>
      <c r="F55" s="375">
        <v>10017</v>
      </c>
      <c r="G55" s="375">
        <v>10017</v>
      </c>
      <c r="H55" s="375" t="s">
        <v>145</v>
      </c>
      <c r="I55" s="375">
        <v>41</v>
      </c>
      <c r="J55" s="375"/>
      <c r="K55" s="375">
        <v>12</v>
      </c>
      <c r="L55" s="375">
        <v>5825</v>
      </c>
      <c r="M55" s="53">
        <v>5825</v>
      </c>
      <c r="N55" s="53">
        <v>5825</v>
      </c>
      <c r="O55" s="35" t="s">
        <v>145</v>
      </c>
      <c r="P55" s="38"/>
      <c r="Q55" s="375">
        <v>748</v>
      </c>
      <c r="R55" s="38"/>
      <c r="S55" s="375" t="s">
        <v>145</v>
      </c>
      <c r="T55" s="375" t="s">
        <v>145</v>
      </c>
      <c r="U55" s="38"/>
      <c r="V55" s="53">
        <v>102756</v>
      </c>
      <c r="W55" s="38"/>
      <c r="X55" s="53">
        <v>3900</v>
      </c>
      <c r="Y55" s="38"/>
      <c r="Z55" s="375">
        <v>16004</v>
      </c>
      <c r="AA55" s="375">
        <v>1976</v>
      </c>
      <c r="AB55" s="375">
        <v>5385</v>
      </c>
      <c r="AC55" s="375">
        <v>289</v>
      </c>
      <c r="AD55" s="375">
        <v>4</v>
      </c>
      <c r="AE55"/>
      <c r="AF55"/>
      <c r="AG55"/>
      <c r="AH55"/>
    </row>
    <row r="56" spans="2:34" s="45" customFormat="1" x14ac:dyDescent="0.2">
      <c r="B56" s="374">
        <v>41876</v>
      </c>
      <c r="C56" s="374">
        <v>41882</v>
      </c>
      <c r="D56" s="249"/>
      <c r="E56" s="375">
        <v>24723</v>
      </c>
      <c r="F56" s="375">
        <v>10497</v>
      </c>
      <c r="G56" s="375">
        <v>10497</v>
      </c>
      <c r="H56" s="375" t="s">
        <v>145</v>
      </c>
      <c r="I56" s="375">
        <v>33</v>
      </c>
      <c r="J56" s="375"/>
      <c r="K56" s="375">
        <v>7</v>
      </c>
      <c r="L56" s="375">
        <v>5645</v>
      </c>
      <c r="M56" s="53">
        <v>5645</v>
      </c>
      <c r="N56" s="53">
        <v>5645</v>
      </c>
      <c r="O56" s="35" t="s">
        <v>145</v>
      </c>
      <c r="P56" s="38"/>
      <c r="Q56" s="375">
        <v>697</v>
      </c>
      <c r="R56" s="38"/>
      <c r="S56" s="375" t="s">
        <v>145</v>
      </c>
      <c r="T56" s="375" t="s">
        <v>145</v>
      </c>
      <c r="U56" s="38"/>
      <c r="V56" s="53">
        <v>125370</v>
      </c>
      <c r="W56" s="38"/>
      <c r="X56" s="53">
        <v>7453</v>
      </c>
      <c r="Y56" s="38"/>
      <c r="Z56" s="375">
        <v>16400</v>
      </c>
      <c r="AA56" s="375">
        <v>1887</v>
      </c>
      <c r="AB56" s="375">
        <v>6177</v>
      </c>
      <c r="AC56" s="375">
        <v>258</v>
      </c>
      <c r="AD56" s="375">
        <v>1</v>
      </c>
      <c r="AE56"/>
      <c r="AF56"/>
      <c r="AG56"/>
      <c r="AH56"/>
    </row>
    <row r="57" spans="2:34" s="45" customFormat="1" x14ac:dyDescent="0.2">
      <c r="B57" s="374">
        <v>41883</v>
      </c>
      <c r="C57" s="374">
        <v>41889</v>
      </c>
      <c r="D57" s="249"/>
      <c r="E57" s="375">
        <v>22685</v>
      </c>
      <c r="F57" s="375">
        <v>9739</v>
      </c>
      <c r="G57" s="375">
        <v>9739</v>
      </c>
      <c r="H57" s="375" t="s">
        <v>145</v>
      </c>
      <c r="I57" s="375">
        <v>24</v>
      </c>
      <c r="J57" s="375"/>
      <c r="K57" s="375">
        <v>8</v>
      </c>
      <c r="L57" s="375">
        <v>5367</v>
      </c>
      <c r="M57" s="53">
        <v>5367</v>
      </c>
      <c r="N57" s="53">
        <v>5367</v>
      </c>
      <c r="O57" s="35" t="s">
        <v>145</v>
      </c>
      <c r="P57" s="38"/>
      <c r="Q57" s="375">
        <v>634</v>
      </c>
      <c r="R57" s="38"/>
      <c r="S57" s="375" t="s">
        <v>145</v>
      </c>
      <c r="T57" s="375" t="s">
        <v>145</v>
      </c>
      <c r="U57" s="38"/>
      <c r="V57" s="53">
        <v>111235</v>
      </c>
      <c r="W57" s="38"/>
      <c r="X57" s="53">
        <v>9537</v>
      </c>
      <c r="Y57" s="38"/>
      <c r="Z57" s="375">
        <v>15957</v>
      </c>
      <c r="AA57" s="375">
        <v>1528</v>
      </c>
      <c r="AB57" s="375">
        <v>4928</v>
      </c>
      <c r="AC57" s="375">
        <v>266</v>
      </c>
      <c r="AD57" s="375">
        <v>6</v>
      </c>
      <c r="AE57"/>
      <c r="AF57"/>
      <c r="AG57"/>
      <c r="AH57"/>
    </row>
    <row r="58" spans="2:34" s="45" customFormat="1" x14ac:dyDescent="0.2">
      <c r="B58" s="374">
        <v>41890</v>
      </c>
      <c r="C58" s="374">
        <v>41896</v>
      </c>
      <c r="D58" s="249"/>
      <c r="E58" s="375">
        <v>23336</v>
      </c>
      <c r="F58" s="375">
        <v>9152</v>
      </c>
      <c r="G58" s="375">
        <v>9152</v>
      </c>
      <c r="H58" s="375" t="s">
        <v>145</v>
      </c>
      <c r="I58" s="375">
        <v>42</v>
      </c>
      <c r="J58" s="375"/>
      <c r="K58" s="375">
        <v>11</v>
      </c>
      <c r="L58" s="375">
        <v>5397</v>
      </c>
      <c r="M58" s="53">
        <v>5536</v>
      </c>
      <c r="N58" s="53">
        <v>5397</v>
      </c>
      <c r="O58" s="35" t="s">
        <v>145</v>
      </c>
      <c r="P58" s="262"/>
      <c r="Q58" s="375">
        <v>627</v>
      </c>
      <c r="R58" s="262"/>
      <c r="S58" s="375" t="s">
        <v>145</v>
      </c>
      <c r="T58" s="375" t="s">
        <v>145</v>
      </c>
      <c r="U58" s="262"/>
      <c r="V58" s="53">
        <v>137728</v>
      </c>
      <c r="W58" s="262"/>
      <c r="X58" s="53">
        <v>8194</v>
      </c>
      <c r="Y58" s="262"/>
      <c r="Z58" s="375">
        <v>16365</v>
      </c>
      <c r="AA58" s="375">
        <v>2166</v>
      </c>
      <c r="AB58" s="375">
        <v>4135</v>
      </c>
      <c r="AC58" s="375">
        <v>634</v>
      </c>
      <c r="AD58" s="375">
        <v>32</v>
      </c>
      <c r="AE58"/>
      <c r="AF58"/>
      <c r="AG58"/>
      <c r="AH58"/>
    </row>
    <row r="59" spans="2:34" s="45" customFormat="1" x14ac:dyDescent="0.2">
      <c r="B59" s="374">
        <v>41897</v>
      </c>
      <c r="C59" s="374">
        <v>41903</v>
      </c>
      <c r="D59" s="249"/>
      <c r="E59" s="375">
        <v>23472</v>
      </c>
      <c r="F59" s="375">
        <v>10015</v>
      </c>
      <c r="G59" s="375">
        <v>10015</v>
      </c>
      <c r="H59" s="375" t="s">
        <v>145</v>
      </c>
      <c r="I59" s="375">
        <v>54</v>
      </c>
      <c r="J59" s="375"/>
      <c r="K59" s="375">
        <v>23</v>
      </c>
      <c r="L59" s="375">
        <v>5356</v>
      </c>
      <c r="M59" s="53">
        <v>5528</v>
      </c>
      <c r="N59" s="53">
        <v>5356</v>
      </c>
      <c r="O59" s="35" t="s">
        <v>145</v>
      </c>
      <c r="P59" s="38"/>
      <c r="Q59" s="375">
        <v>653</v>
      </c>
      <c r="R59" s="38"/>
      <c r="S59" s="375" t="s">
        <v>145</v>
      </c>
      <c r="T59" s="375" t="s">
        <v>145</v>
      </c>
      <c r="U59" s="38"/>
      <c r="V59" s="53">
        <v>117394</v>
      </c>
      <c r="W59" s="38"/>
      <c r="X59" s="53">
        <v>8911</v>
      </c>
      <c r="Y59" s="38"/>
      <c r="Z59" s="375">
        <v>16107</v>
      </c>
      <c r="AA59" s="375">
        <v>2070</v>
      </c>
      <c r="AB59" s="375">
        <v>4221</v>
      </c>
      <c r="AC59" s="375">
        <v>1039</v>
      </c>
      <c r="AD59" s="375">
        <v>32</v>
      </c>
      <c r="AE59"/>
      <c r="AF59"/>
      <c r="AG59"/>
      <c r="AH59"/>
    </row>
    <row r="60" spans="2:34" s="45" customFormat="1" x14ac:dyDescent="0.2">
      <c r="B60" s="374">
        <v>41904</v>
      </c>
      <c r="C60" s="374">
        <v>41910</v>
      </c>
      <c r="D60" s="249"/>
      <c r="E60" s="375">
        <v>24257</v>
      </c>
      <c r="F60" s="375">
        <v>10202</v>
      </c>
      <c r="G60" s="375">
        <v>10202</v>
      </c>
      <c r="H60" s="375" t="s">
        <v>145</v>
      </c>
      <c r="I60" s="375">
        <v>39</v>
      </c>
      <c r="J60" s="375"/>
      <c r="K60" s="375">
        <v>24</v>
      </c>
      <c r="L60" s="375">
        <v>5972</v>
      </c>
      <c r="M60" s="53">
        <v>5972</v>
      </c>
      <c r="N60" s="53">
        <v>5972</v>
      </c>
      <c r="O60" s="35" t="s">
        <v>145</v>
      </c>
      <c r="P60" s="38"/>
      <c r="Q60" s="375">
        <v>776</v>
      </c>
      <c r="R60" s="38"/>
      <c r="S60" s="375" t="s">
        <v>145</v>
      </c>
      <c r="T60" s="375" t="s">
        <v>145</v>
      </c>
      <c r="U60" s="38"/>
      <c r="V60" s="53">
        <v>121677</v>
      </c>
      <c r="W60" s="38"/>
      <c r="X60" s="53">
        <v>6973</v>
      </c>
      <c r="Y60" s="38"/>
      <c r="Z60" s="375">
        <v>16928</v>
      </c>
      <c r="AA60" s="375">
        <v>1561</v>
      </c>
      <c r="AB60" s="375">
        <v>5339</v>
      </c>
      <c r="AC60" s="375">
        <v>427</v>
      </c>
      <c r="AD60" s="375">
        <v>0</v>
      </c>
      <c r="AE60"/>
      <c r="AF60"/>
      <c r="AG60"/>
      <c r="AH60"/>
    </row>
    <row r="61" spans="2:34" s="45" customFormat="1" x14ac:dyDescent="0.2">
      <c r="B61" s="374">
        <v>41911</v>
      </c>
      <c r="C61" s="374">
        <v>41917</v>
      </c>
      <c r="D61" s="249"/>
      <c r="E61" s="375">
        <v>24329</v>
      </c>
      <c r="F61" s="375">
        <v>10169</v>
      </c>
      <c r="G61" s="375">
        <v>10169</v>
      </c>
      <c r="H61" s="375" t="s">
        <v>145</v>
      </c>
      <c r="I61" s="375">
        <v>24</v>
      </c>
      <c r="J61" s="375"/>
      <c r="K61" s="375">
        <v>6</v>
      </c>
      <c r="L61" s="375">
        <v>5717</v>
      </c>
      <c r="M61" s="53">
        <v>5718</v>
      </c>
      <c r="N61" s="53">
        <v>5717</v>
      </c>
      <c r="O61" s="35" t="s">
        <v>145</v>
      </c>
      <c r="P61" s="38"/>
      <c r="Q61" s="375">
        <v>665</v>
      </c>
      <c r="R61" s="38"/>
      <c r="S61" s="375">
        <v>833</v>
      </c>
      <c r="T61" s="375">
        <v>205</v>
      </c>
      <c r="U61" s="38"/>
      <c r="V61" s="53">
        <v>127446</v>
      </c>
      <c r="W61" s="38"/>
      <c r="X61" s="53">
        <v>5420</v>
      </c>
      <c r="Y61" s="38"/>
      <c r="Z61" s="375">
        <v>17077</v>
      </c>
      <c r="AA61" s="375">
        <v>1580</v>
      </c>
      <c r="AB61" s="375">
        <v>5294</v>
      </c>
      <c r="AC61" s="375">
        <v>378</v>
      </c>
      <c r="AD61" s="375">
        <v>0</v>
      </c>
      <c r="AE61"/>
      <c r="AF61"/>
      <c r="AG61"/>
      <c r="AH61"/>
    </row>
    <row r="62" spans="2:34" s="45" customFormat="1" x14ac:dyDescent="0.2">
      <c r="B62" s="374">
        <v>41918</v>
      </c>
      <c r="C62" s="374">
        <v>41924</v>
      </c>
      <c r="D62" s="249"/>
      <c r="E62" s="375">
        <v>25656</v>
      </c>
      <c r="F62" s="375">
        <v>10339</v>
      </c>
      <c r="G62" s="375">
        <v>10339</v>
      </c>
      <c r="H62" s="375" t="s">
        <v>145</v>
      </c>
      <c r="I62" s="375">
        <v>43</v>
      </c>
      <c r="J62" s="375"/>
      <c r="K62" s="375">
        <v>16</v>
      </c>
      <c r="L62" s="375">
        <v>5980</v>
      </c>
      <c r="M62" s="53">
        <v>5980</v>
      </c>
      <c r="N62" s="53">
        <v>5980</v>
      </c>
      <c r="O62" s="35" t="s">
        <v>145</v>
      </c>
      <c r="P62" s="262"/>
      <c r="Q62" s="375">
        <v>676</v>
      </c>
      <c r="R62" s="262"/>
      <c r="S62" s="375">
        <v>1307</v>
      </c>
      <c r="T62" s="375">
        <v>315</v>
      </c>
      <c r="U62" s="262"/>
      <c r="V62" s="53">
        <v>105392</v>
      </c>
      <c r="W62" s="262"/>
      <c r="X62" s="53">
        <v>4658</v>
      </c>
      <c r="Y62" s="262"/>
      <c r="Z62" s="375">
        <v>17679</v>
      </c>
      <c r="AA62" s="375">
        <v>1703</v>
      </c>
      <c r="AB62" s="375">
        <v>5949</v>
      </c>
      <c r="AC62" s="375">
        <v>324</v>
      </c>
      <c r="AD62" s="375">
        <v>1</v>
      </c>
      <c r="AE62"/>
      <c r="AF62"/>
      <c r="AG62"/>
      <c r="AH62"/>
    </row>
    <row r="63" spans="2:34" s="45" customFormat="1" x14ac:dyDescent="0.2">
      <c r="B63" s="374">
        <v>41925</v>
      </c>
      <c r="C63" s="374">
        <v>41931</v>
      </c>
      <c r="D63" s="249"/>
      <c r="E63" s="375">
        <v>25645</v>
      </c>
      <c r="F63" s="375">
        <v>10289</v>
      </c>
      <c r="G63" s="375">
        <v>10289</v>
      </c>
      <c r="H63" s="375" t="s">
        <v>145</v>
      </c>
      <c r="I63" s="375">
        <v>38</v>
      </c>
      <c r="J63" s="375"/>
      <c r="K63" s="375">
        <v>24</v>
      </c>
      <c r="L63" s="375">
        <v>6101</v>
      </c>
      <c r="M63" s="53">
        <v>6101</v>
      </c>
      <c r="N63" s="53">
        <v>6101</v>
      </c>
      <c r="O63" s="35" t="s">
        <v>145</v>
      </c>
      <c r="P63" s="38"/>
      <c r="Q63" s="375">
        <v>700</v>
      </c>
      <c r="R63" s="38"/>
      <c r="S63" s="375">
        <v>1178</v>
      </c>
      <c r="T63" s="375">
        <v>312</v>
      </c>
      <c r="U63" s="38"/>
      <c r="V63" s="53">
        <v>118107</v>
      </c>
      <c r="W63" s="38"/>
      <c r="X63" s="53">
        <v>5306</v>
      </c>
      <c r="Y63" s="38"/>
      <c r="Z63" s="375">
        <v>17989</v>
      </c>
      <c r="AA63" s="375">
        <v>1605</v>
      </c>
      <c r="AB63" s="375">
        <v>5770</v>
      </c>
      <c r="AC63" s="375">
        <v>262</v>
      </c>
      <c r="AD63" s="375">
        <v>19</v>
      </c>
      <c r="AE63"/>
      <c r="AF63"/>
      <c r="AG63"/>
      <c r="AH63"/>
    </row>
    <row r="64" spans="2:34" s="45" customFormat="1" x14ac:dyDescent="0.2">
      <c r="B64" s="374">
        <v>41932</v>
      </c>
      <c r="C64" s="374">
        <v>41938</v>
      </c>
      <c r="D64" s="249"/>
      <c r="E64" s="375">
        <v>29104</v>
      </c>
      <c r="F64" s="375">
        <v>12056</v>
      </c>
      <c r="G64" s="375">
        <v>12056</v>
      </c>
      <c r="H64" s="375" t="s">
        <v>145</v>
      </c>
      <c r="I64" s="375">
        <v>43</v>
      </c>
      <c r="J64" s="375"/>
      <c r="K64" s="375">
        <v>18</v>
      </c>
      <c r="L64" s="375">
        <v>6595</v>
      </c>
      <c r="M64" s="53">
        <v>6595</v>
      </c>
      <c r="N64" s="53">
        <v>6595</v>
      </c>
      <c r="O64" s="35" t="s">
        <v>145</v>
      </c>
      <c r="P64" s="38"/>
      <c r="Q64" s="375">
        <v>825</v>
      </c>
      <c r="R64" s="38"/>
      <c r="S64" s="375">
        <v>1426</v>
      </c>
      <c r="T64" s="375">
        <v>353</v>
      </c>
      <c r="U64" s="38"/>
      <c r="V64" s="53">
        <v>129193</v>
      </c>
      <c r="W64" s="38"/>
      <c r="X64" s="53">
        <v>5195</v>
      </c>
      <c r="Y64" s="38"/>
      <c r="Z64" s="375">
        <v>20104</v>
      </c>
      <c r="AA64" s="375">
        <v>1762</v>
      </c>
      <c r="AB64" s="375">
        <v>6888</v>
      </c>
      <c r="AC64" s="375">
        <v>333</v>
      </c>
      <c r="AD64" s="375">
        <v>17</v>
      </c>
      <c r="AE64"/>
      <c r="AF64"/>
      <c r="AG64"/>
      <c r="AH64"/>
    </row>
    <row r="65" spans="2:34" s="45" customFormat="1" x14ac:dyDescent="0.2">
      <c r="B65" s="374">
        <v>41939</v>
      </c>
      <c r="C65" s="374">
        <v>41945</v>
      </c>
      <c r="D65" s="249"/>
      <c r="E65" s="375">
        <v>31909</v>
      </c>
      <c r="F65" s="375">
        <v>11161</v>
      </c>
      <c r="G65" s="375">
        <v>11161</v>
      </c>
      <c r="H65" s="375" t="s">
        <v>145</v>
      </c>
      <c r="I65" s="375">
        <v>42</v>
      </c>
      <c r="J65" s="375"/>
      <c r="K65" s="375">
        <v>19</v>
      </c>
      <c r="L65" s="375">
        <v>7170</v>
      </c>
      <c r="M65" s="53">
        <v>7170</v>
      </c>
      <c r="N65" s="53">
        <v>7170</v>
      </c>
      <c r="O65" s="35" t="s">
        <v>145</v>
      </c>
      <c r="P65" s="262"/>
      <c r="Q65" s="375">
        <v>893</v>
      </c>
      <c r="R65" s="262"/>
      <c r="S65" s="375">
        <v>1484</v>
      </c>
      <c r="T65" s="375">
        <v>450</v>
      </c>
      <c r="U65" s="38"/>
      <c r="V65" s="53">
        <v>148704</v>
      </c>
      <c r="W65" s="262"/>
      <c r="X65" s="53">
        <v>4673</v>
      </c>
      <c r="Y65" s="262"/>
      <c r="Z65" s="375">
        <v>23086</v>
      </c>
      <c r="AA65" s="375">
        <v>1903</v>
      </c>
      <c r="AB65" s="375">
        <v>6588</v>
      </c>
      <c r="AC65" s="375">
        <v>320</v>
      </c>
      <c r="AD65" s="375">
        <v>10</v>
      </c>
      <c r="AE65"/>
      <c r="AF65"/>
      <c r="AG65"/>
      <c r="AH65"/>
    </row>
    <row r="66" spans="2:34" s="54" customFormat="1" x14ac:dyDescent="0.2">
      <c r="B66" s="374">
        <v>41946</v>
      </c>
      <c r="C66" s="374">
        <v>41952</v>
      </c>
      <c r="D66" s="249"/>
      <c r="E66" s="375">
        <v>36711</v>
      </c>
      <c r="F66" s="375">
        <v>12139</v>
      </c>
      <c r="G66" s="375">
        <v>12139</v>
      </c>
      <c r="H66" s="375" t="s">
        <v>145</v>
      </c>
      <c r="I66" s="375">
        <v>50</v>
      </c>
      <c r="J66" s="375"/>
      <c r="K66" s="375">
        <v>18</v>
      </c>
      <c r="L66" s="375">
        <v>8132</v>
      </c>
      <c r="M66" s="53">
        <v>8132</v>
      </c>
      <c r="N66" s="53">
        <v>8132</v>
      </c>
      <c r="O66" s="35" t="s">
        <v>145</v>
      </c>
      <c r="P66" s="249"/>
      <c r="Q66" s="375">
        <v>987</v>
      </c>
      <c r="S66" s="375">
        <v>1877</v>
      </c>
      <c r="T66" s="375">
        <v>583</v>
      </c>
      <c r="U66" s="262"/>
      <c r="V66" s="53">
        <v>134586</v>
      </c>
      <c r="W66" s="249"/>
      <c r="X66" s="53">
        <v>5714</v>
      </c>
      <c r="Y66" s="249"/>
      <c r="Z66" s="375">
        <v>24384</v>
      </c>
      <c r="AA66" s="375">
        <v>2160</v>
      </c>
      <c r="AB66" s="375">
        <v>9732</v>
      </c>
      <c r="AC66" s="375">
        <v>431</v>
      </c>
      <c r="AD66" s="375">
        <v>4</v>
      </c>
      <c r="AE66"/>
      <c r="AF66"/>
      <c r="AG66"/>
      <c r="AH66"/>
    </row>
    <row r="67" spans="2:34" s="54" customFormat="1" x14ac:dyDescent="0.2">
      <c r="B67" s="374">
        <v>41953</v>
      </c>
      <c r="C67" s="374">
        <v>41959</v>
      </c>
      <c r="D67" s="249"/>
      <c r="E67" s="375">
        <v>45333</v>
      </c>
      <c r="F67" s="375">
        <v>15186</v>
      </c>
      <c r="G67" s="375">
        <v>15186</v>
      </c>
      <c r="H67" s="375" t="s">
        <v>145</v>
      </c>
      <c r="I67" s="375">
        <v>47</v>
      </c>
      <c r="J67" s="375"/>
      <c r="K67" s="375">
        <v>13</v>
      </c>
      <c r="L67" s="375">
        <v>9840</v>
      </c>
      <c r="M67" s="53">
        <v>9840</v>
      </c>
      <c r="N67" s="53">
        <v>9840</v>
      </c>
      <c r="O67" s="35" t="s">
        <v>145</v>
      </c>
      <c r="P67" s="38"/>
      <c r="Q67" s="375">
        <v>1296</v>
      </c>
      <c r="R67" s="55"/>
      <c r="S67" s="375">
        <v>2691</v>
      </c>
      <c r="T67" s="375">
        <v>820</v>
      </c>
      <c r="U67" s="38"/>
      <c r="V67" s="53">
        <v>160056</v>
      </c>
      <c r="W67" s="38"/>
      <c r="X67" s="53">
        <v>16559</v>
      </c>
      <c r="Y67" s="38"/>
      <c r="Z67" s="375">
        <v>27248</v>
      </c>
      <c r="AA67" s="375">
        <v>2516</v>
      </c>
      <c r="AB67" s="375">
        <v>14968</v>
      </c>
      <c r="AC67" s="375">
        <v>545</v>
      </c>
      <c r="AD67" s="375">
        <v>56</v>
      </c>
      <c r="AE67"/>
      <c r="AF67"/>
      <c r="AG67"/>
      <c r="AH67"/>
    </row>
    <row r="68" spans="2:34" s="45" customFormat="1" x14ac:dyDescent="0.2">
      <c r="B68" s="374">
        <v>41960</v>
      </c>
      <c r="C68" s="374">
        <v>41966</v>
      </c>
      <c r="D68" s="249"/>
      <c r="E68" s="375">
        <v>63449</v>
      </c>
      <c r="F68" s="375">
        <v>12880</v>
      </c>
      <c r="G68" s="375">
        <v>12880</v>
      </c>
      <c r="H68" s="375" t="s">
        <v>145</v>
      </c>
      <c r="I68" s="375">
        <v>99</v>
      </c>
      <c r="J68" s="375"/>
      <c r="K68" s="375">
        <v>298</v>
      </c>
      <c r="L68" s="375">
        <v>10307</v>
      </c>
      <c r="M68" s="53">
        <v>10307</v>
      </c>
      <c r="N68" s="53">
        <v>10307</v>
      </c>
      <c r="O68" s="35" t="s">
        <v>145</v>
      </c>
      <c r="P68" s="38"/>
      <c r="Q68" s="375">
        <v>1447</v>
      </c>
      <c r="R68" s="38"/>
      <c r="S68" s="375">
        <v>2161</v>
      </c>
      <c r="T68" s="375">
        <v>620</v>
      </c>
      <c r="U68" s="38"/>
      <c r="V68" s="53">
        <v>153013</v>
      </c>
      <c r="W68" s="38"/>
      <c r="X68" s="53">
        <v>5821</v>
      </c>
      <c r="Y68" s="38"/>
      <c r="Z68" s="375">
        <v>23321</v>
      </c>
      <c r="AA68" s="375">
        <v>2388</v>
      </c>
      <c r="AB68" s="375">
        <v>12519</v>
      </c>
      <c r="AC68" s="375">
        <v>480</v>
      </c>
      <c r="AD68" s="375">
        <v>24740</v>
      </c>
      <c r="AE68"/>
      <c r="AF68"/>
      <c r="AG68"/>
      <c r="AH68"/>
    </row>
    <row r="69" spans="2:34" s="45" customFormat="1" x14ac:dyDescent="0.2">
      <c r="B69" s="374">
        <v>41967</v>
      </c>
      <c r="C69" s="374">
        <v>41973</v>
      </c>
      <c r="D69" s="249"/>
      <c r="E69" s="375">
        <v>28951</v>
      </c>
      <c r="F69" s="375">
        <v>7617</v>
      </c>
      <c r="G69" s="375">
        <v>7617</v>
      </c>
      <c r="H69" s="375" t="s">
        <v>145</v>
      </c>
      <c r="I69" s="375">
        <v>53</v>
      </c>
      <c r="J69" s="375"/>
      <c r="K69" s="375">
        <v>14</v>
      </c>
      <c r="L69" s="375">
        <v>5858</v>
      </c>
      <c r="M69" s="53">
        <v>5858</v>
      </c>
      <c r="N69" s="53">
        <v>5858</v>
      </c>
      <c r="O69" s="35" t="s">
        <v>145</v>
      </c>
      <c r="P69" s="38"/>
      <c r="Q69" s="375">
        <v>762</v>
      </c>
      <c r="R69" s="38"/>
      <c r="S69" s="375">
        <v>1310</v>
      </c>
      <c r="T69" s="375">
        <v>385</v>
      </c>
      <c r="U69" s="262"/>
      <c r="V69" s="53">
        <v>86418</v>
      </c>
      <c r="W69" s="38"/>
      <c r="X69" s="53">
        <v>3077</v>
      </c>
      <c r="Y69" s="38"/>
      <c r="Z69" s="375">
        <v>17139</v>
      </c>
      <c r="AA69" s="375">
        <v>1502</v>
      </c>
      <c r="AB69" s="375">
        <v>8867</v>
      </c>
      <c r="AC69" s="375">
        <v>346</v>
      </c>
      <c r="AD69" s="375">
        <v>1097</v>
      </c>
      <c r="AE69"/>
      <c r="AF69"/>
      <c r="AG69"/>
      <c r="AH69"/>
    </row>
    <row r="70" spans="2:34" s="54" customFormat="1" x14ac:dyDescent="0.2">
      <c r="B70" s="374">
        <v>42339</v>
      </c>
      <c r="C70" s="374">
        <v>42345</v>
      </c>
      <c r="D70" s="249"/>
      <c r="E70" s="375">
        <v>39933</v>
      </c>
      <c r="F70" s="375">
        <v>10906</v>
      </c>
      <c r="G70" s="375">
        <v>10906</v>
      </c>
      <c r="H70" s="375" t="s">
        <v>145</v>
      </c>
      <c r="I70" s="375">
        <v>56</v>
      </c>
      <c r="J70" s="375"/>
      <c r="K70" s="375">
        <v>38</v>
      </c>
      <c r="L70" s="375">
        <v>9012</v>
      </c>
      <c r="M70" s="53">
        <v>9012</v>
      </c>
      <c r="N70" s="53">
        <v>9012</v>
      </c>
      <c r="O70" s="35" t="s">
        <v>145</v>
      </c>
      <c r="P70" s="249"/>
      <c r="Q70" s="375">
        <v>929</v>
      </c>
      <c r="S70" s="375">
        <v>1818</v>
      </c>
      <c r="T70" s="375">
        <v>491</v>
      </c>
      <c r="V70" s="53">
        <v>137011</v>
      </c>
      <c r="W70" s="249"/>
      <c r="X70" s="53">
        <v>3813</v>
      </c>
      <c r="Y70" s="249"/>
      <c r="Z70" s="375">
        <v>24183</v>
      </c>
      <c r="AA70" s="375">
        <v>1978</v>
      </c>
      <c r="AB70" s="375">
        <v>12727</v>
      </c>
      <c r="AC70" s="375">
        <v>615</v>
      </c>
      <c r="AD70" s="375">
        <v>430</v>
      </c>
      <c r="AE70"/>
      <c r="AF70"/>
      <c r="AG70"/>
      <c r="AH70"/>
    </row>
    <row r="71" spans="2:34" s="54" customFormat="1" x14ac:dyDescent="0.2">
      <c r="B71" s="374">
        <v>42346</v>
      </c>
      <c r="C71" s="374">
        <v>42352</v>
      </c>
      <c r="D71" s="249"/>
      <c r="E71" s="375">
        <v>62315</v>
      </c>
      <c r="F71" s="375">
        <v>10453</v>
      </c>
      <c r="G71" s="375">
        <v>10453</v>
      </c>
      <c r="H71" s="375" t="s">
        <v>145</v>
      </c>
      <c r="I71" s="375">
        <v>82</v>
      </c>
      <c r="J71" s="375"/>
      <c r="K71" s="375">
        <v>319</v>
      </c>
      <c r="L71" s="375">
        <v>10315</v>
      </c>
      <c r="M71" s="53">
        <v>10315</v>
      </c>
      <c r="N71" s="53">
        <v>10315</v>
      </c>
      <c r="O71" s="35" t="s">
        <v>145</v>
      </c>
      <c r="P71" s="38"/>
      <c r="Q71" s="375">
        <v>1116</v>
      </c>
      <c r="R71" s="55"/>
      <c r="S71" s="375">
        <v>1960</v>
      </c>
      <c r="T71" s="375">
        <v>532</v>
      </c>
      <c r="U71" s="55"/>
      <c r="V71" s="53">
        <v>123891</v>
      </c>
      <c r="W71" s="38"/>
      <c r="X71" s="53">
        <v>8691</v>
      </c>
      <c r="Y71" s="38"/>
      <c r="Z71" s="375">
        <v>25196</v>
      </c>
      <c r="AA71" s="375">
        <v>2086</v>
      </c>
      <c r="AB71" s="375">
        <v>12270</v>
      </c>
      <c r="AC71" s="375">
        <v>582</v>
      </c>
      <c r="AD71" s="375">
        <v>22176</v>
      </c>
      <c r="AE71"/>
      <c r="AF71"/>
      <c r="AG71"/>
      <c r="AH71"/>
    </row>
    <row r="72" spans="2:34" s="45" customFormat="1" x14ac:dyDescent="0.2">
      <c r="B72" s="374">
        <v>42353</v>
      </c>
      <c r="C72" s="374">
        <v>42359</v>
      </c>
      <c r="D72" s="249"/>
      <c r="E72" s="375">
        <v>41497</v>
      </c>
      <c r="F72" s="375">
        <v>9722</v>
      </c>
      <c r="G72" s="375">
        <v>9722</v>
      </c>
      <c r="H72" s="375" t="s">
        <v>145</v>
      </c>
      <c r="I72" s="375">
        <v>74</v>
      </c>
      <c r="J72" s="375"/>
      <c r="K72" s="375">
        <v>68</v>
      </c>
      <c r="L72" s="375">
        <v>8565</v>
      </c>
      <c r="M72" s="53">
        <v>8565</v>
      </c>
      <c r="N72" s="53">
        <v>8565</v>
      </c>
      <c r="O72" s="35" t="s">
        <v>145</v>
      </c>
      <c r="P72" s="38"/>
      <c r="Q72" s="375">
        <v>917</v>
      </c>
      <c r="R72" s="38"/>
      <c r="S72" s="375">
        <v>1614</v>
      </c>
      <c r="T72" s="375">
        <v>407</v>
      </c>
      <c r="U72" s="38"/>
      <c r="V72" s="53">
        <v>124711</v>
      </c>
      <c r="W72" s="38"/>
      <c r="X72" s="53">
        <v>4604</v>
      </c>
      <c r="Y72" s="38"/>
      <c r="Z72" s="375">
        <v>24302</v>
      </c>
      <c r="AA72" s="375">
        <v>1717</v>
      </c>
      <c r="AB72" s="375">
        <v>12225</v>
      </c>
      <c r="AC72" s="375">
        <v>530</v>
      </c>
      <c r="AD72" s="375">
        <v>2723</v>
      </c>
      <c r="AE72"/>
      <c r="AF72"/>
      <c r="AG72"/>
      <c r="AH72"/>
    </row>
    <row r="73" spans="2:34" s="45" customFormat="1" x14ac:dyDescent="0.2">
      <c r="B73" s="374">
        <v>42360</v>
      </c>
      <c r="C73" s="374">
        <v>42366</v>
      </c>
      <c r="D73" s="249"/>
      <c r="E73" s="375">
        <v>101522</v>
      </c>
      <c r="F73" s="375">
        <v>24755</v>
      </c>
      <c r="G73" s="375">
        <v>24755</v>
      </c>
      <c r="H73" s="375" t="s">
        <v>145</v>
      </c>
      <c r="I73" s="375">
        <v>242</v>
      </c>
      <c r="J73" s="375"/>
      <c r="K73" s="375">
        <v>286</v>
      </c>
      <c r="L73" s="375">
        <v>17963</v>
      </c>
      <c r="M73" s="53">
        <v>17963</v>
      </c>
      <c r="N73" s="53">
        <v>17963</v>
      </c>
      <c r="O73" s="35" t="s">
        <v>145</v>
      </c>
      <c r="P73" s="38"/>
      <c r="Q73" s="375">
        <v>4176</v>
      </c>
      <c r="R73" s="38"/>
      <c r="S73" s="375">
        <v>13682</v>
      </c>
      <c r="T73" s="375">
        <v>2342</v>
      </c>
      <c r="U73" s="38"/>
      <c r="V73" s="53">
        <v>126216</v>
      </c>
      <c r="W73" s="38"/>
      <c r="X73" s="53">
        <v>9204</v>
      </c>
      <c r="Y73" s="38"/>
      <c r="Z73" s="375">
        <v>20210</v>
      </c>
      <c r="AA73" s="375">
        <v>2833</v>
      </c>
      <c r="AB73" s="375">
        <v>8677</v>
      </c>
      <c r="AC73" s="375">
        <v>615</v>
      </c>
      <c r="AD73" s="375">
        <v>69116</v>
      </c>
      <c r="AE73"/>
      <c r="AF73"/>
      <c r="AG73"/>
      <c r="AH73"/>
    </row>
    <row r="74" spans="2:34" s="54" customFormat="1" x14ac:dyDescent="0.2">
      <c r="B74" s="374">
        <v>42367</v>
      </c>
      <c r="C74" s="374">
        <v>42008</v>
      </c>
      <c r="D74" s="249"/>
      <c r="E74" s="375">
        <v>51162</v>
      </c>
      <c r="F74" s="375">
        <v>11556</v>
      </c>
      <c r="G74" s="375">
        <v>11556</v>
      </c>
      <c r="H74" s="375" t="s">
        <v>145</v>
      </c>
      <c r="I74" s="375">
        <v>83</v>
      </c>
      <c r="J74" s="375"/>
      <c r="K74" s="375">
        <v>90</v>
      </c>
      <c r="L74" s="375">
        <v>10503</v>
      </c>
      <c r="M74" s="53">
        <v>10503</v>
      </c>
      <c r="N74" s="53">
        <v>10503</v>
      </c>
      <c r="O74" s="35" t="s">
        <v>145</v>
      </c>
      <c r="P74" s="249"/>
      <c r="Q74" s="375">
        <v>1619</v>
      </c>
      <c r="S74" s="375">
        <v>3166</v>
      </c>
      <c r="T74" s="375">
        <v>731</v>
      </c>
      <c r="V74" s="53">
        <v>116392</v>
      </c>
      <c r="W74" s="249"/>
      <c r="X74" s="53">
        <v>7662</v>
      </c>
      <c r="Y74" s="249"/>
      <c r="Z74" s="375">
        <v>27328</v>
      </c>
      <c r="AA74" s="375">
        <v>1945</v>
      </c>
      <c r="AB74" s="375">
        <v>12561</v>
      </c>
      <c r="AC74" s="375">
        <v>570</v>
      </c>
      <c r="AD74" s="375">
        <v>8715</v>
      </c>
      <c r="AE74"/>
      <c r="AF74"/>
      <c r="AG74"/>
      <c r="AH74"/>
    </row>
    <row r="75" spans="2:34" s="54" customFormat="1" x14ac:dyDescent="0.2">
      <c r="B75" s="374">
        <v>42009</v>
      </c>
      <c r="C75" s="374">
        <v>42015</v>
      </c>
      <c r="D75" s="249"/>
      <c r="E75" s="375">
        <v>76337</v>
      </c>
      <c r="F75" s="375">
        <v>14608</v>
      </c>
      <c r="G75" s="375">
        <v>14608</v>
      </c>
      <c r="H75" s="375" t="s">
        <v>145</v>
      </c>
      <c r="I75" s="375">
        <v>138</v>
      </c>
      <c r="J75" s="375"/>
      <c r="K75" s="375">
        <v>765</v>
      </c>
      <c r="L75" s="375">
        <v>13192</v>
      </c>
      <c r="M75" s="53">
        <v>13192</v>
      </c>
      <c r="N75" s="53">
        <v>13192</v>
      </c>
      <c r="O75" s="35" t="s">
        <v>145</v>
      </c>
      <c r="P75" s="38"/>
      <c r="Q75" s="375">
        <v>11902</v>
      </c>
      <c r="R75" s="55"/>
      <c r="S75" s="375">
        <v>3142</v>
      </c>
      <c r="T75" s="375">
        <v>736</v>
      </c>
      <c r="U75" s="55"/>
      <c r="V75" s="53">
        <v>128962</v>
      </c>
      <c r="W75" s="38"/>
      <c r="X75" s="53">
        <v>5108</v>
      </c>
      <c r="Z75" s="375">
        <v>30997</v>
      </c>
      <c r="AA75" s="375">
        <v>2321</v>
      </c>
      <c r="AB75" s="375">
        <v>14889</v>
      </c>
      <c r="AC75" s="375">
        <v>757</v>
      </c>
      <c r="AD75" s="375">
        <v>26573</v>
      </c>
      <c r="AE75"/>
      <c r="AF75"/>
      <c r="AG75"/>
      <c r="AH75"/>
    </row>
    <row r="76" spans="2:34" s="45" customFormat="1" x14ac:dyDescent="0.2">
      <c r="B76" s="374">
        <v>42016</v>
      </c>
      <c r="C76" s="374">
        <v>42022</v>
      </c>
      <c r="D76" s="249"/>
      <c r="E76" s="375">
        <v>53334</v>
      </c>
      <c r="F76" s="375">
        <v>12067</v>
      </c>
      <c r="G76" s="375">
        <v>12067</v>
      </c>
      <c r="H76" s="375" t="s">
        <v>145</v>
      </c>
      <c r="I76" s="375">
        <v>72</v>
      </c>
      <c r="J76" s="375"/>
      <c r="K76" s="375">
        <v>97</v>
      </c>
      <c r="L76" s="375">
        <v>11586</v>
      </c>
      <c r="M76" s="53">
        <v>11586</v>
      </c>
      <c r="N76" s="53">
        <v>11586</v>
      </c>
      <c r="O76" s="35" t="s">
        <v>145</v>
      </c>
      <c r="P76" s="38"/>
      <c r="Q76" s="375">
        <v>1863</v>
      </c>
      <c r="R76" s="38"/>
      <c r="S76" s="375">
        <v>2400</v>
      </c>
      <c r="T76" s="375">
        <v>624</v>
      </c>
      <c r="U76" s="38"/>
      <c r="V76" s="53">
        <v>153993</v>
      </c>
      <c r="W76" s="38"/>
      <c r="X76" s="53">
        <v>4404</v>
      </c>
      <c r="Y76" s="38"/>
      <c r="Z76" s="375">
        <v>32601</v>
      </c>
      <c r="AA76" s="375">
        <v>2097</v>
      </c>
      <c r="AB76" s="375">
        <v>13330</v>
      </c>
      <c r="AC76" s="375">
        <v>747</v>
      </c>
      <c r="AD76" s="375">
        <v>3978</v>
      </c>
      <c r="AE76"/>
      <c r="AF76"/>
      <c r="AG76"/>
      <c r="AH76"/>
    </row>
    <row r="77" spans="2:34" s="45" customFormat="1" x14ac:dyDescent="0.2">
      <c r="B77" s="374">
        <v>42023</v>
      </c>
      <c r="C77" s="374">
        <v>42029</v>
      </c>
      <c r="D77" s="249"/>
      <c r="E77" s="375">
        <v>64310</v>
      </c>
      <c r="F77" s="375">
        <v>12453</v>
      </c>
      <c r="G77" s="375">
        <v>12453</v>
      </c>
      <c r="H77" s="375" t="s">
        <v>145</v>
      </c>
      <c r="I77" s="375">
        <v>75</v>
      </c>
      <c r="J77" s="375"/>
      <c r="K77" s="375">
        <v>229</v>
      </c>
      <c r="L77" s="375">
        <v>12563</v>
      </c>
      <c r="M77" s="53">
        <v>12563</v>
      </c>
      <c r="N77" s="53">
        <v>12563</v>
      </c>
      <c r="O77" s="35" t="s">
        <v>145</v>
      </c>
      <c r="P77" s="38"/>
      <c r="Q77" s="375">
        <v>1817</v>
      </c>
      <c r="R77" s="38"/>
      <c r="S77" s="375">
        <v>2551</v>
      </c>
      <c r="T77" s="375">
        <v>661</v>
      </c>
      <c r="U77" s="38"/>
      <c r="V77" s="53">
        <v>143830</v>
      </c>
      <c r="W77" s="38"/>
      <c r="X77" s="53">
        <v>5244</v>
      </c>
      <c r="Y77" s="38"/>
      <c r="Z77" s="375">
        <v>34361</v>
      </c>
      <c r="AA77" s="375">
        <v>2405</v>
      </c>
      <c r="AB77" s="375">
        <v>13281</v>
      </c>
      <c r="AC77" s="375">
        <v>805</v>
      </c>
      <c r="AD77" s="375">
        <v>13000</v>
      </c>
      <c r="AE77"/>
      <c r="AF77"/>
      <c r="AG77"/>
      <c r="AH77"/>
    </row>
    <row r="78" spans="2:34" s="45" customFormat="1" x14ac:dyDescent="0.2">
      <c r="B78" s="374">
        <v>42030</v>
      </c>
      <c r="C78" s="374">
        <v>42036</v>
      </c>
      <c r="D78" s="249"/>
      <c r="E78" s="375">
        <v>57297</v>
      </c>
      <c r="F78" s="375">
        <v>12187</v>
      </c>
      <c r="G78" s="375">
        <v>12187</v>
      </c>
      <c r="H78" s="375" t="s">
        <v>145</v>
      </c>
      <c r="I78" s="375">
        <v>69</v>
      </c>
      <c r="J78" s="375"/>
      <c r="K78" s="375">
        <v>76</v>
      </c>
      <c r="L78" s="375">
        <v>12382</v>
      </c>
      <c r="M78" s="53">
        <v>12382</v>
      </c>
      <c r="N78" s="53">
        <v>12382</v>
      </c>
      <c r="O78" s="35" t="s">
        <v>145</v>
      </c>
      <c r="P78" s="38"/>
      <c r="Q78" s="375">
        <v>1540</v>
      </c>
      <c r="R78" s="38"/>
      <c r="S78" s="375">
        <v>2348</v>
      </c>
      <c r="T78" s="375">
        <v>619</v>
      </c>
      <c r="U78" s="38"/>
      <c r="V78" s="53">
        <v>138635</v>
      </c>
      <c r="W78" s="38"/>
      <c r="X78" s="53">
        <v>5035</v>
      </c>
      <c r="Y78" s="38"/>
      <c r="Z78" s="375">
        <v>37501</v>
      </c>
      <c r="AA78" s="375">
        <v>2233</v>
      </c>
      <c r="AB78" s="375">
        <v>13115</v>
      </c>
      <c r="AC78" s="375">
        <v>997</v>
      </c>
      <c r="AD78" s="375">
        <v>2986</v>
      </c>
      <c r="AE78"/>
      <c r="AF78"/>
      <c r="AG78"/>
      <c r="AH78"/>
    </row>
    <row r="79" spans="2:34" s="54" customFormat="1" x14ac:dyDescent="0.2">
      <c r="B79" s="374">
        <v>42037</v>
      </c>
      <c r="C79" s="374">
        <v>42043</v>
      </c>
      <c r="D79" s="249"/>
      <c r="E79" s="375">
        <v>57041</v>
      </c>
      <c r="F79" s="375">
        <v>11820</v>
      </c>
      <c r="G79" s="375">
        <v>11820</v>
      </c>
      <c r="H79" s="375" t="s">
        <v>145</v>
      </c>
      <c r="I79" s="375">
        <v>89</v>
      </c>
      <c r="J79" s="375"/>
      <c r="K79" s="375">
        <v>42</v>
      </c>
      <c r="L79" s="375">
        <v>12286</v>
      </c>
      <c r="M79" s="53">
        <v>12286</v>
      </c>
      <c r="N79" s="53">
        <v>12286</v>
      </c>
      <c r="O79" s="35" t="s">
        <v>145</v>
      </c>
      <c r="P79" s="38"/>
      <c r="Q79" s="375">
        <v>1400</v>
      </c>
      <c r="R79" s="55"/>
      <c r="S79" s="375">
        <v>2166</v>
      </c>
      <c r="T79" s="375">
        <v>553</v>
      </c>
      <c r="U79" s="55"/>
      <c r="V79" s="53">
        <v>142130</v>
      </c>
      <c r="W79" s="38"/>
      <c r="X79" s="53">
        <v>7359</v>
      </c>
      <c r="Z79" s="375">
        <v>39361</v>
      </c>
      <c r="AA79" s="375">
        <v>2218</v>
      </c>
      <c r="AB79" s="375">
        <v>12528</v>
      </c>
      <c r="AC79" s="375">
        <v>1065</v>
      </c>
      <c r="AD79" s="375">
        <v>1769</v>
      </c>
      <c r="AE79"/>
      <c r="AF79"/>
      <c r="AG79"/>
      <c r="AH79"/>
    </row>
    <row r="80" spans="2:34" s="45" customFormat="1" x14ac:dyDescent="0.2">
      <c r="B80" s="374">
        <v>42044</v>
      </c>
      <c r="C80" s="374">
        <v>42050</v>
      </c>
      <c r="D80" s="249"/>
      <c r="E80" s="375">
        <v>54920</v>
      </c>
      <c r="F80" s="375">
        <v>10892</v>
      </c>
      <c r="G80" s="375">
        <v>10892</v>
      </c>
      <c r="H80" s="375" t="s">
        <v>145</v>
      </c>
      <c r="I80" s="375">
        <v>73</v>
      </c>
      <c r="J80" s="375"/>
      <c r="K80" s="375">
        <v>44</v>
      </c>
      <c r="L80" s="375">
        <v>11862</v>
      </c>
      <c r="M80" s="53">
        <v>11862</v>
      </c>
      <c r="N80" s="53">
        <v>11862</v>
      </c>
      <c r="O80" s="35" t="s">
        <v>145</v>
      </c>
      <c r="P80" s="38"/>
      <c r="Q80" s="375">
        <v>1270</v>
      </c>
      <c r="R80" s="38"/>
      <c r="S80" s="375">
        <v>2041</v>
      </c>
      <c r="T80" s="375">
        <v>536</v>
      </c>
      <c r="U80" s="38"/>
      <c r="V80" s="53">
        <v>112876</v>
      </c>
      <c r="W80" s="38"/>
      <c r="X80" s="53">
        <v>4143</v>
      </c>
      <c r="Y80" s="38"/>
      <c r="Z80" s="375">
        <v>37733</v>
      </c>
      <c r="AA80" s="375">
        <v>2438</v>
      </c>
      <c r="AB80" s="375">
        <v>12318</v>
      </c>
      <c r="AC80" s="375">
        <v>1132</v>
      </c>
      <c r="AD80" s="375">
        <v>1254</v>
      </c>
      <c r="AE80"/>
      <c r="AF80"/>
      <c r="AG80"/>
      <c r="AH80"/>
    </row>
    <row r="81" spans="2:34" s="45" customFormat="1" x14ac:dyDescent="0.2">
      <c r="B81" s="374">
        <v>42051</v>
      </c>
      <c r="C81" s="374">
        <v>42057</v>
      </c>
      <c r="D81" s="249"/>
      <c r="E81" s="375">
        <v>66648</v>
      </c>
      <c r="F81" s="375">
        <v>13494</v>
      </c>
      <c r="G81" s="375">
        <v>13494</v>
      </c>
      <c r="H81" s="375" t="s">
        <v>145</v>
      </c>
      <c r="I81" s="375">
        <v>121</v>
      </c>
      <c r="J81" s="375"/>
      <c r="K81" s="375">
        <v>113</v>
      </c>
      <c r="L81" s="375">
        <v>16176</v>
      </c>
      <c r="M81" s="53">
        <v>16176</v>
      </c>
      <c r="N81" s="53">
        <v>16176</v>
      </c>
      <c r="O81" s="35" t="s">
        <v>145</v>
      </c>
      <c r="P81" s="38"/>
      <c r="Q81" s="375">
        <v>2085</v>
      </c>
      <c r="R81" s="38"/>
      <c r="S81" s="375">
        <v>2369</v>
      </c>
      <c r="T81" s="375">
        <v>534</v>
      </c>
      <c r="U81" s="38"/>
      <c r="V81" s="53">
        <v>112179</v>
      </c>
      <c r="W81" s="38"/>
      <c r="X81" s="53">
        <v>4027</v>
      </c>
      <c r="Y81" s="38"/>
      <c r="Z81" s="375">
        <v>28369</v>
      </c>
      <c r="AA81" s="375">
        <v>2235</v>
      </c>
      <c r="AB81" s="375">
        <v>11567</v>
      </c>
      <c r="AC81" s="375">
        <v>1200</v>
      </c>
      <c r="AD81" s="375">
        <v>23241</v>
      </c>
      <c r="AE81"/>
      <c r="AF81"/>
      <c r="AG81"/>
      <c r="AH81"/>
    </row>
    <row r="82" spans="2:34" s="45" customFormat="1" x14ac:dyDescent="0.2">
      <c r="B82" s="374">
        <v>42058</v>
      </c>
      <c r="C82" s="374">
        <v>42064</v>
      </c>
      <c r="D82" s="249"/>
      <c r="E82" s="375">
        <v>45085</v>
      </c>
      <c r="F82" s="375">
        <v>11550</v>
      </c>
      <c r="G82" s="375">
        <v>11550</v>
      </c>
      <c r="H82" s="375" t="s">
        <v>145</v>
      </c>
      <c r="I82" s="375">
        <v>81</v>
      </c>
      <c r="J82" s="375"/>
      <c r="K82" s="375">
        <v>32</v>
      </c>
      <c r="L82" s="375">
        <v>10277</v>
      </c>
      <c r="M82" s="53">
        <v>10278</v>
      </c>
      <c r="N82" s="53">
        <v>10277</v>
      </c>
      <c r="O82" s="35" t="s">
        <v>145</v>
      </c>
      <c r="P82" s="38"/>
      <c r="Q82" s="375">
        <v>1238</v>
      </c>
      <c r="R82" s="38"/>
      <c r="S82" s="375">
        <v>2040</v>
      </c>
      <c r="T82" s="375">
        <v>529</v>
      </c>
      <c r="U82" s="38"/>
      <c r="V82" s="53">
        <v>124490</v>
      </c>
      <c r="W82" s="38"/>
      <c r="X82" s="53">
        <v>6234</v>
      </c>
      <c r="Y82" s="38"/>
      <c r="Z82" s="375">
        <v>22497</v>
      </c>
      <c r="AA82" s="375">
        <v>3062</v>
      </c>
      <c r="AB82" s="375">
        <v>15659</v>
      </c>
      <c r="AC82" s="375">
        <v>1183</v>
      </c>
      <c r="AD82" s="375">
        <v>2644</v>
      </c>
      <c r="AE82"/>
      <c r="AF82"/>
      <c r="AG82"/>
      <c r="AH82"/>
    </row>
    <row r="83" spans="2:34" s="45" customFormat="1" x14ac:dyDescent="0.2">
      <c r="B83" s="374">
        <v>42065</v>
      </c>
      <c r="C83" s="374">
        <v>42071</v>
      </c>
      <c r="D83" s="249"/>
      <c r="E83" s="375">
        <v>46041</v>
      </c>
      <c r="F83" s="375">
        <v>11958</v>
      </c>
      <c r="G83" s="375">
        <v>11958</v>
      </c>
      <c r="H83" s="375" t="s">
        <v>145</v>
      </c>
      <c r="I83" s="375">
        <v>74</v>
      </c>
      <c r="J83" s="375"/>
      <c r="K83" s="375">
        <v>32</v>
      </c>
      <c r="L83" s="375">
        <v>8834</v>
      </c>
      <c r="M83" s="53">
        <v>8834</v>
      </c>
      <c r="N83" s="53">
        <v>8834</v>
      </c>
      <c r="O83" s="35" t="s">
        <v>145</v>
      </c>
      <c r="P83" s="38"/>
      <c r="Q83" s="375">
        <v>1100</v>
      </c>
      <c r="R83" s="38"/>
      <c r="S83" s="375">
        <v>1953</v>
      </c>
      <c r="T83" s="375">
        <v>744</v>
      </c>
      <c r="U83" s="38"/>
      <c r="V83" s="53">
        <v>121304</v>
      </c>
      <c r="W83" s="38"/>
      <c r="X83" s="53">
        <v>4047</v>
      </c>
      <c r="Y83" s="38"/>
      <c r="Z83" s="375">
        <v>20931</v>
      </c>
      <c r="AA83" s="375">
        <v>3679</v>
      </c>
      <c r="AB83" s="375">
        <v>18890</v>
      </c>
      <c r="AC83" s="375">
        <v>1112</v>
      </c>
      <c r="AD83" s="375">
        <v>1410</v>
      </c>
      <c r="AE83"/>
      <c r="AF83"/>
      <c r="AG83"/>
      <c r="AH83"/>
    </row>
    <row r="84" spans="2:34" s="54" customFormat="1" x14ac:dyDescent="0.2">
      <c r="B84" s="374">
        <v>42072</v>
      </c>
      <c r="C84" s="374">
        <v>42078</v>
      </c>
      <c r="D84" s="249"/>
      <c r="E84" s="375">
        <v>64699</v>
      </c>
      <c r="F84" s="375">
        <v>6308</v>
      </c>
      <c r="G84" s="375">
        <v>6308</v>
      </c>
      <c r="H84" s="375" t="s">
        <v>145</v>
      </c>
      <c r="I84" s="375">
        <v>111</v>
      </c>
      <c r="J84" s="375"/>
      <c r="K84" s="375">
        <v>44</v>
      </c>
      <c r="L84" s="375">
        <v>18644</v>
      </c>
      <c r="M84" s="53">
        <v>18644</v>
      </c>
      <c r="N84" s="53">
        <v>18644</v>
      </c>
      <c r="O84" s="35" t="s">
        <v>145</v>
      </c>
      <c r="P84" s="38"/>
      <c r="Q84" s="375">
        <v>1744</v>
      </c>
      <c r="R84" s="55"/>
      <c r="S84" s="375">
        <v>1645</v>
      </c>
      <c r="T84" s="375">
        <v>954</v>
      </c>
      <c r="U84" s="55"/>
      <c r="V84" s="53">
        <v>134267</v>
      </c>
      <c r="W84" s="38"/>
      <c r="X84" s="53">
        <v>-13810</v>
      </c>
      <c r="Z84" s="375">
        <v>21250</v>
      </c>
      <c r="AA84" s="375">
        <v>2452</v>
      </c>
      <c r="AB84" s="375">
        <v>9893</v>
      </c>
      <c r="AC84" s="375">
        <v>1296</v>
      </c>
      <c r="AD84" s="375">
        <v>29788</v>
      </c>
      <c r="AE84"/>
      <c r="AF84"/>
      <c r="AG84"/>
      <c r="AH84"/>
    </row>
    <row r="85" spans="2:34" s="45" customFormat="1" x14ac:dyDescent="0.2">
      <c r="B85" s="374">
        <v>42079</v>
      </c>
      <c r="C85" s="374">
        <v>42085</v>
      </c>
      <c r="D85" s="249"/>
      <c r="E85" s="375">
        <v>230335</v>
      </c>
      <c r="F85" s="375">
        <v>11641</v>
      </c>
      <c r="G85" s="375">
        <v>11641</v>
      </c>
      <c r="H85" s="375" t="s">
        <v>145</v>
      </c>
      <c r="I85" s="375">
        <v>604</v>
      </c>
      <c r="J85" s="375"/>
      <c r="K85" s="375">
        <v>116</v>
      </c>
      <c r="L85" s="375">
        <v>66718</v>
      </c>
      <c r="M85" s="53">
        <v>66718</v>
      </c>
      <c r="N85" s="53">
        <v>66718</v>
      </c>
      <c r="O85" s="35" t="s">
        <v>145</v>
      </c>
      <c r="P85" s="38"/>
      <c r="Q85" s="375">
        <v>2180</v>
      </c>
      <c r="R85" s="38"/>
      <c r="S85" s="375">
        <v>3060</v>
      </c>
      <c r="T85" s="375">
        <v>2078</v>
      </c>
      <c r="U85" s="38"/>
      <c r="V85" s="53">
        <v>222948</v>
      </c>
      <c r="W85" s="38"/>
      <c r="X85" s="53">
        <v>3269</v>
      </c>
      <c r="Y85" s="38"/>
      <c r="Z85" s="375">
        <v>21972</v>
      </c>
      <c r="AA85" s="375">
        <v>2990</v>
      </c>
      <c r="AB85" s="375">
        <v>12676</v>
      </c>
      <c r="AC85" s="375">
        <v>1515</v>
      </c>
      <c r="AD85" s="375">
        <v>191161</v>
      </c>
      <c r="AE85"/>
      <c r="AF85"/>
      <c r="AG85"/>
      <c r="AH85"/>
    </row>
    <row r="86" spans="2:34" s="45" customFormat="1" x14ac:dyDescent="0.2">
      <c r="B86" s="374">
        <v>42086</v>
      </c>
      <c r="C86" s="374">
        <v>42092</v>
      </c>
      <c r="D86" s="249"/>
      <c r="E86" s="375">
        <v>160248</v>
      </c>
      <c r="F86" s="375">
        <v>11228</v>
      </c>
      <c r="G86" s="375">
        <v>11228</v>
      </c>
      <c r="H86" s="375" t="s">
        <v>145</v>
      </c>
      <c r="I86" s="375">
        <v>317</v>
      </c>
      <c r="J86" s="375"/>
      <c r="K86" s="375">
        <v>81</v>
      </c>
      <c r="L86" s="375">
        <v>50549</v>
      </c>
      <c r="M86" s="53">
        <v>50549</v>
      </c>
      <c r="N86" s="53">
        <v>50549</v>
      </c>
      <c r="O86" s="35" t="s">
        <v>145</v>
      </c>
      <c r="P86" s="38"/>
      <c r="Q86" s="375">
        <v>1696</v>
      </c>
      <c r="R86" s="38"/>
      <c r="S86" s="375">
        <v>2644</v>
      </c>
      <c r="T86" s="375">
        <v>1825</v>
      </c>
      <c r="U86" s="38"/>
      <c r="V86" s="53">
        <v>160540</v>
      </c>
      <c r="W86" s="38"/>
      <c r="X86" s="53">
        <v>5104</v>
      </c>
      <c r="Y86" s="38"/>
      <c r="Z86" s="375">
        <v>23910</v>
      </c>
      <c r="AA86" s="375">
        <v>3042</v>
      </c>
      <c r="AB86" s="375">
        <v>12681</v>
      </c>
      <c r="AC86" s="375">
        <v>1655</v>
      </c>
      <c r="AD86" s="375">
        <v>118950</v>
      </c>
      <c r="AE86"/>
      <c r="AF86"/>
      <c r="AG86"/>
      <c r="AH86"/>
    </row>
    <row r="87" spans="2:34" s="45" customFormat="1" x14ac:dyDescent="0.2">
      <c r="B87" s="374">
        <v>42093</v>
      </c>
      <c r="C87" s="374">
        <v>42099</v>
      </c>
      <c r="D87" s="249"/>
      <c r="E87" s="375">
        <v>55792</v>
      </c>
      <c r="F87" s="375">
        <v>9140</v>
      </c>
      <c r="G87" s="375">
        <v>9140</v>
      </c>
      <c r="H87" s="375" t="s">
        <v>145</v>
      </c>
      <c r="I87" s="375">
        <v>78</v>
      </c>
      <c r="J87" s="375"/>
      <c r="K87" s="375">
        <v>65</v>
      </c>
      <c r="L87" s="375">
        <v>15230</v>
      </c>
      <c r="M87" s="53">
        <v>15230</v>
      </c>
      <c r="N87" s="53">
        <v>15230</v>
      </c>
      <c r="O87" s="35" t="s">
        <v>145</v>
      </c>
      <c r="P87" s="38"/>
      <c r="Q87" s="375">
        <v>1151</v>
      </c>
      <c r="R87" s="38"/>
      <c r="S87" s="375">
        <v>1471</v>
      </c>
      <c r="T87" s="375">
        <v>1005</v>
      </c>
      <c r="U87" s="38"/>
      <c r="V87" s="53">
        <v>105253</v>
      </c>
      <c r="W87" s="38"/>
      <c r="X87" s="53">
        <v>2639</v>
      </c>
      <c r="Y87" s="38"/>
      <c r="Z87" s="375">
        <v>22354</v>
      </c>
      <c r="AA87" s="375">
        <v>2023</v>
      </c>
      <c r="AB87" s="375">
        <v>10000</v>
      </c>
      <c r="AC87" s="375">
        <v>1320</v>
      </c>
      <c r="AD87" s="375">
        <v>20081</v>
      </c>
      <c r="AE87"/>
      <c r="AF87"/>
      <c r="AG87"/>
      <c r="AH87"/>
    </row>
    <row r="88" spans="2:34" s="54" customFormat="1" x14ac:dyDescent="0.2">
      <c r="B88" s="374">
        <v>42100</v>
      </c>
      <c r="C88" s="374">
        <v>42106</v>
      </c>
      <c r="D88" s="249"/>
      <c r="E88" s="375">
        <v>47910</v>
      </c>
      <c r="F88" s="375">
        <v>9449</v>
      </c>
      <c r="G88" s="375">
        <v>9449</v>
      </c>
      <c r="H88" s="375" t="s">
        <v>145</v>
      </c>
      <c r="I88" s="375">
        <v>74</v>
      </c>
      <c r="J88" s="375"/>
      <c r="K88" s="375">
        <v>62</v>
      </c>
      <c r="L88" s="375">
        <v>12487</v>
      </c>
      <c r="M88" s="53">
        <v>12487</v>
      </c>
      <c r="N88" s="53">
        <v>12487</v>
      </c>
      <c r="O88" s="35" t="s">
        <v>145</v>
      </c>
      <c r="P88" s="38"/>
      <c r="Q88" s="375">
        <v>945</v>
      </c>
      <c r="R88" s="55"/>
      <c r="S88" s="375">
        <v>1592</v>
      </c>
      <c r="T88" s="375">
        <v>1072</v>
      </c>
      <c r="U88" s="55"/>
      <c r="V88" s="53">
        <v>125183</v>
      </c>
      <c r="W88" s="38"/>
      <c r="X88" s="53">
        <v>3425</v>
      </c>
      <c r="Z88" s="375">
        <v>23091</v>
      </c>
      <c r="AA88" s="375">
        <v>1978</v>
      </c>
      <c r="AB88" s="375">
        <v>11218</v>
      </c>
      <c r="AC88" s="375">
        <v>1333</v>
      </c>
      <c r="AD88" s="375">
        <v>10276</v>
      </c>
      <c r="AE88"/>
      <c r="AF88"/>
      <c r="AG88"/>
      <c r="AH88"/>
    </row>
    <row r="89" spans="2:34" s="45" customFormat="1" x14ac:dyDescent="0.2">
      <c r="B89" s="374">
        <v>42107</v>
      </c>
      <c r="C89" s="374">
        <v>42113</v>
      </c>
      <c r="D89" s="249"/>
      <c r="E89" s="375">
        <v>110506</v>
      </c>
      <c r="F89" s="375">
        <v>19782</v>
      </c>
      <c r="G89" s="375">
        <v>19782</v>
      </c>
      <c r="H89" s="375" t="s">
        <v>145</v>
      </c>
      <c r="I89" s="375">
        <v>161</v>
      </c>
      <c r="J89" s="375"/>
      <c r="K89" s="375">
        <v>255</v>
      </c>
      <c r="L89" s="375">
        <v>23076</v>
      </c>
      <c r="M89" s="53">
        <v>23076</v>
      </c>
      <c r="N89" s="53">
        <v>23076</v>
      </c>
      <c r="O89" s="35" t="s">
        <v>145</v>
      </c>
      <c r="P89" s="38"/>
      <c r="Q89" s="375">
        <v>5910</v>
      </c>
      <c r="R89" s="38"/>
      <c r="S89" s="375">
        <v>3853</v>
      </c>
      <c r="T89" s="375">
        <v>2875</v>
      </c>
      <c r="U89" s="38"/>
      <c r="V89" s="53">
        <v>137665</v>
      </c>
      <c r="W89" s="38"/>
      <c r="X89" s="53">
        <v>2836</v>
      </c>
      <c r="Y89" s="38"/>
      <c r="Z89" s="375">
        <v>23032</v>
      </c>
      <c r="AA89" s="375">
        <v>2505</v>
      </c>
      <c r="AB89" s="375">
        <v>10868</v>
      </c>
      <c r="AC89" s="375">
        <v>1722</v>
      </c>
      <c r="AD89" s="375">
        <v>72326</v>
      </c>
      <c r="AE89"/>
      <c r="AF89"/>
      <c r="AG89"/>
      <c r="AH89"/>
    </row>
    <row r="90" spans="2:34" s="45" customFormat="1" x14ac:dyDescent="0.2">
      <c r="B90" s="374">
        <v>42114</v>
      </c>
      <c r="C90" s="374">
        <v>42120</v>
      </c>
      <c r="D90" s="249"/>
      <c r="E90" s="375">
        <v>47270</v>
      </c>
      <c r="F90" s="375">
        <v>10095</v>
      </c>
      <c r="G90" s="375">
        <v>10095</v>
      </c>
      <c r="H90" s="375" t="s">
        <v>145</v>
      </c>
      <c r="I90" s="375">
        <v>62</v>
      </c>
      <c r="J90" s="375"/>
      <c r="K90" s="375">
        <v>58</v>
      </c>
      <c r="L90" s="375">
        <v>11501</v>
      </c>
      <c r="M90" s="53">
        <v>11501</v>
      </c>
      <c r="N90" s="53">
        <v>11501</v>
      </c>
      <c r="O90" s="35" t="s">
        <v>145</v>
      </c>
      <c r="P90" s="38"/>
      <c r="Q90" s="375">
        <v>1370</v>
      </c>
      <c r="R90" s="38"/>
      <c r="S90" s="375">
        <v>1637</v>
      </c>
      <c r="T90" s="375">
        <v>1137</v>
      </c>
      <c r="U90" s="38"/>
      <c r="V90" s="53">
        <v>104296</v>
      </c>
      <c r="W90" s="38"/>
      <c r="X90" s="53">
        <v>3519</v>
      </c>
      <c r="Y90" s="38"/>
      <c r="Z90" s="375">
        <v>22163</v>
      </c>
      <c r="AA90" s="375">
        <v>2171</v>
      </c>
      <c r="AB90" s="375">
        <v>10382</v>
      </c>
      <c r="AC90" s="375">
        <v>2002</v>
      </c>
      <c r="AD90" s="375">
        <v>10523</v>
      </c>
      <c r="AE90"/>
      <c r="AF90"/>
      <c r="AG90"/>
      <c r="AH90"/>
    </row>
    <row r="91" spans="2:34" s="54" customFormat="1" x14ac:dyDescent="0.2">
      <c r="B91" s="374">
        <v>42121</v>
      </c>
      <c r="C91" s="374">
        <v>42127</v>
      </c>
      <c r="D91" s="249"/>
      <c r="E91" s="375">
        <v>50870</v>
      </c>
      <c r="F91" s="375">
        <v>9320</v>
      </c>
      <c r="G91" s="375">
        <v>9320</v>
      </c>
      <c r="H91" s="375" t="s">
        <v>145</v>
      </c>
      <c r="I91" s="375">
        <v>79</v>
      </c>
      <c r="J91" s="375"/>
      <c r="K91" s="375">
        <v>112</v>
      </c>
      <c r="L91" s="375">
        <v>9841</v>
      </c>
      <c r="M91" s="53">
        <v>9841</v>
      </c>
      <c r="N91" s="53">
        <v>9841</v>
      </c>
      <c r="O91" s="35" t="s">
        <v>145</v>
      </c>
      <c r="P91" s="38"/>
      <c r="Q91" s="375">
        <v>979</v>
      </c>
      <c r="R91" s="55"/>
      <c r="S91" s="375">
        <v>1370</v>
      </c>
      <c r="T91" s="375">
        <v>914</v>
      </c>
      <c r="U91" s="55"/>
      <c r="V91" s="53">
        <v>134518</v>
      </c>
      <c r="W91" s="38"/>
      <c r="X91" s="53">
        <v>3115</v>
      </c>
      <c r="Z91" s="375">
        <v>25301</v>
      </c>
      <c r="AA91" s="375">
        <v>2392</v>
      </c>
      <c r="AB91" s="375">
        <v>15231</v>
      </c>
      <c r="AC91" s="375">
        <v>1881</v>
      </c>
      <c r="AD91" s="375">
        <v>5971</v>
      </c>
      <c r="AE91"/>
      <c r="AF91"/>
      <c r="AG91"/>
      <c r="AH91"/>
    </row>
    <row r="92" spans="2:34" s="45" customFormat="1" x14ac:dyDescent="0.2">
      <c r="B92" s="374">
        <v>42128</v>
      </c>
      <c r="C92" s="374">
        <v>42134</v>
      </c>
      <c r="D92" s="249"/>
      <c r="E92" s="375">
        <v>39194</v>
      </c>
      <c r="F92" s="375">
        <v>8274</v>
      </c>
      <c r="G92" s="375">
        <v>8274</v>
      </c>
      <c r="H92" s="375" t="s">
        <v>145</v>
      </c>
      <c r="I92" s="375">
        <v>62</v>
      </c>
      <c r="J92" s="375"/>
      <c r="K92" s="375">
        <v>38</v>
      </c>
      <c r="L92" s="375">
        <v>9146</v>
      </c>
      <c r="M92" s="53">
        <v>9146</v>
      </c>
      <c r="N92" s="53">
        <v>9146</v>
      </c>
      <c r="O92" s="35" t="s">
        <v>145</v>
      </c>
      <c r="P92" s="38"/>
      <c r="Q92" s="375">
        <v>723</v>
      </c>
      <c r="R92" s="38"/>
      <c r="S92" s="375">
        <v>1388</v>
      </c>
      <c r="T92" s="375">
        <v>918</v>
      </c>
      <c r="U92" s="38"/>
      <c r="V92" s="53">
        <v>116250</v>
      </c>
      <c r="W92" s="38"/>
      <c r="X92" s="53">
        <v>4595</v>
      </c>
      <c r="Y92" s="38"/>
      <c r="Z92" s="375">
        <v>21995</v>
      </c>
      <c r="AA92" s="375">
        <v>1894</v>
      </c>
      <c r="AB92" s="375">
        <v>8962</v>
      </c>
      <c r="AC92" s="375">
        <v>1804</v>
      </c>
      <c r="AD92" s="375">
        <v>4267</v>
      </c>
      <c r="AE92"/>
      <c r="AF92"/>
      <c r="AG92"/>
      <c r="AH92"/>
    </row>
    <row r="93" spans="2:34" s="45" customFormat="1" x14ac:dyDescent="0.2">
      <c r="B93" s="374">
        <v>42135</v>
      </c>
      <c r="C93" s="374">
        <v>42141</v>
      </c>
      <c r="D93" s="249"/>
      <c r="E93" s="375">
        <v>40878</v>
      </c>
      <c r="F93" s="375">
        <v>9450</v>
      </c>
      <c r="G93" s="375">
        <v>9450</v>
      </c>
      <c r="H93" s="375" t="s">
        <v>145</v>
      </c>
      <c r="I93" s="375">
        <v>37</v>
      </c>
      <c r="J93" s="375"/>
      <c r="K93" s="375">
        <v>25</v>
      </c>
      <c r="L93" s="375">
        <v>10050</v>
      </c>
      <c r="M93" s="53">
        <v>10050</v>
      </c>
      <c r="N93" s="53">
        <v>10050</v>
      </c>
      <c r="O93" s="35" t="s">
        <v>145</v>
      </c>
      <c r="P93" s="38"/>
      <c r="Q93" s="375">
        <v>827</v>
      </c>
      <c r="R93" s="38"/>
      <c r="S93" s="375">
        <v>1661</v>
      </c>
      <c r="T93" s="375">
        <v>1124</v>
      </c>
      <c r="U93" s="38"/>
      <c r="V93" s="53">
        <v>99941</v>
      </c>
      <c r="W93" s="38"/>
      <c r="X93" s="53">
        <v>4769</v>
      </c>
      <c r="Y93" s="38"/>
      <c r="Z93" s="375">
        <v>21365</v>
      </c>
      <c r="AA93" s="375">
        <v>2191</v>
      </c>
      <c r="AB93" s="375">
        <v>11656</v>
      </c>
      <c r="AC93" s="375">
        <v>1913</v>
      </c>
      <c r="AD93" s="375">
        <v>3719</v>
      </c>
      <c r="AE93"/>
      <c r="AF93"/>
      <c r="AG93"/>
      <c r="AH93"/>
    </row>
    <row r="94" spans="2:34" s="45" customFormat="1" x14ac:dyDescent="0.2">
      <c r="B94" s="374">
        <v>42142</v>
      </c>
      <c r="C94" s="374">
        <v>42148</v>
      </c>
      <c r="D94" s="249"/>
      <c r="E94" s="375">
        <v>48179</v>
      </c>
      <c r="F94" s="375">
        <v>8604</v>
      </c>
      <c r="G94" s="375">
        <v>8604</v>
      </c>
      <c r="H94" s="375" t="s">
        <v>145</v>
      </c>
      <c r="I94" s="375">
        <v>88</v>
      </c>
      <c r="J94" s="375"/>
      <c r="K94" s="375">
        <v>118</v>
      </c>
      <c r="L94" s="375">
        <v>9897</v>
      </c>
      <c r="M94" s="53">
        <v>9897</v>
      </c>
      <c r="N94" s="53">
        <v>9897</v>
      </c>
      <c r="O94" s="35" t="s">
        <v>145</v>
      </c>
      <c r="P94" s="38"/>
      <c r="Q94" s="375">
        <v>893</v>
      </c>
      <c r="R94" s="38"/>
      <c r="S94" s="375">
        <v>1505</v>
      </c>
      <c r="T94" s="375">
        <v>975</v>
      </c>
      <c r="U94" s="38"/>
      <c r="V94" s="53">
        <v>112737</v>
      </c>
      <c r="W94" s="38"/>
      <c r="X94" s="53">
        <v>7401</v>
      </c>
      <c r="Y94" s="38"/>
      <c r="Z94" s="375">
        <v>21460</v>
      </c>
      <c r="AA94" s="375">
        <v>2585</v>
      </c>
      <c r="AB94" s="375">
        <v>8978</v>
      </c>
      <c r="AC94" s="375">
        <v>1902</v>
      </c>
      <c r="AD94" s="375">
        <v>12593</v>
      </c>
      <c r="AE94"/>
      <c r="AF94"/>
      <c r="AG94"/>
      <c r="AH94"/>
    </row>
    <row r="95" spans="2:34" s="45" customFormat="1" x14ac:dyDescent="0.2">
      <c r="B95" s="374">
        <v>42149</v>
      </c>
      <c r="C95" s="374">
        <v>42155</v>
      </c>
      <c r="D95" s="249"/>
      <c r="E95" s="375">
        <v>65902</v>
      </c>
      <c r="F95" s="375">
        <v>8582</v>
      </c>
      <c r="G95" s="376">
        <v>8582</v>
      </c>
      <c r="H95" s="375" t="s">
        <v>145</v>
      </c>
      <c r="I95" s="375">
        <v>124</v>
      </c>
      <c r="J95" s="375"/>
      <c r="K95" s="375">
        <v>393</v>
      </c>
      <c r="L95" s="375">
        <v>11999</v>
      </c>
      <c r="M95" s="53">
        <v>11999</v>
      </c>
      <c r="N95" s="53">
        <v>11999</v>
      </c>
      <c r="O95" s="35" t="s">
        <v>145</v>
      </c>
      <c r="P95" s="38"/>
      <c r="Q95" s="375">
        <v>7752</v>
      </c>
      <c r="R95" s="38"/>
      <c r="S95" s="375">
        <v>1623</v>
      </c>
      <c r="T95" s="375">
        <v>1162</v>
      </c>
      <c r="U95" s="38"/>
      <c r="V95" s="53">
        <v>126101</v>
      </c>
      <c r="W95" s="38"/>
      <c r="X95" s="53">
        <v>5684</v>
      </c>
      <c r="Y95" s="38"/>
      <c r="Z95" s="375">
        <v>20952</v>
      </c>
      <c r="AA95" s="375">
        <v>2206</v>
      </c>
      <c r="AB95" s="375">
        <v>9079</v>
      </c>
      <c r="AC95" s="375">
        <v>1877</v>
      </c>
      <c r="AD95" s="375">
        <v>31723</v>
      </c>
      <c r="AE95"/>
      <c r="AF95"/>
      <c r="AG95"/>
      <c r="AH95"/>
    </row>
    <row r="96" spans="2:34" s="32" customFormat="1" x14ac:dyDescent="0.2">
      <c r="B96" s="374">
        <v>42156</v>
      </c>
      <c r="C96" s="374">
        <v>42162</v>
      </c>
      <c r="D96" s="249"/>
      <c r="E96" s="375">
        <v>37641</v>
      </c>
      <c r="F96" s="375">
        <v>5374</v>
      </c>
      <c r="G96" s="376">
        <v>5374</v>
      </c>
      <c r="H96" s="375" t="s">
        <v>145</v>
      </c>
      <c r="I96" s="375">
        <v>29</v>
      </c>
      <c r="J96" s="375"/>
      <c r="K96" s="375">
        <v>50</v>
      </c>
      <c r="L96" s="375">
        <v>8879</v>
      </c>
      <c r="M96" s="53">
        <v>8879</v>
      </c>
      <c r="N96" s="53">
        <v>8879</v>
      </c>
      <c r="O96" s="35" t="s">
        <v>145</v>
      </c>
      <c r="P96" s="38"/>
      <c r="Q96" s="375">
        <v>999</v>
      </c>
      <c r="R96" s="38"/>
      <c r="S96" s="375">
        <v>1387</v>
      </c>
      <c r="T96" s="375">
        <v>977</v>
      </c>
      <c r="U96" s="38"/>
      <c r="V96" s="53">
        <v>102135</v>
      </c>
      <c r="W96" s="38"/>
      <c r="X96" s="53">
        <v>7636</v>
      </c>
      <c r="Y96" s="38"/>
      <c r="Z96" s="375">
        <v>22077</v>
      </c>
      <c r="AA96" s="375">
        <v>2068</v>
      </c>
      <c r="AB96" s="375">
        <v>7724</v>
      </c>
      <c r="AC96" s="375">
        <v>1838</v>
      </c>
      <c r="AD96" s="375">
        <v>4178</v>
      </c>
      <c r="AE96"/>
      <c r="AF96"/>
      <c r="AG96"/>
      <c r="AH96"/>
    </row>
    <row r="97" spans="2:34" s="32" customFormat="1" x14ac:dyDescent="0.2">
      <c r="B97" s="371">
        <v>42163</v>
      </c>
      <c r="C97" s="371">
        <v>42169</v>
      </c>
      <c r="D97" s="51"/>
      <c r="E97" s="49">
        <v>57205</v>
      </c>
      <c r="F97" s="49">
        <v>2094</v>
      </c>
      <c r="G97" s="360">
        <v>2094</v>
      </c>
      <c r="H97" s="360">
        <v>1651</v>
      </c>
      <c r="I97" s="49">
        <v>50</v>
      </c>
      <c r="J97" s="49"/>
      <c r="K97" s="49">
        <v>77</v>
      </c>
      <c r="L97" s="49">
        <v>11304</v>
      </c>
      <c r="M97" s="49">
        <v>11304</v>
      </c>
      <c r="N97" s="49">
        <v>11304</v>
      </c>
      <c r="O97" s="35" t="s">
        <v>145</v>
      </c>
      <c r="P97" s="52"/>
      <c r="Q97" s="49">
        <v>1440</v>
      </c>
      <c r="R97" s="52"/>
      <c r="S97" s="49">
        <v>1350</v>
      </c>
      <c r="T97" s="49">
        <v>924</v>
      </c>
      <c r="U97" s="52"/>
      <c r="V97" s="49">
        <v>124853</v>
      </c>
      <c r="W97" s="52"/>
      <c r="X97" s="49">
        <v>5005</v>
      </c>
      <c r="Y97" s="52"/>
      <c r="Z97" s="49">
        <v>21976</v>
      </c>
      <c r="AA97" s="49">
        <v>2593</v>
      </c>
      <c r="AB97" s="49">
        <v>7251</v>
      </c>
      <c r="AC97" s="49">
        <v>1697</v>
      </c>
      <c r="AD97" s="49">
        <v>24565</v>
      </c>
      <c r="AE97"/>
      <c r="AF97"/>
      <c r="AG97"/>
      <c r="AH97"/>
    </row>
    <row r="98" spans="2:34" s="32" customFormat="1" x14ac:dyDescent="0.2">
      <c r="B98" s="371">
        <v>42170</v>
      </c>
      <c r="C98" s="371">
        <v>42176</v>
      </c>
      <c r="D98" s="51"/>
      <c r="E98" s="49">
        <v>31960</v>
      </c>
      <c r="F98" s="49">
        <v>1742</v>
      </c>
      <c r="G98" s="360">
        <v>1742</v>
      </c>
      <c r="H98" s="360">
        <v>1302</v>
      </c>
      <c r="I98" s="49">
        <v>24</v>
      </c>
      <c r="J98" s="49"/>
      <c r="K98" s="49">
        <v>33</v>
      </c>
      <c r="L98" s="49">
        <v>7424</v>
      </c>
      <c r="M98" s="49">
        <v>7424</v>
      </c>
      <c r="N98" s="49">
        <v>7424</v>
      </c>
      <c r="O98" s="35" t="s">
        <v>145</v>
      </c>
      <c r="P98" s="52"/>
      <c r="Q98" s="49">
        <v>787</v>
      </c>
      <c r="R98" s="52"/>
      <c r="S98" s="49">
        <v>1168</v>
      </c>
      <c r="T98" s="49">
        <v>745</v>
      </c>
      <c r="U98" s="52"/>
      <c r="V98" s="49">
        <v>106150</v>
      </c>
      <c r="W98" s="52"/>
      <c r="X98" s="49">
        <v>5134</v>
      </c>
      <c r="Y98" s="52"/>
      <c r="Z98" s="49">
        <v>18150</v>
      </c>
      <c r="AA98" s="49">
        <v>2183</v>
      </c>
      <c r="AB98" s="49">
        <v>6692</v>
      </c>
      <c r="AC98" s="49">
        <v>1597</v>
      </c>
      <c r="AD98" s="49">
        <v>3923</v>
      </c>
      <c r="AE98"/>
      <c r="AF98"/>
      <c r="AG98"/>
      <c r="AH98"/>
    </row>
    <row r="99" spans="2:34" s="32" customFormat="1" x14ac:dyDescent="0.2">
      <c r="B99" s="371">
        <v>42177</v>
      </c>
      <c r="C99" s="371">
        <v>42183</v>
      </c>
      <c r="D99" s="51"/>
      <c r="E99" s="49">
        <v>48043</v>
      </c>
      <c r="F99" s="49">
        <v>2296</v>
      </c>
      <c r="G99" s="360">
        <v>2296</v>
      </c>
      <c r="H99" s="360">
        <v>1832</v>
      </c>
      <c r="I99" s="49">
        <v>47</v>
      </c>
      <c r="J99" s="49"/>
      <c r="K99" s="49">
        <v>167</v>
      </c>
      <c r="L99" s="49">
        <v>9520</v>
      </c>
      <c r="M99" s="49">
        <v>9520</v>
      </c>
      <c r="N99" s="49">
        <v>9520</v>
      </c>
      <c r="O99" s="35" t="s">
        <v>145</v>
      </c>
      <c r="P99" s="52"/>
      <c r="Q99" s="49">
        <v>950</v>
      </c>
      <c r="R99" s="52"/>
      <c r="S99" s="49">
        <v>1595</v>
      </c>
      <c r="T99" s="49">
        <v>1027</v>
      </c>
      <c r="U99" s="52"/>
      <c r="V99" s="49">
        <v>96620</v>
      </c>
      <c r="W99" s="52"/>
      <c r="X99" s="49">
        <v>4775</v>
      </c>
      <c r="Y99" s="52"/>
      <c r="Z99" s="49">
        <v>23473</v>
      </c>
      <c r="AA99" s="49">
        <v>2596</v>
      </c>
      <c r="AB99" s="49">
        <v>7644</v>
      </c>
      <c r="AC99" s="49">
        <v>1776</v>
      </c>
      <c r="AD99" s="49">
        <v>13299</v>
      </c>
      <c r="AE99"/>
      <c r="AF99"/>
      <c r="AG99"/>
      <c r="AH99"/>
    </row>
    <row r="100" spans="2:34" s="32" customFormat="1" x14ac:dyDescent="0.2">
      <c r="B100" s="371">
        <v>42184</v>
      </c>
      <c r="C100" s="371">
        <v>42190</v>
      </c>
      <c r="D100" s="51"/>
      <c r="E100" s="49">
        <v>35861</v>
      </c>
      <c r="F100" s="49">
        <v>662</v>
      </c>
      <c r="G100" s="360">
        <v>662</v>
      </c>
      <c r="H100" s="360">
        <v>1612</v>
      </c>
      <c r="I100" s="49">
        <v>34</v>
      </c>
      <c r="J100" s="49"/>
      <c r="K100" s="49">
        <v>30</v>
      </c>
      <c r="L100" s="49">
        <v>8243</v>
      </c>
      <c r="M100" s="49">
        <v>8243</v>
      </c>
      <c r="N100" s="49">
        <v>8243</v>
      </c>
      <c r="O100" s="35" t="s">
        <v>145</v>
      </c>
      <c r="P100" s="52"/>
      <c r="Q100" s="49">
        <v>844</v>
      </c>
      <c r="R100" s="52"/>
      <c r="S100" s="49">
        <v>1304</v>
      </c>
      <c r="T100" s="49">
        <v>846</v>
      </c>
      <c r="U100" s="52"/>
      <c r="V100" s="49">
        <v>101810</v>
      </c>
      <c r="W100" s="52"/>
      <c r="X100" s="49">
        <v>5613</v>
      </c>
      <c r="Y100" s="52"/>
      <c r="Z100" s="49">
        <v>22211</v>
      </c>
      <c r="AA100" s="49">
        <v>1835</v>
      </c>
      <c r="AB100" s="49">
        <v>8193</v>
      </c>
      <c r="AC100" s="49">
        <v>1568</v>
      </c>
      <c r="AD100" s="49">
        <v>1873</v>
      </c>
      <c r="AE100"/>
      <c r="AF100"/>
      <c r="AG100"/>
      <c r="AH100"/>
    </row>
    <row r="101" spans="2:34" s="32" customFormat="1" x14ac:dyDescent="0.2">
      <c r="B101" s="371">
        <v>42191</v>
      </c>
      <c r="C101" s="371">
        <v>42197</v>
      </c>
      <c r="D101" s="51"/>
      <c r="E101" s="49">
        <v>18112</v>
      </c>
      <c r="F101" s="49">
        <v>730</v>
      </c>
      <c r="G101" s="360">
        <v>730</v>
      </c>
      <c r="H101" s="360">
        <v>909</v>
      </c>
      <c r="I101" s="49">
        <v>23</v>
      </c>
      <c r="J101" s="49"/>
      <c r="K101" s="49">
        <v>11</v>
      </c>
      <c r="L101" s="49">
        <v>4535</v>
      </c>
      <c r="M101" s="49">
        <v>4535</v>
      </c>
      <c r="N101" s="49">
        <v>4535</v>
      </c>
      <c r="O101" s="35" t="s">
        <v>145</v>
      </c>
      <c r="P101" s="52"/>
      <c r="Q101" s="49">
        <v>423</v>
      </c>
      <c r="R101" s="52"/>
      <c r="S101" s="49">
        <v>879</v>
      </c>
      <c r="T101" s="49">
        <v>573</v>
      </c>
      <c r="U101" s="52"/>
      <c r="V101" s="49">
        <v>111259</v>
      </c>
      <c r="W101" s="52"/>
      <c r="X101" s="49">
        <v>4564</v>
      </c>
      <c r="Y101" s="52"/>
      <c r="Z101" s="49">
        <v>4400</v>
      </c>
      <c r="AA101" s="49">
        <v>1762</v>
      </c>
      <c r="AB101" s="49">
        <v>8230</v>
      </c>
      <c r="AC101" s="49">
        <v>1879</v>
      </c>
      <c r="AD101" s="49">
        <v>1821</v>
      </c>
      <c r="AE101"/>
      <c r="AF101"/>
      <c r="AG101"/>
      <c r="AH101"/>
    </row>
    <row r="102" spans="2:34" s="32" customFormat="1" x14ac:dyDescent="0.2">
      <c r="B102" s="371">
        <v>42198</v>
      </c>
      <c r="C102" s="371">
        <v>42204</v>
      </c>
      <c r="D102" s="51"/>
      <c r="E102" s="49">
        <v>13621</v>
      </c>
      <c r="F102" s="49">
        <v>739</v>
      </c>
      <c r="G102" s="360">
        <v>739</v>
      </c>
      <c r="H102" s="360">
        <v>774</v>
      </c>
      <c r="I102" s="49">
        <v>26</v>
      </c>
      <c r="J102" s="49"/>
      <c r="K102" s="49">
        <v>27</v>
      </c>
      <c r="L102" s="49">
        <v>3517</v>
      </c>
      <c r="M102" s="49">
        <v>3517</v>
      </c>
      <c r="N102" s="49">
        <v>3517</v>
      </c>
      <c r="O102" s="35" t="s">
        <v>145</v>
      </c>
      <c r="P102" s="52"/>
      <c r="Q102" s="49">
        <v>333</v>
      </c>
      <c r="R102" s="52"/>
      <c r="S102" s="49">
        <v>776</v>
      </c>
      <c r="T102" s="49">
        <v>508</v>
      </c>
      <c r="U102" s="52"/>
      <c r="V102" s="49">
        <v>130256</v>
      </c>
      <c r="W102" s="52"/>
      <c r="X102" s="49">
        <v>4505</v>
      </c>
      <c r="Y102" s="52"/>
      <c r="Z102" s="49">
        <v>427</v>
      </c>
      <c r="AA102" s="49">
        <v>1618</v>
      </c>
      <c r="AB102" s="49">
        <v>7908</v>
      </c>
      <c r="AC102" s="49">
        <v>1968</v>
      </c>
      <c r="AD102" s="49">
        <v>1668</v>
      </c>
      <c r="AE102"/>
      <c r="AF102"/>
      <c r="AG102"/>
      <c r="AH102"/>
    </row>
    <row r="103" spans="2:34" s="32" customFormat="1" x14ac:dyDescent="0.2">
      <c r="B103" s="371">
        <v>42205</v>
      </c>
      <c r="C103" s="371">
        <v>42211</v>
      </c>
      <c r="D103" s="51"/>
      <c r="E103" s="49">
        <v>32795</v>
      </c>
      <c r="F103" s="49">
        <v>765</v>
      </c>
      <c r="G103" s="360">
        <v>765</v>
      </c>
      <c r="H103" s="360">
        <v>1353</v>
      </c>
      <c r="I103" s="49">
        <v>27</v>
      </c>
      <c r="J103" s="49"/>
      <c r="K103" s="49">
        <v>189</v>
      </c>
      <c r="L103" s="49">
        <v>5373</v>
      </c>
      <c r="M103" s="49">
        <v>5373</v>
      </c>
      <c r="N103" s="49">
        <v>5373</v>
      </c>
      <c r="O103" s="35" t="s">
        <v>145</v>
      </c>
      <c r="P103" s="52"/>
      <c r="Q103" s="49">
        <v>556</v>
      </c>
      <c r="R103" s="52"/>
      <c r="S103" s="49">
        <v>1049</v>
      </c>
      <c r="T103" s="49">
        <v>688</v>
      </c>
      <c r="U103" s="52"/>
      <c r="V103" s="49">
        <v>103919</v>
      </c>
      <c r="W103" s="52"/>
      <c r="X103" s="49">
        <v>3958</v>
      </c>
      <c r="Y103" s="52"/>
      <c r="Z103" s="49">
        <v>338</v>
      </c>
      <c r="AA103" s="49">
        <v>3314</v>
      </c>
      <c r="AB103" s="49">
        <v>24995</v>
      </c>
      <c r="AC103" s="49">
        <v>2068</v>
      </c>
      <c r="AD103" s="49">
        <v>1689</v>
      </c>
      <c r="AE103"/>
      <c r="AF103"/>
      <c r="AG103"/>
      <c r="AH103"/>
    </row>
    <row r="104" spans="2:34" s="32" customFormat="1" x14ac:dyDescent="0.2">
      <c r="B104" s="371">
        <v>42578</v>
      </c>
      <c r="C104" s="371">
        <v>42584</v>
      </c>
      <c r="D104" s="51"/>
      <c r="E104" s="49">
        <v>99192</v>
      </c>
      <c r="F104" s="49">
        <v>18249</v>
      </c>
      <c r="G104" s="233" t="s">
        <v>145</v>
      </c>
      <c r="H104" s="35" t="s">
        <v>145</v>
      </c>
      <c r="I104" s="49">
        <v>158</v>
      </c>
      <c r="J104" s="49"/>
      <c r="K104" s="49">
        <v>100</v>
      </c>
      <c r="L104" s="49">
        <v>24361</v>
      </c>
      <c r="M104" s="49">
        <v>24361</v>
      </c>
      <c r="N104" s="49">
        <v>24361</v>
      </c>
      <c r="O104" s="35" t="s">
        <v>145</v>
      </c>
      <c r="P104" s="52"/>
      <c r="Q104" s="49">
        <v>6797</v>
      </c>
      <c r="R104" s="52"/>
      <c r="S104" s="49">
        <v>6807</v>
      </c>
      <c r="T104" s="49">
        <v>4147</v>
      </c>
      <c r="U104" s="52"/>
      <c r="V104" s="49">
        <v>0</v>
      </c>
      <c r="W104" s="52"/>
      <c r="X104" s="233" t="s">
        <v>145</v>
      </c>
      <c r="Y104" s="52"/>
      <c r="Z104" s="49">
        <v>0</v>
      </c>
      <c r="AA104" s="49">
        <v>2417</v>
      </c>
      <c r="AB104" s="49">
        <v>14470</v>
      </c>
      <c r="AC104" s="49">
        <v>2659</v>
      </c>
      <c r="AD104" s="49">
        <v>79342</v>
      </c>
      <c r="AE104" s="124"/>
      <c r="AF104" s="124"/>
      <c r="AG104" s="124"/>
      <c r="AH104" s="124"/>
    </row>
    <row r="105" spans="2:34" s="32" customFormat="1" x14ac:dyDescent="0.2">
      <c r="B105" s="371">
        <v>42585</v>
      </c>
      <c r="C105" s="371">
        <v>42591</v>
      </c>
      <c r="D105" s="51"/>
      <c r="E105" s="49">
        <v>22128</v>
      </c>
      <c r="F105" s="49">
        <v>1867</v>
      </c>
      <c r="G105" s="233" t="s">
        <v>145</v>
      </c>
      <c r="H105" s="35" t="s">
        <v>145</v>
      </c>
      <c r="I105" s="49">
        <v>34</v>
      </c>
      <c r="J105" s="49"/>
      <c r="K105" s="49">
        <v>39</v>
      </c>
      <c r="L105" s="49">
        <v>6635</v>
      </c>
      <c r="M105" s="49">
        <v>6635</v>
      </c>
      <c r="N105" s="49">
        <v>6635</v>
      </c>
      <c r="O105" s="35" t="s">
        <v>145</v>
      </c>
      <c r="P105" s="52"/>
      <c r="Q105" s="49">
        <v>1185</v>
      </c>
      <c r="R105" s="52"/>
      <c r="S105" s="49">
        <v>1317</v>
      </c>
      <c r="T105" s="49">
        <v>763</v>
      </c>
      <c r="U105" s="52"/>
      <c r="V105" s="49">
        <v>0</v>
      </c>
      <c r="W105" s="52"/>
      <c r="X105" s="233" t="s">
        <v>145</v>
      </c>
      <c r="Y105" s="52"/>
      <c r="Z105" s="49">
        <v>0</v>
      </c>
      <c r="AA105" s="49">
        <v>1242</v>
      </c>
      <c r="AB105" s="49">
        <v>11902</v>
      </c>
      <c r="AC105" s="49">
        <v>2328</v>
      </c>
      <c r="AD105" s="49">
        <v>6421</v>
      </c>
      <c r="AE105" s="124"/>
      <c r="AF105" s="124"/>
      <c r="AG105" s="124"/>
      <c r="AH105" s="124"/>
    </row>
    <row r="106" spans="2:34" s="32" customFormat="1" x14ac:dyDescent="0.2">
      <c r="B106" s="371">
        <v>42592</v>
      </c>
      <c r="C106" s="371">
        <v>42598</v>
      </c>
      <c r="D106" s="51"/>
      <c r="E106" s="49">
        <v>18768</v>
      </c>
      <c r="F106" s="49">
        <v>1478</v>
      </c>
      <c r="G106" s="233" t="s">
        <v>145</v>
      </c>
      <c r="H106" s="35" t="s">
        <v>145</v>
      </c>
      <c r="I106" s="49">
        <v>41</v>
      </c>
      <c r="J106" s="49"/>
      <c r="K106" s="49">
        <v>52</v>
      </c>
      <c r="L106" s="49">
        <v>6120</v>
      </c>
      <c r="M106" s="49">
        <v>6120</v>
      </c>
      <c r="N106" s="49">
        <v>6120</v>
      </c>
      <c r="O106" s="35" t="s">
        <v>145</v>
      </c>
      <c r="P106" s="52"/>
      <c r="Q106" s="49">
        <v>858</v>
      </c>
      <c r="R106" s="52"/>
      <c r="S106" s="49">
        <v>1124</v>
      </c>
      <c r="T106" s="49">
        <v>632</v>
      </c>
      <c r="U106" s="52"/>
      <c r="V106" s="49">
        <v>0</v>
      </c>
      <c r="W106" s="52"/>
      <c r="X106" s="233" t="s">
        <v>145</v>
      </c>
      <c r="Y106" s="52"/>
      <c r="Z106" s="49">
        <v>0</v>
      </c>
      <c r="AA106" s="49">
        <v>1223</v>
      </c>
      <c r="AB106" s="49">
        <v>11167</v>
      </c>
      <c r="AC106" s="49">
        <v>2453</v>
      </c>
      <c r="AD106" s="49">
        <v>3697</v>
      </c>
      <c r="AE106" s="124"/>
      <c r="AF106" s="124"/>
      <c r="AG106" s="124"/>
      <c r="AH106" s="124"/>
    </row>
    <row r="107" spans="2:34" s="32" customFormat="1" x14ac:dyDescent="0.2">
      <c r="B107" s="371">
        <v>42599</v>
      </c>
      <c r="C107" s="371">
        <v>42605</v>
      </c>
      <c r="D107" s="51"/>
      <c r="E107" s="49">
        <v>18141</v>
      </c>
      <c r="F107" s="49">
        <v>1333</v>
      </c>
      <c r="G107" s="233" t="s">
        <v>145</v>
      </c>
      <c r="H107" s="35" t="s">
        <v>145</v>
      </c>
      <c r="I107" s="49">
        <v>34</v>
      </c>
      <c r="J107" s="49"/>
      <c r="K107" s="49">
        <v>28</v>
      </c>
      <c r="L107" s="49">
        <v>6196</v>
      </c>
      <c r="M107" s="49">
        <v>6196</v>
      </c>
      <c r="N107" s="49">
        <v>6196</v>
      </c>
      <c r="O107" s="35" t="s">
        <v>145</v>
      </c>
      <c r="P107" s="52"/>
      <c r="Q107" s="49">
        <v>825</v>
      </c>
      <c r="R107" s="52"/>
      <c r="S107" s="49">
        <v>1102</v>
      </c>
      <c r="T107" s="49">
        <v>614</v>
      </c>
      <c r="U107" s="52"/>
      <c r="V107" s="49">
        <v>0</v>
      </c>
      <c r="W107" s="52"/>
      <c r="X107" s="233" t="s">
        <v>145</v>
      </c>
      <c r="Y107" s="52"/>
      <c r="Z107" s="49">
        <v>0</v>
      </c>
      <c r="AA107" s="49">
        <v>1174</v>
      </c>
      <c r="AB107" s="49">
        <v>11533</v>
      </c>
      <c r="AC107" s="49">
        <v>2437</v>
      </c>
      <c r="AD107" s="49">
        <v>2796</v>
      </c>
      <c r="AE107" s="124"/>
      <c r="AF107" s="124"/>
      <c r="AG107" s="124"/>
      <c r="AH107" s="124"/>
    </row>
    <row r="108" spans="2:34" s="32" customFormat="1" x14ac:dyDescent="0.2">
      <c r="B108" s="371">
        <v>42606</v>
      </c>
      <c r="C108" s="371">
        <v>42612</v>
      </c>
      <c r="D108" s="51"/>
      <c r="E108" s="49">
        <v>26404</v>
      </c>
      <c r="F108" s="49">
        <v>1970</v>
      </c>
      <c r="G108" s="233" t="s">
        <v>145</v>
      </c>
      <c r="H108" s="35" t="s">
        <v>145</v>
      </c>
      <c r="I108" s="49">
        <v>51</v>
      </c>
      <c r="J108" s="49"/>
      <c r="K108" s="49">
        <v>39</v>
      </c>
      <c r="L108" s="49">
        <v>9208</v>
      </c>
      <c r="M108" s="49">
        <v>9208</v>
      </c>
      <c r="N108" s="49">
        <v>9208</v>
      </c>
      <c r="O108" s="35" t="s">
        <v>145</v>
      </c>
      <c r="P108" s="52"/>
      <c r="Q108" s="49">
        <v>1165</v>
      </c>
      <c r="R108" s="52"/>
      <c r="S108" s="49">
        <v>1291</v>
      </c>
      <c r="T108" s="49">
        <v>757</v>
      </c>
      <c r="U108" s="52"/>
      <c r="V108" s="49">
        <v>0</v>
      </c>
      <c r="W108" s="52"/>
      <c r="X108" s="233" t="s">
        <v>145</v>
      </c>
      <c r="Y108" s="52"/>
      <c r="Z108" s="49">
        <v>0</v>
      </c>
      <c r="AA108" s="49">
        <v>1321</v>
      </c>
      <c r="AB108" s="49">
        <v>15299</v>
      </c>
      <c r="AC108" s="49">
        <v>2593</v>
      </c>
      <c r="AD108" s="49">
        <v>7038</v>
      </c>
      <c r="AE108" s="124"/>
      <c r="AF108" s="124"/>
      <c r="AG108" s="124"/>
      <c r="AH108" s="124"/>
    </row>
    <row r="109" spans="2:34" s="32" customFormat="1" x14ac:dyDescent="0.2">
      <c r="B109" s="371">
        <v>42613</v>
      </c>
      <c r="C109" s="371">
        <v>42619</v>
      </c>
      <c r="D109" s="51"/>
      <c r="E109" s="49">
        <v>17732</v>
      </c>
      <c r="F109" s="49">
        <v>1186</v>
      </c>
      <c r="G109" s="233" t="s">
        <v>145</v>
      </c>
      <c r="H109" s="35" t="s">
        <v>145</v>
      </c>
      <c r="I109" s="49">
        <v>22</v>
      </c>
      <c r="J109" s="49"/>
      <c r="K109" s="49">
        <v>38</v>
      </c>
      <c r="L109" s="49">
        <v>5796</v>
      </c>
      <c r="M109" s="49">
        <v>5796</v>
      </c>
      <c r="N109" s="49">
        <v>5796</v>
      </c>
      <c r="O109" s="35" t="s">
        <v>145</v>
      </c>
      <c r="P109" s="52"/>
      <c r="Q109" s="49">
        <v>688</v>
      </c>
      <c r="R109" s="52"/>
      <c r="S109" s="49">
        <v>982</v>
      </c>
      <c r="T109" s="49">
        <v>554</v>
      </c>
      <c r="U109" s="52"/>
      <c r="V109" s="49">
        <v>0</v>
      </c>
      <c r="W109" s="52"/>
      <c r="X109" s="233" t="s">
        <v>145</v>
      </c>
      <c r="Y109" s="52"/>
      <c r="Z109" s="49">
        <v>0</v>
      </c>
      <c r="AA109" s="49">
        <v>1169</v>
      </c>
      <c r="AB109" s="49">
        <v>11690</v>
      </c>
      <c r="AC109" s="49">
        <v>2514</v>
      </c>
      <c r="AD109" s="49">
        <v>2210</v>
      </c>
      <c r="AE109" s="124"/>
      <c r="AF109" s="124"/>
      <c r="AG109" s="124"/>
      <c r="AH109" s="124"/>
    </row>
    <row r="110" spans="2:34" s="32" customFormat="1" x14ac:dyDescent="0.2">
      <c r="B110" s="371">
        <v>42620</v>
      </c>
      <c r="C110" s="371">
        <v>42626</v>
      </c>
      <c r="D110" s="51"/>
      <c r="E110" s="49">
        <v>15256</v>
      </c>
      <c r="F110" s="49">
        <v>1023</v>
      </c>
      <c r="G110" s="233" t="s">
        <v>145</v>
      </c>
      <c r="H110" s="35" t="s">
        <v>145</v>
      </c>
      <c r="I110" s="49">
        <v>24</v>
      </c>
      <c r="J110" s="49"/>
      <c r="K110" s="49">
        <v>19</v>
      </c>
      <c r="L110" s="49">
        <v>5090</v>
      </c>
      <c r="M110" s="49">
        <v>5090</v>
      </c>
      <c r="N110" s="49">
        <v>5090</v>
      </c>
      <c r="O110" s="35" t="s">
        <v>145</v>
      </c>
      <c r="P110" s="52"/>
      <c r="Q110" s="49">
        <v>649</v>
      </c>
      <c r="R110" s="52"/>
      <c r="S110" s="49">
        <v>859</v>
      </c>
      <c r="T110" s="49">
        <v>494</v>
      </c>
      <c r="U110" s="52"/>
      <c r="V110" s="49">
        <v>0</v>
      </c>
      <c r="W110" s="52"/>
      <c r="X110" s="233" t="s">
        <v>145</v>
      </c>
      <c r="Y110" s="52"/>
      <c r="Z110" s="49">
        <v>0</v>
      </c>
      <c r="AA110" s="49">
        <v>907</v>
      </c>
      <c r="AB110" s="49">
        <v>10409</v>
      </c>
      <c r="AC110" s="49">
        <v>2130</v>
      </c>
      <c r="AD110" s="49">
        <v>1655</v>
      </c>
      <c r="AE110" s="124"/>
      <c r="AF110" s="124"/>
      <c r="AG110" s="124"/>
      <c r="AH110" s="124"/>
    </row>
    <row r="111" spans="2:34" s="32" customFormat="1" x14ac:dyDescent="0.2">
      <c r="B111" s="371">
        <v>42627</v>
      </c>
      <c r="C111" s="371">
        <v>42633</v>
      </c>
      <c r="D111" s="51"/>
      <c r="E111" s="49">
        <v>18337</v>
      </c>
      <c r="F111" s="49">
        <v>1662</v>
      </c>
      <c r="G111" s="233" t="s">
        <v>145</v>
      </c>
      <c r="H111" s="35" t="s">
        <v>145</v>
      </c>
      <c r="I111" s="49">
        <v>34</v>
      </c>
      <c r="J111" s="49"/>
      <c r="K111" s="49">
        <v>28</v>
      </c>
      <c r="L111" s="49">
        <v>5669</v>
      </c>
      <c r="M111" s="49">
        <v>5669</v>
      </c>
      <c r="N111" s="49">
        <v>5669</v>
      </c>
      <c r="O111" s="35" t="s">
        <v>145</v>
      </c>
      <c r="P111" s="52"/>
      <c r="Q111" s="49">
        <v>1008</v>
      </c>
      <c r="R111" s="52"/>
      <c r="S111" s="49">
        <v>1109</v>
      </c>
      <c r="T111" s="49">
        <v>625</v>
      </c>
      <c r="U111" s="52"/>
      <c r="V111" s="49">
        <v>0</v>
      </c>
      <c r="W111" s="52"/>
      <c r="X111" s="233" t="s">
        <v>145</v>
      </c>
      <c r="Y111" s="52"/>
      <c r="Z111" s="49">
        <v>0</v>
      </c>
      <c r="AA111" s="49">
        <v>1137</v>
      </c>
      <c r="AB111" s="49">
        <v>13301</v>
      </c>
      <c r="AC111" s="49">
        <v>2202</v>
      </c>
      <c r="AD111" s="49">
        <v>1549</v>
      </c>
      <c r="AE111" s="124"/>
      <c r="AF111" s="124"/>
      <c r="AG111" s="124"/>
      <c r="AH111" s="124"/>
    </row>
    <row r="112" spans="2:34" s="32" customFormat="1" x14ac:dyDescent="0.2">
      <c r="B112" s="371">
        <v>42634</v>
      </c>
      <c r="C112" s="371">
        <v>42640</v>
      </c>
      <c r="D112" s="51"/>
      <c r="E112" s="49">
        <v>20847</v>
      </c>
      <c r="F112" s="49">
        <v>1381</v>
      </c>
      <c r="G112" s="233" t="s">
        <v>145</v>
      </c>
      <c r="H112" s="35" t="s">
        <v>145</v>
      </c>
      <c r="I112" s="49">
        <v>34</v>
      </c>
      <c r="J112" s="49"/>
      <c r="K112" s="49">
        <v>22</v>
      </c>
      <c r="L112" s="49">
        <v>7082</v>
      </c>
      <c r="M112" s="49">
        <v>7082</v>
      </c>
      <c r="N112" s="49">
        <v>7082</v>
      </c>
      <c r="O112" s="35" t="s">
        <v>145</v>
      </c>
      <c r="P112" s="52"/>
      <c r="Q112" s="49">
        <v>1007</v>
      </c>
      <c r="R112" s="52"/>
      <c r="S112" s="49">
        <v>1059</v>
      </c>
      <c r="T112" s="49">
        <v>637</v>
      </c>
      <c r="U112" s="52"/>
      <c r="V112" s="49">
        <v>0</v>
      </c>
      <c r="W112" s="52"/>
      <c r="X112" s="233" t="s">
        <v>145</v>
      </c>
      <c r="Y112" s="52"/>
      <c r="Z112" s="49">
        <v>0</v>
      </c>
      <c r="AA112" s="49">
        <v>1583</v>
      </c>
      <c r="AB112" s="49">
        <v>15288</v>
      </c>
      <c r="AC112" s="49">
        <v>2362</v>
      </c>
      <c r="AD112" s="49">
        <v>1495</v>
      </c>
      <c r="AE112" s="124"/>
      <c r="AF112" s="124"/>
      <c r="AG112" s="124"/>
      <c r="AH112" s="124"/>
    </row>
    <row r="113" spans="1:34" s="32" customFormat="1" x14ac:dyDescent="0.2">
      <c r="B113" s="371">
        <v>42641</v>
      </c>
      <c r="C113" s="371">
        <v>42647</v>
      </c>
      <c r="D113" s="51"/>
      <c r="E113" s="49">
        <v>18680</v>
      </c>
      <c r="F113" s="49">
        <v>1584</v>
      </c>
      <c r="G113" s="233" t="s">
        <v>145</v>
      </c>
      <c r="H113" s="35" t="s">
        <v>145</v>
      </c>
      <c r="I113" s="49">
        <v>27</v>
      </c>
      <c r="J113" s="49"/>
      <c r="K113" s="49">
        <v>19</v>
      </c>
      <c r="L113" s="49">
        <v>5963</v>
      </c>
      <c r="M113" s="49">
        <v>5963</v>
      </c>
      <c r="N113" s="49">
        <v>5963</v>
      </c>
      <c r="O113" s="35" t="s">
        <v>145</v>
      </c>
      <c r="P113" s="52"/>
      <c r="Q113" s="49">
        <v>1045</v>
      </c>
      <c r="R113" s="52"/>
      <c r="S113" s="49">
        <v>1073</v>
      </c>
      <c r="T113" s="49">
        <v>584</v>
      </c>
      <c r="U113" s="52"/>
      <c r="V113" s="49">
        <v>0</v>
      </c>
      <c r="W113" s="52"/>
      <c r="X113" s="233" t="s">
        <v>145</v>
      </c>
      <c r="Y113" s="52"/>
      <c r="Z113" s="49">
        <v>0</v>
      </c>
      <c r="AA113" s="49">
        <v>1324</v>
      </c>
      <c r="AB113" s="49">
        <v>13552</v>
      </c>
      <c r="AC113" s="49">
        <v>2457</v>
      </c>
      <c r="AD113" s="49">
        <v>1204</v>
      </c>
      <c r="AE113" s="124"/>
      <c r="AF113" s="124"/>
      <c r="AG113" s="124"/>
      <c r="AH113" s="124"/>
    </row>
    <row r="114" spans="1:34" s="32" customFormat="1" x14ac:dyDescent="0.2">
      <c r="B114" s="371">
        <v>42648</v>
      </c>
      <c r="C114" s="371">
        <v>42654</v>
      </c>
      <c r="D114" s="51"/>
      <c r="E114" s="49">
        <v>15045</v>
      </c>
      <c r="F114" s="49">
        <v>1048</v>
      </c>
      <c r="G114" s="233" t="s">
        <v>145</v>
      </c>
      <c r="H114" s="35" t="s">
        <v>145</v>
      </c>
      <c r="I114" s="49">
        <v>28</v>
      </c>
      <c r="J114" s="49"/>
      <c r="K114" s="49">
        <v>12</v>
      </c>
      <c r="L114" s="49">
        <v>4719</v>
      </c>
      <c r="M114" s="49">
        <v>4719</v>
      </c>
      <c r="N114" s="49">
        <v>4719</v>
      </c>
      <c r="O114" s="35" t="s">
        <v>145</v>
      </c>
      <c r="P114" s="52"/>
      <c r="Q114" s="49">
        <v>671</v>
      </c>
      <c r="R114" s="52"/>
      <c r="S114" s="49">
        <v>893</v>
      </c>
      <c r="T114" s="49">
        <v>542</v>
      </c>
      <c r="U114" s="52"/>
      <c r="V114" s="49">
        <v>0</v>
      </c>
      <c r="W114" s="52"/>
      <c r="X114" s="233" t="s">
        <v>145</v>
      </c>
      <c r="Y114" s="52"/>
      <c r="Z114" s="49">
        <v>0</v>
      </c>
      <c r="AA114" s="49">
        <v>1047</v>
      </c>
      <c r="AB114" s="49">
        <v>10666</v>
      </c>
      <c r="AC114" s="49">
        <v>2298</v>
      </c>
      <c r="AD114" s="49">
        <v>950</v>
      </c>
      <c r="AE114" s="124"/>
      <c r="AF114" s="124"/>
      <c r="AG114" s="124"/>
      <c r="AH114" s="124"/>
    </row>
    <row r="115" spans="1:34" s="32" customFormat="1" x14ac:dyDescent="0.2">
      <c r="B115" s="371">
        <v>42655</v>
      </c>
      <c r="C115" s="371">
        <v>42661</v>
      </c>
      <c r="D115" s="51"/>
      <c r="E115" s="49">
        <v>16094</v>
      </c>
      <c r="F115" s="49">
        <v>1212</v>
      </c>
      <c r="G115" s="233" t="s">
        <v>145</v>
      </c>
      <c r="H115" s="35" t="s">
        <v>145</v>
      </c>
      <c r="I115" s="49">
        <v>31</v>
      </c>
      <c r="J115" s="49"/>
      <c r="K115" s="49">
        <v>28</v>
      </c>
      <c r="L115" s="49">
        <v>5146</v>
      </c>
      <c r="M115" s="49">
        <v>5146</v>
      </c>
      <c r="N115" s="49">
        <v>5146</v>
      </c>
      <c r="O115" s="35" t="s">
        <v>145</v>
      </c>
      <c r="P115" s="52"/>
      <c r="Q115" s="49">
        <v>652</v>
      </c>
      <c r="R115" s="52"/>
      <c r="S115" s="49">
        <v>875</v>
      </c>
      <c r="T115" s="49">
        <v>472</v>
      </c>
      <c r="U115" s="52"/>
      <c r="V115" s="49">
        <v>0</v>
      </c>
      <c r="W115" s="52"/>
      <c r="X115" s="233" t="s">
        <v>145</v>
      </c>
      <c r="Y115" s="52"/>
      <c r="Z115" s="49">
        <v>0</v>
      </c>
      <c r="AA115" s="49">
        <v>1041</v>
      </c>
      <c r="AB115" s="49">
        <v>11444</v>
      </c>
      <c r="AC115" s="49">
        <v>2555</v>
      </c>
      <c r="AD115" s="49">
        <v>953</v>
      </c>
      <c r="AE115" s="124"/>
      <c r="AF115" s="124"/>
      <c r="AG115" s="124"/>
      <c r="AH115" s="124"/>
    </row>
    <row r="116" spans="1:34" s="32" customFormat="1" x14ac:dyDescent="0.2">
      <c r="B116" s="371">
        <v>42662</v>
      </c>
      <c r="C116" s="371">
        <v>42668</v>
      </c>
      <c r="D116" s="51"/>
      <c r="E116" s="49">
        <v>16493</v>
      </c>
      <c r="F116" s="49">
        <v>1111</v>
      </c>
      <c r="G116" s="233" t="s">
        <v>145</v>
      </c>
      <c r="H116" s="35" t="s">
        <v>145</v>
      </c>
      <c r="I116" s="49">
        <v>36</v>
      </c>
      <c r="J116" s="49"/>
      <c r="K116" s="49">
        <v>18</v>
      </c>
      <c r="L116" s="49">
        <v>5170</v>
      </c>
      <c r="M116" s="49">
        <v>5170</v>
      </c>
      <c r="N116" s="49">
        <v>5170</v>
      </c>
      <c r="O116" s="35" t="s">
        <v>145</v>
      </c>
      <c r="P116" s="52"/>
      <c r="Q116" s="49">
        <v>816</v>
      </c>
      <c r="R116" s="52"/>
      <c r="S116" s="49">
        <v>932</v>
      </c>
      <c r="T116" s="49">
        <v>528</v>
      </c>
      <c r="U116" s="52"/>
      <c r="V116" s="49">
        <v>0</v>
      </c>
      <c r="W116" s="52"/>
      <c r="X116" s="233" t="s">
        <v>145</v>
      </c>
      <c r="Y116" s="52"/>
      <c r="Z116" s="49">
        <v>0</v>
      </c>
      <c r="AA116" s="49">
        <v>1061</v>
      </c>
      <c r="AB116" s="49">
        <v>11848</v>
      </c>
      <c r="AC116" s="49">
        <v>2644</v>
      </c>
      <c r="AD116" s="49">
        <v>865</v>
      </c>
      <c r="AE116" s="124"/>
      <c r="AF116" s="124"/>
      <c r="AG116" s="124"/>
      <c r="AH116" s="124"/>
    </row>
    <row r="117" spans="1:34" s="32" customFormat="1" x14ac:dyDescent="0.2">
      <c r="B117" s="371">
        <v>42669</v>
      </c>
      <c r="C117" s="371">
        <v>42675</v>
      </c>
      <c r="D117" s="51"/>
      <c r="E117" s="49">
        <v>16473</v>
      </c>
      <c r="F117" s="49">
        <v>1057</v>
      </c>
      <c r="G117" s="233" t="s">
        <v>145</v>
      </c>
      <c r="H117" s="35" t="s">
        <v>145</v>
      </c>
      <c r="I117" s="49">
        <v>20</v>
      </c>
      <c r="J117" s="49"/>
      <c r="K117" s="49">
        <v>41</v>
      </c>
      <c r="L117" s="49">
        <v>5001</v>
      </c>
      <c r="M117" s="49">
        <v>5001</v>
      </c>
      <c r="N117" s="49">
        <v>5001</v>
      </c>
      <c r="O117" s="35" t="s">
        <v>145</v>
      </c>
      <c r="P117" s="52"/>
      <c r="Q117" s="49">
        <v>810</v>
      </c>
      <c r="R117" s="52"/>
      <c r="S117" s="49">
        <v>932</v>
      </c>
      <c r="T117" s="49">
        <v>529</v>
      </c>
      <c r="U117" s="52"/>
      <c r="V117" s="49">
        <v>0</v>
      </c>
      <c r="W117" s="52"/>
      <c r="X117" s="233" t="s">
        <v>145</v>
      </c>
      <c r="Y117" s="52"/>
      <c r="Z117" s="49">
        <v>0</v>
      </c>
      <c r="AA117" s="49">
        <v>1210</v>
      </c>
      <c r="AB117" s="49">
        <v>11552</v>
      </c>
      <c r="AC117" s="49">
        <v>2773</v>
      </c>
      <c r="AD117" s="49">
        <v>870</v>
      </c>
      <c r="AE117" s="124"/>
      <c r="AF117" s="124"/>
      <c r="AG117" s="124"/>
      <c r="AH117" s="124"/>
    </row>
    <row r="118" spans="1:34" s="32" customFormat="1" x14ac:dyDescent="0.2">
      <c r="B118" s="371">
        <v>42676</v>
      </c>
      <c r="C118" s="371">
        <v>42682</v>
      </c>
      <c r="D118" s="51"/>
      <c r="E118" s="49">
        <v>19287</v>
      </c>
      <c r="F118" s="49">
        <v>1250</v>
      </c>
      <c r="G118" s="233" t="s">
        <v>145</v>
      </c>
      <c r="H118" s="35" t="s">
        <v>145</v>
      </c>
      <c r="I118" s="49">
        <v>24</v>
      </c>
      <c r="J118" s="49"/>
      <c r="K118" s="49">
        <v>26</v>
      </c>
      <c r="L118" s="49">
        <v>5882</v>
      </c>
      <c r="M118" s="49">
        <v>5882</v>
      </c>
      <c r="N118" s="49">
        <v>5882</v>
      </c>
      <c r="O118" s="35" t="s">
        <v>145</v>
      </c>
      <c r="P118" s="52"/>
      <c r="Q118" s="49">
        <v>1017</v>
      </c>
      <c r="R118" s="52"/>
      <c r="S118" s="49">
        <v>1093</v>
      </c>
      <c r="T118" s="49">
        <v>616</v>
      </c>
      <c r="U118" s="52"/>
      <c r="V118" s="49">
        <v>0</v>
      </c>
      <c r="W118" s="52"/>
      <c r="X118" s="233" t="s">
        <v>145</v>
      </c>
      <c r="Y118" s="52"/>
      <c r="Z118" s="49">
        <v>0</v>
      </c>
      <c r="AA118" s="49">
        <v>1482</v>
      </c>
      <c r="AB118" s="49">
        <v>14018</v>
      </c>
      <c r="AC118" s="49">
        <v>2884</v>
      </c>
      <c r="AD118" s="49">
        <v>837</v>
      </c>
      <c r="AE118" s="124"/>
      <c r="AF118" s="124"/>
      <c r="AG118" s="124"/>
      <c r="AH118" s="124"/>
    </row>
    <row r="119" spans="1:34" s="32" customFormat="1" x14ac:dyDescent="0.2">
      <c r="B119" s="371">
        <v>42683</v>
      </c>
      <c r="C119" s="371">
        <v>42689</v>
      </c>
      <c r="D119" s="51"/>
      <c r="E119" s="49">
        <v>67774</v>
      </c>
      <c r="F119" s="49">
        <v>7534</v>
      </c>
      <c r="G119" s="233" t="s">
        <v>145</v>
      </c>
      <c r="H119" s="35" t="s">
        <v>145</v>
      </c>
      <c r="I119" s="49">
        <v>108</v>
      </c>
      <c r="J119" s="49"/>
      <c r="K119" s="49">
        <v>59</v>
      </c>
      <c r="L119" s="49">
        <v>18393</v>
      </c>
      <c r="M119" s="49">
        <v>18393</v>
      </c>
      <c r="N119" s="49">
        <v>18393</v>
      </c>
      <c r="O119" s="35" t="s">
        <v>145</v>
      </c>
      <c r="P119" s="52"/>
      <c r="Q119" s="49">
        <v>2660</v>
      </c>
      <c r="R119" s="52"/>
      <c r="S119" s="49">
        <v>3411</v>
      </c>
      <c r="T119" s="49">
        <v>2068</v>
      </c>
      <c r="U119" s="52"/>
      <c r="V119" s="49">
        <v>0</v>
      </c>
      <c r="W119" s="52"/>
      <c r="X119" s="233" t="s">
        <v>145</v>
      </c>
      <c r="Y119" s="52"/>
      <c r="Z119" s="49">
        <v>0</v>
      </c>
      <c r="AA119" s="49">
        <v>2033</v>
      </c>
      <c r="AB119" s="49">
        <v>40176</v>
      </c>
      <c r="AC119" s="49">
        <v>3176</v>
      </c>
      <c r="AD119" s="49">
        <v>22340</v>
      </c>
      <c r="AE119" s="124"/>
      <c r="AF119" s="124"/>
      <c r="AG119" s="124"/>
      <c r="AH119" s="124"/>
    </row>
    <row r="120" spans="1:34" s="32" customFormat="1" x14ac:dyDescent="0.2">
      <c r="B120" s="371">
        <v>42690</v>
      </c>
      <c r="C120" s="371">
        <v>42696</v>
      </c>
      <c r="D120" s="51"/>
      <c r="E120" s="49">
        <v>16337</v>
      </c>
      <c r="F120" s="49">
        <v>988</v>
      </c>
      <c r="G120" s="233" t="s">
        <v>145</v>
      </c>
      <c r="H120" s="35" t="s">
        <v>145</v>
      </c>
      <c r="I120" s="49">
        <v>27</v>
      </c>
      <c r="J120" s="49"/>
      <c r="K120" s="49">
        <v>11</v>
      </c>
      <c r="L120" s="49">
        <v>5349</v>
      </c>
      <c r="M120" s="49">
        <v>5349</v>
      </c>
      <c r="N120" s="49">
        <v>5349</v>
      </c>
      <c r="O120" s="35" t="s">
        <v>145</v>
      </c>
      <c r="P120" s="52"/>
      <c r="Q120" s="49">
        <v>939</v>
      </c>
      <c r="R120" s="52"/>
      <c r="S120" s="49">
        <v>942</v>
      </c>
      <c r="T120" s="49">
        <v>519</v>
      </c>
      <c r="U120" s="52"/>
      <c r="V120" s="49">
        <v>0</v>
      </c>
      <c r="W120" s="52"/>
      <c r="X120" s="233" t="s">
        <v>145</v>
      </c>
      <c r="Y120" s="52"/>
      <c r="Z120" s="49">
        <v>0</v>
      </c>
      <c r="AA120" s="49">
        <v>1238</v>
      </c>
      <c r="AB120" s="49">
        <v>10537</v>
      </c>
      <c r="AC120" s="49">
        <v>2917</v>
      </c>
      <c r="AD120" s="49">
        <v>1569</v>
      </c>
      <c r="AE120" s="124"/>
      <c r="AF120" s="124"/>
      <c r="AG120" s="124"/>
      <c r="AH120" s="124"/>
    </row>
    <row r="121" spans="1:34" s="32" customFormat="1" x14ac:dyDescent="0.2">
      <c r="A121" s="32" t="s">
        <v>312</v>
      </c>
      <c r="B121" s="371">
        <v>42697</v>
      </c>
      <c r="C121" s="371">
        <v>42704</v>
      </c>
      <c r="D121" s="51"/>
      <c r="E121" s="49">
        <v>13314</v>
      </c>
      <c r="F121" s="49">
        <v>789</v>
      </c>
      <c r="G121" s="233" t="s">
        <v>145</v>
      </c>
      <c r="H121" s="35" t="s">
        <v>145</v>
      </c>
      <c r="I121" s="49">
        <v>19</v>
      </c>
      <c r="J121" s="49"/>
      <c r="K121" s="49">
        <v>24</v>
      </c>
      <c r="L121" s="49">
        <v>4315</v>
      </c>
      <c r="M121" s="49">
        <v>4315</v>
      </c>
      <c r="N121" s="49">
        <v>4315</v>
      </c>
      <c r="O121" s="35" t="s">
        <v>145</v>
      </c>
      <c r="P121" s="52"/>
      <c r="Q121" s="49">
        <v>693</v>
      </c>
      <c r="R121" s="52"/>
      <c r="S121" s="49">
        <v>758</v>
      </c>
      <c r="T121" s="49">
        <v>403</v>
      </c>
      <c r="U121" s="52"/>
      <c r="V121" s="49">
        <v>0</v>
      </c>
      <c r="W121" s="52"/>
      <c r="X121" s="233" t="s">
        <v>145</v>
      </c>
      <c r="Y121" s="52"/>
      <c r="Z121" s="49">
        <v>0</v>
      </c>
      <c r="AA121" s="49">
        <v>1205</v>
      </c>
      <c r="AB121" s="49">
        <v>8477</v>
      </c>
      <c r="AC121" s="49">
        <v>2529</v>
      </c>
      <c r="AD121" s="49">
        <v>1041</v>
      </c>
      <c r="AE121" s="124"/>
      <c r="AF121" s="124"/>
      <c r="AG121" s="124"/>
      <c r="AH121" s="124"/>
    </row>
    <row r="122" spans="1:34" s="34" customFormat="1" x14ac:dyDescent="0.2">
      <c r="B122" s="370">
        <v>42705</v>
      </c>
      <c r="C122" s="370">
        <v>42711</v>
      </c>
      <c r="D122" s="249"/>
      <c r="E122" s="35">
        <v>11152</v>
      </c>
      <c r="F122" s="35">
        <v>1302</v>
      </c>
      <c r="G122" s="49">
        <v>4964</v>
      </c>
      <c r="H122" s="35" t="s">
        <v>145</v>
      </c>
      <c r="I122" s="35">
        <v>19</v>
      </c>
      <c r="J122" s="36"/>
      <c r="K122" s="35">
        <v>17</v>
      </c>
      <c r="L122" s="35">
        <v>3350</v>
      </c>
      <c r="M122" s="35">
        <v>3350</v>
      </c>
      <c r="N122" s="35">
        <v>3350</v>
      </c>
      <c r="O122" s="35" t="s">
        <v>145</v>
      </c>
      <c r="P122" s="37"/>
      <c r="Q122" s="35">
        <v>712</v>
      </c>
      <c r="R122" s="37"/>
      <c r="S122" s="35">
        <v>964</v>
      </c>
      <c r="T122" s="35">
        <v>675</v>
      </c>
      <c r="U122" s="35"/>
      <c r="V122" s="35">
        <v>7610</v>
      </c>
      <c r="W122" s="113"/>
      <c r="X122" s="35"/>
      <c r="Y122" s="38"/>
      <c r="Z122" s="49">
        <v>0</v>
      </c>
      <c r="AA122" s="35">
        <v>1165</v>
      </c>
      <c r="AB122" s="35">
        <v>7546</v>
      </c>
      <c r="AC122" s="35">
        <v>1340</v>
      </c>
      <c r="AD122" s="35">
        <v>524</v>
      </c>
      <c r="AE122"/>
      <c r="AF122"/>
      <c r="AG122"/>
      <c r="AH122"/>
    </row>
    <row r="123" spans="1:34" s="45" customFormat="1" ht="15" customHeight="1" x14ac:dyDescent="0.3">
      <c r="B123" s="370">
        <v>42712</v>
      </c>
      <c r="C123" s="370">
        <v>42718</v>
      </c>
      <c r="D123" s="249"/>
      <c r="E123" s="35">
        <v>24119</v>
      </c>
      <c r="F123" s="35">
        <v>868</v>
      </c>
      <c r="G123" s="49">
        <v>4374</v>
      </c>
      <c r="H123" s="35" t="s">
        <v>145</v>
      </c>
      <c r="I123" s="35">
        <v>63</v>
      </c>
      <c r="J123" s="36"/>
      <c r="K123" s="35">
        <v>105</v>
      </c>
      <c r="L123" s="35">
        <v>6358</v>
      </c>
      <c r="M123" s="35">
        <v>6358</v>
      </c>
      <c r="N123" s="35">
        <v>6358</v>
      </c>
      <c r="O123" s="35" t="s">
        <v>145</v>
      </c>
      <c r="P123" s="37"/>
      <c r="Q123" s="35">
        <v>972</v>
      </c>
      <c r="R123" s="37"/>
      <c r="S123" s="35">
        <v>1527</v>
      </c>
      <c r="T123" s="35">
        <v>1055</v>
      </c>
      <c r="U123" s="277"/>
      <c r="V123" s="35">
        <v>28449</v>
      </c>
      <c r="W123" s="113"/>
      <c r="X123" s="35"/>
      <c r="Y123" s="38"/>
      <c r="Z123" s="35">
        <v>2355</v>
      </c>
      <c r="AA123" s="35">
        <v>2044</v>
      </c>
      <c r="AB123" s="35">
        <v>16388</v>
      </c>
      <c r="AC123" s="35">
        <v>2391</v>
      </c>
      <c r="AD123" s="35">
        <v>962</v>
      </c>
      <c r="AE123" s="96"/>
      <c r="AF123" s="96"/>
      <c r="AG123" s="96"/>
      <c r="AH123" s="96"/>
    </row>
    <row r="124" spans="1:34" s="45" customFormat="1" x14ac:dyDescent="0.2">
      <c r="B124" s="370">
        <v>42719</v>
      </c>
      <c r="C124" s="370">
        <v>42725</v>
      </c>
      <c r="D124" s="249"/>
      <c r="E124" s="35">
        <v>34142</v>
      </c>
      <c r="F124" s="35">
        <v>970</v>
      </c>
      <c r="G124" s="49">
        <v>3890</v>
      </c>
      <c r="H124" s="35" t="s">
        <v>145</v>
      </c>
      <c r="I124" s="35">
        <v>45</v>
      </c>
      <c r="J124" s="36"/>
      <c r="K124" s="35">
        <v>27</v>
      </c>
      <c r="L124" s="35">
        <v>10810</v>
      </c>
      <c r="M124" s="35">
        <v>10810</v>
      </c>
      <c r="N124" s="35">
        <v>10810</v>
      </c>
      <c r="O124" s="35" t="s">
        <v>145</v>
      </c>
      <c r="P124" s="37"/>
      <c r="Q124" s="35">
        <v>1544</v>
      </c>
      <c r="R124" s="37"/>
      <c r="S124" s="35">
        <v>1337</v>
      </c>
      <c r="T124" s="35">
        <v>870</v>
      </c>
      <c r="U124" s="262"/>
      <c r="V124" s="35">
        <v>61042</v>
      </c>
      <c r="W124" s="113"/>
      <c r="X124" s="35"/>
      <c r="Y124" s="38"/>
      <c r="Z124" s="35">
        <v>2689</v>
      </c>
      <c r="AA124" s="35">
        <v>1795</v>
      </c>
      <c r="AB124" s="35">
        <v>9697</v>
      </c>
      <c r="AC124" s="35">
        <v>2371</v>
      </c>
      <c r="AD124" s="35">
        <v>17555</v>
      </c>
      <c r="AE124" s="96"/>
      <c r="AF124" s="96"/>
      <c r="AG124" s="96"/>
      <c r="AH124" s="96"/>
    </row>
    <row r="125" spans="1:34" s="45" customFormat="1" x14ac:dyDescent="0.2">
      <c r="B125" s="370">
        <v>42726</v>
      </c>
      <c r="C125" s="370">
        <v>42732</v>
      </c>
      <c r="D125" s="249"/>
      <c r="E125" s="35">
        <v>14521</v>
      </c>
      <c r="F125" s="106">
        <v>706</v>
      </c>
      <c r="G125" s="108">
        <v>3118</v>
      </c>
      <c r="H125" s="35" t="s">
        <v>145</v>
      </c>
      <c r="I125" s="260">
        <v>18</v>
      </c>
      <c r="J125" s="105"/>
      <c r="K125" s="106">
        <v>12</v>
      </c>
      <c r="L125" s="259">
        <v>4510</v>
      </c>
      <c r="M125" s="259">
        <v>4510</v>
      </c>
      <c r="N125" s="259">
        <v>4510</v>
      </c>
      <c r="O125" s="35" t="s">
        <v>145</v>
      </c>
      <c r="P125" s="37"/>
      <c r="Q125" s="35">
        <v>698</v>
      </c>
      <c r="R125" s="37"/>
      <c r="S125" s="35">
        <v>1044</v>
      </c>
      <c r="T125" s="35">
        <v>694</v>
      </c>
      <c r="U125" s="262"/>
      <c r="V125" s="35">
        <v>68684</v>
      </c>
      <c r="W125" s="113"/>
      <c r="X125" s="35"/>
      <c r="Y125" s="38"/>
      <c r="Z125" s="35">
        <v>2904</v>
      </c>
      <c r="AA125" s="35">
        <v>1208</v>
      </c>
      <c r="AB125" s="35">
        <v>6107</v>
      </c>
      <c r="AC125" s="35">
        <v>1937</v>
      </c>
      <c r="AD125" s="35">
        <v>2478</v>
      </c>
      <c r="AE125" s="96"/>
      <c r="AF125" s="96"/>
      <c r="AG125" s="96"/>
      <c r="AH125" s="96"/>
    </row>
    <row r="126" spans="1:34" s="45" customFormat="1" x14ac:dyDescent="0.2">
      <c r="B126" s="370">
        <v>42733</v>
      </c>
      <c r="C126" s="372">
        <v>42373</v>
      </c>
      <c r="D126" s="249"/>
      <c r="E126" s="259">
        <v>18353</v>
      </c>
      <c r="F126" s="259" t="s">
        <v>399</v>
      </c>
      <c r="G126" s="109">
        <v>4451</v>
      </c>
      <c r="H126" s="35" t="s">
        <v>145</v>
      </c>
      <c r="I126" s="260">
        <v>30</v>
      </c>
      <c r="J126" s="105"/>
      <c r="K126" s="106">
        <v>21</v>
      </c>
      <c r="L126" s="259">
        <v>6245</v>
      </c>
      <c r="M126" s="259">
        <v>6245</v>
      </c>
      <c r="N126" s="259">
        <v>6245</v>
      </c>
      <c r="O126" s="35" t="s">
        <v>145</v>
      </c>
      <c r="P126" s="37"/>
      <c r="Q126" s="260">
        <v>643</v>
      </c>
      <c r="R126" s="37"/>
      <c r="S126" s="259">
        <v>1538</v>
      </c>
      <c r="T126" s="259">
        <v>1057</v>
      </c>
      <c r="U126" s="37"/>
      <c r="V126" s="259">
        <v>109120</v>
      </c>
      <c r="W126" s="113"/>
      <c r="X126" s="35"/>
      <c r="Y126" s="38"/>
      <c r="Z126" s="259">
        <v>3896</v>
      </c>
      <c r="AA126" s="259">
        <v>8069</v>
      </c>
      <c r="AB126" s="259">
        <v>2272</v>
      </c>
      <c r="AC126" s="259">
        <v>2645</v>
      </c>
      <c r="AD126" s="259">
        <v>1417</v>
      </c>
      <c r="AE126" s="96"/>
      <c r="AF126" s="96"/>
      <c r="AG126" s="96"/>
      <c r="AH126" s="96"/>
    </row>
    <row r="127" spans="1:34" s="45" customFormat="1" x14ac:dyDescent="0.2">
      <c r="B127" s="370">
        <v>42374</v>
      </c>
      <c r="C127" s="372">
        <v>42380</v>
      </c>
      <c r="D127" s="249"/>
      <c r="E127" s="259">
        <v>21157</v>
      </c>
      <c r="F127" s="259">
        <v>1274</v>
      </c>
      <c r="G127" s="110">
        <v>5522</v>
      </c>
      <c r="H127" s="35" t="s">
        <v>145</v>
      </c>
      <c r="I127" s="260">
        <v>36</v>
      </c>
      <c r="J127" s="255"/>
      <c r="K127" s="257">
        <v>20</v>
      </c>
      <c r="L127" s="259">
        <v>7046</v>
      </c>
      <c r="M127" s="259">
        <v>7046</v>
      </c>
      <c r="N127" s="259">
        <v>7046</v>
      </c>
      <c r="O127" s="35" t="s">
        <v>145</v>
      </c>
      <c r="P127" s="251"/>
      <c r="Q127" s="259">
        <v>1125</v>
      </c>
      <c r="R127" s="251"/>
      <c r="S127" s="259">
        <v>1810</v>
      </c>
      <c r="T127" s="259">
        <v>1216</v>
      </c>
      <c r="U127" s="252"/>
      <c r="V127" s="259">
        <v>130064</v>
      </c>
      <c r="W127" s="251"/>
      <c r="X127" s="256"/>
      <c r="Y127" s="251"/>
      <c r="Z127" s="259">
        <v>4458</v>
      </c>
      <c r="AA127" s="259">
        <v>9862</v>
      </c>
      <c r="AB127" s="259">
        <v>2418</v>
      </c>
      <c r="AC127" s="259">
        <v>3220</v>
      </c>
      <c r="AD127" s="259">
        <v>1105</v>
      </c>
      <c r="AE127" s="96"/>
      <c r="AF127" s="96"/>
      <c r="AG127" s="96"/>
      <c r="AH127" s="96"/>
    </row>
    <row r="128" spans="1:34" s="45" customFormat="1" x14ac:dyDescent="0.2">
      <c r="B128" s="370">
        <v>42381</v>
      </c>
      <c r="C128" s="372">
        <v>42387</v>
      </c>
      <c r="D128" s="249"/>
      <c r="E128" s="259">
        <v>18983</v>
      </c>
      <c r="F128" s="259">
        <v>430</v>
      </c>
      <c r="G128" s="110">
        <v>4694</v>
      </c>
      <c r="H128" s="35" t="s">
        <v>145</v>
      </c>
      <c r="I128" s="260">
        <v>29</v>
      </c>
      <c r="J128" s="255"/>
      <c r="K128" s="257">
        <v>23</v>
      </c>
      <c r="L128" s="259">
        <v>6166</v>
      </c>
      <c r="M128" s="259">
        <v>6166</v>
      </c>
      <c r="N128" s="259">
        <v>6166</v>
      </c>
      <c r="O128" s="35" t="s">
        <v>145</v>
      </c>
      <c r="P128" s="251"/>
      <c r="Q128" s="260">
        <v>786</v>
      </c>
      <c r="R128" s="251"/>
      <c r="S128" s="259">
        <v>1588</v>
      </c>
      <c r="T128" s="259">
        <v>1036</v>
      </c>
      <c r="U128" s="252"/>
      <c r="V128" s="259">
        <v>149544</v>
      </c>
      <c r="W128" s="251"/>
      <c r="X128" s="256"/>
      <c r="Y128" s="251"/>
      <c r="Z128" s="259">
        <v>4241</v>
      </c>
      <c r="AA128" s="259">
        <v>9103</v>
      </c>
      <c r="AB128" s="259">
        <v>1532</v>
      </c>
      <c r="AC128" s="259">
        <v>3183</v>
      </c>
      <c r="AD128" s="260">
        <v>829</v>
      </c>
      <c r="AE128" s="97"/>
      <c r="AF128" s="97"/>
      <c r="AG128" s="97"/>
      <c r="AH128" s="97"/>
    </row>
    <row r="129" spans="2:34" s="45" customFormat="1" x14ac:dyDescent="0.2">
      <c r="B129" s="370">
        <v>42388</v>
      </c>
      <c r="C129" s="372">
        <v>42394</v>
      </c>
      <c r="D129" s="249"/>
      <c r="E129" s="259">
        <v>34778</v>
      </c>
      <c r="F129" s="259">
        <v>1518</v>
      </c>
      <c r="G129" s="110">
        <v>5001</v>
      </c>
      <c r="H129" s="35" t="s">
        <v>145</v>
      </c>
      <c r="I129" s="260">
        <v>72</v>
      </c>
      <c r="J129" s="255"/>
      <c r="K129" s="257">
        <v>269</v>
      </c>
      <c r="L129" s="259">
        <v>9196</v>
      </c>
      <c r="M129" s="259">
        <v>9196</v>
      </c>
      <c r="N129" s="259">
        <v>9196</v>
      </c>
      <c r="O129" s="35" t="s">
        <v>145</v>
      </c>
      <c r="P129" s="251"/>
      <c r="Q129" s="259">
        <v>1826</v>
      </c>
      <c r="R129" s="251"/>
      <c r="S129" s="259">
        <v>2066</v>
      </c>
      <c r="T129" s="259">
        <v>1319</v>
      </c>
      <c r="U129" s="252"/>
      <c r="V129" s="259">
        <v>182168</v>
      </c>
      <c r="W129" s="251"/>
      <c r="X129" s="256"/>
      <c r="Y129" s="251"/>
      <c r="Z129" s="259">
        <v>4456</v>
      </c>
      <c r="AA129" s="259">
        <v>10073</v>
      </c>
      <c r="AB129" s="259">
        <v>2915</v>
      </c>
      <c r="AC129" s="259">
        <v>3552</v>
      </c>
      <c r="AD129" s="259">
        <v>13673</v>
      </c>
      <c r="AE129" s="97"/>
      <c r="AF129" s="97"/>
      <c r="AG129" s="97"/>
      <c r="AH129" s="97"/>
    </row>
    <row r="130" spans="2:34" s="45" customFormat="1" x14ac:dyDescent="0.2">
      <c r="B130" s="370">
        <v>42395</v>
      </c>
      <c r="C130" s="372">
        <v>42401</v>
      </c>
      <c r="D130" s="249"/>
      <c r="E130" s="259">
        <v>25567</v>
      </c>
      <c r="F130" s="259">
        <v>1304</v>
      </c>
      <c r="G130" s="110">
        <v>5365</v>
      </c>
      <c r="H130" s="35" t="s">
        <v>145</v>
      </c>
      <c r="I130" s="260">
        <v>59</v>
      </c>
      <c r="J130" s="255"/>
      <c r="K130" s="257">
        <v>80</v>
      </c>
      <c r="L130" s="259">
        <v>8237</v>
      </c>
      <c r="M130" s="259">
        <v>8237</v>
      </c>
      <c r="N130" s="259">
        <v>8237</v>
      </c>
      <c r="O130" s="35" t="s">
        <v>145</v>
      </c>
      <c r="P130" s="251"/>
      <c r="Q130" s="259">
        <v>1113</v>
      </c>
      <c r="R130" s="251"/>
      <c r="S130" s="259">
        <v>2099</v>
      </c>
      <c r="T130" s="259">
        <v>1370</v>
      </c>
      <c r="U130" s="252"/>
      <c r="V130" s="259">
        <v>207816</v>
      </c>
      <c r="W130" s="251"/>
      <c r="X130" s="256"/>
      <c r="Y130" s="251"/>
      <c r="Z130" s="259">
        <v>5753</v>
      </c>
      <c r="AA130" s="259">
        <v>10571</v>
      </c>
      <c r="AB130" s="259">
        <v>2436</v>
      </c>
      <c r="AC130" s="259">
        <v>3770</v>
      </c>
      <c r="AD130" s="259">
        <v>2581</v>
      </c>
      <c r="AE130" s="97"/>
      <c r="AF130" s="97"/>
      <c r="AG130" s="97"/>
      <c r="AH130" s="97"/>
    </row>
    <row r="131" spans="2:34" s="45" customFormat="1" x14ac:dyDescent="0.2">
      <c r="B131" s="370">
        <v>42402</v>
      </c>
      <c r="C131" s="372">
        <v>42408</v>
      </c>
      <c r="D131" s="249"/>
      <c r="E131" s="259">
        <v>20602</v>
      </c>
      <c r="F131" s="259">
        <v>1036</v>
      </c>
      <c r="G131" s="110">
        <v>9322</v>
      </c>
      <c r="H131" s="35" t="s">
        <v>145</v>
      </c>
      <c r="I131" s="260">
        <v>63</v>
      </c>
      <c r="J131" s="255"/>
      <c r="K131" s="257">
        <v>35</v>
      </c>
      <c r="L131" s="259">
        <v>7312</v>
      </c>
      <c r="M131" s="259">
        <v>7312</v>
      </c>
      <c r="N131" s="259">
        <v>7312</v>
      </c>
      <c r="O131" s="35" t="s">
        <v>145</v>
      </c>
      <c r="P131" s="251"/>
      <c r="Q131" s="259">
        <v>864</v>
      </c>
      <c r="R131" s="251"/>
      <c r="S131" s="259">
        <v>1766</v>
      </c>
      <c r="T131" s="259">
        <v>1087</v>
      </c>
      <c r="U131" s="252"/>
      <c r="V131" s="259">
        <v>169544</v>
      </c>
      <c r="W131" s="251"/>
      <c r="X131" s="256"/>
      <c r="Y131" s="251"/>
      <c r="Z131" s="259">
        <v>4788</v>
      </c>
      <c r="AA131" s="259">
        <v>2519</v>
      </c>
      <c r="AB131" s="259">
        <v>8621</v>
      </c>
      <c r="AC131" s="259">
        <v>3611</v>
      </c>
      <c r="AD131" s="259">
        <v>992</v>
      </c>
      <c r="AE131" s="112"/>
      <c r="AF131" s="112"/>
      <c r="AG131" s="112"/>
      <c r="AH131" s="112"/>
    </row>
    <row r="132" spans="2:34" s="45" customFormat="1" x14ac:dyDescent="0.2">
      <c r="B132" s="370">
        <v>42409</v>
      </c>
      <c r="C132" s="372">
        <v>42415</v>
      </c>
      <c r="D132" s="249"/>
      <c r="E132" s="259">
        <v>19263</v>
      </c>
      <c r="F132" s="259">
        <v>942</v>
      </c>
      <c r="G132" s="110">
        <v>8451</v>
      </c>
      <c r="H132" s="35" t="s">
        <v>145</v>
      </c>
      <c r="I132" s="260">
        <v>105</v>
      </c>
      <c r="J132" s="255"/>
      <c r="K132" s="257">
        <v>63</v>
      </c>
      <c r="L132" s="259">
        <v>6866</v>
      </c>
      <c r="M132" s="259">
        <v>6866</v>
      </c>
      <c r="N132" s="259">
        <v>6866</v>
      </c>
      <c r="O132" s="35" t="s">
        <v>145</v>
      </c>
      <c r="P132" s="251"/>
      <c r="Q132" s="260">
        <v>981</v>
      </c>
      <c r="R132" s="251"/>
      <c r="S132" s="259">
        <v>1654</v>
      </c>
      <c r="T132" s="259">
        <v>1076</v>
      </c>
      <c r="U132" s="252"/>
      <c r="V132" s="259">
        <v>179096</v>
      </c>
      <c r="W132" s="251"/>
      <c r="X132" s="256"/>
      <c r="Y132" s="251"/>
      <c r="Z132" s="259">
        <v>4704</v>
      </c>
      <c r="AA132" s="259">
        <v>2494</v>
      </c>
      <c r="AB132" s="259">
        <v>7986</v>
      </c>
      <c r="AC132" s="259">
        <v>3283</v>
      </c>
      <c r="AD132" s="260">
        <v>707</v>
      </c>
      <c r="AE132" s="112"/>
      <c r="AF132" s="112"/>
      <c r="AG132" s="112"/>
      <c r="AH132" s="112"/>
    </row>
    <row r="133" spans="2:34" s="45" customFormat="1" x14ac:dyDescent="0.2">
      <c r="B133" s="370">
        <v>42416</v>
      </c>
      <c r="C133" s="372">
        <v>42422</v>
      </c>
      <c r="D133" s="249"/>
      <c r="E133" s="259">
        <v>21542</v>
      </c>
      <c r="F133" s="259">
        <v>871</v>
      </c>
      <c r="G133" s="110">
        <v>9024</v>
      </c>
      <c r="H133" s="35" t="s">
        <v>145</v>
      </c>
      <c r="I133" s="260">
        <v>37</v>
      </c>
      <c r="J133" s="255"/>
      <c r="K133" s="257">
        <v>41</v>
      </c>
      <c r="L133" s="259">
        <v>7647</v>
      </c>
      <c r="M133" s="259">
        <v>7647</v>
      </c>
      <c r="N133" s="259">
        <v>7647</v>
      </c>
      <c r="O133" s="35" t="s">
        <v>145</v>
      </c>
      <c r="P133" s="251"/>
      <c r="Q133" s="259">
        <v>893</v>
      </c>
      <c r="R133" s="251"/>
      <c r="S133" s="259">
        <v>2394</v>
      </c>
      <c r="T133" s="259">
        <v>1529</v>
      </c>
      <c r="U133" s="252"/>
      <c r="V133" s="259">
        <v>188870</v>
      </c>
      <c r="W133" s="251"/>
      <c r="X133" s="256"/>
      <c r="Y133" s="251"/>
      <c r="Z133" s="259">
        <v>5130</v>
      </c>
      <c r="AA133" s="259">
        <v>2953</v>
      </c>
      <c r="AB133" s="259">
        <v>9143</v>
      </c>
      <c r="AC133" s="259">
        <v>3506</v>
      </c>
      <c r="AD133" s="259">
        <v>738</v>
      </c>
      <c r="AE133" s="112"/>
      <c r="AF133" s="112"/>
      <c r="AG133" s="112"/>
      <c r="AH133" s="112"/>
    </row>
    <row r="134" spans="2:34" s="45" customFormat="1" x14ac:dyDescent="0.2">
      <c r="B134" s="370">
        <v>42423</v>
      </c>
      <c r="C134" s="372">
        <v>42429</v>
      </c>
      <c r="D134" s="249"/>
      <c r="E134" s="259">
        <v>36117</v>
      </c>
      <c r="F134" s="259">
        <v>1061</v>
      </c>
      <c r="G134" s="110">
        <v>9075</v>
      </c>
      <c r="H134" s="35" t="s">
        <v>145</v>
      </c>
      <c r="I134" s="260">
        <v>86</v>
      </c>
      <c r="J134" s="255"/>
      <c r="K134" s="257">
        <v>234</v>
      </c>
      <c r="L134" s="259">
        <v>8538</v>
      </c>
      <c r="M134" s="259">
        <v>8538</v>
      </c>
      <c r="N134" s="259">
        <v>8538</v>
      </c>
      <c r="O134" s="35" t="s">
        <v>145</v>
      </c>
      <c r="P134" s="251"/>
      <c r="Q134" s="259">
        <v>2782</v>
      </c>
      <c r="R134" s="251"/>
      <c r="S134" s="259">
        <v>1940</v>
      </c>
      <c r="T134" s="259">
        <v>1317</v>
      </c>
      <c r="U134" s="252"/>
      <c r="V134" s="259">
        <v>211968</v>
      </c>
      <c r="W134" s="251"/>
      <c r="X134" s="256"/>
      <c r="Y134" s="251"/>
      <c r="Z134" s="259">
        <v>5096</v>
      </c>
      <c r="AA134" s="259">
        <v>2925</v>
      </c>
      <c r="AB134" s="259">
        <v>8741</v>
      </c>
      <c r="AC134" s="259">
        <v>3707</v>
      </c>
      <c r="AD134" s="259">
        <v>15556</v>
      </c>
      <c r="AE134" s="112"/>
      <c r="AF134" s="112"/>
      <c r="AG134" s="112"/>
      <c r="AH134" s="112"/>
    </row>
    <row r="135" spans="2:34" s="45" customFormat="1" x14ac:dyDescent="0.2">
      <c r="B135" s="370">
        <v>42430</v>
      </c>
      <c r="C135" s="372">
        <v>42436</v>
      </c>
      <c r="D135" s="249"/>
      <c r="E135" s="259">
        <v>75824</v>
      </c>
      <c r="F135" s="259">
        <v>3690</v>
      </c>
      <c r="G135" s="110">
        <v>18662</v>
      </c>
      <c r="H135" s="35" t="s">
        <v>145</v>
      </c>
      <c r="I135" s="260">
        <v>178</v>
      </c>
      <c r="J135" s="255"/>
      <c r="K135" s="257">
        <v>201</v>
      </c>
      <c r="L135" s="259">
        <v>13956</v>
      </c>
      <c r="M135" s="259">
        <v>13956</v>
      </c>
      <c r="N135" s="259">
        <v>13956</v>
      </c>
      <c r="O135" s="35" t="s">
        <v>145</v>
      </c>
      <c r="P135" s="251"/>
      <c r="Q135" s="259">
        <v>15471</v>
      </c>
      <c r="R135" s="251"/>
      <c r="S135" s="259">
        <v>2012</v>
      </c>
      <c r="T135" s="259">
        <v>1140</v>
      </c>
      <c r="U135" s="252"/>
      <c r="V135" s="259">
        <v>293672</v>
      </c>
      <c r="W135" s="251"/>
      <c r="X135" s="256"/>
      <c r="Y135" s="251"/>
      <c r="Z135" s="259">
        <v>5821</v>
      </c>
      <c r="AA135" s="259">
        <v>1993</v>
      </c>
      <c r="AB135" s="259">
        <v>11066</v>
      </c>
      <c r="AC135" s="259">
        <v>4307</v>
      </c>
      <c r="AD135" s="259">
        <v>53866</v>
      </c>
      <c r="AE135" s="124"/>
      <c r="AF135" s="124"/>
      <c r="AG135" s="124"/>
      <c r="AH135" s="124"/>
    </row>
    <row r="136" spans="2:34" s="45" customFormat="1" x14ac:dyDescent="0.2">
      <c r="B136" s="370">
        <v>42437</v>
      </c>
      <c r="C136" s="372">
        <v>42443</v>
      </c>
      <c r="D136" s="249"/>
      <c r="E136" s="259">
        <v>26118</v>
      </c>
      <c r="F136" s="259">
        <v>989</v>
      </c>
      <c r="G136" s="110">
        <v>8707</v>
      </c>
      <c r="H136" s="35" t="s">
        <v>145</v>
      </c>
      <c r="I136" s="260">
        <v>42</v>
      </c>
      <c r="J136" s="255"/>
      <c r="K136" s="257">
        <v>51</v>
      </c>
      <c r="L136" s="259">
        <v>7501</v>
      </c>
      <c r="M136" s="259">
        <v>7501</v>
      </c>
      <c r="N136" s="259">
        <v>7501</v>
      </c>
      <c r="O136" s="35" t="s">
        <v>145</v>
      </c>
      <c r="P136" s="251"/>
      <c r="Q136" s="259">
        <v>1863</v>
      </c>
      <c r="R136" s="251"/>
      <c r="S136" s="259">
        <v>1162</v>
      </c>
      <c r="T136" s="259">
        <v>654</v>
      </c>
      <c r="U136" s="252"/>
      <c r="V136" s="259">
        <v>296408</v>
      </c>
      <c r="W136" s="251"/>
      <c r="X136" s="256"/>
      <c r="Y136" s="251"/>
      <c r="Z136" s="259">
        <v>5818</v>
      </c>
      <c r="AA136" s="259">
        <v>1992</v>
      </c>
      <c r="AB136" s="259">
        <v>10259</v>
      </c>
      <c r="AC136" s="259">
        <v>4138</v>
      </c>
      <c r="AD136" s="259">
        <v>3579</v>
      </c>
      <c r="AE136" s="124"/>
      <c r="AF136" s="124"/>
      <c r="AG136" s="124"/>
      <c r="AH136" s="124"/>
    </row>
    <row r="137" spans="2:34" s="45" customFormat="1" x14ac:dyDescent="0.2">
      <c r="B137" s="370">
        <v>42444</v>
      </c>
      <c r="C137" s="372">
        <v>42450</v>
      </c>
      <c r="D137" s="249"/>
      <c r="E137" s="259">
        <v>29610</v>
      </c>
      <c r="F137" s="259">
        <v>1057</v>
      </c>
      <c r="G137" s="110">
        <v>8528</v>
      </c>
      <c r="H137" s="35" t="s">
        <v>145</v>
      </c>
      <c r="I137" s="260">
        <v>131</v>
      </c>
      <c r="J137" s="255"/>
      <c r="K137" s="257">
        <v>119</v>
      </c>
      <c r="L137" s="259">
        <v>7811</v>
      </c>
      <c r="M137" s="259">
        <v>7811</v>
      </c>
      <c r="N137" s="259">
        <v>7811</v>
      </c>
      <c r="O137" s="35" t="s">
        <v>145</v>
      </c>
      <c r="P137" s="251"/>
      <c r="Q137" s="259">
        <v>1960</v>
      </c>
      <c r="R137" s="251"/>
      <c r="S137" s="259">
        <v>1106</v>
      </c>
      <c r="T137" s="259">
        <v>624</v>
      </c>
      <c r="U137" s="252"/>
      <c r="V137" s="259">
        <v>294184</v>
      </c>
      <c r="W137" s="251"/>
      <c r="X137" s="256"/>
      <c r="Y137" s="251"/>
      <c r="Z137" s="259">
        <v>5634</v>
      </c>
      <c r="AA137" s="259">
        <v>2825</v>
      </c>
      <c r="AB137" s="259">
        <v>7891</v>
      </c>
      <c r="AC137" s="259">
        <v>3766</v>
      </c>
      <c r="AD137" s="259">
        <v>9252</v>
      </c>
      <c r="AE137" s="127"/>
      <c r="AF137" s="127"/>
      <c r="AG137" s="127"/>
      <c r="AH137" s="127"/>
    </row>
    <row r="138" spans="2:34" s="45" customFormat="1" x14ac:dyDescent="0.2">
      <c r="B138" s="370">
        <v>42451</v>
      </c>
      <c r="C138" s="372">
        <v>42457</v>
      </c>
      <c r="D138" s="249"/>
      <c r="E138" s="259">
        <v>48436</v>
      </c>
      <c r="F138" s="259">
        <v>7635</v>
      </c>
      <c r="G138" s="110">
        <v>32192</v>
      </c>
      <c r="H138" s="35" t="s">
        <v>145</v>
      </c>
      <c r="I138" s="260">
        <v>115</v>
      </c>
      <c r="J138" s="255"/>
      <c r="K138" s="257">
        <v>62</v>
      </c>
      <c r="L138" s="259">
        <v>12602</v>
      </c>
      <c r="M138" s="259">
        <v>12602</v>
      </c>
      <c r="N138" s="259">
        <v>12602</v>
      </c>
      <c r="O138" s="35" t="s">
        <v>145</v>
      </c>
      <c r="P138" s="251"/>
      <c r="Q138" s="259">
        <v>3525</v>
      </c>
      <c r="R138" s="251"/>
      <c r="S138" s="259">
        <v>2483</v>
      </c>
      <c r="T138" s="259">
        <v>1404</v>
      </c>
      <c r="U138" s="252"/>
      <c r="V138" s="259">
        <v>323456</v>
      </c>
      <c r="W138" s="251"/>
      <c r="X138" s="256"/>
      <c r="Y138" s="251"/>
      <c r="Z138" s="259">
        <v>5715</v>
      </c>
      <c r="AA138" s="259">
        <v>3600</v>
      </c>
      <c r="AB138" s="259">
        <v>10521</v>
      </c>
      <c r="AC138" s="259">
        <v>3735</v>
      </c>
      <c r="AD138" s="259">
        <v>24689</v>
      </c>
      <c r="AE138" s="128"/>
      <c r="AF138" s="128"/>
      <c r="AG138" s="128"/>
      <c r="AH138" s="128"/>
    </row>
    <row r="139" spans="2:34" s="45" customFormat="1" x14ac:dyDescent="0.2">
      <c r="B139" s="370">
        <v>42458</v>
      </c>
      <c r="C139" s="372">
        <v>42464</v>
      </c>
      <c r="D139" s="249"/>
      <c r="E139" s="259">
        <v>26468</v>
      </c>
      <c r="F139" s="259">
        <v>1425</v>
      </c>
      <c r="G139" s="258">
        <v>11107</v>
      </c>
      <c r="H139" s="35" t="s">
        <v>145</v>
      </c>
      <c r="I139" s="260">
        <v>47</v>
      </c>
      <c r="J139" s="255"/>
      <c r="K139" s="257">
        <v>66</v>
      </c>
      <c r="L139" s="259">
        <v>8878</v>
      </c>
      <c r="M139" s="259">
        <v>8878</v>
      </c>
      <c r="N139" s="259">
        <v>8878</v>
      </c>
      <c r="O139" s="35" t="s">
        <v>145</v>
      </c>
      <c r="P139" s="251"/>
      <c r="Q139" s="259">
        <v>1456</v>
      </c>
      <c r="R139" s="251"/>
      <c r="S139" s="259">
        <v>1347</v>
      </c>
      <c r="T139" s="259">
        <v>811</v>
      </c>
      <c r="U139" s="252"/>
      <c r="V139" s="259">
        <v>293568</v>
      </c>
      <c r="W139" s="251"/>
      <c r="X139" s="256"/>
      <c r="Y139" s="251"/>
      <c r="Z139" s="259">
        <v>6365</v>
      </c>
      <c r="AA139" s="259">
        <v>3393</v>
      </c>
      <c r="AB139" s="259">
        <v>9337</v>
      </c>
      <c r="AC139" s="259">
        <v>4275</v>
      </c>
      <c r="AD139" s="259">
        <v>2978</v>
      </c>
      <c r="AE139" s="128"/>
      <c r="AF139" s="128"/>
      <c r="AG139" s="128"/>
      <c r="AH139" s="128"/>
    </row>
    <row r="140" spans="2:34" s="45" customFormat="1" x14ac:dyDescent="0.2">
      <c r="B140" s="370">
        <v>42465</v>
      </c>
      <c r="C140" s="372">
        <v>42471</v>
      </c>
      <c r="D140" s="249"/>
      <c r="E140" s="259">
        <v>26357</v>
      </c>
      <c r="F140" s="259">
        <v>1255</v>
      </c>
      <c r="G140" s="258">
        <v>9826</v>
      </c>
      <c r="H140" s="35" t="s">
        <v>145</v>
      </c>
      <c r="I140" s="260">
        <v>55</v>
      </c>
      <c r="J140" s="255"/>
      <c r="K140" s="257">
        <v>78</v>
      </c>
      <c r="L140" s="259">
        <v>8544</v>
      </c>
      <c r="M140" s="259">
        <v>8544</v>
      </c>
      <c r="N140" s="259">
        <v>8544</v>
      </c>
      <c r="O140" s="35" t="s">
        <v>145</v>
      </c>
      <c r="P140" s="251"/>
      <c r="Q140" s="259">
        <v>1292</v>
      </c>
      <c r="R140" s="251"/>
      <c r="S140" s="259">
        <v>1207</v>
      </c>
      <c r="T140" s="259">
        <v>716</v>
      </c>
      <c r="U140" s="252"/>
      <c r="V140" s="259">
        <v>299928</v>
      </c>
      <c r="W140" s="251"/>
      <c r="X140" s="256"/>
      <c r="Y140" s="251"/>
      <c r="Z140" s="259">
        <v>6311</v>
      </c>
      <c r="AA140" s="259">
        <v>3801</v>
      </c>
      <c r="AB140" s="259">
        <v>10015</v>
      </c>
      <c r="AC140" s="259">
        <v>4509</v>
      </c>
      <c r="AD140" s="259">
        <v>1581</v>
      </c>
      <c r="AE140" s="227"/>
      <c r="AF140" s="227"/>
      <c r="AG140" s="227"/>
      <c r="AH140" s="227"/>
    </row>
    <row r="141" spans="2:34" s="45" customFormat="1" x14ac:dyDescent="0.2">
      <c r="B141" s="370">
        <v>42472</v>
      </c>
      <c r="C141" s="372">
        <v>42478</v>
      </c>
      <c r="D141" s="249"/>
      <c r="E141" s="259">
        <v>24065</v>
      </c>
      <c r="F141" s="259">
        <v>1090</v>
      </c>
      <c r="G141" s="258">
        <v>10351</v>
      </c>
      <c r="H141" s="35" t="s">
        <v>145</v>
      </c>
      <c r="I141" s="260">
        <v>63</v>
      </c>
      <c r="J141" s="255"/>
      <c r="K141" s="257">
        <v>45</v>
      </c>
      <c r="L141" s="259">
        <v>8368</v>
      </c>
      <c r="M141" s="259">
        <v>8368</v>
      </c>
      <c r="N141" s="259">
        <v>8368</v>
      </c>
      <c r="O141" s="35" t="s">
        <v>145</v>
      </c>
      <c r="P141" s="251"/>
      <c r="Q141" s="259">
        <v>891</v>
      </c>
      <c r="R141" s="251"/>
      <c r="S141" s="259">
        <v>1181</v>
      </c>
      <c r="T141" s="259">
        <v>694</v>
      </c>
      <c r="U141" s="252"/>
      <c r="V141" s="259">
        <v>299728</v>
      </c>
      <c r="W141" s="251"/>
      <c r="X141" s="256"/>
      <c r="Y141" s="251"/>
      <c r="Z141" s="259">
        <v>6116</v>
      </c>
      <c r="AA141" s="259">
        <v>3524</v>
      </c>
      <c r="AB141" s="259">
        <v>8865</v>
      </c>
      <c r="AC141" s="259">
        <v>4363</v>
      </c>
      <c r="AD141" s="259">
        <v>1090</v>
      </c>
      <c r="AE141" s="227"/>
      <c r="AF141" s="227"/>
      <c r="AG141" s="227"/>
      <c r="AH141" s="227"/>
    </row>
    <row r="142" spans="2:34" s="45" customFormat="1" x14ac:dyDescent="0.2">
      <c r="B142" s="370">
        <v>42479</v>
      </c>
      <c r="C142" s="372">
        <v>42485</v>
      </c>
      <c r="D142" s="249"/>
      <c r="E142" s="259">
        <v>43382</v>
      </c>
      <c r="F142" s="259">
        <v>1627</v>
      </c>
      <c r="G142" s="258">
        <v>13580</v>
      </c>
      <c r="H142" s="35" t="s">
        <v>145</v>
      </c>
      <c r="I142" s="260">
        <v>591</v>
      </c>
      <c r="J142" s="255"/>
      <c r="K142" s="257">
        <v>203</v>
      </c>
      <c r="L142" s="259">
        <v>10389</v>
      </c>
      <c r="M142" s="259">
        <v>10389</v>
      </c>
      <c r="N142" s="259">
        <v>10389</v>
      </c>
      <c r="O142" s="35" t="s">
        <v>145</v>
      </c>
      <c r="P142" s="251"/>
      <c r="Q142" s="259">
        <v>1598</v>
      </c>
      <c r="R142" s="251"/>
      <c r="S142" s="259">
        <v>1250</v>
      </c>
      <c r="T142" s="259">
        <v>771</v>
      </c>
      <c r="U142" s="252"/>
      <c r="V142" s="259">
        <v>296800</v>
      </c>
      <c r="W142" s="251"/>
      <c r="X142" s="256"/>
      <c r="Y142" s="251"/>
      <c r="Z142" s="259">
        <v>6273</v>
      </c>
      <c r="AA142" s="259">
        <v>4378</v>
      </c>
      <c r="AB142" s="259">
        <v>8874</v>
      </c>
      <c r="AC142" s="259">
        <v>4543</v>
      </c>
      <c r="AD142" s="259">
        <v>19216</v>
      </c>
      <c r="AE142" s="227"/>
      <c r="AF142" s="227"/>
      <c r="AG142" s="227"/>
      <c r="AH142" s="227"/>
    </row>
    <row r="143" spans="2:34" s="45" customFormat="1" x14ac:dyDescent="0.2">
      <c r="B143" s="370">
        <v>42486</v>
      </c>
      <c r="C143" s="372">
        <v>42492</v>
      </c>
      <c r="D143" s="249"/>
      <c r="E143" s="259">
        <v>50026</v>
      </c>
      <c r="F143" s="259">
        <v>3073</v>
      </c>
      <c r="G143" s="258">
        <v>27275</v>
      </c>
      <c r="H143" s="35" t="s">
        <v>145</v>
      </c>
      <c r="I143" s="260">
        <v>145</v>
      </c>
      <c r="J143" s="255"/>
      <c r="K143" s="257">
        <v>32</v>
      </c>
      <c r="L143" s="259">
        <v>18229</v>
      </c>
      <c r="M143" s="259">
        <v>18229</v>
      </c>
      <c r="N143" s="259">
        <v>18229</v>
      </c>
      <c r="O143" s="35" t="s">
        <v>145</v>
      </c>
      <c r="P143" s="251"/>
      <c r="Q143" s="259">
        <v>1522</v>
      </c>
      <c r="R143" s="251"/>
      <c r="S143" s="259">
        <v>1374</v>
      </c>
      <c r="T143" s="259">
        <v>760</v>
      </c>
      <c r="U143" s="252"/>
      <c r="V143" s="259">
        <v>324576</v>
      </c>
      <c r="W143" s="251"/>
      <c r="X143" s="256"/>
      <c r="Y143" s="251"/>
      <c r="Z143" s="259">
        <v>6063</v>
      </c>
      <c r="AA143" s="259">
        <v>5934</v>
      </c>
      <c r="AB143" s="259">
        <v>9632</v>
      </c>
      <c r="AC143" s="259">
        <v>4766</v>
      </c>
      <c r="AD143" s="259">
        <v>23504</v>
      </c>
      <c r="AE143" s="227"/>
      <c r="AF143" s="227"/>
      <c r="AG143" s="227"/>
      <c r="AH143" s="227"/>
    </row>
    <row r="144" spans="2:34" s="45" customFormat="1" x14ac:dyDescent="0.2">
      <c r="B144" s="370">
        <v>42493</v>
      </c>
      <c r="C144" s="372">
        <v>42499</v>
      </c>
      <c r="D144" s="249"/>
      <c r="E144" s="259">
        <v>26503</v>
      </c>
      <c r="F144" s="259">
        <v>1414</v>
      </c>
      <c r="G144" s="258">
        <v>10646</v>
      </c>
      <c r="H144" s="35" t="s">
        <v>145</v>
      </c>
      <c r="I144" s="260">
        <v>47</v>
      </c>
      <c r="J144" s="255"/>
      <c r="K144" s="257">
        <v>29</v>
      </c>
      <c r="L144" s="259">
        <v>9220</v>
      </c>
      <c r="M144" s="259">
        <v>9220</v>
      </c>
      <c r="N144" s="259">
        <v>9220</v>
      </c>
      <c r="O144" s="35" t="s">
        <v>145</v>
      </c>
      <c r="P144" s="251"/>
      <c r="Q144" s="259">
        <v>718</v>
      </c>
      <c r="R144" s="251"/>
      <c r="S144" s="259">
        <v>1183</v>
      </c>
      <c r="T144" s="259">
        <v>735</v>
      </c>
      <c r="U144" s="252"/>
      <c r="V144" s="259">
        <v>328992</v>
      </c>
      <c r="W144" s="251"/>
      <c r="X144" s="256"/>
      <c r="Y144" s="251"/>
      <c r="Z144" s="259">
        <v>6288</v>
      </c>
      <c r="AA144" s="259">
        <v>4831</v>
      </c>
      <c r="AB144" s="259">
        <v>8315</v>
      </c>
      <c r="AC144" s="259">
        <v>4449</v>
      </c>
      <c r="AD144" s="259">
        <v>2518</v>
      </c>
      <c r="AE144" s="234"/>
      <c r="AF144" s="234"/>
      <c r="AG144" s="234"/>
      <c r="AH144" s="234"/>
    </row>
    <row r="145" spans="2:34" s="45" customFormat="1" x14ac:dyDescent="0.2">
      <c r="B145" s="370">
        <v>42500</v>
      </c>
      <c r="C145" s="372">
        <v>42506</v>
      </c>
      <c r="D145" s="249"/>
      <c r="E145" s="259">
        <v>54282</v>
      </c>
      <c r="F145" s="259">
        <v>1849</v>
      </c>
      <c r="G145" s="258">
        <v>15277</v>
      </c>
      <c r="H145" s="35" t="s">
        <v>145</v>
      </c>
      <c r="I145" s="260">
        <v>873</v>
      </c>
      <c r="J145" s="255"/>
      <c r="K145" s="257">
        <v>281</v>
      </c>
      <c r="L145" s="259">
        <v>11554</v>
      </c>
      <c r="M145" s="259">
        <v>11554</v>
      </c>
      <c r="N145" s="259">
        <v>11554</v>
      </c>
      <c r="O145" s="35" t="s">
        <v>145</v>
      </c>
      <c r="P145" s="251"/>
      <c r="Q145" s="259">
        <v>1164</v>
      </c>
      <c r="R145" s="251"/>
      <c r="S145" s="259">
        <v>1321</v>
      </c>
      <c r="T145" s="259">
        <v>786</v>
      </c>
      <c r="U145" s="252"/>
      <c r="V145" s="259">
        <v>352552</v>
      </c>
      <c r="W145" s="251"/>
      <c r="X145" s="256"/>
      <c r="Y145" s="251"/>
      <c r="Z145" s="259">
        <v>6339</v>
      </c>
      <c r="AA145" s="259">
        <v>4379</v>
      </c>
      <c r="AB145" s="259">
        <v>8574</v>
      </c>
      <c r="AC145" s="259">
        <v>4968</v>
      </c>
      <c r="AD145" s="259">
        <v>29931</v>
      </c>
      <c r="AE145" s="234"/>
      <c r="AF145" s="234"/>
      <c r="AG145" s="234"/>
      <c r="AH145" s="234"/>
    </row>
    <row r="146" spans="2:34" s="45" customFormat="1" x14ac:dyDescent="0.2">
      <c r="B146" s="370">
        <v>42507</v>
      </c>
      <c r="C146" s="372">
        <v>42513</v>
      </c>
      <c r="D146" s="249"/>
      <c r="E146" s="259">
        <v>67016</v>
      </c>
      <c r="F146" s="259">
        <v>4150</v>
      </c>
      <c r="G146" s="258">
        <v>42439</v>
      </c>
      <c r="H146" s="35" t="s">
        <v>145</v>
      </c>
      <c r="I146" s="260">
        <v>140</v>
      </c>
      <c r="J146" s="255"/>
      <c r="K146" s="257">
        <v>139</v>
      </c>
      <c r="L146" s="259">
        <v>20749</v>
      </c>
      <c r="M146" s="259">
        <v>20749</v>
      </c>
      <c r="N146" s="259">
        <v>20749</v>
      </c>
      <c r="O146" s="35" t="s">
        <v>145</v>
      </c>
      <c r="P146" s="251"/>
      <c r="Q146" s="259">
        <v>4543</v>
      </c>
      <c r="R146" s="251"/>
      <c r="S146" s="259">
        <v>1322</v>
      </c>
      <c r="T146" s="259">
        <v>806</v>
      </c>
      <c r="U146" s="252"/>
      <c r="V146" s="259">
        <v>409360</v>
      </c>
      <c r="W146" s="251"/>
      <c r="X146" s="256"/>
      <c r="Y146" s="251"/>
      <c r="Z146" s="259">
        <v>6133</v>
      </c>
      <c r="AA146" s="259">
        <v>3869</v>
      </c>
      <c r="AB146" s="259">
        <v>9171</v>
      </c>
      <c r="AC146" s="259">
        <v>4564</v>
      </c>
      <c r="AD146" s="259">
        <v>43200</v>
      </c>
      <c r="AE146" s="234"/>
      <c r="AF146" s="234"/>
      <c r="AG146" s="234"/>
      <c r="AH146" s="234"/>
    </row>
    <row r="147" spans="2:34" s="45" customFormat="1" x14ac:dyDescent="0.2">
      <c r="B147" s="370">
        <v>42514</v>
      </c>
      <c r="C147" s="372">
        <v>42520</v>
      </c>
      <c r="D147" s="249"/>
      <c r="E147" s="259">
        <v>24002</v>
      </c>
      <c r="F147" s="259">
        <v>984</v>
      </c>
      <c r="G147" s="258">
        <v>8508</v>
      </c>
      <c r="H147" s="35" t="s">
        <v>145</v>
      </c>
      <c r="I147" s="260">
        <v>86</v>
      </c>
      <c r="J147" s="255"/>
      <c r="K147" s="257">
        <v>19</v>
      </c>
      <c r="L147" s="259">
        <v>7812</v>
      </c>
      <c r="M147" s="259">
        <v>7812</v>
      </c>
      <c r="N147" s="259">
        <v>7812</v>
      </c>
      <c r="O147" s="35" t="s">
        <v>145</v>
      </c>
      <c r="P147" s="251"/>
      <c r="Q147" s="259">
        <v>629</v>
      </c>
      <c r="R147" s="251"/>
      <c r="S147" s="259">
        <v>1017</v>
      </c>
      <c r="T147" s="259">
        <v>630</v>
      </c>
      <c r="U147" s="252"/>
      <c r="V147" s="259">
        <v>368792</v>
      </c>
      <c r="W147" s="251"/>
      <c r="X147" s="256"/>
      <c r="Y147" s="251"/>
      <c r="Z147" s="259">
        <v>6285</v>
      </c>
      <c r="AA147" s="259">
        <v>2999</v>
      </c>
      <c r="AB147" s="259">
        <v>7464</v>
      </c>
      <c r="AC147" s="259">
        <v>4016</v>
      </c>
      <c r="AD147" s="259">
        <v>3180</v>
      </c>
      <c r="AE147" s="234"/>
      <c r="AF147" s="234"/>
      <c r="AG147" s="234"/>
      <c r="AH147" s="234"/>
    </row>
    <row r="148" spans="2:34" s="45" customFormat="1" x14ac:dyDescent="0.2">
      <c r="B148" s="370">
        <v>42521</v>
      </c>
      <c r="C148" s="372">
        <v>42527</v>
      </c>
      <c r="D148" s="249"/>
      <c r="E148" s="259">
        <v>34954</v>
      </c>
      <c r="F148" s="259">
        <v>1273</v>
      </c>
      <c r="G148" s="258">
        <v>10069</v>
      </c>
      <c r="H148" s="35" t="s">
        <v>145</v>
      </c>
      <c r="I148" s="260">
        <v>288</v>
      </c>
      <c r="J148" s="255"/>
      <c r="K148" s="257">
        <v>109</v>
      </c>
      <c r="L148" s="259">
        <v>9240</v>
      </c>
      <c r="M148" s="259">
        <v>9240</v>
      </c>
      <c r="N148" s="259">
        <v>9240</v>
      </c>
      <c r="O148" s="35" t="s">
        <v>145</v>
      </c>
      <c r="P148" s="251"/>
      <c r="Q148" s="259">
        <v>879</v>
      </c>
      <c r="R148" s="251"/>
      <c r="S148" s="259">
        <v>1221</v>
      </c>
      <c r="T148" s="259">
        <v>774</v>
      </c>
      <c r="U148" s="252"/>
      <c r="V148" s="259">
        <v>362496</v>
      </c>
      <c r="W148" s="251"/>
      <c r="X148" s="256"/>
      <c r="Y148" s="251"/>
      <c r="Z148" s="259">
        <v>6902</v>
      </c>
      <c r="AA148" s="259">
        <v>3613</v>
      </c>
      <c r="AB148" s="259">
        <v>8634</v>
      </c>
      <c r="AC148" s="259">
        <v>4341</v>
      </c>
      <c r="AD148" s="259">
        <v>11378</v>
      </c>
      <c r="AE148" s="234"/>
      <c r="AF148" s="234"/>
      <c r="AG148" s="234"/>
      <c r="AH148" s="234"/>
    </row>
    <row r="149" spans="2:34" s="45" customFormat="1" x14ac:dyDescent="0.2">
      <c r="B149" s="370">
        <v>42528</v>
      </c>
      <c r="C149" s="372">
        <v>42534</v>
      </c>
      <c r="D149" s="249"/>
      <c r="E149" s="259">
        <v>25541</v>
      </c>
      <c r="F149" s="259">
        <v>1031</v>
      </c>
      <c r="G149" s="258">
        <v>9080</v>
      </c>
      <c r="H149" s="35" t="s">
        <v>145</v>
      </c>
      <c r="I149" s="260">
        <v>56</v>
      </c>
      <c r="J149" s="255"/>
      <c r="K149" s="257">
        <v>43</v>
      </c>
      <c r="L149" s="259">
        <v>8592</v>
      </c>
      <c r="M149" s="259">
        <v>8592</v>
      </c>
      <c r="N149" s="259">
        <v>8592</v>
      </c>
      <c r="O149" s="35" t="s">
        <v>145</v>
      </c>
      <c r="P149" s="251"/>
      <c r="Q149" s="259">
        <v>551</v>
      </c>
      <c r="R149" s="251"/>
      <c r="S149" s="259">
        <v>1119</v>
      </c>
      <c r="T149" s="259">
        <v>673</v>
      </c>
      <c r="U149" s="252"/>
      <c r="V149" s="259">
        <v>354640</v>
      </c>
      <c r="W149" s="251"/>
      <c r="X149" s="256"/>
      <c r="Y149" s="251"/>
      <c r="Z149" s="259">
        <v>6816</v>
      </c>
      <c r="AA149" s="259">
        <v>3863</v>
      </c>
      <c r="AB149" s="259">
        <v>8104</v>
      </c>
      <c r="AC149" s="259">
        <v>4480</v>
      </c>
      <c r="AD149" s="259">
        <v>2210</v>
      </c>
      <c r="AE149" s="239"/>
      <c r="AF149" s="239"/>
      <c r="AG149" s="239"/>
      <c r="AH149" s="239"/>
    </row>
    <row r="150" spans="2:34" s="45" customFormat="1" x14ac:dyDescent="0.2">
      <c r="B150" s="370">
        <v>42535</v>
      </c>
      <c r="C150" s="372">
        <v>42541</v>
      </c>
      <c r="D150" s="249"/>
      <c r="E150" s="259">
        <v>34026</v>
      </c>
      <c r="F150" s="259">
        <v>1051</v>
      </c>
      <c r="G150" s="258">
        <v>9038</v>
      </c>
      <c r="H150" s="35" t="s">
        <v>145</v>
      </c>
      <c r="I150" s="260">
        <v>44</v>
      </c>
      <c r="J150" s="255"/>
      <c r="K150" s="257">
        <v>41</v>
      </c>
      <c r="L150" s="259">
        <v>10681</v>
      </c>
      <c r="M150" s="259">
        <v>10681</v>
      </c>
      <c r="N150" s="259">
        <v>10681</v>
      </c>
      <c r="O150" s="35" t="s">
        <v>145</v>
      </c>
      <c r="P150" s="251"/>
      <c r="Q150" s="259">
        <v>562</v>
      </c>
      <c r="R150" s="251"/>
      <c r="S150" s="259">
        <v>1112</v>
      </c>
      <c r="T150" s="259">
        <v>769</v>
      </c>
      <c r="U150" s="252"/>
      <c r="V150" s="259">
        <v>332336</v>
      </c>
      <c r="W150" s="251"/>
      <c r="X150" s="256"/>
      <c r="Y150" s="251"/>
      <c r="Z150" s="259">
        <v>7073</v>
      </c>
      <c r="AA150" s="259">
        <v>3884</v>
      </c>
      <c r="AB150" s="259">
        <v>7391</v>
      </c>
      <c r="AC150" s="259">
        <v>4491</v>
      </c>
      <c r="AD150" s="259">
        <v>11128</v>
      </c>
      <c r="AE150" s="239"/>
      <c r="AF150" s="239"/>
      <c r="AG150" s="239"/>
      <c r="AH150" s="239"/>
    </row>
    <row r="151" spans="2:34" s="45" customFormat="1" x14ac:dyDescent="0.2">
      <c r="B151" s="370">
        <v>42542</v>
      </c>
      <c r="C151" s="372">
        <v>42548</v>
      </c>
      <c r="D151" s="249"/>
      <c r="E151" s="259">
        <v>26504</v>
      </c>
      <c r="F151" s="259">
        <v>1145</v>
      </c>
      <c r="G151" s="258">
        <v>9558</v>
      </c>
      <c r="H151" s="35" t="s">
        <v>145</v>
      </c>
      <c r="I151" s="260">
        <v>66</v>
      </c>
      <c r="J151" s="255"/>
      <c r="K151" s="257">
        <v>39</v>
      </c>
      <c r="L151" s="259">
        <v>8803</v>
      </c>
      <c r="M151" s="259">
        <v>8803</v>
      </c>
      <c r="N151" s="259">
        <v>8803</v>
      </c>
      <c r="O151" s="35" t="s">
        <v>145</v>
      </c>
      <c r="P151" s="251"/>
      <c r="Q151" s="259">
        <v>583</v>
      </c>
      <c r="R151" s="251"/>
      <c r="S151" s="259">
        <v>1192</v>
      </c>
      <c r="T151" s="259">
        <v>696</v>
      </c>
      <c r="U151" s="252"/>
      <c r="V151" s="259">
        <v>317632</v>
      </c>
      <c r="W151" s="251"/>
      <c r="X151" s="256"/>
      <c r="Y151" s="251"/>
      <c r="Z151" s="259">
        <v>6829</v>
      </c>
      <c r="AA151" s="259">
        <v>4982</v>
      </c>
      <c r="AB151" s="259">
        <v>8326</v>
      </c>
      <c r="AC151" s="259">
        <v>4454</v>
      </c>
      <c r="AD151" s="259">
        <v>1855</v>
      </c>
      <c r="AE151" s="239"/>
      <c r="AF151" s="239"/>
      <c r="AG151" s="239"/>
      <c r="AH151" s="239"/>
    </row>
    <row r="152" spans="2:34" s="45" customFormat="1" x14ac:dyDescent="0.2">
      <c r="B152" s="370">
        <v>42549</v>
      </c>
      <c r="C152" s="372">
        <v>42555</v>
      </c>
      <c r="D152" s="249"/>
      <c r="E152" s="259">
        <v>21472</v>
      </c>
      <c r="F152" s="259">
        <v>808</v>
      </c>
      <c r="G152" s="258">
        <v>7370</v>
      </c>
      <c r="H152" s="35" t="s">
        <v>145</v>
      </c>
      <c r="I152" s="260">
        <v>41</v>
      </c>
      <c r="J152" s="255"/>
      <c r="K152" s="257">
        <v>28</v>
      </c>
      <c r="L152" s="259">
        <v>6965</v>
      </c>
      <c r="M152" s="259">
        <v>6965</v>
      </c>
      <c r="N152" s="259">
        <v>6965</v>
      </c>
      <c r="O152" s="35" t="s">
        <v>145</v>
      </c>
      <c r="P152" s="251"/>
      <c r="Q152" s="259">
        <v>873</v>
      </c>
      <c r="R152" s="251"/>
      <c r="S152" s="259">
        <v>946</v>
      </c>
      <c r="T152" s="259">
        <v>592</v>
      </c>
      <c r="U152" s="252"/>
      <c r="V152" s="259">
        <v>309720</v>
      </c>
      <c r="W152" s="251"/>
      <c r="X152" s="256"/>
      <c r="Y152" s="251"/>
      <c r="Z152" s="259">
        <v>6706</v>
      </c>
      <c r="AA152" s="259">
        <v>3276</v>
      </c>
      <c r="AB152" s="259">
        <v>6669</v>
      </c>
      <c r="AC152" s="259">
        <v>3669</v>
      </c>
      <c r="AD152" s="259">
        <v>1101</v>
      </c>
      <c r="AE152" s="239"/>
      <c r="AF152" s="239"/>
      <c r="AG152" s="239"/>
      <c r="AH152" s="239"/>
    </row>
    <row r="153" spans="2:34" s="45" customFormat="1" x14ac:dyDescent="0.2">
      <c r="B153" s="370">
        <v>42556</v>
      </c>
      <c r="C153" s="372">
        <v>42562</v>
      </c>
      <c r="D153" s="249"/>
      <c r="E153" s="259">
        <v>33981</v>
      </c>
      <c r="F153" s="259">
        <v>1199</v>
      </c>
      <c r="G153" s="258">
        <v>10071</v>
      </c>
      <c r="H153" s="35" t="s">
        <v>145</v>
      </c>
      <c r="I153" s="260">
        <v>280</v>
      </c>
      <c r="J153" s="255"/>
      <c r="K153" s="257">
        <v>71</v>
      </c>
      <c r="L153" s="259">
        <v>9683</v>
      </c>
      <c r="M153" s="259">
        <v>9683</v>
      </c>
      <c r="N153" s="259">
        <v>9683</v>
      </c>
      <c r="O153" s="35" t="s">
        <v>145</v>
      </c>
      <c r="P153" s="251"/>
      <c r="Q153" s="259">
        <v>1325</v>
      </c>
      <c r="R153" s="251"/>
      <c r="S153" s="259">
        <v>1221</v>
      </c>
      <c r="T153" s="259">
        <v>741</v>
      </c>
      <c r="U153" s="252"/>
      <c r="V153" s="259">
        <v>313400</v>
      </c>
      <c r="W153" s="251"/>
      <c r="X153" s="256"/>
      <c r="Y153" s="251"/>
      <c r="Z153" s="259">
        <v>7466</v>
      </c>
      <c r="AA153" s="259">
        <v>4479</v>
      </c>
      <c r="AB153" s="259">
        <v>8551</v>
      </c>
      <c r="AC153" s="259">
        <v>4416</v>
      </c>
      <c r="AD153" s="259">
        <v>9007</v>
      </c>
      <c r="AE153" s="239"/>
      <c r="AF153" s="239"/>
      <c r="AG153" s="239"/>
      <c r="AH153" s="239"/>
    </row>
    <row r="154" spans="2:34" s="45" customFormat="1" x14ac:dyDescent="0.2">
      <c r="B154" s="370">
        <v>42563</v>
      </c>
      <c r="C154" s="372">
        <v>42569</v>
      </c>
      <c r="D154" s="249"/>
      <c r="E154" s="259">
        <v>26115</v>
      </c>
      <c r="F154" s="259">
        <v>1158</v>
      </c>
      <c r="G154" s="258">
        <v>9633</v>
      </c>
      <c r="H154" s="35" t="s">
        <v>145</v>
      </c>
      <c r="I154" s="260">
        <v>84</v>
      </c>
      <c r="J154" s="255"/>
      <c r="K154" s="257">
        <v>36</v>
      </c>
      <c r="L154" s="259">
        <v>8580</v>
      </c>
      <c r="M154" s="259">
        <v>8580</v>
      </c>
      <c r="N154" s="259">
        <v>8580</v>
      </c>
      <c r="O154" s="35" t="s">
        <v>145</v>
      </c>
      <c r="P154" s="251"/>
      <c r="Q154" s="259">
        <v>1022</v>
      </c>
      <c r="R154" s="251"/>
      <c r="S154" s="259">
        <v>1212</v>
      </c>
      <c r="T154" s="259">
        <v>673</v>
      </c>
      <c r="U154" s="252"/>
      <c r="V154" s="259">
        <v>306800</v>
      </c>
      <c r="W154" s="251"/>
      <c r="X154" s="256"/>
      <c r="Y154" s="251"/>
      <c r="Z154" s="259">
        <v>7469</v>
      </c>
      <c r="AA154" s="259">
        <v>4397</v>
      </c>
      <c r="AB154" s="259">
        <v>8225</v>
      </c>
      <c r="AC154" s="259">
        <v>4487</v>
      </c>
      <c r="AD154" s="259">
        <v>1480</v>
      </c>
      <c r="AE154" s="242"/>
      <c r="AF154" s="242"/>
      <c r="AG154" s="242"/>
      <c r="AH154" s="242"/>
    </row>
    <row r="155" spans="2:34" s="45" customFormat="1" x14ac:dyDescent="0.2">
      <c r="B155" s="370">
        <v>42570</v>
      </c>
      <c r="C155" s="372">
        <v>42576</v>
      </c>
      <c r="D155" s="249"/>
      <c r="E155" s="259">
        <v>39834</v>
      </c>
      <c r="F155" s="259">
        <v>1111</v>
      </c>
      <c r="G155" s="258">
        <v>10173</v>
      </c>
      <c r="H155" s="35" t="s">
        <v>145</v>
      </c>
      <c r="I155" s="260">
        <v>54</v>
      </c>
      <c r="J155" s="255"/>
      <c r="K155" s="257">
        <v>35</v>
      </c>
      <c r="L155" s="259">
        <v>12085</v>
      </c>
      <c r="M155" s="259">
        <v>12085</v>
      </c>
      <c r="N155" s="259">
        <v>12085</v>
      </c>
      <c r="O155" s="35" t="s">
        <v>145</v>
      </c>
      <c r="P155" s="251"/>
      <c r="Q155" s="259">
        <v>1534</v>
      </c>
      <c r="R155" s="251"/>
      <c r="S155" s="259">
        <v>1256</v>
      </c>
      <c r="T155" s="259">
        <v>735</v>
      </c>
      <c r="U155" s="252"/>
      <c r="V155" s="259">
        <v>307000</v>
      </c>
      <c r="W155" s="251"/>
      <c r="X155" s="256"/>
      <c r="Y155" s="251"/>
      <c r="Z155" s="259">
        <v>7632</v>
      </c>
      <c r="AA155" s="259">
        <v>4553</v>
      </c>
      <c r="AB155" s="259">
        <v>8439</v>
      </c>
      <c r="AC155" s="259">
        <v>4943</v>
      </c>
      <c r="AD155" s="259">
        <v>14195</v>
      </c>
      <c r="AE155" s="242"/>
      <c r="AF155" s="242"/>
      <c r="AG155" s="242"/>
      <c r="AH155" s="242"/>
    </row>
    <row r="156" spans="2:34" s="45" customFormat="1" x14ac:dyDescent="0.2">
      <c r="B156" s="370">
        <v>42577</v>
      </c>
      <c r="C156" s="372">
        <v>42583</v>
      </c>
      <c r="D156" s="249"/>
      <c r="E156" s="259">
        <v>28406</v>
      </c>
      <c r="F156" s="259">
        <v>1139</v>
      </c>
      <c r="G156" s="258">
        <v>10527</v>
      </c>
      <c r="H156" s="35" t="s">
        <v>145</v>
      </c>
      <c r="I156" s="260">
        <v>39</v>
      </c>
      <c r="J156" s="255"/>
      <c r="K156" s="257">
        <v>84</v>
      </c>
      <c r="L156" s="259">
        <v>9082</v>
      </c>
      <c r="M156" s="259">
        <v>9082</v>
      </c>
      <c r="N156" s="259">
        <v>9082</v>
      </c>
      <c r="O156" s="35" t="s">
        <v>145</v>
      </c>
      <c r="P156" s="251"/>
      <c r="Q156" s="259">
        <v>1067</v>
      </c>
      <c r="R156" s="251"/>
      <c r="S156" s="259">
        <v>1230</v>
      </c>
      <c r="T156" s="259">
        <v>735</v>
      </c>
      <c r="U156" s="252"/>
      <c r="V156" s="259">
        <v>299700</v>
      </c>
      <c r="W156" s="251"/>
      <c r="X156" s="256"/>
      <c r="Y156" s="251"/>
      <c r="Z156" s="259">
        <v>7774</v>
      </c>
      <c r="AA156" s="259">
        <v>4221</v>
      </c>
      <c r="AB156" s="259">
        <v>9102</v>
      </c>
      <c r="AC156" s="259">
        <v>5014</v>
      </c>
      <c r="AD156" s="259">
        <v>1934</v>
      </c>
      <c r="AE156" s="242"/>
      <c r="AF156" s="242"/>
      <c r="AG156" s="242"/>
      <c r="AH156" s="242"/>
    </row>
    <row r="157" spans="2:34" s="45" customFormat="1" x14ac:dyDescent="0.2">
      <c r="B157" s="370">
        <v>42584</v>
      </c>
      <c r="C157" s="372">
        <v>42590</v>
      </c>
      <c r="D157" s="249"/>
      <c r="E157" s="259">
        <v>26858</v>
      </c>
      <c r="F157" s="259">
        <v>1177</v>
      </c>
      <c r="G157" s="258">
        <v>10386</v>
      </c>
      <c r="H157" s="35" t="s">
        <v>145</v>
      </c>
      <c r="I157" s="260">
        <v>40</v>
      </c>
      <c r="J157" s="255"/>
      <c r="K157" s="257">
        <v>26</v>
      </c>
      <c r="L157" s="259">
        <v>8829</v>
      </c>
      <c r="M157" s="259">
        <v>8829</v>
      </c>
      <c r="N157" s="259">
        <v>8829</v>
      </c>
      <c r="O157" s="35" t="s">
        <v>145</v>
      </c>
      <c r="P157" s="251"/>
      <c r="Q157" s="259">
        <v>902</v>
      </c>
      <c r="R157" s="251"/>
      <c r="S157" s="259">
        <v>1152</v>
      </c>
      <c r="T157" s="259">
        <v>661</v>
      </c>
      <c r="U157" s="252"/>
      <c r="V157" s="259">
        <v>300800</v>
      </c>
      <c r="W157" s="251"/>
      <c r="X157" s="256"/>
      <c r="Y157" s="251"/>
      <c r="Z157" s="259">
        <v>7747</v>
      </c>
      <c r="AA157" s="259">
        <v>4062</v>
      </c>
      <c r="AB157" s="259">
        <v>8650</v>
      </c>
      <c r="AC157" s="259">
        <v>4923</v>
      </c>
      <c r="AD157" s="259">
        <v>1223</v>
      </c>
      <c r="AE157" s="248"/>
      <c r="AF157" s="248"/>
      <c r="AG157" s="248"/>
      <c r="AH157" s="248"/>
    </row>
    <row r="158" spans="2:34" s="45" customFormat="1" x14ac:dyDescent="0.2">
      <c r="B158" s="370">
        <v>42591</v>
      </c>
      <c r="C158" s="372">
        <v>42597</v>
      </c>
      <c r="D158" s="249"/>
      <c r="E158" s="259">
        <v>38551</v>
      </c>
      <c r="F158" s="259">
        <v>1347</v>
      </c>
      <c r="G158" s="258">
        <v>11506</v>
      </c>
      <c r="H158" s="35" t="s">
        <v>145</v>
      </c>
      <c r="I158" s="260">
        <v>599</v>
      </c>
      <c r="J158" s="255"/>
      <c r="K158" s="257">
        <v>134</v>
      </c>
      <c r="L158" s="259">
        <v>10308</v>
      </c>
      <c r="M158" s="259" t="s">
        <v>394</v>
      </c>
      <c r="N158" s="259">
        <v>10308</v>
      </c>
      <c r="O158" s="35" t="s">
        <v>145</v>
      </c>
      <c r="P158" s="251"/>
      <c r="Q158" s="259">
        <v>1678</v>
      </c>
      <c r="R158" s="251"/>
      <c r="S158" s="259">
        <v>1241</v>
      </c>
      <c r="T158" s="259">
        <v>777</v>
      </c>
      <c r="U158" s="252"/>
      <c r="V158" s="259">
        <v>283700</v>
      </c>
      <c r="W158" s="251"/>
      <c r="X158" s="256"/>
      <c r="Y158" s="251"/>
      <c r="Z158" s="259">
        <v>7867</v>
      </c>
      <c r="AA158" s="259">
        <v>4868</v>
      </c>
      <c r="AB158" s="259">
        <v>9888</v>
      </c>
      <c r="AC158" s="259">
        <v>5139</v>
      </c>
      <c r="AD158" s="259">
        <v>10682</v>
      </c>
      <c r="AE158" s="248"/>
      <c r="AF158" s="248"/>
      <c r="AG158" s="248"/>
      <c r="AH158" s="248"/>
    </row>
    <row r="159" spans="2:34" s="45" customFormat="1" x14ac:dyDescent="0.2">
      <c r="B159" s="370">
        <v>42598</v>
      </c>
      <c r="C159" s="372">
        <v>42604</v>
      </c>
      <c r="D159" s="249"/>
      <c r="E159" s="259">
        <v>28645</v>
      </c>
      <c r="F159" s="259">
        <v>1346</v>
      </c>
      <c r="G159" s="258">
        <v>11677</v>
      </c>
      <c r="H159" s="35" t="s">
        <v>145</v>
      </c>
      <c r="I159" s="260">
        <v>123</v>
      </c>
      <c r="J159" s="255"/>
      <c r="K159" s="257">
        <v>56</v>
      </c>
      <c r="L159" s="259">
        <v>9938</v>
      </c>
      <c r="M159" s="259">
        <v>9938</v>
      </c>
      <c r="N159" s="259">
        <v>9938</v>
      </c>
      <c r="O159" s="35" t="s">
        <v>145</v>
      </c>
      <c r="P159" s="251"/>
      <c r="Q159" s="259">
        <v>1197</v>
      </c>
      <c r="R159" s="251"/>
      <c r="S159" s="259">
        <v>1174</v>
      </c>
      <c r="T159" s="259">
        <v>734</v>
      </c>
      <c r="U159" s="252"/>
      <c r="V159" s="259">
        <v>264700</v>
      </c>
      <c r="W159" s="251"/>
      <c r="X159" s="256"/>
      <c r="Y159" s="251"/>
      <c r="Z159" s="259">
        <v>6926</v>
      </c>
      <c r="AA159" s="259">
        <v>5355</v>
      </c>
      <c r="AB159" s="259">
        <v>9889</v>
      </c>
      <c r="AC159" s="259">
        <v>5047</v>
      </c>
      <c r="AD159" s="259">
        <v>1349</v>
      </c>
      <c r="AE159" s="248"/>
      <c r="AF159" s="248"/>
      <c r="AG159" s="248"/>
      <c r="AH159" s="248"/>
    </row>
    <row r="160" spans="2:34" s="45" customFormat="1" x14ac:dyDescent="0.2">
      <c r="B160" s="370">
        <v>42605</v>
      </c>
      <c r="C160" s="372">
        <v>42611</v>
      </c>
      <c r="D160" s="249"/>
      <c r="E160" s="259">
        <v>28970</v>
      </c>
      <c r="F160" s="259">
        <v>1311</v>
      </c>
      <c r="G160" s="258">
        <v>11935</v>
      </c>
      <c r="H160" s="35" t="s">
        <v>145</v>
      </c>
      <c r="I160" s="260">
        <v>55</v>
      </c>
      <c r="J160" s="255"/>
      <c r="K160" s="257">
        <v>34</v>
      </c>
      <c r="L160" s="259">
        <v>10237</v>
      </c>
      <c r="M160" s="259">
        <v>10237</v>
      </c>
      <c r="N160" s="259">
        <v>10237</v>
      </c>
      <c r="O160" s="35" t="s">
        <v>145</v>
      </c>
      <c r="P160" s="251"/>
      <c r="Q160" s="259">
        <v>1249</v>
      </c>
      <c r="R160" s="251"/>
      <c r="S160" s="259">
        <v>1254</v>
      </c>
      <c r="T160" s="259">
        <v>793</v>
      </c>
      <c r="U160" s="252"/>
      <c r="V160" s="259">
        <v>267200</v>
      </c>
      <c r="W160" s="251"/>
      <c r="X160" s="256"/>
      <c r="Y160" s="251"/>
      <c r="Z160" s="259">
        <v>7938</v>
      </c>
      <c r="AA160" s="259">
        <v>4606</v>
      </c>
      <c r="AB160" s="259">
        <v>10102</v>
      </c>
      <c r="AC160" s="259">
        <v>5414</v>
      </c>
      <c r="AD160" s="259">
        <v>854</v>
      </c>
      <c r="AE160" s="248"/>
      <c r="AF160" s="248"/>
      <c r="AG160" s="248"/>
      <c r="AH160" s="248"/>
    </row>
    <row r="161" spans="2:34" s="45" customFormat="1" x14ac:dyDescent="0.2">
      <c r="B161" s="370">
        <v>42612</v>
      </c>
      <c r="C161" s="372">
        <v>42618</v>
      </c>
      <c r="D161" s="249"/>
      <c r="E161" s="259">
        <v>38021</v>
      </c>
      <c r="F161" s="259">
        <v>1799</v>
      </c>
      <c r="G161" s="258">
        <v>11600</v>
      </c>
      <c r="H161" s="35" t="s">
        <v>145</v>
      </c>
      <c r="I161" s="260">
        <v>67</v>
      </c>
      <c r="J161" s="255"/>
      <c r="K161" s="257">
        <v>47</v>
      </c>
      <c r="L161" s="259">
        <v>10433</v>
      </c>
      <c r="M161" s="259">
        <v>10433</v>
      </c>
      <c r="N161" s="259">
        <v>10433</v>
      </c>
      <c r="O161" s="35" t="s">
        <v>145</v>
      </c>
      <c r="P161" s="251"/>
      <c r="Q161" s="259">
        <v>2302</v>
      </c>
      <c r="R161" s="251"/>
      <c r="S161" s="259">
        <v>1305</v>
      </c>
      <c r="T161" s="259">
        <v>810</v>
      </c>
      <c r="U161" s="252"/>
      <c r="V161" s="259">
        <v>99800</v>
      </c>
      <c r="W161" s="251"/>
      <c r="X161" s="256"/>
      <c r="Y161" s="251"/>
      <c r="Z161" s="259">
        <v>8496</v>
      </c>
      <c r="AA161" s="259">
        <v>3891</v>
      </c>
      <c r="AB161" s="259">
        <v>7511</v>
      </c>
      <c r="AC161" s="259">
        <v>4937</v>
      </c>
      <c r="AD161" s="259">
        <v>13145</v>
      </c>
      <c r="AE161" s="248"/>
      <c r="AF161" s="248"/>
      <c r="AG161" s="248"/>
      <c r="AH161" s="248"/>
    </row>
    <row r="162" spans="2:34" s="262" customFormat="1" x14ac:dyDescent="0.2">
      <c r="B162" s="370">
        <v>42619</v>
      </c>
      <c r="C162" s="372">
        <v>42625</v>
      </c>
      <c r="D162" s="249"/>
      <c r="E162" s="259">
        <v>36787</v>
      </c>
      <c r="F162" s="258">
        <v>1714</v>
      </c>
      <c r="G162" s="258"/>
      <c r="H162" s="258">
        <v>1714</v>
      </c>
      <c r="I162" s="260">
        <v>264</v>
      </c>
      <c r="J162" s="255"/>
      <c r="K162" s="257">
        <v>61</v>
      </c>
      <c r="L162" s="259">
        <v>10101</v>
      </c>
      <c r="M162" s="259">
        <v>10101</v>
      </c>
      <c r="N162" s="259">
        <v>10101</v>
      </c>
      <c r="O162" s="35" t="s">
        <v>145</v>
      </c>
      <c r="P162" s="251"/>
      <c r="Q162" s="259">
        <v>1620</v>
      </c>
      <c r="R162" s="251"/>
      <c r="S162" s="259">
        <v>1284</v>
      </c>
      <c r="T162" s="259">
        <v>853</v>
      </c>
      <c r="U162" s="252"/>
      <c r="V162" s="259">
        <v>106000</v>
      </c>
      <c r="W162" s="251"/>
      <c r="X162" s="256"/>
      <c r="Y162" s="251"/>
      <c r="Z162" s="259">
        <v>14478</v>
      </c>
      <c r="AA162" s="259">
        <v>4857</v>
      </c>
      <c r="AB162" s="259">
        <v>7222</v>
      </c>
      <c r="AC162" s="259">
        <v>5904</v>
      </c>
      <c r="AD162" s="259">
        <v>4251</v>
      </c>
      <c r="AE162" s="266"/>
      <c r="AF162" s="266"/>
      <c r="AG162" s="266"/>
      <c r="AH162" s="266"/>
    </row>
    <row r="163" spans="2:34" s="262" customFormat="1" x14ac:dyDescent="0.2">
      <c r="B163" s="370">
        <v>42626</v>
      </c>
      <c r="C163" s="372">
        <v>42632</v>
      </c>
      <c r="D163" s="249"/>
      <c r="E163" s="259">
        <v>27853</v>
      </c>
      <c r="F163" s="258">
        <v>1333</v>
      </c>
      <c r="G163" s="258"/>
      <c r="H163" s="258">
        <v>1333</v>
      </c>
      <c r="I163" s="260">
        <v>76</v>
      </c>
      <c r="J163" s="255"/>
      <c r="K163" s="257">
        <v>48</v>
      </c>
      <c r="L163" s="259">
        <v>8204</v>
      </c>
      <c r="M163" s="259">
        <v>8204</v>
      </c>
      <c r="N163" s="259">
        <v>8204</v>
      </c>
      <c r="O163" s="35" t="s">
        <v>145</v>
      </c>
      <c r="P163" s="251"/>
      <c r="Q163" s="259">
        <v>1227</v>
      </c>
      <c r="R163" s="251"/>
      <c r="S163" s="259">
        <v>978</v>
      </c>
      <c r="T163" s="259">
        <v>593</v>
      </c>
      <c r="U163" s="252"/>
      <c r="V163" s="259">
        <v>107400</v>
      </c>
      <c r="W163" s="251"/>
      <c r="X163" s="256"/>
      <c r="Y163" s="251"/>
      <c r="Z163" s="259">
        <v>9545</v>
      </c>
      <c r="AA163" s="259">
        <v>4717</v>
      </c>
      <c r="AB163" s="259">
        <v>6925</v>
      </c>
      <c r="AC163" s="259">
        <v>5316</v>
      </c>
      <c r="AD163" s="259">
        <v>1294</v>
      </c>
      <c r="AE163" s="266"/>
      <c r="AF163" s="266"/>
      <c r="AG163" s="266"/>
      <c r="AH163" s="266"/>
    </row>
    <row r="164" spans="2:34" s="262" customFormat="1" x14ac:dyDescent="0.2">
      <c r="B164" s="370">
        <v>42633</v>
      </c>
      <c r="C164" s="372">
        <v>42639</v>
      </c>
      <c r="D164" s="249"/>
      <c r="E164" s="259">
        <v>30466</v>
      </c>
      <c r="F164" s="258">
        <v>2313</v>
      </c>
      <c r="G164" s="258"/>
      <c r="H164" s="258">
        <v>2313</v>
      </c>
      <c r="I164" s="260">
        <v>28</v>
      </c>
      <c r="J164" s="255"/>
      <c r="K164" s="257">
        <v>35</v>
      </c>
      <c r="L164" s="259">
        <v>8975</v>
      </c>
      <c r="M164" s="259">
        <v>8975</v>
      </c>
      <c r="N164" s="259">
        <v>8975</v>
      </c>
      <c r="O164" s="35" t="s">
        <v>145</v>
      </c>
      <c r="P164" s="251"/>
      <c r="Q164" s="259">
        <v>1305</v>
      </c>
      <c r="R164" s="251"/>
      <c r="S164" s="259">
        <v>1106</v>
      </c>
      <c r="T164" s="259">
        <v>731</v>
      </c>
      <c r="U164" s="252"/>
      <c r="V164" s="259">
        <v>111200</v>
      </c>
      <c r="W164" s="251"/>
      <c r="X164" s="256"/>
      <c r="Y164" s="251"/>
      <c r="Z164" s="259">
        <v>8832</v>
      </c>
      <c r="AA164" s="259">
        <v>4468</v>
      </c>
      <c r="AB164" s="259">
        <v>6670</v>
      </c>
      <c r="AC164" s="259">
        <v>5541</v>
      </c>
      <c r="AD164" s="259">
        <v>4891</v>
      </c>
      <c r="AE164" s="266"/>
      <c r="AF164" s="266"/>
      <c r="AG164" s="266"/>
      <c r="AH164" s="266"/>
    </row>
    <row r="165" spans="2:34" s="262" customFormat="1" x14ac:dyDescent="0.2">
      <c r="B165" s="370">
        <v>42640</v>
      </c>
      <c r="C165" s="372">
        <v>42646</v>
      </c>
      <c r="D165" s="249"/>
      <c r="E165" s="259">
        <v>18332</v>
      </c>
      <c r="F165" s="258">
        <v>1082</v>
      </c>
      <c r="G165" s="258"/>
      <c r="H165" s="258">
        <v>1082</v>
      </c>
      <c r="I165" s="260">
        <v>36</v>
      </c>
      <c r="J165" s="255"/>
      <c r="K165" s="257">
        <v>23</v>
      </c>
      <c r="L165" s="259">
        <f>4001+1266</f>
        <v>5267</v>
      </c>
      <c r="M165" s="259">
        <f>4001+1266</f>
        <v>5267</v>
      </c>
      <c r="N165" s="259">
        <f>4001+1266</f>
        <v>5267</v>
      </c>
      <c r="O165" s="35" t="s">
        <v>145</v>
      </c>
      <c r="P165" s="251"/>
      <c r="Q165" s="259">
        <v>819</v>
      </c>
      <c r="R165" s="251"/>
      <c r="S165" s="259">
        <v>653</v>
      </c>
      <c r="T165" s="259">
        <v>399</v>
      </c>
      <c r="U165" s="252"/>
      <c r="V165" s="259"/>
      <c r="W165" s="251"/>
      <c r="X165" s="256"/>
      <c r="Y165" s="251"/>
      <c r="Z165" s="259">
        <f>1868+41+175</f>
        <v>2084</v>
      </c>
      <c r="AA165" s="259">
        <v>3388</v>
      </c>
      <c r="AB165" s="259">
        <v>6321</v>
      </c>
      <c r="AC165" s="259">
        <v>5316</v>
      </c>
      <c r="AD165" s="259">
        <f>905+262+39</f>
        <v>1206</v>
      </c>
      <c r="AE165" s="266"/>
      <c r="AF165" s="266"/>
      <c r="AG165" s="266"/>
      <c r="AH165" s="266"/>
    </row>
    <row r="166" spans="2:34" s="262" customFormat="1" x14ac:dyDescent="0.2">
      <c r="B166" s="370">
        <v>42647</v>
      </c>
      <c r="C166" s="372">
        <v>42653</v>
      </c>
      <c r="D166" s="249"/>
      <c r="E166" s="259">
        <v>14241</v>
      </c>
      <c r="F166" s="258">
        <v>902</v>
      </c>
      <c r="G166" s="258"/>
      <c r="H166" s="258">
        <v>902</v>
      </c>
      <c r="I166" s="260">
        <v>23</v>
      </c>
      <c r="J166" s="255"/>
      <c r="K166" s="257">
        <v>24</v>
      </c>
      <c r="L166" s="259">
        <f>3020+1000</f>
        <v>4020</v>
      </c>
      <c r="M166" s="259">
        <f>3020+1000</f>
        <v>4020</v>
      </c>
      <c r="N166" s="259">
        <f>3020+1000</f>
        <v>4020</v>
      </c>
      <c r="O166" s="35" t="s">
        <v>145</v>
      </c>
      <c r="P166" s="251"/>
      <c r="Q166" s="259">
        <v>661</v>
      </c>
      <c r="R166" s="251"/>
      <c r="S166" s="259">
        <v>565</v>
      </c>
      <c r="T166" s="259">
        <v>279</v>
      </c>
      <c r="U166" s="252"/>
      <c r="V166" s="259"/>
      <c r="W166" s="251"/>
      <c r="X166" s="256"/>
      <c r="Y166" s="251"/>
      <c r="Z166" s="259">
        <f>173+120+35</f>
        <v>328</v>
      </c>
      <c r="AA166" s="259">
        <v>3340</v>
      </c>
      <c r="AB166" s="259">
        <v>5383</v>
      </c>
      <c r="AC166" s="259">
        <v>4502</v>
      </c>
      <c r="AD166" s="259">
        <f>443+203+36</f>
        <v>682</v>
      </c>
      <c r="AE166" s="279"/>
      <c r="AF166" s="279"/>
      <c r="AG166" s="279"/>
      <c r="AH166" s="279"/>
    </row>
    <row r="167" spans="2:34" s="262" customFormat="1" x14ac:dyDescent="0.2">
      <c r="B167" s="370">
        <v>42654</v>
      </c>
      <c r="C167" s="372">
        <v>42660</v>
      </c>
      <c r="D167" s="249"/>
      <c r="E167" s="259">
        <v>17213</v>
      </c>
      <c r="F167" s="258">
        <v>1294</v>
      </c>
      <c r="G167" s="258"/>
      <c r="H167" s="258">
        <v>1294</v>
      </c>
      <c r="I167" s="260">
        <v>25</v>
      </c>
      <c r="J167" s="255"/>
      <c r="K167" s="257">
        <v>23</v>
      </c>
      <c r="L167" s="259">
        <f>1245+3790</f>
        <v>5035</v>
      </c>
      <c r="M167" s="259">
        <f>1245+3790</f>
        <v>5035</v>
      </c>
      <c r="N167" s="259">
        <f>1245+3790</f>
        <v>5035</v>
      </c>
      <c r="O167" s="35" t="s">
        <v>145</v>
      </c>
      <c r="P167" s="251"/>
      <c r="Q167" s="259">
        <v>973</v>
      </c>
      <c r="R167" s="251"/>
      <c r="S167" s="259">
        <v>672</v>
      </c>
      <c r="T167" s="259">
        <v>377</v>
      </c>
      <c r="U167" s="252"/>
      <c r="V167" s="259"/>
      <c r="W167" s="251"/>
      <c r="X167" s="256"/>
      <c r="Y167" s="251"/>
      <c r="Z167" s="259">
        <f>27+103+103</f>
        <v>233</v>
      </c>
      <c r="AA167" s="259">
        <v>4752</v>
      </c>
      <c r="AB167" s="259">
        <v>6520</v>
      </c>
      <c r="AC167" s="259">
        <v>5101</v>
      </c>
      <c r="AD167" s="259">
        <f>349+211+43</f>
        <v>603</v>
      </c>
      <c r="AE167" s="279"/>
      <c r="AF167" s="279"/>
      <c r="AG167" s="279"/>
      <c r="AH167" s="279"/>
    </row>
    <row r="168" spans="2:34" s="262" customFormat="1" x14ac:dyDescent="0.2">
      <c r="B168" s="370">
        <v>42661</v>
      </c>
      <c r="C168" s="372">
        <v>42667</v>
      </c>
      <c r="D168" s="249"/>
      <c r="E168" s="259">
        <v>16882</v>
      </c>
      <c r="F168" s="258">
        <v>1111</v>
      </c>
      <c r="G168" s="258"/>
      <c r="H168" s="258">
        <v>1111</v>
      </c>
      <c r="I168" s="260">
        <v>24</v>
      </c>
      <c r="J168" s="255"/>
      <c r="K168" s="257">
        <v>20</v>
      </c>
      <c r="L168" s="259">
        <f>3659+1160</f>
        <v>4819</v>
      </c>
      <c r="M168" s="259">
        <f>3659+1160</f>
        <v>4819</v>
      </c>
      <c r="N168" s="259">
        <f>3659+1160</f>
        <v>4819</v>
      </c>
      <c r="O168" s="35" t="s">
        <v>145</v>
      </c>
      <c r="P168" s="251"/>
      <c r="Q168" s="259">
        <v>723</v>
      </c>
      <c r="R168" s="251"/>
      <c r="S168" s="259">
        <v>605</v>
      </c>
      <c r="T168" s="259">
        <v>386</v>
      </c>
      <c r="U168" s="252"/>
      <c r="V168" s="259"/>
      <c r="W168" s="251"/>
      <c r="X168" s="256"/>
      <c r="Y168" s="251"/>
      <c r="Z168" s="259">
        <f>77+59+35</f>
        <v>171</v>
      </c>
      <c r="AA168" s="259">
        <v>4803</v>
      </c>
      <c r="AB168" s="259">
        <v>6105</v>
      </c>
      <c r="AC168" s="259">
        <v>5285</v>
      </c>
      <c r="AD168" s="259">
        <f>253+213+51</f>
        <v>517</v>
      </c>
      <c r="AE168" s="279"/>
      <c r="AF168" s="279"/>
      <c r="AG168" s="279"/>
      <c r="AH168" s="279"/>
    </row>
    <row r="169" spans="2:34" s="262" customFormat="1" x14ac:dyDescent="0.2">
      <c r="B169" s="370">
        <v>42668</v>
      </c>
      <c r="C169" s="372">
        <v>42674</v>
      </c>
      <c r="D169" s="249"/>
      <c r="E169" s="259">
        <v>16249</v>
      </c>
      <c r="F169" s="258">
        <v>1118</v>
      </c>
      <c r="G169" s="258"/>
      <c r="H169" s="258">
        <v>1118</v>
      </c>
      <c r="I169" s="260">
        <v>38</v>
      </c>
      <c r="J169" s="255"/>
      <c r="K169" s="257">
        <v>31</v>
      </c>
      <c r="L169" s="259">
        <f>1220+3481</f>
        <v>4701</v>
      </c>
      <c r="M169" s="259">
        <f>1220+3481</f>
        <v>4701</v>
      </c>
      <c r="N169" s="259">
        <f>1220+3481</f>
        <v>4701</v>
      </c>
      <c r="O169" s="35" t="s">
        <v>145</v>
      </c>
      <c r="P169" s="251"/>
      <c r="Q169" s="259">
        <v>796</v>
      </c>
      <c r="R169" s="251"/>
      <c r="S169" s="259">
        <v>586</v>
      </c>
      <c r="T169" s="259">
        <v>316</v>
      </c>
      <c r="U169" s="252"/>
      <c r="V169" s="259"/>
      <c r="W169" s="251"/>
      <c r="X169" s="256"/>
      <c r="Y169" s="251"/>
      <c r="Z169" s="259">
        <f>90+69+29</f>
        <v>188</v>
      </c>
      <c r="AA169" s="259">
        <v>4799</v>
      </c>
      <c r="AB169" s="259">
        <v>5659</v>
      </c>
      <c r="AC169" s="259">
        <v>5068</v>
      </c>
      <c r="AD169" s="259">
        <f>259+239+33</f>
        <v>531</v>
      </c>
      <c r="AE169" s="279"/>
      <c r="AF169" s="279"/>
      <c r="AG169" s="279"/>
      <c r="AH169" s="279"/>
    </row>
    <row r="170" spans="2:34" s="262" customFormat="1" x14ac:dyDescent="0.2">
      <c r="B170" s="370">
        <v>42675</v>
      </c>
      <c r="C170" s="372">
        <v>42681</v>
      </c>
      <c r="D170" s="249"/>
      <c r="E170" s="259">
        <v>17313</v>
      </c>
      <c r="F170" s="258">
        <v>1242</v>
      </c>
      <c r="G170" s="258"/>
      <c r="H170" s="258">
        <v>1242</v>
      </c>
      <c r="I170" s="260">
        <v>50</v>
      </c>
      <c r="J170" s="255"/>
      <c r="K170" s="257">
        <v>79</v>
      </c>
      <c r="L170" s="259">
        <f>3563+1325</f>
        <v>4888</v>
      </c>
      <c r="M170" s="259">
        <f>3563+1325</f>
        <v>4888</v>
      </c>
      <c r="N170" s="259">
        <f>3563+1325</f>
        <v>4888</v>
      </c>
      <c r="O170" s="35" t="s">
        <v>145</v>
      </c>
      <c r="P170" s="251"/>
      <c r="Q170" s="259">
        <v>875</v>
      </c>
      <c r="R170" s="251"/>
      <c r="S170" s="259">
        <v>629</v>
      </c>
      <c r="T170" s="259">
        <v>347</v>
      </c>
      <c r="U170" s="252"/>
      <c r="V170" s="259"/>
      <c r="W170" s="251"/>
      <c r="X170" s="256"/>
      <c r="Y170" s="251"/>
      <c r="Z170" s="259">
        <f>49+38+27</f>
        <v>114</v>
      </c>
      <c r="AA170" s="259">
        <v>4897</v>
      </c>
      <c r="AB170" s="259">
        <v>6275</v>
      </c>
      <c r="AC170" s="259">
        <v>5421</v>
      </c>
      <c r="AD170" s="259">
        <f>366+187+43</f>
        <v>596</v>
      </c>
      <c r="AE170" s="279"/>
      <c r="AF170" s="279"/>
      <c r="AG170" s="279"/>
      <c r="AH170" s="279"/>
    </row>
    <row r="171" spans="2:34" s="262" customFormat="1" x14ac:dyDescent="0.2">
      <c r="B171" s="377">
        <v>42682</v>
      </c>
      <c r="C171" s="377">
        <v>42688</v>
      </c>
      <c r="D171" s="249"/>
      <c r="E171" s="378">
        <v>92283</v>
      </c>
      <c r="F171" s="379">
        <v>13130</v>
      </c>
      <c r="G171" s="379"/>
      <c r="H171" s="379">
        <v>13130</v>
      </c>
      <c r="I171" s="380">
        <v>110</v>
      </c>
      <c r="J171" s="381"/>
      <c r="K171" s="379">
        <v>69</v>
      </c>
      <c r="L171" s="378">
        <f>10497+5182</f>
        <v>15679</v>
      </c>
      <c r="M171" s="259">
        <f>10497+5182</f>
        <v>15679</v>
      </c>
      <c r="N171" s="259">
        <f>10497+5182</f>
        <v>15679</v>
      </c>
      <c r="O171" s="35" t="s">
        <v>145</v>
      </c>
      <c r="P171" s="251"/>
      <c r="Q171" s="378">
        <v>4554</v>
      </c>
      <c r="R171" s="251"/>
      <c r="S171" s="378">
        <v>3595</v>
      </c>
      <c r="T171" s="378">
        <v>2723</v>
      </c>
      <c r="U171" s="252"/>
      <c r="V171" s="259"/>
      <c r="W171" s="251"/>
      <c r="X171" s="256"/>
      <c r="Y171" s="251"/>
      <c r="Z171" s="378">
        <f>11211+52+38</f>
        <v>11301</v>
      </c>
      <c r="AA171" s="378">
        <v>5257</v>
      </c>
      <c r="AB171" s="378">
        <v>6443</v>
      </c>
      <c r="AC171" s="378">
        <v>57171</v>
      </c>
      <c r="AD171" s="378">
        <f>63166+299+24</f>
        <v>63489</v>
      </c>
      <c r="AE171" s="279"/>
      <c r="AF171" s="279"/>
      <c r="AG171" s="279"/>
      <c r="AH171" s="279"/>
    </row>
    <row r="172" spans="2:34" s="262" customFormat="1" x14ac:dyDescent="0.2">
      <c r="B172" s="377">
        <v>42689</v>
      </c>
      <c r="C172" s="377">
        <v>42695</v>
      </c>
      <c r="D172" s="249"/>
      <c r="E172" s="378">
        <v>30929</v>
      </c>
      <c r="F172" s="379">
        <v>2079</v>
      </c>
      <c r="G172" s="379"/>
      <c r="H172" s="379">
        <v>2079</v>
      </c>
      <c r="I172" s="380">
        <v>29</v>
      </c>
      <c r="J172" s="381"/>
      <c r="K172" s="379">
        <v>43</v>
      </c>
      <c r="L172" s="378">
        <f>4832+2051</f>
        <v>6883</v>
      </c>
      <c r="M172" s="259">
        <f>4832+2051</f>
        <v>6883</v>
      </c>
      <c r="N172" s="259">
        <f>4832+2051</f>
        <v>6883</v>
      </c>
      <c r="O172" s="35" t="s">
        <v>145</v>
      </c>
      <c r="P172" s="251"/>
      <c r="Q172" s="378">
        <v>1386</v>
      </c>
      <c r="R172" s="251"/>
      <c r="S172" s="378">
        <v>1250</v>
      </c>
      <c r="T172" s="378">
        <v>860</v>
      </c>
      <c r="U172" s="252"/>
      <c r="V172" s="259"/>
      <c r="W172" s="251"/>
      <c r="X172" s="256"/>
      <c r="Y172" s="251"/>
      <c r="Z172" s="378">
        <f>7616+47+36</f>
        <v>7699</v>
      </c>
      <c r="AA172" s="378">
        <v>5398</v>
      </c>
      <c r="AB172" s="378">
        <v>6847</v>
      </c>
      <c r="AC172" s="378">
        <v>5704</v>
      </c>
      <c r="AD172" s="378">
        <f>5075+159+40</f>
        <v>5274</v>
      </c>
      <c r="AE172" s="279"/>
      <c r="AF172" s="279"/>
      <c r="AG172" s="279"/>
      <c r="AH172" s="279"/>
    </row>
    <row r="173" spans="2:34" s="262" customFormat="1" x14ac:dyDescent="0.2">
      <c r="B173" s="377">
        <v>42696</v>
      </c>
      <c r="C173" s="377">
        <v>42702</v>
      </c>
      <c r="D173" s="249"/>
      <c r="E173" s="378">
        <v>22667</v>
      </c>
      <c r="F173" s="379">
        <f>1367+160</f>
        <v>1527</v>
      </c>
      <c r="G173" s="379"/>
      <c r="H173" s="379">
        <f>1367+160</f>
        <v>1527</v>
      </c>
      <c r="I173" s="380">
        <f>3+14</f>
        <v>17</v>
      </c>
      <c r="J173" s="381"/>
      <c r="K173" s="379">
        <f>9+5+22</f>
        <v>36</v>
      </c>
      <c r="L173" s="378">
        <f>4168+1512</f>
        <v>5680</v>
      </c>
      <c r="M173" s="259">
        <f>4168+1512</f>
        <v>5680</v>
      </c>
      <c r="N173" s="259">
        <f>4168+1512</f>
        <v>5680</v>
      </c>
      <c r="O173" s="35" t="s">
        <v>145</v>
      </c>
      <c r="P173" s="251"/>
      <c r="Q173" s="378">
        <f>643+121</f>
        <v>764</v>
      </c>
      <c r="R173" s="251"/>
      <c r="S173" s="378">
        <f>1073+134</f>
        <v>1207</v>
      </c>
      <c r="T173" s="378">
        <f>1203+78</f>
        <v>1281</v>
      </c>
      <c r="U173" s="252"/>
      <c r="V173" s="259"/>
      <c r="W173" s="251"/>
      <c r="X173" s="256"/>
      <c r="Y173" s="251"/>
      <c r="Z173" s="378">
        <f>7204+48+40</f>
        <v>7292</v>
      </c>
      <c r="AA173" s="378">
        <v>7053</v>
      </c>
      <c r="AB173" s="378">
        <v>1956</v>
      </c>
      <c r="AC173" s="378">
        <v>4105</v>
      </c>
      <c r="AD173" s="378">
        <f>1671+117+19</f>
        <v>1807</v>
      </c>
      <c r="AE173" s="279"/>
      <c r="AF173" s="279"/>
      <c r="AG173" s="279"/>
      <c r="AH173" s="279"/>
    </row>
    <row r="174" spans="2:34" s="262" customFormat="1" x14ac:dyDescent="0.2">
      <c r="B174" s="377">
        <v>42703</v>
      </c>
      <c r="C174" s="377">
        <v>42709</v>
      </c>
      <c r="D174" s="249"/>
      <c r="E174" s="378">
        <v>21230</v>
      </c>
      <c r="F174" s="379">
        <v>1500</v>
      </c>
      <c r="G174" s="379"/>
      <c r="H174" s="379">
        <v>1500</v>
      </c>
      <c r="I174" s="380">
        <f>18</f>
        <v>18</v>
      </c>
      <c r="J174" s="381"/>
      <c r="K174" s="379">
        <f>7+26</f>
        <v>33</v>
      </c>
      <c r="L174" s="382">
        <v>5692</v>
      </c>
      <c r="M174" s="259" t="s">
        <v>145</v>
      </c>
      <c r="N174" s="259">
        <v>5422</v>
      </c>
      <c r="O174" s="35">
        <v>5692</v>
      </c>
      <c r="P174" s="251"/>
      <c r="Q174" s="378">
        <v>674</v>
      </c>
      <c r="R174" s="251"/>
      <c r="S174" s="378">
        <v>1063</v>
      </c>
      <c r="T174" s="378">
        <v>970</v>
      </c>
      <c r="U174" s="252"/>
      <c r="V174" s="259"/>
      <c r="W174" s="251"/>
      <c r="X174" s="256"/>
      <c r="Y174" s="251"/>
      <c r="Z174" s="378">
        <f>4484+47+39</f>
        <v>4570</v>
      </c>
      <c r="AA174" s="378">
        <v>9212</v>
      </c>
      <c r="AB174" s="378">
        <v>1526</v>
      </c>
      <c r="AC174" s="378">
        <v>4778</v>
      </c>
      <c r="AD174" s="378">
        <f>1001+105+34</f>
        <v>1140</v>
      </c>
      <c r="AE174" s="279"/>
      <c r="AF174" s="279"/>
      <c r="AG174" s="279"/>
      <c r="AH174" s="279"/>
    </row>
    <row r="175" spans="2:34" s="262" customFormat="1" x14ac:dyDescent="0.2">
      <c r="B175" s="377">
        <v>42710</v>
      </c>
      <c r="C175" s="377">
        <v>42716</v>
      </c>
      <c r="D175" s="249"/>
      <c r="E175" s="378">
        <v>26818</v>
      </c>
      <c r="F175" s="378">
        <v>1011</v>
      </c>
      <c r="G175" s="378"/>
      <c r="H175" s="378"/>
      <c r="I175" s="378">
        <v>29</v>
      </c>
      <c r="J175" s="378"/>
      <c r="K175" s="378">
        <v>31</v>
      </c>
      <c r="L175" s="378">
        <v>7531</v>
      </c>
      <c r="M175" s="259">
        <f t="shared" ref="M175:N178" si="0">3563+1325</f>
        <v>4888</v>
      </c>
      <c r="N175" s="259">
        <f t="shared" si="0"/>
        <v>4888</v>
      </c>
      <c r="O175" s="35" t="s">
        <v>145</v>
      </c>
      <c r="P175" s="251"/>
      <c r="Q175" s="378">
        <v>726</v>
      </c>
      <c r="R175" s="251"/>
      <c r="S175" s="378">
        <v>1867</v>
      </c>
      <c r="T175" s="378">
        <v>1302</v>
      </c>
      <c r="U175" s="252"/>
      <c r="V175" s="259"/>
      <c r="W175" s="251"/>
      <c r="X175" s="256"/>
      <c r="Y175" s="251"/>
      <c r="Z175" s="378">
        <v>8775</v>
      </c>
      <c r="AA175" s="378">
        <v>10361</v>
      </c>
      <c r="AB175" s="378">
        <v>1306</v>
      </c>
      <c r="AC175" s="378">
        <v>5358</v>
      </c>
      <c r="AD175" s="378">
        <v>1017</v>
      </c>
      <c r="AE175" s="359"/>
      <c r="AF175" s="359"/>
      <c r="AG175" s="359"/>
      <c r="AH175" s="359"/>
    </row>
    <row r="176" spans="2:34" s="262" customFormat="1" x14ac:dyDescent="0.2">
      <c r="B176" s="377">
        <v>42717</v>
      </c>
      <c r="C176" s="377">
        <v>42723</v>
      </c>
      <c r="D176" s="249"/>
      <c r="E176" s="378">
        <v>24574</v>
      </c>
      <c r="F176" s="378">
        <v>1015</v>
      </c>
      <c r="G176" s="378"/>
      <c r="H176" s="378"/>
      <c r="I176" s="378">
        <v>19</v>
      </c>
      <c r="J176" s="378"/>
      <c r="K176" s="378">
        <v>34</v>
      </c>
      <c r="L176" s="378">
        <v>6998</v>
      </c>
      <c r="M176" s="259">
        <f t="shared" si="0"/>
        <v>4888</v>
      </c>
      <c r="N176" s="259">
        <f t="shared" si="0"/>
        <v>4888</v>
      </c>
      <c r="O176" s="35" t="s">
        <v>145</v>
      </c>
      <c r="P176" s="251"/>
      <c r="Q176" s="378">
        <v>744</v>
      </c>
      <c r="R176" s="251"/>
      <c r="S176" s="378">
        <v>1919</v>
      </c>
      <c r="T176" s="378">
        <v>1230</v>
      </c>
      <c r="U176" s="252"/>
      <c r="V176" s="259"/>
      <c r="W176" s="251"/>
      <c r="X176" s="256"/>
      <c r="Y176" s="251"/>
      <c r="Z176" s="378">
        <v>8548</v>
      </c>
      <c r="AA176" s="378">
        <v>9311</v>
      </c>
      <c r="AB176" s="378">
        <v>959</v>
      </c>
      <c r="AC176" s="378">
        <v>4997</v>
      </c>
      <c r="AD176" s="378">
        <v>749</v>
      </c>
      <c r="AE176" s="359"/>
      <c r="AF176" s="359"/>
      <c r="AG176" s="359"/>
      <c r="AH176" s="359"/>
    </row>
    <row r="177" spans="2:34" s="262" customFormat="1" x14ac:dyDescent="0.2">
      <c r="B177" s="377">
        <v>42724</v>
      </c>
      <c r="C177" s="377">
        <v>42730</v>
      </c>
      <c r="D177" s="249"/>
      <c r="E177" s="378">
        <v>21468</v>
      </c>
      <c r="F177" s="378">
        <v>1277</v>
      </c>
      <c r="G177" s="378"/>
      <c r="H177" s="378"/>
      <c r="I177" s="378">
        <v>16</v>
      </c>
      <c r="J177" s="378"/>
      <c r="K177" s="378">
        <v>24</v>
      </c>
      <c r="L177" s="378">
        <v>5734</v>
      </c>
      <c r="M177" s="259">
        <f t="shared" si="0"/>
        <v>4888</v>
      </c>
      <c r="N177" s="259">
        <f t="shared" si="0"/>
        <v>4888</v>
      </c>
      <c r="O177" s="35" t="s">
        <v>145</v>
      </c>
      <c r="P177" s="251"/>
      <c r="Q177" s="378">
        <v>540</v>
      </c>
      <c r="R177" s="251"/>
      <c r="S177" s="378">
        <v>1695</v>
      </c>
      <c r="T177" s="378">
        <v>1075</v>
      </c>
      <c r="U177" s="252"/>
      <c r="V177" s="259"/>
      <c r="W177" s="251"/>
      <c r="X177" s="256"/>
      <c r="Y177" s="251"/>
      <c r="Z177" s="378">
        <v>8255</v>
      </c>
      <c r="AA177" s="378">
        <v>7300</v>
      </c>
      <c r="AB177" s="378">
        <v>1044</v>
      </c>
      <c r="AC177" s="378">
        <v>4265</v>
      </c>
      <c r="AD177" s="378">
        <v>603</v>
      </c>
      <c r="AE177" s="359"/>
      <c r="AF177" s="359"/>
      <c r="AG177" s="359"/>
      <c r="AH177" s="359"/>
    </row>
    <row r="178" spans="2:34" s="262" customFormat="1" x14ac:dyDescent="0.2">
      <c r="B178" s="377">
        <v>42731</v>
      </c>
      <c r="C178" s="377">
        <v>42737</v>
      </c>
      <c r="D178" s="249"/>
      <c r="E178" s="378">
        <v>25949</v>
      </c>
      <c r="F178" s="378">
        <v>1666</v>
      </c>
      <c r="G178" s="378"/>
      <c r="H178" s="378"/>
      <c r="I178" s="378">
        <v>20</v>
      </c>
      <c r="J178" s="378"/>
      <c r="K178" s="378">
        <v>24</v>
      </c>
      <c r="L178" s="378">
        <v>7349</v>
      </c>
      <c r="M178" s="259">
        <f t="shared" si="0"/>
        <v>4888</v>
      </c>
      <c r="N178" s="259">
        <f t="shared" si="0"/>
        <v>4888</v>
      </c>
      <c r="O178" s="35" t="s">
        <v>145</v>
      </c>
      <c r="P178" s="251"/>
      <c r="Q178" s="378">
        <v>702</v>
      </c>
      <c r="R178" s="251"/>
      <c r="S178" s="378">
        <v>2218</v>
      </c>
      <c r="T178" s="378">
        <v>1484</v>
      </c>
      <c r="U178" s="252"/>
      <c r="V178" s="259"/>
      <c r="W178" s="251"/>
      <c r="X178" s="256"/>
      <c r="Y178" s="251"/>
      <c r="Z178" s="378">
        <v>9238</v>
      </c>
      <c r="AA178" s="378">
        <v>8892</v>
      </c>
      <c r="AB178" s="378">
        <v>1544</v>
      </c>
      <c r="AC178" s="378">
        <v>5622</v>
      </c>
      <c r="AD178" s="378">
        <v>651</v>
      </c>
      <c r="AE178" s="482"/>
      <c r="AF178" s="482"/>
      <c r="AG178" s="359"/>
      <c r="AH178" s="359"/>
    </row>
    <row r="179" spans="2:34" s="262" customFormat="1" x14ac:dyDescent="0.2">
      <c r="B179" s="377">
        <v>42738</v>
      </c>
      <c r="C179" s="377">
        <v>42744</v>
      </c>
      <c r="D179" s="249"/>
      <c r="E179" s="378">
        <v>30152</v>
      </c>
      <c r="F179" s="378">
        <v>1819</v>
      </c>
      <c r="G179" s="378"/>
      <c r="H179" s="378"/>
      <c r="I179" s="378">
        <v>22</v>
      </c>
      <c r="J179" s="378"/>
      <c r="K179" s="378">
        <v>39</v>
      </c>
      <c r="L179" s="378">
        <v>8945</v>
      </c>
      <c r="M179" s="259"/>
      <c r="N179" s="259"/>
      <c r="O179" s="35"/>
      <c r="P179" s="251"/>
      <c r="Q179" s="378">
        <v>713</v>
      </c>
      <c r="R179" s="251"/>
      <c r="S179" s="378">
        <v>2247</v>
      </c>
      <c r="T179" s="378">
        <v>1478</v>
      </c>
      <c r="U179" s="252"/>
      <c r="V179" s="259"/>
      <c r="W179" s="251"/>
      <c r="X179" s="256"/>
      <c r="Y179" s="251"/>
      <c r="Z179" s="378">
        <v>9818</v>
      </c>
      <c r="AA179" s="378">
        <v>10731</v>
      </c>
      <c r="AB179" s="378">
        <f>1909-1037+1</f>
        <v>873</v>
      </c>
      <c r="AC179" s="378">
        <v>7087</v>
      </c>
      <c r="AD179" s="378">
        <f>604+1037</f>
        <v>1641</v>
      </c>
      <c r="AE179" s="359"/>
      <c r="AF179" s="359"/>
      <c r="AG179" s="359"/>
      <c r="AH179" s="359"/>
    </row>
    <row r="180" spans="2:34" s="262" customFormat="1" x14ac:dyDescent="0.2">
      <c r="B180" s="377">
        <v>42745</v>
      </c>
      <c r="C180" s="377">
        <v>42751</v>
      </c>
      <c r="D180" s="249"/>
      <c r="E180" s="378">
        <v>28345</v>
      </c>
      <c r="F180" s="378">
        <v>1605</v>
      </c>
      <c r="G180" s="378"/>
      <c r="H180" s="378"/>
      <c r="I180" s="378">
        <v>24</v>
      </c>
      <c r="J180" s="378"/>
      <c r="K180" s="378">
        <v>41</v>
      </c>
      <c r="L180" s="378">
        <v>8051</v>
      </c>
      <c r="M180" s="259"/>
      <c r="N180" s="259"/>
      <c r="O180" s="35"/>
      <c r="P180" s="251"/>
      <c r="Q180" s="378">
        <v>644</v>
      </c>
      <c r="R180" s="251"/>
      <c r="S180" s="378">
        <v>2274</v>
      </c>
      <c r="T180" s="378">
        <v>1512</v>
      </c>
      <c r="U180" s="252"/>
      <c r="V180" s="259"/>
      <c r="W180" s="251"/>
      <c r="X180" s="256"/>
      <c r="Y180" s="251"/>
      <c r="Z180" s="378">
        <v>9598</v>
      </c>
      <c r="AA180" s="378">
        <v>9806</v>
      </c>
      <c r="AB180" s="378">
        <f>1344-497+70</f>
        <v>917</v>
      </c>
      <c r="AC180" s="378">
        <v>6947</v>
      </c>
      <c r="AD180" s="378">
        <f>577+497</f>
        <v>1074</v>
      </c>
      <c r="AE180" s="359"/>
      <c r="AF180" s="359"/>
      <c r="AG180" s="359"/>
      <c r="AH180" s="359"/>
    </row>
    <row r="181" spans="2:34" s="262" customFormat="1" x14ac:dyDescent="0.2">
      <c r="B181" s="377">
        <v>42752</v>
      </c>
      <c r="C181" s="377">
        <v>42758</v>
      </c>
      <c r="D181" s="249"/>
      <c r="E181" s="378">
        <v>32391</v>
      </c>
      <c r="F181" s="378">
        <v>1880</v>
      </c>
      <c r="G181" s="378"/>
      <c r="H181" s="378"/>
      <c r="I181" s="378">
        <v>31</v>
      </c>
      <c r="J181" s="378"/>
      <c r="K181" s="378">
        <v>49</v>
      </c>
      <c r="L181" s="378">
        <v>9320</v>
      </c>
      <c r="M181" s="259"/>
      <c r="N181" s="259"/>
      <c r="O181" s="35"/>
      <c r="P181" s="251"/>
      <c r="Q181" s="378">
        <v>747</v>
      </c>
      <c r="R181" s="251"/>
      <c r="S181" s="378">
        <v>2607</v>
      </c>
      <c r="T181" s="378">
        <v>1736</v>
      </c>
      <c r="U181" s="252"/>
      <c r="V181" s="259"/>
      <c r="W181" s="251"/>
      <c r="X181" s="256"/>
      <c r="Y181" s="251"/>
      <c r="Z181" s="378">
        <v>10845</v>
      </c>
      <c r="AA181" s="378">
        <v>11515</v>
      </c>
      <c r="AB181" s="378">
        <f>2057-1160+17</f>
        <v>914</v>
      </c>
      <c r="AC181" s="378">
        <v>7430</v>
      </c>
      <c r="AD181" s="378">
        <f>527+1160</f>
        <v>1687</v>
      </c>
      <c r="AE181" s="359"/>
      <c r="AF181" s="359"/>
      <c r="AG181" s="359"/>
      <c r="AH181" s="359"/>
    </row>
    <row r="182" spans="2:34" s="262" customFormat="1" x14ac:dyDescent="0.2">
      <c r="B182" s="377">
        <v>42759</v>
      </c>
      <c r="C182" s="377">
        <v>42765</v>
      </c>
      <c r="D182" s="249"/>
      <c r="E182" s="378">
        <v>44107</v>
      </c>
      <c r="F182" s="378">
        <v>1868</v>
      </c>
      <c r="G182" s="378"/>
      <c r="H182" s="378"/>
      <c r="I182" s="378">
        <v>30</v>
      </c>
      <c r="J182" s="378"/>
      <c r="K182" s="378">
        <v>52</v>
      </c>
      <c r="L182" s="378">
        <v>12110</v>
      </c>
      <c r="M182" s="259"/>
      <c r="N182" s="259"/>
      <c r="O182" s="35"/>
      <c r="P182" s="251"/>
      <c r="Q182" s="378">
        <v>902</v>
      </c>
      <c r="R182" s="251"/>
      <c r="S182" s="378">
        <v>3165</v>
      </c>
      <c r="T182" s="378">
        <v>2097</v>
      </c>
      <c r="U182" s="252"/>
      <c r="V182" s="259"/>
      <c r="W182" s="251"/>
      <c r="X182" s="256"/>
      <c r="Y182" s="251"/>
      <c r="Z182" s="378">
        <v>12968</v>
      </c>
      <c r="AA182" s="378">
        <v>14290</v>
      </c>
      <c r="AB182" s="378">
        <f>7275-224+23</f>
        <v>7074</v>
      </c>
      <c r="AC182" s="378">
        <v>8958</v>
      </c>
      <c r="AD182" s="378">
        <f>591+224</f>
        <v>815</v>
      </c>
      <c r="AE182" s="359"/>
      <c r="AF182" s="359"/>
      <c r="AG182" s="359"/>
      <c r="AH182" s="359"/>
    </row>
    <row r="183" spans="2:34" s="262" customFormat="1" x14ac:dyDescent="0.2">
      <c r="B183" s="377">
        <v>42766</v>
      </c>
      <c r="C183" s="377">
        <v>42772</v>
      </c>
      <c r="D183" s="249"/>
      <c r="E183" s="378">
        <v>43994</v>
      </c>
      <c r="F183" s="378">
        <v>1611</v>
      </c>
      <c r="G183" s="378"/>
      <c r="H183" s="378"/>
      <c r="I183" s="378">
        <v>53</v>
      </c>
      <c r="J183" s="378"/>
      <c r="K183" s="378">
        <v>47</v>
      </c>
      <c r="L183" s="378">
        <v>11754</v>
      </c>
      <c r="M183" s="259"/>
      <c r="N183" s="259"/>
      <c r="O183" s="35"/>
      <c r="P183" s="251"/>
      <c r="Q183" s="378">
        <v>1056</v>
      </c>
      <c r="R183" s="251"/>
      <c r="S183" s="378">
        <v>2838</v>
      </c>
      <c r="T183" s="378">
        <v>1891</v>
      </c>
      <c r="U183" s="252"/>
      <c r="V183" s="259"/>
      <c r="W183" s="251"/>
      <c r="X183" s="256"/>
      <c r="Y183" s="251"/>
      <c r="Z183" s="378">
        <v>11753</v>
      </c>
      <c r="AA183" s="378">
        <v>11743</v>
      </c>
      <c r="AB183" s="378">
        <f>12347-11402+336</f>
        <v>1281</v>
      </c>
      <c r="AC183" s="378">
        <v>7324</v>
      </c>
      <c r="AD183" s="378">
        <f>490+11402</f>
        <v>11892</v>
      </c>
      <c r="AE183" s="359"/>
      <c r="AF183" s="359"/>
      <c r="AG183" s="359"/>
      <c r="AH183" s="359"/>
    </row>
    <row r="184" spans="2:34" s="262" customFormat="1" x14ac:dyDescent="0.2">
      <c r="B184" s="377">
        <v>42773</v>
      </c>
      <c r="C184" s="377">
        <v>42779</v>
      </c>
      <c r="D184" s="249"/>
      <c r="E184" s="378">
        <v>48374</v>
      </c>
      <c r="F184" s="378">
        <v>2684</v>
      </c>
      <c r="G184" s="378"/>
      <c r="H184" s="378"/>
      <c r="I184" s="378">
        <v>96</v>
      </c>
      <c r="J184" s="378"/>
      <c r="K184" s="378">
        <v>147</v>
      </c>
      <c r="L184" s="378">
        <v>10496</v>
      </c>
      <c r="M184" s="259"/>
      <c r="N184" s="259"/>
      <c r="O184" s="35"/>
      <c r="P184" s="251"/>
      <c r="Q184" s="378">
        <v>1330</v>
      </c>
      <c r="R184" s="251"/>
      <c r="S184" s="378">
        <v>2981</v>
      </c>
      <c r="T184" s="378">
        <v>2123</v>
      </c>
      <c r="U184" s="252"/>
      <c r="V184" s="259"/>
      <c r="W184" s="251"/>
      <c r="X184" s="256"/>
      <c r="Y184" s="251"/>
      <c r="Z184" s="378">
        <v>13172</v>
      </c>
      <c r="AA184" s="378">
        <v>11386</v>
      </c>
      <c r="AB184" s="378">
        <f>1952+481-1048</f>
        <v>1385</v>
      </c>
      <c r="AC184" s="378">
        <v>7077</v>
      </c>
      <c r="AD184" s="378">
        <f>14174+80+26+21+1048</f>
        <v>15349</v>
      </c>
      <c r="AE184" s="359"/>
      <c r="AF184" s="359"/>
      <c r="AG184" s="359"/>
      <c r="AH184" s="359"/>
    </row>
    <row r="185" spans="2:34" s="262" customFormat="1" x14ac:dyDescent="0.2">
      <c r="B185" s="377">
        <v>42780</v>
      </c>
      <c r="C185" s="377">
        <v>42786</v>
      </c>
      <c r="D185" s="249"/>
      <c r="E185" s="378">
        <v>33651</v>
      </c>
      <c r="F185" s="378">
        <v>1466</v>
      </c>
      <c r="G185" s="378"/>
      <c r="H185" s="378"/>
      <c r="I185" s="378">
        <v>31</v>
      </c>
      <c r="J185" s="378"/>
      <c r="K185" s="378">
        <v>65</v>
      </c>
      <c r="L185" s="378">
        <v>9048</v>
      </c>
      <c r="M185" s="259"/>
      <c r="N185" s="259"/>
      <c r="O185" s="35"/>
      <c r="P185" s="251"/>
      <c r="Q185" s="378">
        <v>857</v>
      </c>
      <c r="R185" s="251"/>
      <c r="S185" s="378">
        <v>2787</v>
      </c>
      <c r="T185" s="378">
        <v>1903</v>
      </c>
      <c r="U185" s="252"/>
      <c r="V185" s="259"/>
      <c r="W185" s="251"/>
      <c r="X185" s="256"/>
      <c r="Y185" s="251"/>
      <c r="Z185" s="378">
        <v>12808</v>
      </c>
      <c r="AA185" s="378">
        <v>10580</v>
      </c>
      <c r="AB185" s="378">
        <f>1567+358-585</f>
        <v>1340</v>
      </c>
      <c r="AC185" s="378">
        <v>6898</v>
      </c>
      <c r="AD185" s="378">
        <f>1331+74+21+585</f>
        <v>2011</v>
      </c>
      <c r="AE185" s="359"/>
      <c r="AF185" s="359"/>
      <c r="AG185" s="359"/>
      <c r="AH185" s="359"/>
    </row>
    <row r="186" spans="2:34" s="262" customFormat="1" x14ac:dyDescent="0.2">
      <c r="B186" s="377">
        <v>42787</v>
      </c>
      <c r="C186" s="377">
        <v>42793</v>
      </c>
      <c r="D186" s="249"/>
      <c r="E186" s="378">
        <v>35857</v>
      </c>
      <c r="F186" s="378">
        <v>1461</v>
      </c>
      <c r="G186" s="378"/>
      <c r="H186" s="378"/>
      <c r="I186" s="378">
        <v>17</v>
      </c>
      <c r="J186" s="378"/>
      <c r="K186" s="378">
        <v>50</v>
      </c>
      <c r="L186" s="378">
        <v>10059</v>
      </c>
      <c r="M186" s="259"/>
      <c r="N186" s="259"/>
      <c r="O186" s="35"/>
      <c r="P186" s="251"/>
      <c r="Q186" s="378">
        <v>883</v>
      </c>
      <c r="R186" s="251"/>
      <c r="S186" s="378">
        <v>2932</v>
      </c>
      <c r="T186" s="378">
        <v>1992</v>
      </c>
      <c r="U186" s="252"/>
      <c r="V186" s="259"/>
      <c r="W186" s="251"/>
      <c r="X186" s="256"/>
      <c r="Y186" s="251"/>
      <c r="Z186" s="378">
        <v>13068</v>
      </c>
      <c r="AA186" s="378">
        <v>11546</v>
      </c>
      <c r="AB186" s="378">
        <f>1370+503-608</f>
        <v>1265</v>
      </c>
      <c r="AC186" s="378">
        <v>8716</v>
      </c>
      <c r="AD186" s="378">
        <f>559+74+18+608</f>
        <v>1259</v>
      </c>
      <c r="AE186" s="359"/>
      <c r="AF186" s="359"/>
      <c r="AG186" s="359"/>
      <c r="AH186" s="359"/>
    </row>
    <row r="187" spans="2:34" s="262" customFormat="1" x14ac:dyDescent="0.2">
      <c r="B187" s="377">
        <v>42794</v>
      </c>
      <c r="C187" s="377">
        <v>42800</v>
      </c>
      <c r="D187" s="249"/>
      <c r="E187" s="378">
        <v>49099</v>
      </c>
      <c r="F187" s="378">
        <v>1822</v>
      </c>
      <c r="G187" s="378"/>
      <c r="H187" s="378"/>
      <c r="I187" s="378">
        <v>60</v>
      </c>
      <c r="J187" s="378"/>
      <c r="K187" s="378">
        <v>51</v>
      </c>
      <c r="L187" s="378">
        <v>12256</v>
      </c>
      <c r="M187" s="259"/>
      <c r="N187" s="259"/>
      <c r="O187" s="35"/>
      <c r="P187" s="251"/>
      <c r="Q187" s="378">
        <v>1108</v>
      </c>
      <c r="R187" s="251"/>
      <c r="S187" s="378">
        <v>3092</v>
      </c>
      <c r="T187" s="378">
        <v>2040</v>
      </c>
      <c r="U187" s="252"/>
      <c r="V187" s="259"/>
      <c r="W187" s="251"/>
      <c r="X187" s="256"/>
      <c r="Y187" s="251"/>
      <c r="Z187" s="378">
        <v>13168</v>
      </c>
      <c r="AA187" s="378">
        <v>11613</v>
      </c>
      <c r="AB187" s="378">
        <f>1494-454</f>
        <v>1040</v>
      </c>
      <c r="AC187" s="378">
        <v>8787</v>
      </c>
      <c r="AD187" s="378">
        <f>14025+454</f>
        <v>14479</v>
      </c>
      <c r="AE187" s="359"/>
      <c r="AF187" s="359"/>
      <c r="AG187" s="359"/>
      <c r="AH187" s="359"/>
    </row>
    <row r="188" spans="2:34" s="262" customFormat="1" x14ac:dyDescent="0.2">
      <c r="B188" s="377">
        <v>42801</v>
      </c>
      <c r="C188" s="377">
        <v>42807</v>
      </c>
      <c r="D188" s="249"/>
      <c r="E188" s="378">
        <v>37273</v>
      </c>
      <c r="F188" s="378">
        <v>1584</v>
      </c>
      <c r="G188" s="378"/>
      <c r="H188" s="378"/>
      <c r="I188" s="378">
        <v>37</v>
      </c>
      <c r="J188" s="378"/>
      <c r="K188" s="378">
        <v>55</v>
      </c>
      <c r="L188" s="378">
        <v>10418</v>
      </c>
      <c r="M188" s="259"/>
      <c r="N188" s="259"/>
      <c r="O188" s="35"/>
      <c r="P188" s="251"/>
      <c r="Q188" s="378">
        <v>1012</v>
      </c>
      <c r="R188" s="251"/>
      <c r="S188" s="378">
        <v>3030</v>
      </c>
      <c r="T188" s="378">
        <v>1993</v>
      </c>
      <c r="U188" s="252"/>
      <c r="V188" s="259"/>
      <c r="W188" s="251"/>
      <c r="X188" s="256"/>
      <c r="Y188" s="251"/>
      <c r="Z188" s="378">
        <v>13305</v>
      </c>
      <c r="AA188" s="378">
        <v>11185</v>
      </c>
      <c r="AB188" s="378">
        <f>1744+244-946-45</f>
        <v>997</v>
      </c>
      <c r="AC188" s="378">
        <v>9310</v>
      </c>
      <c r="AD188" s="378">
        <f>1483+946+45</f>
        <v>2474</v>
      </c>
      <c r="AE188" s="359"/>
      <c r="AF188" s="359"/>
      <c r="AG188" s="359"/>
      <c r="AH188" s="359"/>
    </row>
    <row r="189" spans="2:34" s="262" customFormat="1" x14ac:dyDescent="0.2">
      <c r="B189" s="377">
        <v>42808</v>
      </c>
      <c r="C189" s="377">
        <v>42814</v>
      </c>
      <c r="D189" s="249"/>
      <c r="E189" s="378">
        <v>38916</v>
      </c>
      <c r="F189" s="378">
        <v>1509</v>
      </c>
      <c r="G189" s="378"/>
      <c r="H189" s="378"/>
      <c r="I189" s="378">
        <v>102</v>
      </c>
      <c r="J189" s="378"/>
      <c r="K189" s="378">
        <v>145</v>
      </c>
      <c r="L189" s="378">
        <v>9447</v>
      </c>
      <c r="M189" s="259"/>
      <c r="N189" s="259"/>
      <c r="O189" s="35"/>
      <c r="P189" s="251"/>
      <c r="Q189" s="378">
        <v>1086</v>
      </c>
      <c r="R189" s="251"/>
      <c r="S189" s="378">
        <v>2783</v>
      </c>
      <c r="T189" s="378">
        <v>1875</v>
      </c>
      <c r="U189" s="252"/>
      <c r="V189" s="259"/>
      <c r="W189" s="251"/>
      <c r="X189" s="256"/>
      <c r="Y189" s="251"/>
      <c r="Z189" s="378">
        <v>12803</v>
      </c>
      <c r="AA189" s="378">
        <v>10487</v>
      </c>
      <c r="AB189" s="378">
        <f>1398+158-621-24</f>
        <v>911</v>
      </c>
      <c r="AC189" s="378">
        <v>8791</v>
      </c>
      <c r="AD189" s="378">
        <f>5250+621+24</f>
        <v>5895</v>
      </c>
      <c r="AE189" s="359"/>
      <c r="AF189" s="359"/>
      <c r="AG189" s="359"/>
      <c r="AH189" s="359"/>
    </row>
    <row r="190" spans="2:34" s="262" customFormat="1" x14ac:dyDescent="0.2">
      <c r="B190" s="377">
        <v>42815</v>
      </c>
      <c r="C190" s="377">
        <v>42821</v>
      </c>
      <c r="D190" s="249"/>
      <c r="E190" s="378">
        <v>35996</v>
      </c>
      <c r="F190" s="378">
        <v>1675</v>
      </c>
      <c r="G190" s="378"/>
      <c r="H190" s="378"/>
      <c r="I190" s="378">
        <v>44</v>
      </c>
      <c r="J190" s="378"/>
      <c r="K190" s="378">
        <v>56</v>
      </c>
      <c r="L190" s="378">
        <v>9351</v>
      </c>
      <c r="M190" s="259"/>
      <c r="N190" s="259"/>
      <c r="O190" s="35"/>
      <c r="P190" s="251"/>
      <c r="Q190" s="378">
        <v>842</v>
      </c>
      <c r="R190" s="251"/>
      <c r="S190" s="378">
        <v>2937</v>
      </c>
      <c r="T190" s="378">
        <v>2031</v>
      </c>
      <c r="U190" s="252"/>
      <c r="V190" s="259"/>
      <c r="W190" s="251"/>
      <c r="X190" s="256"/>
      <c r="Y190" s="251"/>
      <c r="Z190" s="378">
        <v>12684</v>
      </c>
      <c r="AA190" s="378">
        <v>10306</v>
      </c>
      <c r="AB190" s="378">
        <f>2132-1060-17</f>
        <v>1055</v>
      </c>
      <c r="AC190" s="378">
        <v>9532</v>
      </c>
      <c r="AD190" s="378">
        <f>1332+1060+17</f>
        <v>2409</v>
      </c>
      <c r="AE190" s="359"/>
      <c r="AF190" s="359"/>
      <c r="AG190" s="359"/>
      <c r="AH190" s="359"/>
    </row>
    <row r="191" spans="2:34" s="262" customFormat="1" x14ac:dyDescent="0.2">
      <c r="B191" s="377">
        <v>42822</v>
      </c>
      <c r="C191" s="377">
        <v>42828</v>
      </c>
      <c r="D191" s="249"/>
      <c r="E191" s="378">
        <v>28372</v>
      </c>
      <c r="F191" s="378">
        <v>1183</v>
      </c>
      <c r="G191" s="378"/>
      <c r="H191" s="378"/>
      <c r="I191" s="378">
        <v>29</v>
      </c>
      <c r="J191" s="378"/>
      <c r="K191" s="378">
        <v>31</v>
      </c>
      <c r="L191" s="378">
        <v>7264</v>
      </c>
      <c r="M191" s="259"/>
      <c r="N191" s="259"/>
      <c r="O191" s="35"/>
      <c r="P191" s="251"/>
      <c r="Q191" s="378">
        <v>585</v>
      </c>
      <c r="R191" s="251"/>
      <c r="S191" s="378">
        <v>1694</v>
      </c>
      <c r="T191" s="378">
        <v>1033</v>
      </c>
      <c r="U191" s="252"/>
      <c r="V191" s="259"/>
      <c r="W191" s="251"/>
      <c r="X191" s="256"/>
      <c r="Y191" s="251"/>
      <c r="Z191" s="378">
        <v>6361</v>
      </c>
      <c r="AA191" s="378">
        <v>8184</v>
      </c>
      <c r="AB191" s="378">
        <f>1006-353-15</f>
        <v>638</v>
      </c>
      <c r="AC191" s="378">
        <v>7627</v>
      </c>
      <c r="AD191" s="378">
        <f>5191+353+15</f>
        <v>5559</v>
      </c>
      <c r="AE191" s="359"/>
      <c r="AF191" s="359"/>
      <c r="AG191" s="359"/>
      <c r="AH191" s="359"/>
    </row>
    <row r="192" spans="2:34" s="262" customFormat="1" x14ac:dyDescent="0.2">
      <c r="B192" s="377">
        <v>42829</v>
      </c>
      <c r="C192" s="377">
        <v>42835</v>
      </c>
      <c r="D192" s="249"/>
      <c r="E192" s="378">
        <v>108298</v>
      </c>
      <c r="F192" s="378">
        <v>1336</v>
      </c>
      <c r="G192" s="378"/>
      <c r="H192" s="378"/>
      <c r="I192" s="378">
        <v>142</v>
      </c>
      <c r="J192" s="378"/>
      <c r="K192" s="378">
        <v>73</v>
      </c>
      <c r="L192" s="378">
        <v>17357</v>
      </c>
      <c r="M192" s="259"/>
      <c r="N192" s="259"/>
      <c r="O192" s="35"/>
      <c r="P192" s="251"/>
      <c r="Q192" s="378">
        <v>2655</v>
      </c>
      <c r="R192" s="251"/>
      <c r="S192" s="378">
        <v>2803</v>
      </c>
      <c r="T192" s="378">
        <v>1821</v>
      </c>
      <c r="U192" s="252"/>
      <c r="V192" s="259"/>
      <c r="W192" s="251"/>
      <c r="X192" s="256"/>
      <c r="Y192" s="251"/>
      <c r="Z192" s="378">
        <f>12713+12</f>
        <v>12725</v>
      </c>
      <c r="AA192" s="378">
        <v>9346</v>
      </c>
      <c r="AB192" s="378">
        <f>1024+18-420</f>
        <v>622</v>
      </c>
      <c r="AC192" s="378">
        <v>8429</v>
      </c>
      <c r="AD192" s="378">
        <f>76526+79+21+17+409+11</f>
        <v>77063</v>
      </c>
      <c r="AE192" s="359"/>
      <c r="AF192" s="359"/>
      <c r="AG192" s="359"/>
      <c r="AH192" s="359"/>
    </row>
    <row r="193" spans="2:34" s="262" customFormat="1" x14ac:dyDescent="0.2">
      <c r="B193" s="377">
        <v>42836</v>
      </c>
      <c r="C193" s="377">
        <v>42842</v>
      </c>
      <c r="D193" s="249"/>
      <c r="E193" s="378">
        <v>58511</v>
      </c>
      <c r="F193" s="378">
        <v>113</v>
      </c>
      <c r="G193" s="378"/>
      <c r="H193" s="378"/>
      <c r="I193" s="378">
        <v>130</v>
      </c>
      <c r="J193" s="378"/>
      <c r="K193" s="378">
        <v>638</v>
      </c>
      <c r="L193" s="378">
        <v>10838</v>
      </c>
      <c r="M193" s="259"/>
      <c r="N193" s="259"/>
      <c r="O193" s="35"/>
      <c r="P193" s="251"/>
      <c r="Q193" s="378">
        <v>1521</v>
      </c>
      <c r="R193" s="251"/>
      <c r="S193" s="378">
        <v>3459</v>
      </c>
      <c r="T193" s="378">
        <v>2290</v>
      </c>
      <c r="U193" s="252"/>
      <c r="V193" s="259"/>
      <c r="W193" s="251"/>
      <c r="X193" s="256"/>
      <c r="Y193" s="251"/>
      <c r="Z193" s="378">
        <f>16327+11</f>
        <v>16338</v>
      </c>
      <c r="AA193" s="378">
        <v>8979</v>
      </c>
      <c r="AB193" s="378">
        <f>2072+482-608</f>
        <v>1946</v>
      </c>
      <c r="AC193" s="378">
        <v>8720</v>
      </c>
      <c r="AD193" s="378">
        <f>21788+55+15+579+29</f>
        <v>22466</v>
      </c>
      <c r="AE193" s="359"/>
      <c r="AF193" s="359"/>
      <c r="AG193" s="359"/>
      <c r="AH193" s="359"/>
    </row>
    <row r="194" spans="2:34" s="262" customFormat="1" x14ac:dyDescent="0.2">
      <c r="B194" s="377">
        <v>42843</v>
      </c>
      <c r="C194" s="377">
        <v>42849</v>
      </c>
      <c r="D194" s="249"/>
      <c r="E194" s="378">
        <v>45415</v>
      </c>
      <c r="F194" s="378">
        <v>1271</v>
      </c>
      <c r="G194" s="378"/>
      <c r="H194" s="378"/>
      <c r="I194" s="378">
        <v>33</v>
      </c>
      <c r="J194" s="378"/>
      <c r="K194" s="378">
        <v>81</v>
      </c>
      <c r="L194" s="378">
        <v>11582</v>
      </c>
      <c r="M194" s="259"/>
      <c r="N194" s="259"/>
      <c r="O194" s="35"/>
      <c r="P194" s="251"/>
      <c r="Q194" s="378">
        <v>1034</v>
      </c>
      <c r="R194" s="251"/>
      <c r="S194" s="378">
        <v>3551</v>
      </c>
      <c r="T194" s="378">
        <v>2397</v>
      </c>
      <c r="U194" s="252"/>
      <c r="V194" s="259"/>
      <c r="W194" s="251"/>
      <c r="X194" s="256"/>
      <c r="Y194" s="251"/>
      <c r="Z194" s="378">
        <f>18346+12</f>
        <v>18358</v>
      </c>
      <c r="AA194" s="378">
        <v>10088</v>
      </c>
      <c r="AB194" s="378">
        <f>2169+329-520</f>
        <v>1978</v>
      </c>
      <c r="AC194" s="378">
        <v>9990</v>
      </c>
      <c r="AD194" s="378">
        <f>4335+54+31+476+44</f>
        <v>4940</v>
      </c>
      <c r="AE194" s="359"/>
      <c r="AF194" s="359"/>
      <c r="AG194" s="359"/>
      <c r="AH194" s="359"/>
    </row>
    <row r="195" spans="2:34" s="262" customFormat="1" x14ac:dyDescent="0.2">
      <c r="B195" s="377">
        <v>42850</v>
      </c>
      <c r="C195" s="377">
        <v>42856</v>
      </c>
      <c r="D195" s="249"/>
      <c r="E195" s="378">
        <v>42906</v>
      </c>
      <c r="F195" s="378">
        <v>1304</v>
      </c>
      <c r="G195" s="378"/>
      <c r="H195" s="378"/>
      <c r="I195" s="378">
        <v>33</v>
      </c>
      <c r="J195" s="378"/>
      <c r="K195" s="378">
        <v>110</v>
      </c>
      <c r="L195" s="378">
        <v>11346</v>
      </c>
      <c r="M195" s="259"/>
      <c r="N195" s="259"/>
      <c r="O195" s="35"/>
      <c r="P195" s="251"/>
      <c r="Q195" s="378">
        <v>1070</v>
      </c>
      <c r="R195" s="251"/>
      <c r="S195" s="378">
        <v>3683</v>
      </c>
      <c r="T195" s="378">
        <v>2491</v>
      </c>
      <c r="U195" s="252"/>
      <c r="V195" s="259"/>
      <c r="W195" s="251"/>
      <c r="X195" s="256"/>
      <c r="Y195" s="251"/>
      <c r="Z195" s="378">
        <f>18937+13</f>
        <v>18950</v>
      </c>
      <c r="AA195" s="378">
        <v>10039</v>
      </c>
      <c r="AB195" s="378">
        <f>1440+22-654</f>
        <v>808</v>
      </c>
      <c r="AC195" s="378">
        <v>9705</v>
      </c>
      <c r="AD195" s="378">
        <f>2662+47+21+602+52</f>
        <v>3384</v>
      </c>
      <c r="AE195" s="359"/>
      <c r="AF195" s="359"/>
      <c r="AG195" s="359"/>
      <c r="AH195" s="359"/>
    </row>
    <row r="196" spans="2:34" s="262" customFormat="1" x14ac:dyDescent="0.2">
      <c r="B196" s="377">
        <v>42857</v>
      </c>
      <c r="C196" s="377">
        <v>42863</v>
      </c>
      <c r="D196" s="249"/>
      <c r="E196" s="378">
        <v>41040</v>
      </c>
      <c r="F196" s="378">
        <v>1216</v>
      </c>
      <c r="G196" s="378"/>
      <c r="H196" s="378"/>
      <c r="I196" s="378">
        <v>37</v>
      </c>
      <c r="J196" s="378"/>
      <c r="K196" s="378">
        <v>104</v>
      </c>
      <c r="L196" s="378">
        <v>10786</v>
      </c>
      <c r="M196" s="259"/>
      <c r="N196" s="259"/>
      <c r="O196" s="35"/>
      <c r="P196" s="251"/>
      <c r="Q196" s="378">
        <v>951</v>
      </c>
      <c r="R196" s="251"/>
      <c r="S196" s="378">
        <v>3451</v>
      </c>
      <c r="T196" s="378">
        <v>2398</v>
      </c>
      <c r="U196" s="252"/>
      <c r="V196" s="259"/>
      <c r="W196" s="251"/>
      <c r="X196" s="256"/>
      <c r="Y196" s="251"/>
      <c r="Z196" s="378">
        <f>18676+69</f>
        <v>18745</v>
      </c>
      <c r="AA196" s="378">
        <v>9203</v>
      </c>
      <c r="AB196" s="378">
        <f>1369-677-39+60</f>
        <v>713</v>
      </c>
      <c r="AC196" s="378">
        <v>9677</v>
      </c>
      <c r="AD196" s="378">
        <f>1918+44+19+677+39</f>
        <v>2697</v>
      </c>
      <c r="AE196" s="359"/>
      <c r="AF196" s="359"/>
      <c r="AG196" s="359"/>
      <c r="AH196" s="359"/>
    </row>
    <row r="197" spans="2:34" s="262" customFormat="1" x14ac:dyDescent="0.2">
      <c r="B197" s="377">
        <v>42864</v>
      </c>
      <c r="C197" s="377">
        <v>42870</v>
      </c>
      <c r="D197" s="249"/>
      <c r="E197" s="378">
        <v>64021</v>
      </c>
      <c r="F197" s="378">
        <v>1125</v>
      </c>
      <c r="G197" s="378"/>
      <c r="H197" s="378"/>
      <c r="I197" s="378">
        <v>44</v>
      </c>
      <c r="J197" s="378"/>
      <c r="K197" s="378">
        <v>138</v>
      </c>
      <c r="L197" s="378">
        <v>20273</v>
      </c>
      <c r="M197" s="259"/>
      <c r="N197" s="259"/>
      <c r="O197" s="35"/>
      <c r="P197" s="251"/>
      <c r="Q197" s="378">
        <v>1582</v>
      </c>
      <c r="R197" s="251"/>
      <c r="S197" s="378">
        <v>3111</v>
      </c>
      <c r="T197" s="378">
        <v>2168</v>
      </c>
      <c r="U197" s="252"/>
      <c r="V197" s="259"/>
      <c r="W197" s="251"/>
      <c r="X197" s="256"/>
      <c r="Y197" s="251"/>
      <c r="Z197" s="378">
        <f>16833+10+236+26</f>
        <v>17105</v>
      </c>
      <c r="AA197" s="378">
        <v>8583</v>
      </c>
      <c r="AB197" s="378">
        <f>1204+19-423-52</f>
        <v>748</v>
      </c>
      <c r="AC197" s="378">
        <v>9171</v>
      </c>
      <c r="AD197" s="378">
        <f>27870+43+10+423+52</f>
        <v>28398</v>
      </c>
      <c r="AE197" s="359"/>
      <c r="AF197" s="359"/>
      <c r="AG197" s="359"/>
      <c r="AH197" s="359"/>
    </row>
    <row r="198" spans="2:34" s="262" customFormat="1" x14ac:dyDescent="0.2">
      <c r="B198" s="377">
        <v>42871</v>
      </c>
      <c r="C198" s="377">
        <v>42877</v>
      </c>
      <c r="D198" s="249"/>
      <c r="E198" s="378">
        <v>52079</v>
      </c>
      <c r="F198" s="378">
        <v>1922</v>
      </c>
      <c r="G198" s="378"/>
      <c r="H198" s="378"/>
      <c r="I198" s="378">
        <v>50</v>
      </c>
      <c r="J198" s="378"/>
      <c r="K198" s="378">
        <v>262</v>
      </c>
      <c r="L198" s="378">
        <v>12410</v>
      </c>
      <c r="M198" s="259"/>
      <c r="N198" s="259"/>
      <c r="O198" s="35"/>
      <c r="P198" s="251"/>
      <c r="Q198" s="378">
        <v>1259</v>
      </c>
      <c r="R198" s="251"/>
      <c r="S198" s="378">
        <v>3075</v>
      </c>
      <c r="T198" s="378">
        <v>2087</v>
      </c>
      <c r="U198" s="252"/>
      <c r="V198" s="259"/>
      <c r="W198" s="251"/>
      <c r="X198" s="256"/>
      <c r="Y198" s="251"/>
      <c r="Z198" s="378">
        <f>14949+6+250+197</f>
        <v>15402</v>
      </c>
      <c r="AA198" s="378">
        <v>9512</v>
      </c>
      <c r="AB198" s="378">
        <f>1384+198-493-47</f>
        <v>1042</v>
      </c>
      <c r="AC198" s="378">
        <v>9394</v>
      </c>
      <c r="AD198" s="378">
        <f>16069+45+24+493+47</f>
        <v>16678</v>
      </c>
      <c r="AE198" s="359"/>
      <c r="AF198" s="359"/>
      <c r="AG198" s="359"/>
      <c r="AH198" s="359"/>
    </row>
    <row r="199" spans="2:34" s="262" customFormat="1" x14ac:dyDescent="0.2">
      <c r="B199" s="377">
        <v>42878</v>
      </c>
      <c r="C199" s="377">
        <v>42884</v>
      </c>
      <c r="D199" s="249"/>
      <c r="E199" s="378">
        <v>94544</v>
      </c>
      <c r="F199" s="378">
        <v>1330</v>
      </c>
      <c r="G199" s="378"/>
      <c r="H199" s="378"/>
      <c r="I199" s="378">
        <v>91</v>
      </c>
      <c r="J199" s="378"/>
      <c r="K199" s="378">
        <v>185</v>
      </c>
      <c r="L199" s="378">
        <v>17408</v>
      </c>
      <c r="M199" s="259"/>
      <c r="N199" s="259"/>
      <c r="O199" s="35"/>
      <c r="P199" s="251"/>
      <c r="Q199" s="378">
        <v>1872</v>
      </c>
      <c r="R199" s="251"/>
      <c r="S199" s="378">
        <v>3410</v>
      </c>
      <c r="T199" s="378">
        <v>2334</v>
      </c>
      <c r="U199" s="252"/>
      <c r="V199" s="259"/>
      <c r="W199" s="251"/>
      <c r="X199" s="256"/>
      <c r="Y199" s="251"/>
      <c r="Z199" s="378">
        <f>17821+22+412+279</f>
        <v>18534</v>
      </c>
      <c r="AA199" s="378">
        <v>8349</v>
      </c>
      <c r="AB199" s="378">
        <f>1666+436-335-39</f>
        <v>1728</v>
      </c>
      <c r="AC199" s="378">
        <v>8891</v>
      </c>
      <c r="AD199" s="378">
        <f>56561+32+16+335+39</f>
        <v>56983</v>
      </c>
      <c r="AE199" s="359"/>
      <c r="AF199" s="359"/>
      <c r="AG199" s="359"/>
      <c r="AH199" s="359"/>
    </row>
    <row r="200" spans="2:34" s="262" customFormat="1" x14ac:dyDescent="0.2">
      <c r="B200" s="377">
        <v>42885</v>
      </c>
      <c r="C200" s="377">
        <v>42891</v>
      </c>
      <c r="D200" s="249"/>
      <c r="E200" s="378">
        <v>44991</v>
      </c>
      <c r="F200" s="378">
        <v>1348</v>
      </c>
      <c r="G200" s="378"/>
      <c r="H200" s="378"/>
      <c r="I200" s="378">
        <v>24</v>
      </c>
      <c r="J200" s="378"/>
      <c r="K200" s="378">
        <v>96</v>
      </c>
      <c r="L200" s="378">
        <v>11473</v>
      </c>
      <c r="M200" s="259"/>
      <c r="N200" s="259"/>
      <c r="O200" s="35"/>
      <c r="P200" s="251"/>
      <c r="Q200" s="378">
        <v>988</v>
      </c>
      <c r="R200" s="251"/>
      <c r="S200" s="378">
        <v>2171</v>
      </c>
      <c r="T200" s="378">
        <v>2404</v>
      </c>
      <c r="U200" s="252"/>
      <c r="V200" s="259"/>
      <c r="W200" s="251"/>
      <c r="X200" s="256"/>
      <c r="Y200" s="251"/>
      <c r="Z200" s="378">
        <f>17817+602+183+17</f>
        <v>18619</v>
      </c>
      <c r="AA200" s="378">
        <f>9787</f>
        <v>9787</v>
      </c>
      <c r="AB200" s="378">
        <f>1505+41-685-39</f>
        <v>822</v>
      </c>
      <c r="AC200" s="378">
        <v>9742</v>
      </c>
      <c r="AD200" s="378">
        <f>5254+25+12+685+39</f>
        <v>6015</v>
      </c>
      <c r="AE200" s="359"/>
      <c r="AF200" s="359"/>
      <c r="AG200" s="359"/>
      <c r="AH200" s="359"/>
    </row>
    <row r="201" spans="2:34" s="262" customFormat="1" x14ac:dyDescent="0.2">
      <c r="B201" s="377">
        <v>42892</v>
      </c>
      <c r="C201" s="377">
        <v>42898</v>
      </c>
      <c r="D201" s="249"/>
      <c r="E201" s="378">
        <v>77474</v>
      </c>
      <c r="F201" s="378">
        <v>1716</v>
      </c>
      <c r="G201" s="378"/>
      <c r="H201" s="378"/>
      <c r="I201" s="378">
        <v>60</v>
      </c>
      <c r="J201" s="378"/>
      <c r="K201" s="378">
        <v>109</v>
      </c>
      <c r="L201" s="378">
        <v>23203</v>
      </c>
      <c r="M201" s="259"/>
      <c r="N201" s="259"/>
      <c r="O201" s="35"/>
      <c r="P201" s="251"/>
      <c r="Q201" s="378">
        <v>2324</v>
      </c>
      <c r="R201" s="251"/>
      <c r="S201" s="378">
        <v>3776</v>
      </c>
      <c r="T201" s="378">
        <v>2554</v>
      </c>
      <c r="U201" s="252"/>
      <c r="V201" s="259"/>
      <c r="W201" s="251"/>
      <c r="X201" s="256"/>
      <c r="Y201" s="251"/>
      <c r="Z201" s="378">
        <f>20344+612+180+14</f>
        <v>21150</v>
      </c>
      <c r="AA201" s="378">
        <v>9369</v>
      </c>
      <c r="AB201" s="378">
        <f>2139+125-1185-51</f>
        <v>1028</v>
      </c>
      <c r="AC201" s="378">
        <v>9403</v>
      </c>
      <c r="AD201" s="378">
        <f>35220+43+16+1185+51</f>
        <v>36515</v>
      </c>
      <c r="AE201" s="359"/>
      <c r="AF201" s="359"/>
      <c r="AG201" s="359"/>
      <c r="AH201" s="359"/>
    </row>
    <row r="202" spans="2:34" s="262" customFormat="1" x14ac:dyDescent="0.2">
      <c r="B202" s="377">
        <v>42899</v>
      </c>
      <c r="C202" s="377">
        <v>42905</v>
      </c>
      <c r="D202" s="249"/>
      <c r="E202" s="378">
        <v>55580</v>
      </c>
      <c r="F202" s="378">
        <v>1420</v>
      </c>
      <c r="G202" s="378"/>
      <c r="H202" s="378"/>
      <c r="I202" s="378">
        <v>27</v>
      </c>
      <c r="J202" s="378"/>
      <c r="K202" s="378">
        <v>67</v>
      </c>
      <c r="L202" s="378">
        <v>15411</v>
      </c>
      <c r="M202" s="259"/>
      <c r="N202" s="259"/>
      <c r="O202" s="35"/>
      <c r="P202" s="251"/>
      <c r="Q202" s="378">
        <v>1222</v>
      </c>
      <c r="R202" s="251"/>
      <c r="S202" s="378">
        <v>3646</v>
      </c>
      <c r="T202" s="378">
        <v>2513</v>
      </c>
      <c r="U202" s="252"/>
      <c r="V202" s="259"/>
      <c r="W202" s="251"/>
      <c r="X202" s="256"/>
      <c r="Y202" s="251"/>
      <c r="Z202" s="378">
        <f>18917+709+189+12</f>
        <v>19827</v>
      </c>
      <c r="AA202" s="378">
        <f>9525</f>
        <v>9525</v>
      </c>
      <c r="AB202" s="378">
        <f>2703+161-1583-36</f>
        <v>1245</v>
      </c>
      <c r="AC202" s="378">
        <f>9551</f>
        <v>9551</v>
      </c>
      <c r="AD202" s="378">
        <f>13753+19+31+1583+36</f>
        <v>15422</v>
      </c>
      <c r="AE202" s="359"/>
      <c r="AF202" s="359"/>
      <c r="AG202" s="359"/>
      <c r="AH202" s="359"/>
    </row>
    <row r="203" spans="2:34" s="262" customFormat="1" x14ac:dyDescent="0.2">
      <c r="B203" s="377">
        <v>42906</v>
      </c>
      <c r="C203" s="377">
        <v>42912</v>
      </c>
      <c r="D203" s="249"/>
      <c r="E203" s="378">
        <v>89692</v>
      </c>
      <c r="F203" s="378">
        <v>1928</v>
      </c>
      <c r="G203" s="378"/>
      <c r="H203" s="378"/>
      <c r="I203" s="378">
        <v>86</v>
      </c>
      <c r="J203" s="378"/>
      <c r="K203" s="378">
        <v>150</v>
      </c>
      <c r="L203" s="378">
        <v>28210</v>
      </c>
      <c r="M203" s="259"/>
      <c r="N203" s="259"/>
      <c r="O203" s="35"/>
      <c r="P203" s="251"/>
      <c r="Q203" s="378">
        <v>2732</v>
      </c>
      <c r="R203" s="251"/>
      <c r="S203" s="378">
        <v>4544</v>
      </c>
      <c r="T203" s="378">
        <v>3215</v>
      </c>
      <c r="U203" s="252"/>
      <c r="V203" s="259"/>
      <c r="W203" s="251"/>
      <c r="X203" s="256"/>
      <c r="Y203" s="251"/>
      <c r="Z203" s="378">
        <f>27023+289+129+7</f>
        <v>27448</v>
      </c>
      <c r="AA203" s="378">
        <v>10886</v>
      </c>
      <c r="AB203" s="378">
        <f>6457+116-5193-62</f>
        <v>1318</v>
      </c>
      <c r="AC203" s="378">
        <v>10475</v>
      </c>
      <c r="AD203" s="378">
        <f>34200+33+14+5193+62</f>
        <v>39502</v>
      </c>
      <c r="AE203" s="359"/>
      <c r="AF203" s="359"/>
      <c r="AG203" s="359"/>
      <c r="AH203" s="359"/>
    </row>
    <row r="204" spans="2:34" s="262" customFormat="1" x14ac:dyDescent="0.2">
      <c r="B204" s="377">
        <v>42913</v>
      </c>
      <c r="C204" s="377">
        <v>42919</v>
      </c>
      <c r="D204" s="249"/>
      <c r="E204" s="378">
        <v>103224</v>
      </c>
      <c r="F204" s="378">
        <v>1322</v>
      </c>
      <c r="G204" s="378"/>
      <c r="H204" s="378"/>
      <c r="I204" s="378">
        <v>84</v>
      </c>
      <c r="J204" s="378"/>
      <c r="K204" s="378">
        <v>119</v>
      </c>
      <c r="L204" s="378">
        <v>24385</v>
      </c>
      <c r="M204" s="259"/>
      <c r="N204" s="259"/>
      <c r="O204" s="35"/>
      <c r="P204" s="251"/>
      <c r="Q204" s="378">
        <v>1628</v>
      </c>
      <c r="R204" s="251"/>
      <c r="S204" s="378">
        <v>26102</v>
      </c>
      <c r="T204" s="378">
        <v>18228</v>
      </c>
      <c r="U204" s="252"/>
      <c r="V204" s="259"/>
      <c r="W204" s="251"/>
      <c r="X204" s="256"/>
      <c r="Y204" s="251"/>
      <c r="Z204" s="378">
        <f>26883+131+125+12</f>
        <v>27151</v>
      </c>
      <c r="AA204" s="378">
        <v>8836</v>
      </c>
      <c r="AB204" s="378">
        <f>2083+357-1072-44</f>
        <v>1324</v>
      </c>
      <c r="AC204" s="378">
        <v>9604</v>
      </c>
      <c r="AD204" s="378">
        <f>55134+28+20+1072+44</f>
        <v>56298</v>
      </c>
      <c r="AE204" s="359"/>
      <c r="AF204" s="359"/>
      <c r="AG204" s="359"/>
      <c r="AH204" s="359"/>
    </row>
    <row r="205" spans="2:34" s="262" customFormat="1" x14ac:dyDescent="0.2">
      <c r="B205" s="377">
        <v>42920</v>
      </c>
      <c r="C205" s="377">
        <v>42926</v>
      </c>
      <c r="D205" s="249"/>
      <c r="E205" s="378">
        <v>71955</v>
      </c>
      <c r="F205" s="378">
        <v>1238</v>
      </c>
      <c r="G205" s="378"/>
      <c r="H205" s="378"/>
      <c r="I205" s="378">
        <v>55</v>
      </c>
      <c r="J205" s="378"/>
      <c r="K205" s="378">
        <v>102</v>
      </c>
      <c r="L205" s="378">
        <v>16817</v>
      </c>
      <c r="M205" s="259"/>
      <c r="N205" s="259"/>
      <c r="O205" s="35"/>
      <c r="P205" s="251"/>
      <c r="Q205" s="378">
        <v>1198</v>
      </c>
      <c r="R205" s="251"/>
      <c r="S205" s="378">
        <v>15918</v>
      </c>
      <c r="T205" s="378">
        <v>11586</v>
      </c>
      <c r="U205" s="252"/>
      <c r="V205" s="259"/>
      <c r="W205" s="251"/>
      <c r="X205" s="256"/>
      <c r="Y205" s="251"/>
      <c r="Z205" s="378">
        <f>27100+94+42+7</f>
        <v>27243</v>
      </c>
      <c r="AA205" s="378">
        <v>8733</v>
      </c>
      <c r="AB205" s="378">
        <f>1410+419-673-43</f>
        <v>1113</v>
      </c>
      <c r="AC205" s="378">
        <v>9635</v>
      </c>
      <c r="AD205" s="378">
        <f>24460+21+15+673+43</f>
        <v>25212</v>
      </c>
      <c r="AE205" s="359"/>
      <c r="AF205" s="359"/>
      <c r="AG205" s="359"/>
      <c r="AH205" s="359"/>
    </row>
    <row r="206" spans="2:34" s="262" customFormat="1" x14ac:dyDescent="0.2">
      <c r="B206" s="377">
        <v>42927</v>
      </c>
      <c r="C206" s="377">
        <v>42933</v>
      </c>
      <c r="D206" s="249"/>
      <c r="E206" s="378">
        <v>94342</v>
      </c>
      <c r="F206" s="378">
        <v>1469</v>
      </c>
      <c r="G206" s="378"/>
      <c r="H206" s="378"/>
      <c r="I206" s="378">
        <v>72</v>
      </c>
      <c r="J206" s="378"/>
      <c r="K206" s="378">
        <v>121</v>
      </c>
      <c r="L206" s="378">
        <v>21960</v>
      </c>
      <c r="M206" s="259"/>
      <c r="N206" s="259"/>
      <c r="O206" s="35"/>
      <c r="P206" s="251"/>
      <c r="Q206" s="378">
        <v>1602</v>
      </c>
      <c r="R206" s="251"/>
      <c r="S206" s="378">
        <v>6051</v>
      </c>
      <c r="T206" s="378">
        <v>4073</v>
      </c>
      <c r="U206" s="252"/>
      <c r="V206" s="259"/>
      <c r="W206" s="251"/>
      <c r="X206" s="256"/>
      <c r="Y206" s="251"/>
      <c r="Z206" s="378">
        <f>31459+60+8+7</f>
        <v>31534</v>
      </c>
      <c r="AA206" s="378">
        <v>9718</v>
      </c>
      <c r="AB206" s="378">
        <f>1970+968-916-59</f>
        <v>1963</v>
      </c>
      <c r="AC206" s="378">
        <v>10810</v>
      </c>
      <c r="AD206" s="378">
        <f>39255+31+23+916+59</f>
        <v>40284</v>
      </c>
      <c r="AE206" s="359"/>
      <c r="AF206" s="359"/>
      <c r="AG206" s="359"/>
      <c r="AH206" s="359"/>
    </row>
    <row r="207" spans="2:34" s="262" customFormat="1" x14ac:dyDescent="0.2">
      <c r="B207" s="377">
        <v>42934</v>
      </c>
      <c r="C207" s="377">
        <v>42940</v>
      </c>
      <c r="D207" s="249"/>
      <c r="E207" s="378">
        <v>66734</v>
      </c>
      <c r="F207" s="378">
        <v>1307</v>
      </c>
      <c r="G207" s="378"/>
      <c r="H207" s="378"/>
      <c r="I207" s="378">
        <v>31</v>
      </c>
      <c r="J207" s="378"/>
      <c r="K207" s="378">
        <v>76</v>
      </c>
      <c r="L207" s="378">
        <v>16829</v>
      </c>
      <c r="M207" s="259"/>
      <c r="N207" s="259"/>
      <c r="O207" s="35"/>
      <c r="P207" s="251"/>
      <c r="Q207" s="378">
        <v>948</v>
      </c>
      <c r="R207" s="251"/>
      <c r="S207" s="378">
        <v>5145</v>
      </c>
      <c r="T207" s="378">
        <v>3562</v>
      </c>
      <c r="U207" s="252"/>
      <c r="V207" s="259"/>
      <c r="W207" s="251"/>
      <c r="X207" s="256"/>
      <c r="Y207" s="251"/>
      <c r="Z207" s="378">
        <f>32793+159+3+8</f>
        <v>32963</v>
      </c>
      <c r="AA207" s="378">
        <v>9897</v>
      </c>
      <c r="AB207" s="378">
        <f>1264+788-488-63</f>
        <v>1501</v>
      </c>
      <c r="AC207" s="378">
        <v>10694</v>
      </c>
      <c r="AD207" s="378">
        <f>11055+45+19+488+63</f>
        <v>11670</v>
      </c>
      <c r="AE207" s="359"/>
      <c r="AF207" s="359"/>
      <c r="AG207" s="359"/>
      <c r="AH207" s="359"/>
    </row>
    <row r="208" spans="2:34" s="262" customFormat="1" x14ac:dyDescent="0.2">
      <c r="B208" s="377">
        <v>42941</v>
      </c>
      <c r="C208" s="377">
        <v>42947</v>
      </c>
      <c r="D208" s="249"/>
      <c r="E208" s="378">
        <v>69213</v>
      </c>
      <c r="F208" s="378">
        <v>1309</v>
      </c>
      <c r="G208" s="378"/>
      <c r="H208" s="378"/>
      <c r="I208" s="378">
        <v>46</v>
      </c>
      <c r="J208" s="378"/>
      <c r="K208" s="378">
        <v>132</v>
      </c>
      <c r="L208" s="378">
        <v>18604</v>
      </c>
      <c r="M208" s="259"/>
      <c r="N208" s="259"/>
      <c r="O208" s="35"/>
      <c r="P208" s="251"/>
      <c r="Q208" s="378">
        <v>1051</v>
      </c>
      <c r="R208" s="251"/>
      <c r="S208" s="378">
        <v>5094</v>
      </c>
      <c r="T208" s="378">
        <v>3456</v>
      </c>
      <c r="U208" s="252"/>
      <c r="V208" s="259"/>
      <c r="W208" s="251"/>
      <c r="X208" s="256"/>
      <c r="Y208" s="251"/>
      <c r="Z208" s="378">
        <f>33196+80+2+10</f>
        <v>33288</v>
      </c>
      <c r="AA208" s="378">
        <v>9897</v>
      </c>
      <c r="AB208" s="378">
        <f>1511+605-689-71</f>
        <v>1356</v>
      </c>
      <c r="AC208" s="378">
        <v>10943</v>
      </c>
      <c r="AD208" s="378">
        <f>12910+29+18+689+71</f>
        <v>13717</v>
      </c>
      <c r="AE208" s="359"/>
      <c r="AF208" s="359"/>
      <c r="AG208" s="359"/>
      <c r="AH208" s="359"/>
    </row>
    <row r="209" spans="2:34" s="262" customFormat="1" x14ac:dyDescent="0.2">
      <c r="B209" s="377">
        <v>42948</v>
      </c>
      <c r="C209" s="377">
        <v>42954</v>
      </c>
      <c r="D209" s="249"/>
      <c r="E209" s="378">
        <v>70666</v>
      </c>
      <c r="F209" s="378">
        <v>2466</v>
      </c>
      <c r="G209" s="378"/>
      <c r="H209" s="378"/>
      <c r="I209" s="378">
        <v>62</v>
      </c>
      <c r="J209" s="378"/>
      <c r="K209" s="378">
        <v>122</v>
      </c>
      <c r="L209" s="378">
        <v>18547</v>
      </c>
      <c r="M209" s="259"/>
      <c r="N209" s="259"/>
      <c r="O209" s="35"/>
      <c r="P209" s="251"/>
      <c r="Q209" s="378">
        <v>1089</v>
      </c>
      <c r="R209" s="251"/>
      <c r="S209" s="378">
        <v>5962</v>
      </c>
      <c r="T209" s="378">
        <v>3915</v>
      </c>
      <c r="U209" s="252"/>
      <c r="V209" s="259"/>
      <c r="W209" s="251"/>
      <c r="X209" s="256"/>
      <c r="Y209" s="251"/>
      <c r="Z209" s="378">
        <f>32052+398+13+8</f>
        <v>32471</v>
      </c>
      <c r="AA209" s="378">
        <v>10689</v>
      </c>
      <c r="AB209" s="378">
        <f>1677+383-738-66</f>
        <v>1256</v>
      </c>
      <c r="AC209" s="378">
        <v>11299</v>
      </c>
      <c r="AD209" s="378">
        <f>14097+32+9+738+66</f>
        <v>14942</v>
      </c>
      <c r="AE209" s="359"/>
      <c r="AF209" s="359"/>
      <c r="AG209" s="359"/>
      <c r="AH209" s="359"/>
    </row>
    <row r="210" spans="2:34" s="262" customFormat="1" x14ac:dyDescent="0.2">
      <c r="B210" s="377">
        <v>42955</v>
      </c>
      <c r="C210" s="377">
        <v>42961</v>
      </c>
      <c r="D210" s="249"/>
      <c r="E210" s="378">
        <v>61009</v>
      </c>
      <c r="F210" s="378">
        <v>1440</v>
      </c>
      <c r="G210" s="378"/>
      <c r="H210" s="378"/>
      <c r="I210" s="378">
        <v>41</v>
      </c>
      <c r="J210" s="378"/>
      <c r="K210" s="378">
        <v>86</v>
      </c>
      <c r="L210" s="378">
        <v>15864</v>
      </c>
      <c r="M210" s="259"/>
      <c r="N210" s="259"/>
      <c r="O210" s="35"/>
      <c r="P210" s="251"/>
      <c r="Q210" s="378">
        <v>962</v>
      </c>
      <c r="R210" s="251"/>
      <c r="S210" s="378">
        <v>5558</v>
      </c>
      <c r="T210" s="378">
        <v>3909</v>
      </c>
      <c r="U210" s="252"/>
      <c r="V210" s="259"/>
      <c r="W210" s="251"/>
      <c r="X210" s="256"/>
      <c r="Y210" s="251"/>
      <c r="Z210" s="378">
        <f>33061+270+5+12</f>
        <v>33348</v>
      </c>
      <c r="AA210" s="378">
        <v>10708</v>
      </c>
      <c r="AB210" s="378">
        <f>1433+511-604-53</f>
        <v>1287</v>
      </c>
      <c r="AC210" s="378">
        <v>10539</v>
      </c>
      <c r="AD210" s="378">
        <f>4407+20+18+604+53</f>
        <v>5102</v>
      </c>
      <c r="AE210" s="359"/>
      <c r="AF210" s="359"/>
      <c r="AG210" s="359"/>
      <c r="AH210" s="359"/>
    </row>
    <row r="211" spans="2:34" s="262" customFormat="1" x14ac:dyDescent="0.2">
      <c r="B211" s="377">
        <v>42962</v>
      </c>
      <c r="C211" s="377">
        <v>42968</v>
      </c>
      <c r="D211" s="249"/>
      <c r="E211" s="378">
        <v>90243</v>
      </c>
      <c r="F211" s="378">
        <v>5453</v>
      </c>
      <c r="G211" s="378"/>
      <c r="H211" s="378"/>
      <c r="I211" s="378">
        <v>106</v>
      </c>
      <c r="J211" s="378"/>
      <c r="K211" s="378">
        <v>591</v>
      </c>
      <c r="L211" s="378">
        <v>18902</v>
      </c>
      <c r="M211" s="259"/>
      <c r="N211" s="259"/>
      <c r="O211" s="35"/>
      <c r="P211" s="251"/>
      <c r="Q211" s="378">
        <v>2553</v>
      </c>
      <c r="R211" s="251"/>
      <c r="S211" s="378">
        <v>7720</v>
      </c>
      <c r="T211" s="378">
        <v>5387</v>
      </c>
      <c r="U211" s="252"/>
      <c r="V211" s="259"/>
      <c r="W211" s="251"/>
      <c r="X211" s="256"/>
      <c r="Y211" s="251"/>
      <c r="Z211" s="378">
        <f>33709+380+162+12</f>
        <v>34263</v>
      </c>
      <c r="AA211" s="378">
        <v>13387</v>
      </c>
      <c r="AB211" s="378">
        <f>2483+340-520-77</f>
        <v>2226</v>
      </c>
      <c r="AC211" s="378">
        <v>10468</v>
      </c>
      <c r="AD211" s="378">
        <f>29195+30+14+520+77</f>
        <v>29836</v>
      </c>
      <c r="AE211" s="359"/>
      <c r="AF211" s="359"/>
      <c r="AG211" s="359"/>
      <c r="AH211" s="359"/>
    </row>
    <row r="212" spans="2:34" s="262" customFormat="1" x14ac:dyDescent="0.2">
      <c r="B212" s="377">
        <v>42969</v>
      </c>
      <c r="C212" s="377">
        <v>42975</v>
      </c>
      <c r="D212" s="249"/>
      <c r="E212" s="378">
        <v>67878</v>
      </c>
      <c r="F212" s="378">
        <v>3221</v>
      </c>
      <c r="G212" s="378"/>
      <c r="H212" s="378"/>
      <c r="I212" s="378">
        <v>72</v>
      </c>
      <c r="J212" s="378"/>
      <c r="K212" s="378">
        <v>199</v>
      </c>
      <c r="L212" s="378">
        <v>16881</v>
      </c>
      <c r="M212" s="259"/>
      <c r="N212" s="259"/>
      <c r="O212" s="35"/>
      <c r="P212" s="251"/>
      <c r="Q212" s="378">
        <v>1778</v>
      </c>
      <c r="R212" s="251"/>
      <c r="S212" s="378">
        <v>7860</v>
      </c>
      <c r="T212" s="378">
        <v>5508</v>
      </c>
      <c r="U212" s="252"/>
      <c r="V212" s="259"/>
      <c r="W212" s="251"/>
      <c r="X212" s="256"/>
      <c r="Y212" s="251"/>
      <c r="Z212" s="378">
        <f>34200+577+115+23</f>
        <v>34915</v>
      </c>
      <c r="AA212" s="378">
        <v>12368</v>
      </c>
      <c r="AB212" s="378">
        <f>5874+460-652-76</f>
        <v>5606</v>
      </c>
      <c r="AC212" s="378">
        <v>10221</v>
      </c>
      <c r="AD212" s="378">
        <f>3980+24+9+652+76</f>
        <v>4741</v>
      </c>
      <c r="AE212" s="359"/>
      <c r="AF212" s="359"/>
      <c r="AG212" s="359"/>
      <c r="AH212" s="359"/>
    </row>
    <row r="213" spans="2:34" s="262" customFormat="1" x14ac:dyDescent="0.2">
      <c r="B213" s="377">
        <v>42976</v>
      </c>
      <c r="C213" s="377">
        <v>42982</v>
      </c>
      <c r="D213" s="249"/>
      <c r="E213" s="378">
        <v>57457</v>
      </c>
      <c r="F213" s="378">
        <v>1433</v>
      </c>
      <c r="G213" s="378"/>
      <c r="H213" s="378"/>
      <c r="I213" s="378">
        <v>28</v>
      </c>
      <c r="J213" s="378"/>
      <c r="K213" s="378">
        <v>62</v>
      </c>
      <c r="L213" s="378">
        <v>14766</v>
      </c>
      <c r="M213" s="259"/>
      <c r="N213" s="259"/>
      <c r="O213" s="35"/>
      <c r="P213" s="251"/>
      <c r="Q213" s="378">
        <v>747</v>
      </c>
      <c r="R213" s="251"/>
      <c r="S213" s="378">
        <v>6257</v>
      </c>
      <c r="T213" s="378">
        <v>4280</v>
      </c>
      <c r="U213" s="252"/>
      <c r="V213" s="259"/>
      <c r="W213" s="251"/>
      <c r="X213" s="256"/>
      <c r="Y213" s="251"/>
      <c r="Z213" s="378">
        <f>34053+362+265+10</f>
        <v>34690</v>
      </c>
      <c r="AA213" s="378">
        <v>9295</v>
      </c>
      <c r="AB213" s="378">
        <f>1764+219-811-51</f>
        <v>1121</v>
      </c>
      <c r="AC213" s="378">
        <v>9451</v>
      </c>
      <c r="AD213" s="378">
        <f>2003+14+13+811+51</f>
        <v>2892</v>
      </c>
      <c r="AE213" s="359"/>
      <c r="AF213" s="359"/>
      <c r="AG213" s="359"/>
      <c r="AH213" s="359"/>
    </row>
    <row r="214" spans="2:34" s="262" customFormat="1" x14ac:dyDescent="0.2">
      <c r="B214" s="249"/>
      <c r="C214" s="249"/>
      <c r="D214" s="249"/>
      <c r="E214" s="250"/>
      <c r="F214" s="250"/>
      <c r="G214" s="250"/>
      <c r="H214" s="250"/>
      <c r="I214" s="250"/>
      <c r="J214" s="250"/>
      <c r="K214" s="250"/>
      <c r="L214" s="250"/>
      <c r="M214" s="250"/>
      <c r="N214" s="250"/>
      <c r="O214" s="250"/>
      <c r="P214" s="251"/>
      <c r="Q214" s="250"/>
      <c r="R214" s="251"/>
      <c r="S214" s="250"/>
      <c r="T214" s="250"/>
      <c r="U214" s="252"/>
      <c r="V214" s="250"/>
      <c r="W214" s="251"/>
      <c r="X214" s="60"/>
      <c r="Y214" s="251"/>
      <c r="Z214" s="250"/>
      <c r="AA214" s="250"/>
      <c r="AB214" s="250"/>
      <c r="AC214" s="250"/>
      <c r="AD214" s="250"/>
      <c r="AE214" s="359"/>
      <c r="AF214" s="359"/>
      <c r="AG214" s="359"/>
      <c r="AH214" s="359"/>
    </row>
    <row r="215" spans="2:34" s="45" customFormat="1" x14ac:dyDescent="0.2">
      <c r="B215" s="275" t="s">
        <v>2</v>
      </c>
      <c r="C215" s="276"/>
      <c r="D215" s="249"/>
      <c r="E215" s="35">
        <f>SUM(E6:E213)</f>
        <v>9346883</v>
      </c>
      <c r="F215" s="35">
        <f>SUM(F6:F213)</f>
        <v>1393960</v>
      </c>
      <c r="G215" s="35">
        <f>SUM(G6:G187)</f>
        <v>1630627</v>
      </c>
      <c r="H215" s="35">
        <f>SUM(H6:H187)</f>
        <v>39778</v>
      </c>
      <c r="I215" s="35">
        <f>SUM(I6:I213)</f>
        <v>21948</v>
      </c>
      <c r="J215" s="35">
        <f>SUM(J6:J187)</f>
        <v>0</v>
      </c>
      <c r="K215" s="35">
        <f>SUM(K6:K213)</f>
        <v>13591</v>
      </c>
      <c r="L215" s="35">
        <f>SUM(L6:L213)</f>
        <v>2023011</v>
      </c>
      <c r="M215" s="35">
        <f>SUM(M6:M173)</f>
        <v>1790190</v>
      </c>
      <c r="N215" s="35">
        <f>SUM(N6:N174)</f>
        <v>1492758</v>
      </c>
      <c r="O215" s="35">
        <f>SUM(O173:O174)</f>
        <v>5692</v>
      </c>
      <c r="P215" s="98"/>
      <c r="Q215" s="35">
        <f>SUM(Q6:Q213)</f>
        <v>233928</v>
      </c>
      <c r="R215" s="98"/>
      <c r="S215" s="35">
        <f>SUM(S6:S213)</f>
        <v>362966</v>
      </c>
      <c r="T215" s="35">
        <f>SUM(T6:T213)</f>
        <v>218374</v>
      </c>
      <c r="U215" s="98"/>
      <c r="V215" s="35">
        <f>SUM(V6:V174)</f>
        <v>28327563</v>
      </c>
      <c r="W215" s="98"/>
      <c r="X215" s="35">
        <f>SUM(X6:X174)</f>
        <v>518232</v>
      </c>
      <c r="Y215" s="98"/>
      <c r="Z215" s="35">
        <f>SUM(Z6:Z213)</f>
        <v>3855676</v>
      </c>
      <c r="AA215" s="35">
        <f>SUM(AA6:AA213)</f>
        <v>1198757</v>
      </c>
      <c r="AB215" s="35">
        <f>SUM(AB6:AB213)</f>
        <v>1339345</v>
      </c>
      <c r="AC215" s="35">
        <f>SUM(AC6:AC213)</f>
        <v>884690</v>
      </c>
      <c r="AD215" s="35">
        <f>SUM(AD6:AD213)</f>
        <v>2107695</v>
      </c>
      <c r="AE215" s="97"/>
      <c r="AF215" s="97"/>
      <c r="AG215" s="97"/>
      <c r="AH215" s="97"/>
    </row>
    <row r="216" spans="2:34" ht="41.25" customHeight="1" x14ac:dyDescent="0.2">
      <c r="B216" s="514" t="s">
        <v>407</v>
      </c>
      <c r="C216" s="514"/>
      <c r="D216" s="514"/>
      <c r="E216" s="514"/>
      <c r="F216" s="514"/>
      <c r="G216" s="514"/>
      <c r="H216" s="514"/>
      <c r="I216" s="514"/>
      <c r="J216" s="514"/>
      <c r="K216" s="514"/>
      <c r="L216" s="514"/>
      <c r="M216" s="514"/>
      <c r="N216" s="514"/>
      <c r="O216" s="514"/>
      <c r="P216" s="514"/>
      <c r="Q216" s="514"/>
      <c r="R216" s="296"/>
      <c r="S216" s="295"/>
      <c r="T216" s="295"/>
      <c r="U216" s="99"/>
      <c r="V216" s="279"/>
      <c r="W216" s="99"/>
      <c r="X216" s="279"/>
      <c r="Y216" s="99"/>
      <c r="Z216" s="279"/>
      <c r="AA216" s="279"/>
      <c r="AB216" s="279"/>
      <c r="AC216" s="279"/>
      <c r="AD216" s="279"/>
    </row>
    <row r="217" spans="2:34" s="262" customFormat="1" ht="38.25" customHeight="1" x14ac:dyDescent="0.2">
      <c r="B217" s="514" t="s">
        <v>408</v>
      </c>
      <c r="C217" s="514"/>
      <c r="D217" s="514"/>
      <c r="E217" s="514"/>
      <c r="F217" s="514"/>
      <c r="G217" s="514"/>
      <c r="H217" s="514"/>
      <c r="I217" s="514"/>
      <c r="J217" s="514"/>
      <c r="K217" s="514"/>
      <c r="L217" s="514"/>
      <c r="M217" s="514"/>
      <c r="N217" s="514"/>
      <c r="O217" s="514"/>
      <c r="P217" s="514"/>
      <c r="Q217" s="514"/>
      <c r="R217" s="296"/>
      <c r="S217" s="295"/>
      <c r="T217" s="295"/>
      <c r="U217" s="99"/>
      <c r="V217" s="294"/>
      <c r="W217" s="99"/>
      <c r="X217" s="294"/>
      <c r="Y217" s="99"/>
      <c r="Z217" s="294"/>
      <c r="AA217" s="294"/>
      <c r="AB217" s="294"/>
      <c r="AC217" s="294"/>
      <c r="AD217" s="294"/>
      <c r="AE217" s="294"/>
      <c r="AF217" s="294"/>
      <c r="AG217" s="294"/>
      <c r="AH217" s="294"/>
    </row>
    <row r="218" spans="2:34" customFormat="1" ht="44.25" customHeight="1" x14ac:dyDescent="0.2">
      <c r="B218" s="514" t="s">
        <v>409</v>
      </c>
      <c r="C218" s="514"/>
      <c r="D218" s="514"/>
      <c r="E218" s="514"/>
      <c r="F218" s="514"/>
      <c r="G218" s="514"/>
      <c r="H218" s="514"/>
      <c r="I218" s="514"/>
      <c r="J218" s="514"/>
      <c r="K218" s="514"/>
      <c r="L218" s="514"/>
      <c r="M218" s="514"/>
      <c r="N218" s="514"/>
      <c r="O218" s="514"/>
      <c r="P218" s="514"/>
      <c r="Q218" s="514"/>
      <c r="R218" s="297"/>
      <c r="S218" s="297"/>
      <c r="T218" s="297"/>
      <c r="U218" s="279"/>
      <c r="V218" s="279"/>
      <c r="W218" s="279"/>
      <c r="X218" s="279"/>
      <c r="Y218" s="279"/>
      <c r="Z218" s="279"/>
      <c r="AA218" s="279"/>
      <c r="AB218" s="279"/>
      <c r="AC218" s="279"/>
      <c r="AD218" s="279"/>
    </row>
    <row r="219" spans="2:34" customFormat="1" ht="24.75" customHeight="1" x14ac:dyDescent="0.2">
      <c r="B219" s="515" t="s">
        <v>410</v>
      </c>
      <c r="C219" s="516"/>
      <c r="D219" s="516"/>
      <c r="E219" s="516"/>
      <c r="F219" s="516"/>
      <c r="G219" s="516"/>
      <c r="H219" s="516"/>
      <c r="I219" s="516"/>
      <c r="J219" s="516"/>
      <c r="K219" s="516"/>
      <c r="L219" s="516"/>
      <c r="M219" s="516"/>
      <c r="N219" s="516"/>
      <c r="O219" s="516"/>
      <c r="P219" s="516"/>
      <c r="Q219" s="516"/>
      <c r="R219" s="279"/>
      <c r="S219" s="279"/>
      <c r="T219" s="279"/>
      <c r="U219" s="279"/>
      <c r="V219" s="279"/>
      <c r="W219" s="279"/>
      <c r="X219" s="279"/>
      <c r="Y219" s="279"/>
      <c r="Z219" s="279"/>
      <c r="AA219" s="279"/>
      <c r="AB219" s="279"/>
      <c r="AC219" s="279"/>
      <c r="AD219" s="279"/>
    </row>
    <row r="220" spans="2:34" s="353" customFormat="1" ht="21" customHeight="1" x14ac:dyDescent="0.2">
      <c r="B220" s="517" t="s">
        <v>396</v>
      </c>
      <c r="C220" s="517"/>
      <c r="D220" s="517"/>
      <c r="E220" s="517"/>
      <c r="F220" s="517"/>
      <c r="G220" s="517"/>
      <c r="H220" s="517"/>
      <c r="I220" s="517"/>
      <c r="J220" s="517"/>
      <c r="K220" s="517"/>
      <c r="L220" s="517"/>
      <c r="M220" s="517"/>
      <c r="N220" s="517"/>
      <c r="O220" s="352"/>
      <c r="P220" s="352"/>
      <c r="Q220" s="352"/>
    </row>
    <row r="221" spans="2:34" s="359" customFormat="1" ht="21" customHeight="1" x14ac:dyDescent="0.2">
      <c r="B221" s="518" t="s">
        <v>406</v>
      </c>
      <c r="C221" s="518"/>
      <c r="D221" s="518"/>
      <c r="E221" s="518"/>
      <c r="F221" s="518"/>
      <c r="G221" s="518"/>
      <c r="H221" s="518"/>
      <c r="I221" s="518"/>
      <c r="J221" s="518"/>
      <c r="K221" s="518"/>
      <c r="L221" s="518"/>
      <c r="M221" s="518"/>
      <c r="N221" s="518"/>
      <c r="O221" s="518"/>
      <c r="P221" s="518"/>
      <c r="Q221" s="518"/>
      <c r="R221" s="518"/>
      <c r="S221" s="518"/>
      <c r="T221" s="518"/>
      <c r="U221" s="518"/>
      <c r="V221" s="518"/>
      <c r="W221" s="518"/>
      <c r="X221" s="518"/>
      <c r="Y221" s="518"/>
      <c r="Z221" s="518"/>
      <c r="AA221" s="518"/>
      <c r="AB221" s="518"/>
      <c r="AC221" s="518"/>
      <c r="AD221" s="518"/>
    </row>
    <row r="222" spans="2:34" customFormat="1" ht="12.75" customHeight="1" x14ac:dyDescent="0.2">
      <c r="B222" s="249"/>
      <c r="C222" s="249"/>
      <c r="D222" s="249"/>
      <c r="E222" s="273"/>
      <c r="F222" s="273"/>
      <c r="G222" s="273"/>
      <c r="H222" s="273"/>
      <c r="I222" s="273"/>
      <c r="J222" s="273"/>
      <c r="K222" s="273"/>
      <c r="L222" s="273"/>
      <c r="M222" s="273"/>
      <c r="N222" s="273"/>
      <c r="O222" s="273"/>
      <c r="P222" s="249"/>
      <c r="Q222" s="56"/>
      <c r="R222" s="262"/>
      <c r="S222" s="56"/>
      <c r="T222" s="56"/>
      <c r="U222" s="262"/>
      <c r="V222" s="262"/>
      <c r="W222" s="262"/>
      <c r="X222" s="262"/>
      <c r="Y222" s="262"/>
      <c r="Z222" s="274" t="s">
        <v>71</v>
      </c>
      <c r="AA222" s="274"/>
      <c r="AB222" s="274"/>
      <c r="AC222" s="274"/>
      <c r="AD222" s="274"/>
    </row>
    <row r="223" spans="2:34" ht="12.75" customHeight="1" x14ac:dyDescent="0.2">
      <c r="B223" s="57" t="s">
        <v>17</v>
      </c>
      <c r="C223" s="57" t="s">
        <v>18</v>
      </c>
      <c r="D223" s="249"/>
      <c r="E223" s="57" t="s">
        <v>4</v>
      </c>
      <c r="F223" s="3" t="s">
        <v>397</v>
      </c>
      <c r="G223" s="57" t="s">
        <v>13</v>
      </c>
      <c r="H223" s="57"/>
      <c r="I223" s="57" t="s">
        <v>14</v>
      </c>
      <c r="J223" s="58" t="s">
        <v>69</v>
      </c>
      <c r="K223" s="57" t="s">
        <v>150</v>
      </c>
      <c r="L223" s="57" t="s">
        <v>398</v>
      </c>
      <c r="M223" s="57" t="s">
        <v>15</v>
      </c>
      <c r="N223" s="57" t="s">
        <v>77</v>
      </c>
      <c r="O223" s="57" t="s">
        <v>363</v>
      </c>
      <c r="P223" s="249"/>
      <c r="Q223" s="57" t="s">
        <v>148</v>
      </c>
      <c r="S223" s="3" t="s">
        <v>173</v>
      </c>
      <c r="T223" s="3" t="s">
        <v>174</v>
      </c>
      <c r="V223" s="3" t="s">
        <v>16</v>
      </c>
      <c r="X223" s="3" t="s">
        <v>76</v>
      </c>
      <c r="Y223" s="398"/>
      <c r="Z223" s="3" t="s">
        <v>66</v>
      </c>
      <c r="AA223" s="3" t="s">
        <v>73</v>
      </c>
      <c r="AB223" s="3" t="s">
        <v>67</v>
      </c>
      <c r="AC223" s="3" t="s">
        <v>68</v>
      </c>
      <c r="AD223" s="3" t="s">
        <v>74</v>
      </c>
    </row>
    <row r="224" spans="2:34" x14ac:dyDescent="0.2">
      <c r="B224" s="374">
        <v>41518</v>
      </c>
      <c r="C224" s="374">
        <v>41547</v>
      </c>
      <c r="D224" s="395"/>
      <c r="E224" s="375">
        <v>346501</v>
      </c>
      <c r="F224" s="375">
        <v>67675</v>
      </c>
      <c r="G224" s="375">
        <v>67675</v>
      </c>
      <c r="H224" s="375" t="s">
        <v>145</v>
      </c>
      <c r="I224" s="375">
        <v>1526</v>
      </c>
      <c r="J224" s="375"/>
      <c r="K224" s="375" t="s">
        <v>145</v>
      </c>
      <c r="L224" s="375">
        <v>35616</v>
      </c>
      <c r="M224" s="375">
        <v>58640</v>
      </c>
      <c r="N224" s="375">
        <v>35616</v>
      </c>
      <c r="O224" s="375"/>
      <c r="P224" s="396"/>
      <c r="Q224" s="375" t="s">
        <v>145</v>
      </c>
      <c r="R224" s="364"/>
      <c r="S224" s="375" t="s">
        <v>145</v>
      </c>
      <c r="T224" s="375" t="s">
        <v>145</v>
      </c>
      <c r="U224" s="392"/>
      <c r="V224" s="393">
        <v>771788</v>
      </c>
      <c r="W224" s="391"/>
      <c r="X224" s="393">
        <v>18704</v>
      </c>
      <c r="Y224" s="399"/>
      <c r="Z224" s="393">
        <v>240521</v>
      </c>
      <c r="AA224" s="393">
        <v>51468</v>
      </c>
      <c r="AB224" s="393">
        <v>16744</v>
      </c>
      <c r="AC224" s="393">
        <v>15461</v>
      </c>
      <c r="AD224" s="393">
        <v>22250</v>
      </c>
    </row>
    <row r="225" spans="2:42" x14ac:dyDescent="0.2">
      <c r="B225" s="374">
        <v>41548</v>
      </c>
      <c r="C225" s="374">
        <v>41578</v>
      </c>
      <c r="D225" s="395"/>
      <c r="E225" s="375">
        <v>254381</v>
      </c>
      <c r="F225" s="375">
        <v>89761</v>
      </c>
      <c r="G225" s="375">
        <v>89761</v>
      </c>
      <c r="H225" s="375" t="s">
        <v>145</v>
      </c>
      <c r="I225" s="375">
        <v>989</v>
      </c>
      <c r="J225" s="375"/>
      <c r="K225" s="375" t="s">
        <v>145</v>
      </c>
      <c r="L225" s="375">
        <v>26708</v>
      </c>
      <c r="M225" s="375">
        <v>45688</v>
      </c>
      <c r="N225" s="375">
        <v>26708</v>
      </c>
      <c r="O225" s="375"/>
      <c r="P225" s="396"/>
      <c r="Q225" s="375" t="s">
        <v>145</v>
      </c>
      <c r="R225" s="364"/>
      <c r="S225" s="375" t="s">
        <v>145</v>
      </c>
      <c r="T225" s="375" t="s">
        <v>145</v>
      </c>
      <c r="U225" s="392"/>
      <c r="V225" s="393">
        <v>1383644</v>
      </c>
      <c r="W225" s="391"/>
      <c r="X225" s="393">
        <v>33403</v>
      </c>
      <c r="Y225" s="399"/>
      <c r="Z225" s="393">
        <v>182261</v>
      </c>
      <c r="AA225" s="393">
        <v>41414</v>
      </c>
      <c r="AB225" s="393">
        <v>12917</v>
      </c>
      <c r="AC225" s="393">
        <v>15329</v>
      </c>
      <c r="AD225" s="393">
        <v>2538</v>
      </c>
    </row>
    <row r="226" spans="2:42" x14ac:dyDescent="0.2">
      <c r="B226" s="374">
        <v>41579</v>
      </c>
      <c r="C226" s="374">
        <v>41608</v>
      </c>
      <c r="D226" s="395"/>
      <c r="E226" s="375">
        <v>215923</v>
      </c>
      <c r="F226" s="375">
        <v>76131</v>
      </c>
      <c r="G226" s="375">
        <v>76131</v>
      </c>
      <c r="H226" s="375" t="s">
        <v>145</v>
      </c>
      <c r="I226" s="375">
        <v>822</v>
      </c>
      <c r="J226" s="375"/>
      <c r="K226" s="375" t="s">
        <v>145</v>
      </c>
      <c r="L226" s="375">
        <v>29686</v>
      </c>
      <c r="M226" s="375">
        <v>52235</v>
      </c>
      <c r="N226" s="375">
        <v>29686</v>
      </c>
      <c r="O226" s="375"/>
      <c r="P226" s="396"/>
      <c r="Q226" s="375" t="s">
        <v>145</v>
      </c>
      <c r="R226" s="364"/>
      <c r="S226" s="375" t="s">
        <v>145</v>
      </c>
      <c r="T226" s="375" t="s">
        <v>145</v>
      </c>
      <c r="U226" s="392"/>
      <c r="V226" s="393">
        <v>1258719</v>
      </c>
      <c r="W226" s="391"/>
      <c r="X226" s="393">
        <v>12126</v>
      </c>
      <c r="Y226" s="399"/>
      <c r="Z226" s="393">
        <v>101254</v>
      </c>
      <c r="AA226" s="393">
        <v>55225</v>
      </c>
      <c r="AB226" s="393">
        <v>13895</v>
      </c>
      <c r="AC226" s="393">
        <v>25757</v>
      </c>
      <c r="AD226" s="393">
        <v>19770</v>
      </c>
    </row>
    <row r="227" spans="2:42" x14ac:dyDescent="0.2">
      <c r="B227" s="374">
        <v>41609</v>
      </c>
      <c r="C227" s="374">
        <v>41639</v>
      </c>
      <c r="D227" s="395"/>
      <c r="E227" s="375">
        <v>258973</v>
      </c>
      <c r="F227" s="375">
        <v>63221</v>
      </c>
      <c r="G227" s="375">
        <v>63221</v>
      </c>
      <c r="H227" s="375" t="s">
        <v>145</v>
      </c>
      <c r="I227" s="375">
        <v>924</v>
      </c>
      <c r="J227" s="375"/>
      <c r="K227" s="375" t="s">
        <v>145</v>
      </c>
      <c r="L227" s="375">
        <v>29815</v>
      </c>
      <c r="M227" s="375">
        <v>64422</v>
      </c>
      <c r="N227" s="375">
        <v>29815</v>
      </c>
      <c r="O227" s="375"/>
      <c r="P227" s="396"/>
      <c r="Q227" s="375" t="s">
        <v>145</v>
      </c>
      <c r="R227" s="364"/>
      <c r="S227" s="375" t="s">
        <v>145</v>
      </c>
      <c r="T227" s="375" t="s">
        <v>145</v>
      </c>
      <c r="U227" s="392"/>
      <c r="V227" s="393">
        <v>1202349</v>
      </c>
      <c r="W227" s="391"/>
      <c r="X227" s="393">
        <v>6929</v>
      </c>
      <c r="Y227" s="399"/>
      <c r="Z227" s="393">
        <v>155435</v>
      </c>
      <c r="AA227" s="393">
        <v>44524</v>
      </c>
      <c r="AB227" s="393">
        <v>12482</v>
      </c>
      <c r="AC227" s="393">
        <v>14482</v>
      </c>
      <c r="AD227" s="393">
        <v>32026</v>
      </c>
    </row>
    <row r="228" spans="2:42" s="39" customFormat="1" x14ac:dyDescent="0.2">
      <c r="B228" s="374">
        <v>41640</v>
      </c>
      <c r="C228" s="374">
        <v>41670</v>
      </c>
      <c r="D228" s="395"/>
      <c r="E228" s="375">
        <v>205716</v>
      </c>
      <c r="F228" s="375">
        <v>66577</v>
      </c>
      <c r="G228" s="375">
        <v>66577</v>
      </c>
      <c r="H228" s="375" t="s">
        <v>145</v>
      </c>
      <c r="I228" s="375">
        <v>700</v>
      </c>
      <c r="J228" s="375"/>
      <c r="K228" s="375" t="s">
        <v>145</v>
      </c>
      <c r="L228" s="375">
        <v>27142</v>
      </c>
      <c r="M228" s="375">
        <v>57958</v>
      </c>
      <c r="N228" s="375">
        <v>27142</v>
      </c>
      <c r="O228" s="375"/>
      <c r="P228" s="396"/>
      <c r="Q228" s="375" t="s">
        <v>145</v>
      </c>
      <c r="R228" s="364"/>
      <c r="S228" s="375" t="s">
        <v>145</v>
      </c>
      <c r="T228" s="375" t="s">
        <v>145</v>
      </c>
      <c r="U228" s="391"/>
      <c r="V228" s="393">
        <v>1238811</v>
      </c>
      <c r="W228" s="391"/>
      <c r="X228" s="393">
        <v>5305</v>
      </c>
      <c r="Y228" s="399"/>
      <c r="Z228" s="393">
        <v>129488</v>
      </c>
      <c r="AA228" s="393">
        <v>43395</v>
      </c>
      <c r="AB228" s="393">
        <v>13616</v>
      </c>
      <c r="AC228" s="393">
        <v>15720</v>
      </c>
      <c r="AD228" s="393">
        <v>3476</v>
      </c>
      <c r="AE228"/>
      <c r="AF228"/>
      <c r="AG228"/>
      <c r="AH228"/>
    </row>
    <row r="229" spans="2:42" s="40" customFormat="1" x14ac:dyDescent="0.2">
      <c r="B229" s="374">
        <v>41671</v>
      </c>
      <c r="C229" s="374">
        <v>41698</v>
      </c>
      <c r="D229" s="395"/>
      <c r="E229" s="375">
        <v>212711</v>
      </c>
      <c r="F229" s="375">
        <v>67686</v>
      </c>
      <c r="G229" s="375">
        <v>67686</v>
      </c>
      <c r="H229" s="375" t="s">
        <v>145</v>
      </c>
      <c r="I229" s="375">
        <v>887</v>
      </c>
      <c r="J229" s="375"/>
      <c r="K229" s="375" t="s">
        <v>145</v>
      </c>
      <c r="L229" s="375">
        <v>25586</v>
      </c>
      <c r="M229" s="375">
        <v>56819</v>
      </c>
      <c r="N229" s="375">
        <v>25586</v>
      </c>
      <c r="O229" s="375"/>
      <c r="P229" s="396"/>
      <c r="Q229" s="375" t="s">
        <v>145</v>
      </c>
      <c r="R229" s="364"/>
      <c r="S229" s="375" t="s">
        <v>145</v>
      </c>
      <c r="T229" s="375" t="s">
        <v>145</v>
      </c>
      <c r="U229" s="391"/>
      <c r="V229" s="393">
        <v>1110400</v>
      </c>
      <c r="W229" s="391"/>
      <c r="X229" s="393">
        <v>7416</v>
      </c>
      <c r="Y229" s="399"/>
      <c r="Z229" s="393">
        <v>117658</v>
      </c>
      <c r="AA229" s="393">
        <v>40232</v>
      </c>
      <c r="AB229" s="393">
        <v>12082</v>
      </c>
      <c r="AC229" s="393">
        <v>12485</v>
      </c>
      <c r="AD229" s="393">
        <v>30204</v>
      </c>
      <c r="AE229"/>
      <c r="AF229"/>
      <c r="AG229"/>
      <c r="AH229"/>
    </row>
    <row r="230" spans="2:42" s="42" customFormat="1" x14ac:dyDescent="0.2">
      <c r="B230" s="374">
        <v>41699</v>
      </c>
      <c r="C230" s="374">
        <v>41729</v>
      </c>
      <c r="D230" s="395"/>
      <c r="E230" s="375">
        <v>245593</v>
      </c>
      <c r="F230" s="375">
        <v>64641</v>
      </c>
      <c r="G230" s="375">
        <v>64641</v>
      </c>
      <c r="H230" s="375" t="s">
        <v>145</v>
      </c>
      <c r="I230" s="375">
        <v>814</v>
      </c>
      <c r="J230" s="375"/>
      <c r="K230" s="375" t="s">
        <v>145</v>
      </c>
      <c r="L230" s="375">
        <v>30273</v>
      </c>
      <c r="M230" s="375">
        <v>64123</v>
      </c>
      <c r="N230" s="375">
        <v>30273</v>
      </c>
      <c r="O230" s="375"/>
      <c r="P230" s="396"/>
      <c r="Q230" s="375" t="s">
        <v>145</v>
      </c>
      <c r="R230" s="364"/>
      <c r="S230" s="375" t="s">
        <v>145</v>
      </c>
      <c r="T230" s="375" t="s">
        <v>145</v>
      </c>
      <c r="U230" s="391"/>
      <c r="V230" s="393">
        <v>1159951</v>
      </c>
      <c r="W230" s="391"/>
      <c r="X230" s="393">
        <v>27643</v>
      </c>
      <c r="Y230" s="399"/>
      <c r="Z230" s="393">
        <v>174901</v>
      </c>
      <c r="AA230" s="393">
        <v>42132</v>
      </c>
      <c r="AB230" s="393">
        <v>12394</v>
      </c>
      <c r="AC230" s="393">
        <v>12216</v>
      </c>
      <c r="AD230" s="393">
        <v>2010</v>
      </c>
      <c r="AE230"/>
      <c r="AF230"/>
      <c r="AG230"/>
      <c r="AH230"/>
    </row>
    <row r="231" spans="2:42" s="44" customFormat="1" x14ac:dyDescent="0.2">
      <c r="B231" s="374">
        <v>41730</v>
      </c>
      <c r="C231" s="374">
        <v>41759</v>
      </c>
      <c r="D231" s="395"/>
      <c r="E231" s="375">
        <v>280054</v>
      </c>
      <c r="F231" s="375">
        <v>62574</v>
      </c>
      <c r="G231" s="375">
        <v>62574</v>
      </c>
      <c r="H231" s="375" t="s">
        <v>145</v>
      </c>
      <c r="I231" s="375">
        <v>887</v>
      </c>
      <c r="J231" s="375"/>
      <c r="K231" s="375" t="s">
        <v>145</v>
      </c>
      <c r="L231" s="375">
        <v>33442</v>
      </c>
      <c r="M231" s="375">
        <v>77041</v>
      </c>
      <c r="N231" s="375">
        <v>33442</v>
      </c>
      <c r="O231" s="375"/>
      <c r="P231" s="396"/>
      <c r="Q231" s="375" t="s">
        <v>145</v>
      </c>
      <c r="R231" s="364"/>
      <c r="S231" s="375" t="s">
        <v>145</v>
      </c>
      <c r="T231" s="375" t="s">
        <v>145</v>
      </c>
      <c r="U231" s="391"/>
      <c r="V231" s="393">
        <v>1245358</v>
      </c>
      <c r="W231" s="391"/>
      <c r="X231" s="393">
        <v>37042</v>
      </c>
      <c r="Y231" s="399"/>
      <c r="Z231" s="393">
        <v>173415</v>
      </c>
      <c r="AA231" s="393">
        <v>33556</v>
      </c>
      <c r="AB231" s="393">
        <v>10563</v>
      </c>
      <c r="AC231" s="393">
        <v>12129</v>
      </c>
      <c r="AD231" s="393">
        <v>50043</v>
      </c>
      <c r="AE231"/>
      <c r="AF231"/>
      <c r="AG231"/>
      <c r="AH231"/>
    </row>
    <row r="232" spans="2:42" s="45" customFormat="1" ht="15.75" x14ac:dyDescent="0.25">
      <c r="B232" s="374">
        <v>41760</v>
      </c>
      <c r="C232" s="374">
        <v>41790</v>
      </c>
      <c r="D232" s="395"/>
      <c r="E232" s="375">
        <v>232979</v>
      </c>
      <c r="F232" s="375">
        <v>51237</v>
      </c>
      <c r="G232" s="375">
        <v>51237</v>
      </c>
      <c r="H232" s="375" t="s">
        <v>145</v>
      </c>
      <c r="I232" s="375">
        <v>694</v>
      </c>
      <c r="J232" s="375"/>
      <c r="K232" s="375" t="s">
        <v>145</v>
      </c>
      <c r="L232" s="375">
        <v>26770</v>
      </c>
      <c r="M232" s="375">
        <v>57683</v>
      </c>
      <c r="N232" s="375">
        <v>26770</v>
      </c>
      <c r="O232" s="375"/>
      <c r="P232" s="396"/>
      <c r="Q232" s="375" t="s">
        <v>145</v>
      </c>
      <c r="R232" s="364"/>
      <c r="S232" s="375" t="s">
        <v>145</v>
      </c>
      <c r="T232" s="375" t="s">
        <v>145</v>
      </c>
      <c r="U232" s="391"/>
      <c r="V232" s="393">
        <v>1139631</v>
      </c>
      <c r="W232" s="391"/>
      <c r="X232" s="393">
        <v>40106</v>
      </c>
      <c r="Y232" s="399"/>
      <c r="Z232" s="393">
        <v>181927</v>
      </c>
      <c r="AA232" s="393">
        <v>25416</v>
      </c>
      <c r="AB232" s="393">
        <v>8455</v>
      </c>
      <c r="AC232" s="393">
        <v>11510</v>
      </c>
      <c r="AD232" s="393">
        <v>5623</v>
      </c>
      <c r="AE232" s="359"/>
      <c r="AF232" s="359"/>
      <c r="AG232" s="359"/>
      <c r="AH232" s="359"/>
      <c r="AI232" s="262"/>
      <c r="AJ232" s="262"/>
      <c r="AK232" s="262"/>
      <c r="AL232" s="262"/>
      <c r="AM232" s="262"/>
      <c r="AN232" s="481"/>
      <c r="AO232" s="481"/>
      <c r="AP232" s="481"/>
    </row>
    <row r="233" spans="2:42" s="45" customFormat="1" x14ac:dyDescent="0.2">
      <c r="B233" s="374">
        <v>41791</v>
      </c>
      <c r="C233" s="374">
        <v>41820</v>
      </c>
      <c r="D233" s="395"/>
      <c r="E233" s="375">
        <v>166537</v>
      </c>
      <c r="F233" s="375">
        <v>47757</v>
      </c>
      <c r="G233" s="375">
        <v>47757</v>
      </c>
      <c r="H233" s="375" t="s">
        <v>145</v>
      </c>
      <c r="I233" s="375">
        <v>511</v>
      </c>
      <c r="J233" s="375"/>
      <c r="K233" s="375" t="s">
        <v>145</v>
      </c>
      <c r="L233" s="375">
        <v>19330</v>
      </c>
      <c r="M233" s="375">
        <v>42363</v>
      </c>
      <c r="N233" s="375">
        <v>19330</v>
      </c>
      <c r="O233" s="375"/>
      <c r="P233" s="396"/>
      <c r="Q233" s="375" t="s">
        <v>145</v>
      </c>
      <c r="R233" s="364"/>
      <c r="S233" s="375" t="s">
        <v>145</v>
      </c>
      <c r="T233" s="375" t="s">
        <v>145</v>
      </c>
      <c r="U233" s="391"/>
      <c r="V233" s="393">
        <v>542988</v>
      </c>
      <c r="W233" s="391"/>
      <c r="X233" s="393">
        <v>37202</v>
      </c>
      <c r="Y233" s="399"/>
      <c r="Z233" s="393">
        <v>125850</v>
      </c>
      <c r="AA233" s="393">
        <v>22322</v>
      </c>
      <c r="AB233" s="393">
        <v>6024</v>
      </c>
      <c r="AC233" s="393">
        <v>10646</v>
      </c>
      <c r="AD233" s="393">
        <v>1676</v>
      </c>
      <c r="AE233"/>
      <c r="AF233"/>
      <c r="AG233"/>
      <c r="AH233"/>
    </row>
    <row r="234" spans="2:42" s="45" customFormat="1" x14ac:dyDescent="0.2">
      <c r="B234" s="374">
        <v>41821</v>
      </c>
      <c r="C234" s="374">
        <v>41851</v>
      </c>
      <c r="D234" s="395"/>
      <c r="E234" s="375">
        <v>180361</v>
      </c>
      <c r="F234" s="375">
        <v>50429</v>
      </c>
      <c r="G234" s="375">
        <v>50429</v>
      </c>
      <c r="H234" s="375" t="s">
        <v>145</v>
      </c>
      <c r="I234" s="375">
        <v>548</v>
      </c>
      <c r="J234" s="375"/>
      <c r="K234" s="375" t="s">
        <v>145</v>
      </c>
      <c r="L234" s="375">
        <v>20775</v>
      </c>
      <c r="M234" s="375">
        <v>46202</v>
      </c>
      <c r="N234" s="375">
        <v>20775</v>
      </c>
      <c r="O234" s="375"/>
      <c r="P234" s="396"/>
      <c r="Q234" s="375" t="s">
        <v>145</v>
      </c>
      <c r="R234" s="364"/>
      <c r="S234" s="375" t="s">
        <v>145</v>
      </c>
      <c r="T234" s="375" t="s">
        <v>145</v>
      </c>
      <c r="U234" s="391"/>
      <c r="V234" s="393">
        <v>584848</v>
      </c>
      <c r="W234" s="391"/>
      <c r="X234" s="393">
        <v>35992</v>
      </c>
      <c r="Y234" s="399"/>
      <c r="Z234" s="393">
        <v>137259</v>
      </c>
      <c r="AA234" s="393">
        <v>24083</v>
      </c>
      <c r="AB234" s="393">
        <v>6772</v>
      </c>
      <c r="AC234" s="393">
        <v>11229</v>
      </c>
      <c r="AD234" s="393">
        <v>982</v>
      </c>
      <c r="AE234"/>
      <c r="AF234"/>
      <c r="AG234"/>
      <c r="AH234"/>
    </row>
    <row r="235" spans="2:42" s="43" customFormat="1" x14ac:dyDescent="0.2">
      <c r="B235" s="374">
        <v>41852</v>
      </c>
      <c r="C235" s="374">
        <v>41882</v>
      </c>
      <c r="D235" s="395"/>
      <c r="E235" s="375">
        <v>102792</v>
      </c>
      <c r="F235" s="375">
        <v>32498</v>
      </c>
      <c r="G235" s="375">
        <v>32498</v>
      </c>
      <c r="H235" s="375" t="s">
        <v>145</v>
      </c>
      <c r="I235" s="375">
        <v>147</v>
      </c>
      <c r="J235" s="375"/>
      <c r="K235" s="375">
        <v>61</v>
      </c>
      <c r="L235" s="375">
        <v>23975</v>
      </c>
      <c r="M235" s="375">
        <v>24033</v>
      </c>
      <c r="N235" s="375">
        <v>23975</v>
      </c>
      <c r="O235" s="375"/>
      <c r="P235" s="397"/>
      <c r="Q235" s="375">
        <v>3101</v>
      </c>
      <c r="R235" s="52"/>
      <c r="S235" s="375" t="s">
        <v>145</v>
      </c>
      <c r="T235" s="375" t="s">
        <v>145</v>
      </c>
      <c r="U235" s="391"/>
      <c r="V235" s="375">
        <v>505349</v>
      </c>
      <c r="W235" s="394"/>
      <c r="X235" s="375">
        <v>33692</v>
      </c>
      <c r="Y235" s="397"/>
      <c r="Z235" s="375">
        <v>63040</v>
      </c>
      <c r="AA235" s="375">
        <v>11460</v>
      </c>
      <c r="AB235" s="375">
        <v>20182</v>
      </c>
      <c r="AC235" s="375">
        <v>8091</v>
      </c>
      <c r="AD235" s="375">
        <v>15</v>
      </c>
      <c r="AE235"/>
      <c r="AF235"/>
      <c r="AG235"/>
      <c r="AH235"/>
    </row>
    <row r="236" spans="2:42" s="45" customFormat="1" x14ac:dyDescent="0.2">
      <c r="B236" s="374">
        <v>41883</v>
      </c>
      <c r="C236" s="374">
        <v>41912</v>
      </c>
      <c r="D236" s="395"/>
      <c r="E236" s="375">
        <v>102771</v>
      </c>
      <c r="F236" s="375">
        <v>42700</v>
      </c>
      <c r="G236" s="375">
        <v>42700</v>
      </c>
      <c r="H236" s="375" t="s">
        <v>145</v>
      </c>
      <c r="I236" s="375">
        <v>168</v>
      </c>
      <c r="J236" s="375"/>
      <c r="K236" s="375">
        <v>67</v>
      </c>
      <c r="L236" s="375">
        <v>24310</v>
      </c>
      <c r="M236" s="375">
        <v>24621</v>
      </c>
      <c r="N236" s="375">
        <v>24310</v>
      </c>
      <c r="O236" s="375"/>
      <c r="P236" s="397"/>
      <c r="Q236" s="375">
        <v>2957</v>
      </c>
      <c r="R236" s="397"/>
      <c r="S236" s="375">
        <v>113</v>
      </c>
      <c r="T236" s="375">
        <v>21</v>
      </c>
      <c r="U236" s="391"/>
      <c r="V236" s="375">
        <v>532781</v>
      </c>
      <c r="W236" s="394"/>
      <c r="X236" s="375">
        <v>40128</v>
      </c>
      <c r="Y236" s="397"/>
      <c r="Z236" s="375">
        <v>71909</v>
      </c>
      <c r="AA236" s="375">
        <v>7829</v>
      </c>
      <c r="AB236" s="375">
        <v>20452</v>
      </c>
      <c r="AC236" s="375">
        <v>2502</v>
      </c>
      <c r="AD236" s="375">
        <v>70</v>
      </c>
      <c r="AE236"/>
      <c r="AF236"/>
      <c r="AG236"/>
      <c r="AH236"/>
    </row>
    <row r="237" spans="2:42" s="45" customFormat="1" x14ac:dyDescent="0.2">
      <c r="B237" s="374">
        <v>41913</v>
      </c>
      <c r="C237" s="374">
        <v>41943</v>
      </c>
      <c r="D237" s="395"/>
      <c r="E237" s="375">
        <v>121128</v>
      </c>
      <c r="F237" s="375">
        <v>48464</v>
      </c>
      <c r="G237" s="375">
        <v>48464</v>
      </c>
      <c r="H237" s="375" t="s">
        <v>145</v>
      </c>
      <c r="I237" s="375">
        <v>170</v>
      </c>
      <c r="J237" s="375"/>
      <c r="K237" s="375">
        <v>82</v>
      </c>
      <c r="L237" s="375">
        <v>27948</v>
      </c>
      <c r="M237" s="375">
        <v>27949</v>
      </c>
      <c r="N237" s="375">
        <v>27948</v>
      </c>
      <c r="O237" s="375"/>
      <c r="P237" s="397"/>
      <c r="Q237" s="375">
        <v>3283</v>
      </c>
      <c r="R237" s="397"/>
      <c r="S237" s="375">
        <v>5816</v>
      </c>
      <c r="T237" s="375">
        <v>1517</v>
      </c>
      <c r="U237" s="391"/>
      <c r="V237" s="375">
        <v>555513</v>
      </c>
      <c r="W237" s="394"/>
      <c r="X237" s="375">
        <v>24851</v>
      </c>
      <c r="Y237" s="397"/>
      <c r="Z237" s="375">
        <v>84222</v>
      </c>
      <c r="AA237" s="375">
        <v>7709</v>
      </c>
      <c r="AB237" s="375">
        <v>27460</v>
      </c>
      <c r="AC237" s="375">
        <v>1689</v>
      </c>
      <c r="AD237" s="375">
        <v>46</v>
      </c>
      <c r="AE237"/>
      <c r="AF237"/>
      <c r="AG237"/>
      <c r="AH237"/>
    </row>
    <row r="238" spans="2:42" s="45" customFormat="1" x14ac:dyDescent="0.2">
      <c r="B238" s="374">
        <v>41944</v>
      </c>
      <c r="C238" s="374">
        <v>41973</v>
      </c>
      <c r="D238" s="395"/>
      <c r="E238" s="375">
        <v>180971</v>
      </c>
      <c r="F238" s="375">
        <v>49780</v>
      </c>
      <c r="G238" s="375">
        <v>49780</v>
      </c>
      <c r="H238" s="375" t="s">
        <v>145</v>
      </c>
      <c r="I238" s="375">
        <v>260</v>
      </c>
      <c r="J238" s="375"/>
      <c r="K238" s="375">
        <v>343</v>
      </c>
      <c r="L238" s="375">
        <v>35534</v>
      </c>
      <c r="M238" s="375">
        <v>35534</v>
      </c>
      <c r="N238" s="375">
        <v>35534</v>
      </c>
      <c r="O238" s="375"/>
      <c r="P238" s="397"/>
      <c r="Q238" s="375">
        <v>4701</v>
      </c>
      <c r="R238" s="400"/>
      <c r="S238" s="375">
        <v>8338</v>
      </c>
      <c r="T238" s="375">
        <v>2505</v>
      </c>
      <c r="U238" s="391"/>
      <c r="V238" s="375">
        <v>562655</v>
      </c>
      <c r="W238" s="394"/>
      <c r="X238" s="375">
        <v>37730</v>
      </c>
      <c r="Y238" s="400"/>
      <c r="Z238" s="375">
        <v>96979</v>
      </c>
      <c r="AA238" s="375">
        <v>8927</v>
      </c>
      <c r="AB238" s="375">
        <v>47290</v>
      </c>
      <c r="AC238" s="375">
        <v>1876</v>
      </c>
      <c r="AD238" s="375">
        <v>25898</v>
      </c>
      <c r="AE238"/>
      <c r="AF238"/>
      <c r="AG238"/>
      <c r="AH238"/>
    </row>
    <row r="239" spans="2:42" s="54" customFormat="1" x14ac:dyDescent="0.2">
      <c r="B239" s="374">
        <v>42339</v>
      </c>
      <c r="C239" s="374">
        <v>42369</v>
      </c>
      <c r="D239" s="395"/>
      <c r="E239" s="375">
        <v>271592</v>
      </c>
      <c r="F239" s="375">
        <v>62153</v>
      </c>
      <c r="G239" s="375">
        <v>62153</v>
      </c>
      <c r="H239" s="375" t="s">
        <v>145</v>
      </c>
      <c r="I239" s="375">
        <v>491</v>
      </c>
      <c r="J239" s="375"/>
      <c r="K239" s="375">
        <v>773</v>
      </c>
      <c r="L239" s="375">
        <v>51397</v>
      </c>
      <c r="M239" s="375">
        <v>51397</v>
      </c>
      <c r="N239" s="375">
        <v>51397</v>
      </c>
      <c r="O239" s="375"/>
      <c r="P239" s="397"/>
      <c r="Q239" s="375">
        <v>7994</v>
      </c>
      <c r="R239" s="400"/>
      <c r="S239" s="375">
        <v>20825</v>
      </c>
      <c r="T239" s="375">
        <v>4188</v>
      </c>
      <c r="U239" s="394"/>
      <c r="V239" s="375">
        <v>580777</v>
      </c>
      <c r="W239" s="394"/>
      <c r="X239" s="375">
        <v>32688</v>
      </c>
      <c r="Y239" s="400"/>
      <c r="Z239" s="375">
        <v>107162</v>
      </c>
      <c r="AA239" s="375">
        <v>9595</v>
      </c>
      <c r="AB239" s="375">
        <v>52611</v>
      </c>
      <c r="AC239" s="375">
        <v>2635</v>
      </c>
      <c r="AD239" s="375">
        <v>99509</v>
      </c>
      <c r="AE239"/>
      <c r="AF239"/>
      <c r="AG239"/>
      <c r="AH239"/>
    </row>
    <row r="240" spans="2:42" s="54" customFormat="1" x14ac:dyDescent="0.2">
      <c r="B240" s="374">
        <v>42005</v>
      </c>
      <c r="C240" s="374">
        <v>42035</v>
      </c>
      <c r="D240" s="395"/>
      <c r="E240" s="375">
        <v>270415</v>
      </c>
      <c r="F240" s="375">
        <v>55573</v>
      </c>
      <c r="G240" s="375">
        <v>55573</v>
      </c>
      <c r="H240" s="375" t="s">
        <v>145</v>
      </c>
      <c r="I240" s="375">
        <v>393</v>
      </c>
      <c r="J240" s="375"/>
      <c r="K240" s="375">
        <v>1189</v>
      </c>
      <c r="L240" s="375">
        <v>53559</v>
      </c>
      <c r="M240" s="375">
        <v>53559</v>
      </c>
      <c r="N240" s="375">
        <v>53559</v>
      </c>
      <c r="O240" s="375"/>
      <c r="P240" s="397"/>
      <c r="Q240" s="375">
        <v>17733</v>
      </c>
      <c r="R240" s="400"/>
      <c r="S240" s="375">
        <v>11636</v>
      </c>
      <c r="T240" s="375">
        <v>2910</v>
      </c>
      <c r="U240" s="394"/>
      <c r="V240" s="375">
        <v>599674</v>
      </c>
      <c r="W240" s="394"/>
      <c r="X240" s="375">
        <v>25887</v>
      </c>
      <c r="Y240" s="400"/>
      <c r="Z240" s="375">
        <v>145510</v>
      </c>
      <c r="AA240" s="375">
        <v>9781</v>
      </c>
      <c r="AB240" s="375">
        <v>59427</v>
      </c>
      <c r="AC240" s="375">
        <v>3451</v>
      </c>
      <c r="AD240" s="375">
        <v>49942</v>
      </c>
      <c r="AE240"/>
      <c r="AF240"/>
      <c r="AG240"/>
      <c r="AH240"/>
    </row>
    <row r="241" spans="2:34" s="54" customFormat="1" x14ac:dyDescent="0.2">
      <c r="B241" s="374">
        <v>42036</v>
      </c>
      <c r="C241" s="374">
        <v>42063</v>
      </c>
      <c r="D241" s="395"/>
      <c r="E241" s="375">
        <v>224522</v>
      </c>
      <c r="F241" s="375">
        <v>47691</v>
      </c>
      <c r="G241" s="375">
        <v>47691</v>
      </c>
      <c r="H241" s="375" t="s">
        <v>145</v>
      </c>
      <c r="I241" s="375">
        <v>358</v>
      </c>
      <c r="J241" s="375"/>
      <c r="K241" s="375">
        <v>234</v>
      </c>
      <c r="L241" s="375">
        <v>50760</v>
      </c>
      <c r="M241" s="375">
        <v>50761</v>
      </c>
      <c r="N241" s="375">
        <v>50760</v>
      </c>
      <c r="O241" s="375"/>
      <c r="P241" s="397"/>
      <c r="Q241" s="375">
        <v>6008</v>
      </c>
      <c r="R241" s="400"/>
      <c r="S241" s="375">
        <v>8631</v>
      </c>
      <c r="T241" s="375">
        <v>2142</v>
      </c>
      <c r="U241" s="394"/>
      <c r="V241" s="375">
        <v>497967</v>
      </c>
      <c r="W241" s="394"/>
      <c r="X241" s="375">
        <v>24475</v>
      </c>
      <c r="Y241" s="400"/>
      <c r="Z241" s="375">
        <v>129136</v>
      </c>
      <c r="AA241" s="375">
        <v>9869</v>
      </c>
      <c r="AB241" s="375">
        <v>50875</v>
      </c>
      <c r="AC241" s="375">
        <v>4577</v>
      </c>
      <c r="AD241" s="375">
        <v>29831</v>
      </c>
      <c r="AE241"/>
      <c r="AF241"/>
      <c r="AG241"/>
      <c r="AH241"/>
    </row>
    <row r="242" spans="2:34" s="54" customFormat="1" x14ac:dyDescent="0.2">
      <c r="B242" s="374">
        <v>42064</v>
      </c>
      <c r="C242" s="374">
        <v>42094</v>
      </c>
      <c r="D242" s="395"/>
      <c r="E242" s="375">
        <v>528130</v>
      </c>
      <c r="F242" s="375">
        <v>45811</v>
      </c>
      <c r="G242" s="375">
        <v>45811</v>
      </c>
      <c r="H242" s="375" t="s">
        <v>145</v>
      </c>
      <c r="I242" s="375">
        <v>1148</v>
      </c>
      <c r="J242" s="375"/>
      <c r="K242" s="375">
        <v>294</v>
      </c>
      <c r="L242" s="375">
        <v>152019</v>
      </c>
      <c r="M242" s="375">
        <v>152019</v>
      </c>
      <c r="N242" s="375">
        <v>152019</v>
      </c>
      <c r="O242" s="375"/>
      <c r="P242" s="397"/>
      <c r="Q242" s="375">
        <v>7207</v>
      </c>
      <c r="R242" s="400"/>
      <c r="S242" s="375">
        <v>10115</v>
      </c>
      <c r="T242" s="375">
        <v>6054</v>
      </c>
      <c r="U242" s="394"/>
      <c r="V242" s="375">
        <v>686332</v>
      </c>
      <c r="W242" s="394"/>
      <c r="X242" s="375">
        <v>2771</v>
      </c>
      <c r="Y242" s="400"/>
      <c r="Z242" s="375">
        <v>98607</v>
      </c>
      <c r="AA242" s="375">
        <v>13237</v>
      </c>
      <c r="AB242" s="375">
        <v>59221</v>
      </c>
      <c r="AC242" s="375">
        <v>6208</v>
      </c>
      <c r="AD242" s="375">
        <v>350778</v>
      </c>
      <c r="AE242" s="125"/>
      <c r="AF242"/>
      <c r="AG242"/>
      <c r="AH242"/>
    </row>
    <row r="243" spans="2:34" s="54" customFormat="1" x14ac:dyDescent="0.2">
      <c r="B243" s="374">
        <v>42095</v>
      </c>
      <c r="C243" s="374">
        <v>42124</v>
      </c>
      <c r="D243" s="395"/>
      <c r="E243" s="375">
        <v>274465</v>
      </c>
      <c r="F243" s="375">
        <v>51662</v>
      </c>
      <c r="G243" s="375">
        <v>51662</v>
      </c>
      <c r="H243" s="375" t="s">
        <v>145</v>
      </c>
      <c r="I243" s="375">
        <v>407</v>
      </c>
      <c r="J243" s="375"/>
      <c r="K243" s="375">
        <v>524</v>
      </c>
      <c r="L243" s="375">
        <v>63066</v>
      </c>
      <c r="M243" s="375">
        <v>63066</v>
      </c>
      <c r="N243" s="375">
        <v>63066</v>
      </c>
      <c r="O243" s="375"/>
      <c r="P243" s="397"/>
      <c r="Q243" s="375">
        <v>9699</v>
      </c>
      <c r="R243" s="400"/>
      <c r="S243" s="375">
        <v>8960</v>
      </c>
      <c r="T243" s="375">
        <v>6354</v>
      </c>
      <c r="U243" s="394"/>
      <c r="V243" s="375">
        <v>531778</v>
      </c>
      <c r="W243" s="394"/>
      <c r="X243" s="375">
        <v>15992</v>
      </c>
      <c r="Y243" s="400"/>
      <c r="Z243" s="375">
        <v>98441</v>
      </c>
      <c r="AA243" s="375">
        <v>9641</v>
      </c>
      <c r="AB243" s="375">
        <v>50869</v>
      </c>
      <c r="AC243" s="375">
        <v>7229</v>
      </c>
      <c r="AD243" s="375">
        <v>108129</v>
      </c>
      <c r="AE243"/>
      <c r="AF243"/>
      <c r="AG243"/>
      <c r="AH243"/>
    </row>
    <row r="244" spans="2:34" s="54" customFormat="1" x14ac:dyDescent="0.2">
      <c r="B244" s="374">
        <v>42125</v>
      </c>
      <c r="C244" s="374">
        <v>42155</v>
      </c>
      <c r="D244" s="395"/>
      <c r="E244" s="375">
        <v>210068</v>
      </c>
      <c r="F244" s="375">
        <v>37404</v>
      </c>
      <c r="G244" s="375">
        <v>37404</v>
      </c>
      <c r="H244" s="375" t="s">
        <v>145</v>
      </c>
      <c r="I244" s="375">
        <v>329</v>
      </c>
      <c r="J244" s="375"/>
      <c r="K244" s="375">
        <v>584</v>
      </c>
      <c r="L244" s="375">
        <v>43853</v>
      </c>
      <c r="M244" s="375">
        <v>43853</v>
      </c>
      <c r="N244" s="375">
        <v>43853</v>
      </c>
      <c r="O244" s="375"/>
      <c r="P244" s="397"/>
      <c r="Q244" s="375">
        <v>10501</v>
      </c>
      <c r="R244" s="400"/>
      <c r="S244" s="375">
        <v>6532</v>
      </c>
      <c r="T244" s="375">
        <v>4430</v>
      </c>
      <c r="U244" s="394"/>
      <c r="V244" s="375">
        <v>489791</v>
      </c>
      <c r="W244" s="394"/>
      <c r="X244" s="375">
        <v>28217</v>
      </c>
      <c r="Y244" s="400"/>
      <c r="Z244" s="375">
        <v>95567</v>
      </c>
      <c r="AA244" s="375">
        <v>9535</v>
      </c>
      <c r="AB244" s="375">
        <v>41754</v>
      </c>
      <c r="AC244" s="375">
        <v>8013</v>
      </c>
      <c r="AD244" s="375">
        <v>54122</v>
      </c>
      <c r="AE244"/>
      <c r="AF244"/>
      <c r="AG244"/>
      <c r="AH244"/>
    </row>
    <row r="245" spans="2:34" s="54" customFormat="1" x14ac:dyDescent="0.2">
      <c r="B245" s="374">
        <v>42156</v>
      </c>
      <c r="C245" s="374">
        <v>42185</v>
      </c>
      <c r="D245" s="395"/>
      <c r="E245" s="375">
        <v>188549</v>
      </c>
      <c r="F245" s="375">
        <v>6883</v>
      </c>
      <c r="G245" s="375">
        <v>12335</v>
      </c>
      <c r="H245" s="375" t="s">
        <v>145</v>
      </c>
      <c r="I245" s="375">
        <v>160</v>
      </c>
      <c r="J245" s="375"/>
      <c r="K245" s="375">
        <v>342</v>
      </c>
      <c r="L245" s="375">
        <v>40460</v>
      </c>
      <c r="M245" s="375">
        <v>40460</v>
      </c>
      <c r="N245" s="375">
        <v>40460</v>
      </c>
      <c r="O245" s="375"/>
      <c r="P245" s="397"/>
      <c r="Q245" s="375">
        <v>4470</v>
      </c>
      <c r="R245" s="400"/>
      <c r="S245" s="375">
        <v>6015</v>
      </c>
      <c r="T245" s="375">
        <v>3977</v>
      </c>
      <c r="U245" s="394"/>
      <c r="V245" s="375">
        <v>469181</v>
      </c>
      <c r="W245" s="394"/>
      <c r="X245" s="375">
        <v>27113</v>
      </c>
      <c r="Y245" s="400"/>
      <c r="Z245" s="375">
        <v>93622</v>
      </c>
      <c r="AA245" s="375">
        <v>10471</v>
      </c>
      <c r="AB245" s="375">
        <v>32062</v>
      </c>
      <c r="AC245" s="375">
        <v>7520</v>
      </c>
      <c r="AD245" s="375">
        <v>47475</v>
      </c>
      <c r="AE245"/>
      <c r="AF245"/>
      <c r="AG245"/>
      <c r="AH245"/>
    </row>
    <row r="246" spans="2:34" s="54" customFormat="1" x14ac:dyDescent="0.2">
      <c r="B246" s="371">
        <v>42186</v>
      </c>
      <c r="C246" s="371">
        <v>42215</v>
      </c>
      <c r="D246" s="51"/>
      <c r="E246" s="49">
        <v>175752</v>
      </c>
      <c r="F246" s="361">
        <v>21474</v>
      </c>
      <c r="G246" s="49">
        <v>4069</v>
      </c>
      <c r="H246" s="49" t="s">
        <v>145</v>
      </c>
      <c r="I246" s="49">
        <v>231</v>
      </c>
      <c r="J246" s="49"/>
      <c r="K246" s="49">
        <v>325</v>
      </c>
      <c r="L246" s="49">
        <v>34728</v>
      </c>
      <c r="M246" s="49">
        <v>34728</v>
      </c>
      <c r="N246" s="49">
        <v>34728</v>
      </c>
      <c r="O246" s="49"/>
      <c r="P246" s="52"/>
      <c r="Q246" s="49">
        <v>5471</v>
      </c>
      <c r="R246" s="362"/>
      <c r="S246" s="49">
        <v>9195</v>
      </c>
      <c r="T246" s="49">
        <v>6193</v>
      </c>
      <c r="U246" s="52"/>
      <c r="V246" s="49">
        <v>543611</v>
      </c>
      <c r="W246" s="52"/>
      <c r="X246" s="49">
        <v>22067</v>
      </c>
      <c r="Y246" s="400"/>
      <c r="Z246" s="49">
        <v>19679</v>
      </c>
      <c r="AA246" s="49">
        <v>11329</v>
      </c>
      <c r="AB246" s="49">
        <v>53960</v>
      </c>
      <c r="AC246" s="49">
        <v>8776</v>
      </c>
      <c r="AD246" s="49">
        <v>81463</v>
      </c>
      <c r="AE246"/>
      <c r="AF246"/>
      <c r="AG246"/>
      <c r="AH246"/>
    </row>
    <row r="247" spans="2:34" s="54" customFormat="1" x14ac:dyDescent="0.2">
      <c r="B247" s="371">
        <v>42217</v>
      </c>
      <c r="C247" s="371">
        <v>42247</v>
      </c>
      <c r="D247" s="51"/>
      <c r="E247" s="49">
        <v>94679</v>
      </c>
      <c r="F247" s="49">
        <v>7358</v>
      </c>
      <c r="G247" s="49"/>
      <c r="H247" s="49" t="s">
        <v>145</v>
      </c>
      <c r="I247" s="49">
        <v>178</v>
      </c>
      <c r="J247" s="49"/>
      <c r="K247" s="49">
        <v>172</v>
      </c>
      <c r="L247" s="49">
        <v>30837</v>
      </c>
      <c r="M247" s="49">
        <v>30837</v>
      </c>
      <c r="N247" s="49">
        <v>30837</v>
      </c>
      <c r="O247" s="49"/>
      <c r="P247" s="52"/>
      <c r="Q247" s="49">
        <v>4533</v>
      </c>
      <c r="R247" s="362"/>
      <c r="S247" s="49">
        <v>5426</v>
      </c>
      <c r="T247" s="49">
        <v>3082</v>
      </c>
      <c r="U247" s="52"/>
      <c r="V247" s="49">
        <v>0</v>
      </c>
      <c r="W247" s="52"/>
      <c r="X247" s="49"/>
      <c r="Y247" s="400"/>
      <c r="Z247" s="49">
        <v>0</v>
      </c>
      <c r="AA247" s="49">
        <v>5484</v>
      </c>
      <c r="AB247" s="49">
        <v>54351</v>
      </c>
      <c r="AC247" s="49">
        <v>10695</v>
      </c>
      <c r="AD247" s="49">
        <v>23251</v>
      </c>
      <c r="AE247"/>
      <c r="AF247"/>
      <c r="AG247"/>
      <c r="AH247"/>
    </row>
    <row r="248" spans="2:34" s="54" customFormat="1" x14ac:dyDescent="0.2">
      <c r="B248" s="371">
        <v>42248</v>
      </c>
      <c r="C248" s="371">
        <v>42277</v>
      </c>
      <c r="D248" s="51"/>
      <c r="E248" s="49">
        <v>77301</v>
      </c>
      <c r="F248" s="49">
        <v>5506</v>
      </c>
      <c r="G248" s="49"/>
      <c r="H248" s="49" t="s">
        <v>145</v>
      </c>
      <c r="I248" s="49">
        <v>115</v>
      </c>
      <c r="J248" s="49"/>
      <c r="K248" s="49">
        <v>112</v>
      </c>
      <c r="L248" s="49">
        <v>25406</v>
      </c>
      <c r="M248" s="49">
        <v>25406</v>
      </c>
      <c r="N248" s="49">
        <v>25406</v>
      </c>
      <c r="O248" s="49"/>
      <c r="P248" s="52"/>
      <c r="Q248" s="49">
        <v>3701</v>
      </c>
      <c r="R248" s="362"/>
      <c r="S248" s="49">
        <v>4275</v>
      </c>
      <c r="T248" s="49">
        <v>2441</v>
      </c>
      <c r="U248" s="52"/>
      <c r="V248" s="49">
        <v>0</v>
      </c>
      <c r="W248" s="52"/>
      <c r="X248" s="49"/>
      <c r="Y248" s="362"/>
      <c r="Z248" s="49">
        <v>0</v>
      </c>
      <c r="AA248" s="49">
        <v>5207</v>
      </c>
      <c r="AB248" s="49">
        <v>54323</v>
      </c>
      <c r="AC248" s="49">
        <v>10065</v>
      </c>
      <c r="AD248" s="49">
        <v>7077</v>
      </c>
      <c r="AE248" s="114"/>
      <c r="AF248" s="114"/>
      <c r="AG248" s="114"/>
      <c r="AH248" s="114"/>
    </row>
    <row r="249" spans="2:34" s="54" customFormat="1" x14ac:dyDescent="0.2">
      <c r="B249" s="371">
        <v>42278</v>
      </c>
      <c r="C249" s="371">
        <v>42308</v>
      </c>
      <c r="D249" s="51"/>
      <c r="E249" s="49">
        <v>72604</v>
      </c>
      <c r="F249" s="49">
        <v>5353</v>
      </c>
      <c r="G249" s="49"/>
      <c r="H249" s="49" t="s">
        <v>145</v>
      </c>
      <c r="I249" s="49">
        <v>132</v>
      </c>
      <c r="J249" s="49"/>
      <c r="K249" s="49">
        <v>102</v>
      </c>
      <c r="L249" s="49">
        <v>22585</v>
      </c>
      <c r="M249" s="49">
        <v>22585</v>
      </c>
      <c r="N249" s="49">
        <v>22585</v>
      </c>
      <c r="O249" s="49"/>
      <c r="P249" s="52"/>
      <c r="Q249" s="49">
        <v>3469</v>
      </c>
      <c r="R249" s="362"/>
      <c r="S249" s="49">
        <v>4157</v>
      </c>
      <c r="T249" s="49">
        <v>2360</v>
      </c>
      <c r="U249" s="52"/>
      <c r="V249" s="49">
        <v>0</v>
      </c>
      <c r="W249" s="52"/>
      <c r="X249" s="49"/>
      <c r="Y249" s="362"/>
      <c r="Z249" s="49">
        <v>0</v>
      </c>
      <c r="AA249" s="49">
        <v>4945</v>
      </c>
      <c r="AB249" s="49">
        <v>52102</v>
      </c>
      <c r="AC249" s="49">
        <v>11107</v>
      </c>
      <c r="AD249" s="49">
        <v>4066</v>
      </c>
      <c r="AE249" s="114"/>
      <c r="AF249" s="114"/>
      <c r="AG249" s="114"/>
      <c r="AH249" s="114"/>
    </row>
    <row r="250" spans="2:34" s="54" customFormat="1" x14ac:dyDescent="0.2">
      <c r="B250" s="371">
        <v>42309</v>
      </c>
      <c r="C250" s="371">
        <v>42338</v>
      </c>
      <c r="D250" s="51"/>
      <c r="E250" s="49">
        <v>118255</v>
      </c>
      <c r="F250" s="49">
        <v>10584</v>
      </c>
      <c r="G250" s="49"/>
      <c r="H250" s="49" t="s">
        <v>145</v>
      </c>
      <c r="I250" s="49">
        <v>178</v>
      </c>
      <c r="J250" s="49"/>
      <c r="K250" s="49">
        <v>123</v>
      </c>
      <c r="L250" s="49">
        <v>34389</v>
      </c>
      <c r="M250" s="49">
        <v>34389</v>
      </c>
      <c r="N250" s="49">
        <v>34389</v>
      </c>
      <c r="O250" s="49"/>
      <c r="P250" s="52"/>
      <c r="Q250" s="49">
        <v>5372</v>
      </c>
      <c r="R250" s="362"/>
      <c r="S250" s="49">
        <v>5765</v>
      </c>
      <c r="T250" s="49">
        <v>3590</v>
      </c>
      <c r="U250" s="52"/>
      <c r="V250" s="49">
        <v>0</v>
      </c>
      <c r="W250" s="52"/>
      <c r="X250" s="49"/>
      <c r="Y250" s="362"/>
      <c r="Z250" s="49">
        <v>0</v>
      </c>
      <c r="AA250" s="49">
        <v>6074</v>
      </c>
      <c r="AB250" s="49">
        <v>74222</v>
      </c>
      <c r="AC250" s="49">
        <v>11784</v>
      </c>
      <c r="AD250" s="49">
        <v>25915</v>
      </c>
      <c r="AE250" s="125"/>
      <c r="AF250" s="114"/>
      <c r="AG250" s="114"/>
      <c r="AH250" s="114"/>
    </row>
    <row r="251" spans="2:34" s="54" customFormat="1" x14ac:dyDescent="0.2">
      <c r="B251" s="371">
        <v>42339</v>
      </c>
      <c r="C251" s="371">
        <v>42369</v>
      </c>
      <c r="D251" s="51"/>
      <c r="E251" s="49">
        <v>91799</v>
      </c>
      <c r="F251" s="49">
        <v>3384</v>
      </c>
      <c r="G251" s="49">
        <v>18630</v>
      </c>
      <c r="H251" s="49" t="s">
        <v>145</v>
      </c>
      <c r="I251" s="49">
        <v>153</v>
      </c>
      <c r="J251" s="49"/>
      <c r="K251" s="49">
        <v>173</v>
      </c>
      <c r="L251" s="49">
        <v>27622</v>
      </c>
      <c r="M251" s="49">
        <v>27622</v>
      </c>
      <c r="N251" s="49">
        <v>27622</v>
      </c>
      <c r="O251" s="49"/>
      <c r="P251" s="363"/>
      <c r="Q251" s="49">
        <v>4185</v>
      </c>
      <c r="R251" s="364"/>
      <c r="S251" s="49">
        <v>5505</v>
      </c>
      <c r="T251" s="49">
        <v>3713</v>
      </c>
      <c r="U251" s="32"/>
      <c r="V251" s="50">
        <v>74948</v>
      </c>
      <c r="W251" s="364"/>
      <c r="X251" s="50"/>
      <c r="Y251" s="365"/>
      <c r="Z251" s="50">
        <v>9616</v>
      </c>
      <c r="AA251" s="50">
        <v>22227</v>
      </c>
      <c r="AB251" s="50">
        <v>27957</v>
      </c>
      <c r="AC251" s="50">
        <v>9258</v>
      </c>
      <c r="AD251" s="50">
        <v>22235</v>
      </c>
      <c r="AE251" s="125"/>
      <c r="AF251" s="114"/>
      <c r="AG251" s="114"/>
      <c r="AH251" s="114"/>
    </row>
    <row r="252" spans="2:34" x14ac:dyDescent="0.2">
      <c r="B252" s="373">
        <v>42370</v>
      </c>
      <c r="C252" s="373">
        <v>42400</v>
      </c>
      <c r="D252" s="291"/>
      <c r="E252" s="261">
        <v>107331</v>
      </c>
      <c r="F252" s="261">
        <v>3092</v>
      </c>
      <c r="G252" s="261">
        <v>21733</v>
      </c>
      <c r="H252" s="49" t="s">
        <v>145</v>
      </c>
      <c r="I252" s="366">
        <v>214</v>
      </c>
      <c r="J252" s="367"/>
      <c r="K252" s="261">
        <v>396</v>
      </c>
      <c r="L252" s="261">
        <v>33062</v>
      </c>
      <c r="M252" s="261">
        <v>33062</v>
      </c>
      <c r="N252" s="261">
        <v>33062</v>
      </c>
      <c r="O252" s="261"/>
      <c r="P252" s="368"/>
      <c r="Q252" s="369">
        <v>5127</v>
      </c>
      <c r="R252" s="368"/>
      <c r="S252" s="261">
        <v>8142</v>
      </c>
      <c r="T252" s="261">
        <v>5377</v>
      </c>
      <c r="U252" s="368"/>
      <c r="V252" s="261">
        <v>207816</v>
      </c>
      <c r="W252" s="367"/>
      <c r="X252" s="261"/>
      <c r="Y252" s="368"/>
      <c r="Z252" s="261">
        <v>20311</v>
      </c>
      <c r="AA252" s="261">
        <v>42247</v>
      </c>
      <c r="AB252" s="261">
        <v>10742</v>
      </c>
      <c r="AC252" s="261">
        <v>14545</v>
      </c>
      <c r="AD252" s="261">
        <v>18710</v>
      </c>
      <c r="AE252" s="125"/>
    </row>
    <row r="253" spans="2:34" s="101" customFormat="1" x14ac:dyDescent="0.2">
      <c r="B253" s="373">
        <v>42401</v>
      </c>
      <c r="C253" s="373">
        <v>42429</v>
      </c>
      <c r="D253" s="291"/>
      <c r="E253" s="261">
        <v>101170</v>
      </c>
      <c r="F253" s="261">
        <v>4070</v>
      </c>
      <c r="G253" s="261">
        <v>37540</v>
      </c>
      <c r="H253" s="49" t="s">
        <v>145</v>
      </c>
      <c r="I253" s="366">
        <v>295</v>
      </c>
      <c r="J253" s="367"/>
      <c r="K253" s="261">
        <v>378</v>
      </c>
      <c r="L253" s="261">
        <v>31597</v>
      </c>
      <c r="M253" s="261">
        <v>31597</v>
      </c>
      <c r="N253" s="261">
        <v>31597</v>
      </c>
      <c r="O253" s="261"/>
      <c r="P253" s="368"/>
      <c r="Q253" s="261">
        <v>5627</v>
      </c>
      <c r="R253" s="368"/>
      <c r="S253" s="261">
        <v>8081</v>
      </c>
      <c r="T253" s="261">
        <v>5211</v>
      </c>
      <c r="U253" s="368"/>
      <c r="V253" s="261">
        <v>211968</v>
      </c>
      <c r="W253" s="367"/>
      <c r="X253" s="261"/>
      <c r="Y253" s="368"/>
      <c r="Z253" s="261">
        <v>20562</v>
      </c>
      <c r="AA253" s="261">
        <v>11310</v>
      </c>
      <c r="AB253" s="261">
        <v>36100</v>
      </c>
      <c r="AC253" s="261">
        <v>14713</v>
      </c>
      <c r="AD253" s="261">
        <v>18175</v>
      </c>
      <c r="AE253" s="126"/>
      <c r="AF253" s="102"/>
      <c r="AG253" s="102"/>
      <c r="AH253" s="102"/>
    </row>
    <row r="254" spans="2:34" s="101" customFormat="1" x14ac:dyDescent="0.2">
      <c r="B254" s="373">
        <v>42430</v>
      </c>
      <c r="C254" s="373">
        <v>42460</v>
      </c>
      <c r="D254" s="291"/>
      <c r="E254" s="261">
        <v>191133</v>
      </c>
      <c r="F254" s="261">
        <v>14082</v>
      </c>
      <c r="G254" s="261">
        <v>73665</v>
      </c>
      <c r="H254" s="49" t="s">
        <v>145</v>
      </c>
      <c r="I254" s="366">
        <v>487</v>
      </c>
      <c r="J254" s="367"/>
      <c r="K254" s="261">
        <v>461</v>
      </c>
      <c r="L254" s="261">
        <v>46317</v>
      </c>
      <c r="M254" s="261">
        <v>46317</v>
      </c>
      <c r="N254" s="261">
        <v>46317</v>
      </c>
      <c r="O254" s="261"/>
      <c r="P254" s="368"/>
      <c r="Q254" s="261">
        <v>23470</v>
      </c>
      <c r="R254" s="368"/>
      <c r="S254" s="261">
        <v>7387</v>
      </c>
      <c r="T254" s="261">
        <v>4208</v>
      </c>
      <c r="U254" s="368"/>
      <c r="V254" s="261">
        <v>305144</v>
      </c>
      <c r="W254" s="367"/>
      <c r="X254" s="261"/>
      <c r="Y254" s="368"/>
      <c r="Z254" s="261">
        <v>25518</v>
      </c>
      <c r="AA254" s="261">
        <v>13854</v>
      </c>
      <c r="AB254" s="261">
        <v>39513</v>
      </c>
      <c r="AC254" s="261">
        <v>17308</v>
      </c>
      <c r="AD254" s="261">
        <v>92660</v>
      </c>
      <c r="AE254" s="126"/>
      <c r="AF254" s="102"/>
      <c r="AG254" s="102"/>
      <c r="AH254" s="102"/>
    </row>
    <row r="255" spans="2:34" s="101" customFormat="1" x14ac:dyDescent="0.2">
      <c r="B255" s="371">
        <v>42461</v>
      </c>
      <c r="C255" s="371">
        <v>42490</v>
      </c>
      <c r="D255" s="51"/>
      <c r="E255" s="49">
        <v>147104</v>
      </c>
      <c r="F255" s="49">
        <v>6747</v>
      </c>
      <c r="G255" s="49">
        <v>61626</v>
      </c>
      <c r="H255" s="49" t="s">
        <v>145</v>
      </c>
      <c r="I255" s="49">
        <v>862</v>
      </c>
      <c r="J255" s="49"/>
      <c r="K255" s="49">
        <v>379</v>
      </c>
      <c r="L255" s="49">
        <v>46479</v>
      </c>
      <c r="M255" s="49">
        <v>46479</v>
      </c>
      <c r="N255" s="49">
        <v>46479</v>
      </c>
      <c r="O255" s="49" t="s">
        <v>145</v>
      </c>
      <c r="P255" s="363"/>
      <c r="Q255" s="49">
        <v>5591</v>
      </c>
      <c r="R255" s="364"/>
      <c r="S255" s="49">
        <v>5194</v>
      </c>
      <c r="T255" s="49">
        <v>3066</v>
      </c>
      <c r="U255" s="32"/>
      <c r="V255" s="50">
        <v>323856</v>
      </c>
      <c r="W255" s="364"/>
      <c r="X255" s="50"/>
      <c r="Y255" s="365"/>
      <c r="Z255" s="50">
        <v>26629</v>
      </c>
      <c r="AA255" s="50">
        <v>16576</v>
      </c>
      <c r="AB255" s="50">
        <v>39675</v>
      </c>
      <c r="AC255" s="50">
        <v>18909</v>
      </c>
      <c r="AD255" s="50">
        <v>44812</v>
      </c>
      <c r="AE255" s="102"/>
      <c r="AF255" s="102"/>
      <c r="AG255" s="102"/>
      <c r="AH255" s="102"/>
    </row>
    <row r="256" spans="2:34" s="101" customFormat="1" x14ac:dyDescent="0.2">
      <c r="B256" s="373">
        <v>42491</v>
      </c>
      <c r="C256" s="373">
        <v>42521</v>
      </c>
      <c r="D256" s="291"/>
      <c r="E256" s="261">
        <v>186024</v>
      </c>
      <c r="F256" s="261">
        <v>9598</v>
      </c>
      <c r="G256" s="261">
        <v>83365</v>
      </c>
      <c r="H256" s="49" t="s">
        <v>145</v>
      </c>
      <c r="I256" s="261">
        <v>1173</v>
      </c>
      <c r="J256" s="367"/>
      <c r="K256" s="261">
        <v>487</v>
      </c>
      <c r="L256" s="261">
        <v>54133</v>
      </c>
      <c r="M256" s="261">
        <v>54133</v>
      </c>
      <c r="N256" s="261">
        <v>54133</v>
      </c>
      <c r="O256" s="49" t="s">
        <v>145</v>
      </c>
      <c r="P256" s="368"/>
      <c r="Q256" s="369">
        <v>7469</v>
      </c>
      <c r="R256" s="368"/>
      <c r="S256" s="261">
        <v>5526</v>
      </c>
      <c r="T256" s="261">
        <v>3360</v>
      </c>
      <c r="U256" s="368"/>
      <c r="V256" s="261">
        <v>362384</v>
      </c>
      <c r="W256" s="367"/>
      <c r="X256" s="261"/>
      <c r="Y256" s="368"/>
      <c r="Z256" s="261">
        <v>27757</v>
      </c>
      <c r="AA256" s="261">
        <v>19288</v>
      </c>
      <c r="AB256" s="261">
        <v>37494</v>
      </c>
      <c r="AC256" s="261">
        <v>20140</v>
      </c>
      <c r="AD256" s="261">
        <v>80955</v>
      </c>
      <c r="AE256" s="102"/>
      <c r="AF256" s="102"/>
      <c r="AG256" s="102"/>
      <c r="AH256" s="102"/>
    </row>
    <row r="257" spans="2:34" s="101" customFormat="1" x14ac:dyDescent="0.2">
      <c r="B257" s="373">
        <v>42522</v>
      </c>
      <c r="C257" s="373">
        <v>42551</v>
      </c>
      <c r="D257" s="291"/>
      <c r="E257" s="261">
        <v>128222</v>
      </c>
      <c r="F257" s="261">
        <v>4744</v>
      </c>
      <c r="G257" s="261">
        <v>40375</v>
      </c>
      <c r="H257" s="49" t="s">
        <v>145</v>
      </c>
      <c r="I257" s="366">
        <v>468</v>
      </c>
      <c r="J257" s="367"/>
      <c r="K257" s="261">
        <v>247</v>
      </c>
      <c r="L257" s="261">
        <v>40007</v>
      </c>
      <c r="M257" s="261">
        <v>40007</v>
      </c>
      <c r="N257" s="261">
        <v>40007</v>
      </c>
      <c r="O257" s="49" t="s">
        <v>145</v>
      </c>
      <c r="P257" s="368"/>
      <c r="Q257" s="261">
        <v>2883</v>
      </c>
      <c r="R257" s="368"/>
      <c r="S257" s="261">
        <v>4928</v>
      </c>
      <c r="T257" s="261">
        <v>3072</v>
      </c>
      <c r="U257" s="368"/>
      <c r="V257" s="261">
        <v>317344</v>
      </c>
      <c r="W257" s="367"/>
      <c r="X257" s="261"/>
      <c r="Y257" s="368"/>
      <c r="Z257" s="261">
        <v>29517</v>
      </c>
      <c r="AA257" s="261">
        <v>17746</v>
      </c>
      <c r="AB257" s="261">
        <v>34838</v>
      </c>
      <c r="AC257" s="261">
        <v>19106</v>
      </c>
      <c r="AD257" s="261">
        <v>26742</v>
      </c>
      <c r="AE257" s="102"/>
      <c r="AF257" s="102"/>
      <c r="AG257" s="102"/>
      <c r="AH257" s="102"/>
    </row>
    <row r="258" spans="2:34" s="101" customFormat="1" x14ac:dyDescent="0.2">
      <c r="B258" s="373">
        <v>42552</v>
      </c>
      <c r="C258" s="373">
        <v>42582</v>
      </c>
      <c r="D258" s="291"/>
      <c r="E258" s="261">
        <v>133849</v>
      </c>
      <c r="F258" s="261">
        <v>4834</v>
      </c>
      <c r="G258" s="261">
        <v>41836</v>
      </c>
      <c r="H258" s="49" t="s">
        <v>145</v>
      </c>
      <c r="I258" s="366">
        <v>464</v>
      </c>
      <c r="J258" s="367"/>
      <c r="K258" s="261">
        <v>230</v>
      </c>
      <c r="L258" s="261">
        <v>40774</v>
      </c>
      <c r="M258" s="261">
        <v>40774</v>
      </c>
      <c r="N258" s="261">
        <v>40774</v>
      </c>
      <c r="O258" s="49" t="s">
        <v>145</v>
      </c>
      <c r="P258" s="368"/>
      <c r="Q258" s="261">
        <v>5291</v>
      </c>
      <c r="R258" s="368"/>
      <c r="S258" s="261">
        <v>5205</v>
      </c>
      <c r="T258" s="261">
        <v>3100</v>
      </c>
      <c r="U258" s="368"/>
      <c r="V258" s="261">
        <v>299500</v>
      </c>
      <c r="W258" s="367"/>
      <c r="X258" s="261"/>
      <c r="Y258" s="368"/>
      <c r="Z258" s="261">
        <v>33146</v>
      </c>
      <c r="AA258" s="261">
        <v>18392</v>
      </c>
      <c r="AB258" s="261">
        <v>35557</v>
      </c>
      <c r="AC258" s="261">
        <v>19587</v>
      </c>
      <c r="AD258" s="261">
        <v>26654</v>
      </c>
      <c r="AE258" s="102"/>
      <c r="AF258" s="102"/>
      <c r="AG258" s="102"/>
      <c r="AH258" s="102"/>
    </row>
    <row r="259" spans="2:34" s="101" customFormat="1" x14ac:dyDescent="0.2">
      <c r="B259" s="373">
        <v>42583</v>
      </c>
      <c r="C259" s="373">
        <v>42613</v>
      </c>
      <c r="D259" s="291"/>
      <c r="E259" s="261">
        <v>148424</v>
      </c>
      <c r="F259" s="261">
        <v>6367</v>
      </c>
      <c r="G259" s="261">
        <v>53235</v>
      </c>
      <c r="H259" s="49" t="s">
        <v>145</v>
      </c>
      <c r="I259" s="366">
        <v>875</v>
      </c>
      <c r="J259" s="367"/>
      <c r="K259" s="261">
        <v>289</v>
      </c>
      <c r="L259" s="261">
        <v>46641</v>
      </c>
      <c r="M259" s="261">
        <v>46641</v>
      </c>
      <c r="N259" s="261">
        <v>46641</v>
      </c>
      <c r="O259" s="49" t="s">
        <v>145</v>
      </c>
      <c r="P259" s="368"/>
      <c r="Q259" s="261">
        <v>6727</v>
      </c>
      <c r="R259" s="368"/>
      <c r="S259" s="261">
        <v>5649</v>
      </c>
      <c r="T259" s="261">
        <v>3447</v>
      </c>
      <c r="U259" s="368"/>
      <c r="V259" s="261">
        <v>288800</v>
      </c>
      <c r="W259" s="367"/>
      <c r="X259" s="261"/>
      <c r="Y259" s="368"/>
      <c r="Z259" s="261">
        <v>34148</v>
      </c>
      <c r="AA259" s="261">
        <v>21416</v>
      </c>
      <c r="AB259" s="261">
        <v>43410</v>
      </c>
      <c r="AC259" s="261">
        <v>23332</v>
      </c>
      <c r="AD259" s="261">
        <v>25519</v>
      </c>
      <c r="AE259" s="102"/>
      <c r="AF259" s="102"/>
      <c r="AG259" s="102"/>
      <c r="AH259" s="102"/>
    </row>
    <row r="260" spans="2:34" s="253" customFormat="1" x14ac:dyDescent="0.2">
      <c r="B260" s="373">
        <v>42614</v>
      </c>
      <c r="C260" s="373">
        <v>42643</v>
      </c>
      <c r="D260" s="291"/>
      <c r="E260" s="261">
        <v>125301</v>
      </c>
      <c r="F260" s="261">
        <v>6864</v>
      </c>
      <c r="G260" s="261">
        <f>37054+6866</f>
        <v>43920</v>
      </c>
      <c r="H260" s="261">
        <v>6864</v>
      </c>
      <c r="I260" s="366">
        <v>415</v>
      </c>
      <c r="J260" s="367"/>
      <c r="K260" s="261">
        <v>172</v>
      </c>
      <c r="L260" s="261">
        <f>21999+7974</f>
        <v>29973</v>
      </c>
      <c r="M260" s="261">
        <f>21999+7974</f>
        <v>29973</v>
      </c>
      <c r="N260" s="261">
        <f>21999+7974</f>
        <v>29973</v>
      </c>
      <c r="O260" s="49" t="s">
        <v>145</v>
      </c>
      <c r="P260" s="368"/>
      <c r="Q260" s="261">
        <v>5467</v>
      </c>
      <c r="R260" s="368"/>
      <c r="S260" s="261">
        <v>4473</v>
      </c>
      <c r="T260" s="261">
        <v>2885</v>
      </c>
      <c r="U260" s="368"/>
      <c r="V260" s="261"/>
      <c r="W260" s="367"/>
      <c r="X260" s="261"/>
      <c r="Y260" s="368"/>
      <c r="Z260" s="261">
        <f>30027+10480+139</f>
        <v>40646</v>
      </c>
      <c r="AA260" s="261">
        <v>18461</v>
      </c>
      <c r="AB260" s="261">
        <v>29140</v>
      </c>
      <c r="AC260" s="261">
        <v>23297</v>
      </c>
      <c r="AD260" s="261">
        <f>12071+1160+261</f>
        <v>13492</v>
      </c>
      <c r="AE260" s="254"/>
      <c r="AF260" s="254"/>
      <c r="AG260" s="254"/>
      <c r="AH260" s="254"/>
    </row>
    <row r="261" spans="2:34" s="253" customFormat="1" x14ac:dyDescent="0.2">
      <c r="B261" s="373">
        <v>42644</v>
      </c>
      <c r="C261" s="373">
        <v>42674</v>
      </c>
      <c r="D261" s="291"/>
      <c r="E261" s="261">
        <v>69983</v>
      </c>
      <c r="F261" s="261">
        <v>4786</v>
      </c>
      <c r="G261" s="261">
        <f>4785+27052</f>
        <v>31837</v>
      </c>
      <c r="H261" s="261">
        <v>4786</v>
      </c>
      <c r="I261" s="366">
        <v>119</v>
      </c>
      <c r="J261" s="367"/>
      <c r="K261" s="261">
        <v>105</v>
      </c>
      <c r="L261" s="261">
        <f>15078+5039</f>
        <v>20117</v>
      </c>
      <c r="M261" s="261">
        <f>15078+5039</f>
        <v>20117</v>
      </c>
      <c r="N261" s="261">
        <f>15078+5039</f>
        <v>20117</v>
      </c>
      <c r="O261" s="49" t="s">
        <v>145</v>
      </c>
      <c r="P261" s="368"/>
      <c r="Q261" s="261">
        <v>3384</v>
      </c>
      <c r="R261" s="368"/>
      <c r="S261" s="261">
        <v>2633</v>
      </c>
      <c r="T261" s="261">
        <v>1474</v>
      </c>
      <c r="U261" s="368"/>
      <c r="V261" s="261"/>
      <c r="W261" s="367"/>
      <c r="X261" s="261"/>
      <c r="Y261" s="368"/>
      <c r="Z261" s="261">
        <f>533+404+142</f>
        <v>1079</v>
      </c>
      <c r="AA261" s="261">
        <v>18650</v>
      </c>
      <c r="AB261" s="261">
        <v>25833</v>
      </c>
      <c r="AC261" s="261">
        <v>21736</v>
      </c>
      <c r="AD261" s="261">
        <f>1546+945+176</f>
        <v>2667</v>
      </c>
      <c r="AE261" s="254"/>
      <c r="AF261" s="254"/>
      <c r="AG261" s="254"/>
      <c r="AH261" s="254"/>
    </row>
    <row r="262" spans="2:34" s="253" customFormat="1" x14ac:dyDescent="0.2">
      <c r="B262" s="401">
        <v>42675</v>
      </c>
      <c r="C262" s="401">
        <v>42704</v>
      </c>
      <c r="D262" s="404"/>
      <c r="E262" s="378">
        <v>171981</v>
      </c>
      <c r="F262" s="378">
        <f>1907+16611</f>
        <v>18518</v>
      </c>
      <c r="G262" s="378">
        <f>55975+16616</f>
        <v>72591</v>
      </c>
      <c r="H262" s="378">
        <f>1907+16611</f>
        <v>18518</v>
      </c>
      <c r="I262" s="380">
        <f>19+192</f>
        <v>211</v>
      </c>
      <c r="J262" s="402"/>
      <c r="K262" s="378">
        <f>33+196+12</f>
        <v>241</v>
      </c>
      <c r="L262" s="378">
        <f>10684+24652</f>
        <v>35336</v>
      </c>
      <c r="M262" s="378">
        <f>10684+24652</f>
        <v>35336</v>
      </c>
      <c r="N262" s="378">
        <f>10684+24652</f>
        <v>35336</v>
      </c>
      <c r="O262" s="382" t="s">
        <v>145</v>
      </c>
      <c r="P262" s="405"/>
      <c r="Q262" s="378">
        <v>6936</v>
      </c>
      <c r="R262" s="405"/>
      <c r="S262" s="378">
        <f>5606+1467</f>
        <v>7073</v>
      </c>
      <c r="T262" s="378">
        <f>4006+1647</f>
        <v>5653</v>
      </c>
      <c r="U262" s="403"/>
      <c r="V262" s="378"/>
      <c r="W262" s="402"/>
      <c r="X262" s="378"/>
      <c r="Y262" s="405"/>
      <c r="Z262" s="378">
        <f>28340+198+184</f>
        <v>28722</v>
      </c>
      <c r="AA262" s="378">
        <v>26776</v>
      </c>
      <c r="AB262" s="378">
        <v>21898</v>
      </c>
      <c r="AC262" s="378">
        <v>22970</v>
      </c>
      <c r="AD262" s="378">
        <f>70678+737+132</f>
        <v>71547</v>
      </c>
      <c r="AE262" s="254"/>
      <c r="AF262" s="254"/>
      <c r="AG262" s="254"/>
      <c r="AH262" s="254"/>
    </row>
    <row r="263" spans="2:34" s="253" customFormat="1" x14ac:dyDescent="0.2">
      <c r="B263" s="401">
        <v>42705</v>
      </c>
      <c r="C263" s="401">
        <v>42735</v>
      </c>
      <c r="D263" s="291"/>
      <c r="E263" s="378">
        <v>104861</v>
      </c>
      <c r="F263" s="378">
        <v>5523</v>
      </c>
      <c r="G263" s="378"/>
      <c r="H263" s="378"/>
      <c r="I263" s="378">
        <v>95</v>
      </c>
      <c r="J263" s="378"/>
      <c r="K263" s="378">
        <v>130</v>
      </c>
      <c r="L263" s="378">
        <v>29281</v>
      </c>
      <c r="M263" s="261"/>
      <c r="N263" s="261"/>
      <c r="O263" s="49"/>
      <c r="P263" s="368"/>
      <c r="Q263" s="378">
        <v>2979</v>
      </c>
      <c r="R263" s="368"/>
      <c r="S263" s="378">
        <v>8026</v>
      </c>
      <c r="T263" s="378">
        <v>5259</v>
      </c>
      <c r="U263" s="368"/>
      <c r="V263" s="261"/>
      <c r="W263" s="367"/>
      <c r="X263" s="261"/>
      <c r="Y263" s="368"/>
      <c r="Z263" s="378">
        <v>34202</v>
      </c>
      <c r="AA263" s="378">
        <v>39621</v>
      </c>
      <c r="AB263" s="378">
        <v>5733</v>
      </c>
      <c r="AC263" s="378">
        <v>21622</v>
      </c>
      <c r="AD263" s="378">
        <v>3567</v>
      </c>
      <c r="AE263" s="254"/>
      <c r="AF263" s="254"/>
      <c r="AG263" s="254"/>
      <c r="AH263" s="254"/>
    </row>
    <row r="264" spans="2:34" s="253" customFormat="1" x14ac:dyDescent="0.2">
      <c r="B264" s="401">
        <v>42736</v>
      </c>
      <c r="C264" s="401">
        <v>42766</v>
      </c>
      <c r="D264" s="291"/>
      <c r="E264" s="378">
        <v>141384</v>
      </c>
      <c r="F264" s="378">
        <v>7877</v>
      </c>
      <c r="G264" s="378"/>
      <c r="H264" s="378"/>
      <c r="I264" s="378">
        <v>119</v>
      </c>
      <c r="J264" s="378"/>
      <c r="K264" s="378">
        <v>184</v>
      </c>
      <c r="L264" s="378">
        <v>40146</v>
      </c>
      <c r="M264" s="261"/>
      <c r="N264" s="261"/>
      <c r="O264" s="49"/>
      <c r="P264" s="368"/>
      <c r="Q264" s="378">
        <v>3417</v>
      </c>
      <c r="R264" s="368"/>
      <c r="S264" s="378">
        <v>10914</v>
      </c>
      <c r="T264" s="378">
        <v>7226</v>
      </c>
      <c r="U264" s="368"/>
      <c r="V264" s="261"/>
      <c r="W264" s="367"/>
      <c r="X264" s="261"/>
      <c r="Y264" s="368"/>
      <c r="Z264" s="378">
        <v>45997</v>
      </c>
      <c r="AA264" s="378">
        <v>48176</v>
      </c>
      <c r="AB264" s="378">
        <f>12854+112-9191</f>
        <v>3775</v>
      </c>
      <c r="AC264" s="378">
        <v>31797</v>
      </c>
      <c r="AD264" s="378">
        <v>11632</v>
      </c>
      <c r="AE264" s="254"/>
      <c r="AF264" s="254"/>
      <c r="AG264" s="254"/>
      <c r="AH264" s="254"/>
    </row>
    <row r="265" spans="2:34" s="253" customFormat="1" x14ac:dyDescent="0.2">
      <c r="B265" s="401">
        <v>42767</v>
      </c>
      <c r="C265" s="401">
        <v>42794</v>
      </c>
      <c r="D265" s="291"/>
      <c r="E265" s="378">
        <v>165686</v>
      </c>
      <c r="F265" s="378">
        <v>7403</v>
      </c>
      <c r="G265" s="378"/>
      <c r="H265" s="378"/>
      <c r="I265" s="378">
        <v>208</v>
      </c>
      <c r="J265" s="378"/>
      <c r="K265" s="378">
        <v>322</v>
      </c>
      <c r="L265" s="378">
        <v>41707</v>
      </c>
      <c r="M265" s="261"/>
      <c r="N265" s="261"/>
      <c r="O265" s="49"/>
      <c r="P265" s="368"/>
      <c r="Q265" s="378">
        <v>4134</v>
      </c>
      <c r="R265" s="368"/>
      <c r="S265" s="378">
        <v>11639</v>
      </c>
      <c r="T265" s="378">
        <v>7957</v>
      </c>
      <c r="U265" s="368"/>
      <c r="V265" s="261"/>
      <c r="W265" s="367"/>
      <c r="X265" s="261"/>
      <c r="Y265" s="368"/>
      <c r="Z265" s="378">
        <v>51088</v>
      </c>
      <c r="AA265" s="378">
        <v>45197</v>
      </c>
      <c r="AB265" s="378">
        <f>11149+1721-7552</f>
        <v>5318</v>
      </c>
      <c r="AC265" s="378">
        <v>30304</v>
      </c>
      <c r="AD265" s="378">
        <f>26227+7552</f>
        <v>33779</v>
      </c>
      <c r="AE265" s="254"/>
      <c r="AF265" s="254"/>
      <c r="AG265" s="254"/>
      <c r="AH265" s="254"/>
    </row>
    <row r="266" spans="2:34" s="253" customFormat="1" x14ac:dyDescent="0.2">
      <c r="B266" s="401">
        <v>42795</v>
      </c>
      <c r="C266" s="401">
        <v>42825</v>
      </c>
      <c r="D266" s="291"/>
      <c r="E266" s="378">
        <v>167472</v>
      </c>
      <c r="F266" s="378">
        <v>6907</v>
      </c>
      <c r="G266" s="378"/>
      <c r="H266" s="378"/>
      <c r="I266" s="378">
        <v>244</v>
      </c>
      <c r="J266" s="378"/>
      <c r="K266" s="378">
        <v>317</v>
      </c>
      <c r="L266" s="378">
        <v>43624</v>
      </c>
      <c r="M266" s="261"/>
      <c r="N266" s="261"/>
      <c r="O266" s="49"/>
      <c r="P266" s="368"/>
      <c r="Q266" s="378">
        <v>4213</v>
      </c>
      <c r="R266" s="368"/>
      <c r="S266" s="378">
        <v>12535</v>
      </c>
      <c r="T266" s="378">
        <v>8340</v>
      </c>
      <c r="U266" s="368"/>
      <c r="V266" s="261"/>
      <c r="W266" s="367"/>
      <c r="X266" s="261"/>
      <c r="Y266" s="368"/>
      <c r="Z266" s="378">
        <v>55648</v>
      </c>
      <c r="AA266" s="378">
        <v>46892</v>
      </c>
      <c r="AB266" s="378">
        <f>7675-3298-168</f>
        <v>4209</v>
      </c>
      <c r="AC266" s="378">
        <v>39790</v>
      </c>
      <c r="AD266" s="378">
        <f>17420+3298+168</f>
        <v>20886</v>
      </c>
      <c r="AE266" s="254"/>
      <c r="AF266" s="254"/>
      <c r="AG266" s="254"/>
      <c r="AH266" s="254"/>
    </row>
    <row r="267" spans="2:34" s="253" customFormat="1" x14ac:dyDescent="0.2">
      <c r="B267" s="401">
        <v>42826</v>
      </c>
      <c r="C267" s="401">
        <v>42855</v>
      </c>
      <c r="D267" s="291"/>
      <c r="E267" s="378">
        <v>254790</v>
      </c>
      <c r="F267" s="378">
        <v>4150</v>
      </c>
      <c r="G267" s="378"/>
      <c r="H267" s="378"/>
      <c r="I267" s="378">
        <v>339</v>
      </c>
      <c r="J267" s="378"/>
      <c r="K267" s="378">
        <v>898</v>
      </c>
      <c r="L267" s="378">
        <v>50905</v>
      </c>
      <c r="M267" s="261"/>
      <c r="N267" s="261"/>
      <c r="O267" s="49"/>
      <c r="P267" s="368"/>
      <c r="Q267" s="378">
        <v>6242</v>
      </c>
      <c r="R267" s="368"/>
      <c r="S267" s="378">
        <v>13264</v>
      </c>
      <c r="T267" s="378">
        <v>8801</v>
      </c>
      <c r="U267" s="368"/>
      <c r="V267" s="261"/>
      <c r="W267" s="367"/>
      <c r="X267" s="261"/>
      <c r="Y267" s="368"/>
      <c r="Z267" s="378">
        <f>63933+30+17</f>
        <v>63980</v>
      </c>
      <c r="AA267" s="378">
        <v>39540</v>
      </c>
      <c r="AB267" s="378">
        <f>6808+856-2245</f>
        <v>5419</v>
      </c>
      <c r="AC267" s="378">
        <v>37859</v>
      </c>
      <c r="AD267" s="378">
        <f>105119+264+83+19+6+2111+134</f>
        <v>107736</v>
      </c>
      <c r="AE267" s="254"/>
      <c r="AF267" s="254"/>
      <c r="AG267" s="254"/>
      <c r="AH267" s="254"/>
    </row>
    <row r="268" spans="2:34" s="253" customFormat="1" x14ac:dyDescent="0.2">
      <c r="B268" s="401">
        <v>42856</v>
      </c>
      <c r="C268" s="401">
        <v>42886</v>
      </c>
      <c r="D268" s="291"/>
      <c r="E268" s="378">
        <v>274795</v>
      </c>
      <c r="F268" s="378">
        <v>6303</v>
      </c>
      <c r="G268" s="378"/>
      <c r="H268" s="378"/>
      <c r="I268" s="378">
        <v>232</v>
      </c>
      <c r="J268" s="378"/>
      <c r="K268" s="378">
        <v>716</v>
      </c>
      <c r="L268" s="378">
        <v>66948</v>
      </c>
      <c r="M268" s="261"/>
      <c r="N268" s="261"/>
      <c r="O268" s="49"/>
      <c r="P268" s="368"/>
      <c r="Q268" s="378">
        <v>6244</v>
      </c>
      <c r="R268" s="368"/>
      <c r="S268" s="378">
        <v>14847</v>
      </c>
      <c r="T268" s="378">
        <v>10229</v>
      </c>
      <c r="U268" s="368"/>
      <c r="V268" s="261"/>
      <c r="W268" s="367"/>
      <c r="X268" s="261"/>
      <c r="Y268" s="368"/>
      <c r="Z268" s="378">
        <f>77098+1034+872+39+15</f>
        <v>79058</v>
      </c>
      <c r="AA268" s="378">
        <v>40744</v>
      </c>
      <c r="AB268" s="378">
        <f>6153+736-2075-197</f>
        <v>4617</v>
      </c>
      <c r="AC268" s="378">
        <v>42404</v>
      </c>
      <c r="AD268" s="378">
        <f>105317+173+76+2075+197</f>
        <v>107838</v>
      </c>
      <c r="AE268" s="254"/>
      <c r="AF268" s="254"/>
      <c r="AG268" s="254"/>
      <c r="AH268" s="254"/>
    </row>
    <row r="269" spans="2:34" s="253" customFormat="1" x14ac:dyDescent="0.2">
      <c r="B269" s="401">
        <v>42887</v>
      </c>
      <c r="C269" s="401">
        <v>42916</v>
      </c>
      <c r="D269" s="291"/>
      <c r="E269" s="378">
        <v>299931</v>
      </c>
      <c r="F269" s="378">
        <v>6844</v>
      </c>
      <c r="G269" s="378"/>
      <c r="H269" s="378"/>
      <c r="I269" s="378">
        <v>231</v>
      </c>
      <c r="J269" s="378"/>
      <c r="K269" s="378">
        <v>467</v>
      </c>
      <c r="L269" s="378">
        <v>88227</v>
      </c>
      <c r="M269" s="261"/>
      <c r="N269" s="261"/>
      <c r="O269" s="49"/>
      <c r="P269" s="368"/>
      <c r="Q269" s="378">
        <v>7795</v>
      </c>
      <c r="R269" s="368"/>
      <c r="S269" s="378">
        <v>16948</v>
      </c>
      <c r="T269" s="378">
        <v>11659</v>
      </c>
      <c r="U269" s="368"/>
      <c r="V269" s="261"/>
      <c r="W269" s="367"/>
      <c r="X269" s="261"/>
      <c r="Y269" s="368"/>
      <c r="Z269" s="378">
        <f>94771+1765+882+52</f>
        <v>97470</v>
      </c>
      <c r="AA269" s="378">
        <v>42334</v>
      </c>
      <c r="AB269" s="378">
        <f>13836+548-9324-205</f>
        <v>4855</v>
      </c>
      <c r="AC269" s="378">
        <v>42083</v>
      </c>
      <c r="AD269" s="378">
        <f>103348+144+68+9324+205</f>
        <v>113089</v>
      </c>
      <c r="AE269" s="254"/>
      <c r="AF269" s="254"/>
      <c r="AG269" s="254"/>
      <c r="AH269" s="254"/>
    </row>
    <row r="270" spans="2:34" s="253" customFormat="1" x14ac:dyDescent="0.2">
      <c r="B270" s="401">
        <v>42917</v>
      </c>
      <c r="C270" s="401">
        <v>42947</v>
      </c>
      <c r="D270" s="291"/>
      <c r="E270" s="378">
        <v>357347</v>
      </c>
      <c r="F270" s="378">
        <v>5763</v>
      </c>
      <c r="G270" s="378"/>
      <c r="H270" s="378"/>
      <c r="I270" s="378">
        <v>250</v>
      </c>
      <c r="J270" s="378"/>
      <c r="K270" s="378">
        <v>489</v>
      </c>
      <c r="L270" s="378">
        <v>84309</v>
      </c>
      <c r="M270" s="261"/>
      <c r="N270" s="261"/>
      <c r="O270" s="49"/>
      <c r="P270" s="368"/>
      <c r="Q270" s="378">
        <v>5522</v>
      </c>
      <c r="R270" s="368"/>
      <c r="S270" s="378">
        <v>55672</v>
      </c>
      <c r="T270" s="378">
        <v>39133</v>
      </c>
      <c r="U270" s="368"/>
      <c r="V270" s="261"/>
      <c r="W270" s="367"/>
      <c r="X270" s="261"/>
      <c r="Y270" s="368"/>
      <c r="Z270" s="378">
        <f>135009+387+126+38</f>
        <v>135560</v>
      </c>
      <c r="AA270" s="378">
        <v>40941</v>
      </c>
      <c r="AB270" s="378">
        <f>6843+3013-3056-249</f>
        <v>6551</v>
      </c>
      <c r="AC270" s="378">
        <v>45125</v>
      </c>
      <c r="AD270" s="378">
        <f>125566+135+84+3056+249</f>
        <v>129090</v>
      </c>
      <c r="AE270" s="254"/>
      <c r="AF270" s="254"/>
      <c r="AG270" s="254"/>
      <c r="AH270" s="254"/>
    </row>
    <row r="271" spans="2:34" s="253" customFormat="1" x14ac:dyDescent="0.2">
      <c r="B271" s="401">
        <v>42948</v>
      </c>
      <c r="C271" s="401">
        <v>42978</v>
      </c>
      <c r="D271" s="291"/>
      <c r="E271" s="378">
        <v>319053</v>
      </c>
      <c r="F271" s="378">
        <v>13395</v>
      </c>
      <c r="G271" s="378"/>
      <c r="H271" s="378"/>
      <c r="I271" s="378">
        <v>295</v>
      </c>
      <c r="J271" s="378"/>
      <c r="K271" s="378">
        <v>1025</v>
      </c>
      <c r="L271" s="378">
        <v>77649</v>
      </c>
      <c r="M271" s="261"/>
      <c r="N271" s="261"/>
      <c r="O271" s="49"/>
      <c r="P271" s="368"/>
      <c r="Q271" s="378">
        <v>6775</v>
      </c>
      <c r="R271" s="368"/>
      <c r="S271" s="378">
        <v>29874</v>
      </c>
      <c r="T271" s="378">
        <v>20814</v>
      </c>
      <c r="U271" s="368"/>
      <c r="V271" s="261"/>
      <c r="W271" s="367"/>
      <c r="X271" s="261"/>
      <c r="Y271" s="368"/>
      <c r="Z271" s="378">
        <f>149408+1306+962+59</f>
        <v>151735</v>
      </c>
      <c r="AA271" s="378">
        <v>52447</v>
      </c>
      <c r="AB271" s="378">
        <f>12415+1788-2950-305</f>
        <v>10948</v>
      </c>
      <c r="AC271" s="378">
        <v>47620</v>
      </c>
      <c r="AD271" s="378">
        <f>52752+115+55+2950+305</f>
        <v>56177</v>
      </c>
      <c r="AE271" s="254"/>
      <c r="AF271" s="254"/>
      <c r="AG271" s="254"/>
      <c r="AH271" s="254"/>
    </row>
    <row r="272" spans="2:34" s="253" customFormat="1" x14ac:dyDescent="0.2">
      <c r="B272" s="262"/>
      <c r="C272" s="262"/>
      <c r="D272" s="262"/>
      <c r="E272" s="262"/>
      <c r="F272" s="262"/>
      <c r="G272" s="111"/>
      <c r="H272" s="111"/>
      <c r="I272" s="46"/>
      <c r="J272" s="262"/>
      <c r="K272" s="263"/>
      <c r="L272" s="263"/>
      <c r="M272" s="46"/>
      <c r="N272" s="46"/>
      <c r="O272" s="46"/>
      <c r="P272" s="262"/>
      <c r="Q272" s="262"/>
      <c r="R272" s="262"/>
      <c r="S272" s="262"/>
      <c r="T272" s="262"/>
      <c r="U272" s="104"/>
      <c r="V272" s="262"/>
      <c r="W272" s="99"/>
      <c r="X272" s="359"/>
      <c r="Y272" s="103"/>
      <c r="Z272" s="47"/>
      <c r="AA272" s="47"/>
      <c r="AB272" s="47"/>
      <c r="AC272" s="47"/>
      <c r="AD272" s="48"/>
      <c r="AE272" s="254"/>
      <c r="AF272" s="254"/>
      <c r="AG272" s="254"/>
      <c r="AH272" s="254"/>
    </row>
    <row r="273" spans="2:34" s="45" customFormat="1" x14ac:dyDescent="0.2">
      <c r="B273" s="271" t="s">
        <v>2</v>
      </c>
      <c r="C273" s="272"/>
      <c r="D273" s="262"/>
      <c r="E273" s="4">
        <f>SUM(E224:E271)</f>
        <v>9301363</v>
      </c>
      <c r="F273" s="4">
        <f>SUM(F224:F271)</f>
        <v>1389834</v>
      </c>
      <c r="G273" s="4">
        <f>SUM(G224:G262)</f>
        <v>1778182</v>
      </c>
      <c r="H273" s="4">
        <f>SUM(H224:H262)</f>
        <v>30168</v>
      </c>
      <c r="I273" s="4">
        <f>SUM(I224:I271)</f>
        <v>21916</v>
      </c>
      <c r="J273" s="4">
        <f t="shared" ref="J273" si="1">SUM(J224:J265)</f>
        <v>0</v>
      </c>
      <c r="K273" s="4">
        <f>SUM(K224:K271)</f>
        <v>13433</v>
      </c>
      <c r="L273" s="4">
        <f>SUM(L224:L271)</f>
        <v>1994823</v>
      </c>
      <c r="M273" s="4">
        <f t="shared" ref="M273:N273" si="2">SUM(M224:M262)</f>
        <v>1790429</v>
      </c>
      <c r="N273" s="4">
        <f t="shared" si="2"/>
        <v>1472027</v>
      </c>
      <c r="O273" s="4" t="s">
        <v>145</v>
      </c>
      <c r="P273" s="31"/>
      <c r="Q273" s="4">
        <f>SUM(Q224:Q271)</f>
        <v>229678</v>
      </c>
      <c r="R273" s="31"/>
      <c r="S273" s="4">
        <f>SUM(S224:S271)</f>
        <v>359314</v>
      </c>
      <c r="T273" s="4">
        <f>SUM(T224:T271)</f>
        <v>215748</v>
      </c>
      <c r="U273" s="100"/>
      <c r="V273" s="4">
        <f>SUM(V224:V262)</f>
        <v>20585656</v>
      </c>
      <c r="W273" s="100"/>
      <c r="X273" s="4">
        <f t="shared" ref="X273" si="3">SUM(X224:X252)</f>
        <v>577479</v>
      </c>
      <c r="Y273" s="100"/>
      <c r="Z273" s="4">
        <f>SUM(Z224:Z271)</f>
        <v>3836232</v>
      </c>
      <c r="AA273" s="4">
        <f>SUM(AA224:AA271)</f>
        <v>1207695</v>
      </c>
      <c r="AB273" s="4">
        <f>SUM(AB224:AB271)</f>
        <v>1310687</v>
      </c>
      <c r="AC273" s="4">
        <f>SUM(AC224:AC271)</f>
        <v>826687</v>
      </c>
      <c r="AD273" s="4">
        <f>SUM(AD224:AD271)</f>
        <v>2106147</v>
      </c>
      <c r="AE273" s="97"/>
      <c r="AF273" s="97"/>
      <c r="AG273" s="97"/>
      <c r="AH273" s="97"/>
    </row>
    <row r="274" spans="2:34" x14ac:dyDescent="0.2">
      <c r="B274" s="155"/>
      <c r="C274" s="279"/>
      <c r="D274" s="279"/>
      <c r="E274" s="279"/>
      <c r="F274" s="356"/>
      <c r="G274" s="279"/>
      <c r="H274" s="284"/>
      <c r="I274" s="279"/>
      <c r="J274" s="279"/>
      <c r="K274" s="279"/>
      <c r="L274" s="356"/>
      <c r="M274" s="279"/>
      <c r="N274" s="279"/>
      <c r="O274" s="279"/>
      <c r="P274" s="279"/>
      <c r="Q274" s="279"/>
      <c r="R274" s="279"/>
      <c r="S274" s="279"/>
      <c r="T274" s="279"/>
      <c r="U274" s="99"/>
      <c r="V274" s="279"/>
      <c r="W274" s="99"/>
      <c r="X274" s="279"/>
      <c r="Y274" s="99"/>
      <c r="Z274" s="279"/>
      <c r="AA274" s="279"/>
      <c r="AB274" s="279"/>
      <c r="AC274" s="279"/>
      <c r="AD274" s="279"/>
    </row>
    <row r="275" spans="2:34" customFormat="1" ht="51.75" customHeight="1" x14ac:dyDescent="0.2">
      <c r="B275" s="514" t="s">
        <v>411</v>
      </c>
      <c r="C275" s="514"/>
      <c r="D275" s="514"/>
      <c r="E275" s="514"/>
      <c r="F275" s="514"/>
      <c r="G275" s="514"/>
      <c r="H275" s="514"/>
      <c r="I275" s="514"/>
      <c r="J275" s="514"/>
      <c r="K275" s="514"/>
      <c r="L275" s="514"/>
      <c r="M275" s="514"/>
      <c r="N275" s="514"/>
      <c r="O275" s="514"/>
      <c r="P275" s="514"/>
      <c r="Q275" s="514"/>
      <c r="R275" s="279"/>
      <c r="S275" s="279"/>
      <c r="T275" s="279"/>
      <c r="U275" s="279"/>
      <c r="V275" s="279"/>
      <c r="W275" s="279"/>
      <c r="X275" s="279"/>
      <c r="Y275" s="279"/>
      <c r="Z275" s="279"/>
      <c r="AA275" s="279"/>
      <c r="AB275" s="279"/>
      <c r="AC275" s="279"/>
      <c r="AD275" s="279"/>
    </row>
    <row r="276" spans="2:34" customFormat="1" x14ac:dyDescent="0.2">
      <c r="B276" s="279"/>
      <c r="C276" s="279"/>
      <c r="D276" s="279"/>
      <c r="E276" s="279"/>
      <c r="F276" s="356"/>
      <c r="G276" s="279"/>
      <c r="H276" s="284"/>
      <c r="I276" s="279"/>
      <c r="J276" s="279"/>
      <c r="K276" s="279"/>
      <c r="L276" s="356"/>
      <c r="M276" s="279"/>
      <c r="N276" s="279"/>
      <c r="O276" s="279"/>
      <c r="P276" s="279"/>
      <c r="Q276" s="279"/>
      <c r="R276" s="279"/>
      <c r="S276" s="279"/>
      <c r="T276" s="279"/>
      <c r="U276" s="279"/>
      <c r="V276" s="279"/>
      <c r="W276" s="279"/>
      <c r="X276" s="279"/>
      <c r="Y276" s="279"/>
      <c r="Z276" s="279"/>
      <c r="AA276" s="279"/>
      <c r="AB276" s="279"/>
      <c r="AC276" s="279"/>
      <c r="AD276" s="279"/>
    </row>
    <row r="277" spans="2:34" customFormat="1" x14ac:dyDescent="0.2">
      <c r="B277" s="279"/>
      <c r="C277" s="279"/>
      <c r="D277" s="279"/>
      <c r="E277" s="279"/>
      <c r="F277" s="356"/>
      <c r="G277" s="279"/>
      <c r="H277" s="284"/>
      <c r="I277" s="279"/>
      <c r="J277" s="279"/>
      <c r="K277" s="279"/>
      <c r="L277" s="356"/>
      <c r="M277" s="279"/>
      <c r="N277" s="279"/>
      <c r="O277" s="279"/>
      <c r="P277" s="279"/>
      <c r="Q277" s="279"/>
      <c r="R277" s="279"/>
      <c r="S277" s="279"/>
      <c r="T277" s="279"/>
      <c r="U277" s="279"/>
      <c r="V277" s="279"/>
      <c r="W277" s="279"/>
      <c r="X277" s="279"/>
      <c r="Y277" s="279"/>
      <c r="Z277" s="279"/>
      <c r="AA277" s="279"/>
      <c r="AB277" s="279"/>
      <c r="AC277" s="279"/>
      <c r="AD277" s="279"/>
    </row>
    <row r="278" spans="2:34" customFormat="1" x14ac:dyDescent="0.2">
      <c r="B278" s="279"/>
      <c r="C278" s="279"/>
      <c r="D278" s="279"/>
      <c r="E278" s="279"/>
      <c r="F278" s="356"/>
      <c r="G278" s="279"/>
      <c r="H278" s="284"/>
      <c r="I278" s="279"/>
      <c r="J278" s="279"/>
      <c r="K278" s="279"/>
      <c r="L278" s="356"/>
      <c r="M278" s="279"/>
      <c r="N278" s="279"/>
      <c r="O278" s="279"/>
      <c r="P278" s="279"/>
      <c r="Q278" s="279"/>
      <c r="R278" s="279"/>
      <c r="S278" s="279"/>
      <c r="T278" s="279"/>
      <c r="U278" s="279"/>
      <c r="V278" s="279"/>
      <c r="W278" s="279"/>
      <c r="X278" s="279"/>
      <c r="Y278" s="279"/>
      <c r="Z278" s="279"/>
      <c r="AA278" s="279"/>
      <c r="AB278" s="279"/>
      <c r="AC278" s="279"/>
      <c r="AD278" s="279"/>
    </row>
    <row r="279" spans="2:34" customFormat="1" x14ac:dyDescent="0.2">
      <c r="B279" s="279"/>
      <c r="C279" s="279"/>
      <c r="D279" s="279"/>
      <c r="E279" s="279"/>
      <c r="F279" s="356"/>
      <c r="G279" s="279"/>
      <c r="H279" s="284"/>
      <c r="I279" s="279"/>
      <c r="J279" s="279"/>
      <c r="K279" s="279"/>
      <c r="L279" s="356"/>
      <c r="M279" s="279"/>
      <c r="N279" s="279"/>
      <c r="O279" s="279"/>
      <c r="P279" s="279"/>
      <c r="Q279" s="279"/>
      <c r="R279" s="279"/>
      <c r="S279" s="279"/>
      <c r="T279" s="279"/>
      <c r="U279" s="279"/>
      <c r="V279" s="279"/>
      <c r="W279" s="279"/>
      <c r="X279" s="279"/>
      <c r="Y279" s="279"/>
      <c r="Z279" s="279"/>
      <c r="AA279" s="279"/>
      <c r="AB279" s="279"/>
      <c r="AC279" s="279"/>
      <c r="AD279" s="279"/>
    </row>
    <row r="280" spans="2:34" customFormat="1" x14ac:dyDescent="0.2">
      <c r="B280" s="279"/>
      <c r="C280" s="279"/>
      <c r="D280" s="279"/>
      <c r="E280" s="279"/>
      <c r="F280" s="356"/>
      <c r="G280" s="279"/>
      <c r="H280" s="284"/>
      <c r="I280" s="279"/>
      <c r="J280" s="279"/>
      <c r="K280" s="279"/>
      <c r="L280" s="356"/>
      <c r="M280" s="279"/>
      <c r="N280" s="279"/>
      <c r="O280" s="279"/>
      <c r="P280" s="279"/>
      <c r="Q280" s="279"/>
      <c r="R280" s="279"/>
      <c r="S280" s="279"/>
      <c r="T280" s="279"/>
      <c r="U280" s="279"/>
      <c r="V280" s="279"/>
      <c r="W280" s="279"/>
      <c r="X280" s="279"/>
      <c r="Y280" s="279"/>
      <c r="Z280" s="279"/>
      <c r="AA280" s="279"/>
      <c r="AB280" s="279"/>
      <c r="AC280" s="279"/>
      <c r="AD280" s="279"/>
    </row>
    <row r="281" spans="2:34" customFormat="1" x14ac:dyDescent="0.2">
      <c r="B281" s="279"/>
      <c r="C281" s="279"/>
      <c r="D281" s="279"/>
      <c r="E281" s="279"/>
      <c r="F281" s="356"/>
      <c r="G281" s="279"/>
      <c r="H281" s="284"/>
      <c r="I281" s="279"/>
      <c r="J281" s="279"/>
      <c r="K281" s="279"/>
      <c r="L281" s="356"/>
      <c r="M281" s="279"/>
      <c r="N281" s="279"/>
      <c r="O281" s="279"/>
      <c r="P281" s="279"/>
      <c r="Q281" s="279"/>
      <c r="R281" s="279"/>
      <c r="S281" s="279"/>
      <c r="T281" s="279"/>
      <c r="U281" s="279"/>
      <c r="V281" s="279"/>
      <c r="W281" s="279"/>
      <c r="X281" s="279"/>
      <c r="Y281" s="279"/>
      <c r="Z281" s="279"/>
      <c r="AA281" s="279"/>
      <c r="AB281" s="279"/>
      <c r="AC281" s="279"/>
      <c r="AD281" s="279"/>
    </row>
    <row r="282" spans="2:34" customFormat="1" x14ac:dyDescent="0.2">
      <c r="B282" s="279"/>
      <c r="C282" s="279"/>
      <c r="D282" s="279"/>
      <c r="E282" s="279"/>
      <c r="F282" s="356"/>
      <c r="G282" s="279"/>
      <c r="H282" s="284"/>
      <c r="I282" s="279"/>
      <c r="J282" s="279"/>
      <c r="K282" s="279"/>
      <c r="L282" s="356"/>
      <c r="M282" s="279"/>
      <c r="N282" s="279"/>
      <c r="O282" s="279"/>
      <c r="P282" s="279"/>
      <c r="Q282" s="279"/>
      <c r="R282" s="279"/>
      <c r="S282" s="279"/>
      <c r="T282" s="279"/>
      <c r="U282" s="279"/>
      <c r="V282" s="279"/>
      <c r="W282" s="279"/>
      <c r="X282" s="279"/>
      <c r="Y282" s="279"/>
      <c r="Z282" s="279"/>
      <c r="AA282" s="279"/>
      <c r="AB282" s="279"/>
      <c r="AC282" s="279"/>
      <c r="AD282" s="279"/>
    </row>
    <row r="283" spans="2:34" customFormat="1" x14ac:dyDescent="0.2">
      <c r="B283" s="279"/>
      <c r="C283" s="279"/>
      <c r="D283" s="279"/>
      <c r="E283" s="279"/>
      <c r="F283" s="356"/>
      <c r="G283" s="279"/>
      <c r="H283" s="284"/>
      <c r="I283" s="279"/>
      <c r="J283" s="279"/>
      <c r="K283" s="279"/>
      <c r="L283" s="356"/>
      <c r="M283" s="279"/>
      <c r="N283" s="279"/>
      <c r="O283" s="279"/>
      <c r="P283" s="279"/>
      <c r="Q283" s="279"/>
      <c r="R283" s="279"/>
      <c r="S283" s="279"/>
      <c r="T283" s="279"/>
      <c r="U283" s="279"/>
      <c r="V283" s="279"/>
      <c r="W283" s="279"/>
      <c r="X283" s="279"/>
      <c r="Y283" s="279"/>
      <c r="Z283" s="279"/>
      <c r="AA283" s="279"/>
      <c r="AB283" s="279"/>
      <c r="AC283" s="279"/>
      <c r="AD283" s="279"/>
    </row>
    <row r="284" spans="2:34" customFormat="1" x14ac:dyDescent="0.2">
      <c r="B284" s="279"/>
      <c r="C284" s="279"/>
      <c r="D284" s="279"/>
      <c r="E284" s="279"/>
      <c r="F284" s="356"/>
      <c r="G284" s="279"/>
      <c r="H284" s="284"/>
      <c r="I284" s="279"/>
      <c r="J284" s="279"/>
      <c r="K284" s="279"/>
      <c r="L284" s="356"/>
      <c r="M284" s="279"/>
      <c r="N284" s="279"/>
      <c r="O284" s="279"/>
      <c r="P284" s="279"/>
      <c r="Q284" s="279"/>
      <c r="R284" s="279"/>
      <c r="S284" s="279"/>
      <c r="T284" s="279"/>
      <c r="U284" s="279"/>
      <c r="V284" s="279"/>
      <c r="W284" s="279"/>
      <c r="X284" s="279"/>
      <c r="Y284" s="279"/>
      <c r="Z284" s="279"/>
      <c r="AA284" s="279"/>
      <c r="AB284" s="279"/>
      <c r="AC284" s="279"/>
      <c r="AD284" s="279"/>
    </row>
    <row r="285" spans="2:34" customFormat="1" x14ac:dyDescent="0.2">
      <c r="B285" s="279"/>
      <c r="C285" s="279"/>
      <c r="D285" s="279"/>
      <c r="E285" s="279"/>
      <c r="F285" s="356"/>
      <c r="G285" s="279"/>
      <c r="H285" s="284"/>
      <c r="I285" s="279"/>
      <c r="J285" s="279"/>
      <c r="K285" s="279"/>
      <c r="L285" s="356"/>
      <c r="M285" s="279"/>
      <c r="N285" s="279"/>
      <c r="O285" s="279"/>
      <c r="P285" s="279"/>
      <c r="Q285" s="279"/>
      <c r="R285" s="279"/>
      <c r="S285" s="279"/>
      <c r="T285" s="279"/>
      <c r="U285" s="279"/>
      <c r="V285" s="279"/>
      <c r="W285" s="279"/>
      <c r="X285" s="279"/>
      <c r="Y285" s="279"/>
      <c r="Z285" s="279"/>
      <c r="AA285" s="279"/>
      <c r="AB285" s="279"/>
      <c r="AC285" s="279"/>
      <c r="AD285" s="279"/>
    </row>
    <row r="286" spans="2:34" customFormat="1" x14ac:dyDescent="0.2">
      <c r="B286" s="279"/>
      <c r="C286" s="279"/>
      <c r="D286" s="279"/>
      <c r="E286" s="279"/>
      <c r="F286" s="356"/>
      <c r="G286" s="279"/>
      <c r="H286" s="284"/>
      <c r="I286" s="279"/>
      <c r="J286" s="279"/>
      <c r="K286" s="279"/>
      <c r="L286" s="356"/>
      <c r="M286" s="279"/>
      <c r="N286" s="279"/>
      <c r="O286" s="279"/>
      <c r="P286" s="279"/>
      <c r="Q286" s="279"/>
      <c r="R286" s="279"/>
      <c r="S286" s="279"/>
      <c r="T286" s="279"/>
      <c r="U286" s="279"/>
      <c r="V286" s="279"/>
      <c r="W286" s="279"/>
      <c r="X286" s="279"/>
      <c r="Y286" s="279"/>
      <c r="Z286" s="279"/>
      <c r="AA286" s="279"/>
      <c r="AB286" s="279"/>
      <c r="AC286" s="279"/>
      <c r="AD286" s="279"/>
    </row>
    <row r="287" spans="2:34" customFormat="1" x14ac:dyDescent="0.2">
      <c r="B287" s="279"/>
      <c r="C287" s="279"/>
      <c r="D287" s="279"/>
      <c r="E287" s="279"/>
      <c r="F287" s="356"/>
      <c r="G287" s="279"/>
      <c r="H287" s="284"/>
      <c r="I287" s="279"/>
      <c r="J287" s="279"/>
      <c r="K287" s="279"/>
      <c r="L287" s="356"/>
      <c r="M287" s="279"/>
      <c r="N287" s="279"/>
      <c r="O287" s="279"/>
      <c r="P287" s="279"/>
      <c r="Q287" s="279"/>
      <c r="R287" s="279"/>
      <c r="S287" s="279"/>
      <c r="T287" s="279"/>
      <c r="U287" s="279"/>
      <c r="V287" s="279"/>
      <c r="W287" s="279"/>
      <c r="X287" s="279"/>
      <c r="Y287" s="279"/>
      <c r="Z287" s="279"/>
      <c r="AA287" s="279"/>
      <c r="AB287" s="279"/>
      <c r="AC287" s="279"/>
      <c r="AD287" s="279"/>
    </row>
    <row r="288" spans="2:34" customFormat="1" x14ac:dyDescent="0.2">
      <c r="B288" s="279"/>
      <c r="C288" s="279"/>
      <c r="D288" s="279"/>
      <c r="E288" s="279"/>
      <c r="F288" s="356"/>
      <c r="G288" s="279"/>
      <c r="H288" s="284"/>
      <c r="I288" s="279"/>
      <c r="J288" s="279"/>
      <c r="K288" s="279"/>
      <c r="L288" s="356"/>
      <c r="M288" s="279"/>
      <c r="N288" s="279"/>
      <c r="O288" s="279"/>
      <c r="P288" s="279"/>
      <c r="Q288" s="279"/>
      <c r="R288" s="279"/>
      <c r="S288" s="279"/>
      <c r="T288" s="279"/>
      <c r="U288" s="279"/>
      <c r="V288" s="279"/>
      <c r="W288" s="279"/>
      <c r="X288" s="279"/>
      <c r="Y288" s="279"/>
      <c r="Z288" s="279"/>
      <c r="AA288" s="279"/>
      <c r="AB288" s="279"/>
      <c r="AC288" s="279"/>
      <c r="AD288" s="279"/>
    </row>
    <row r="289" spans="2:30" customFormat="1" x14ac:dyDescent="0.2">
      <c r="B289" s="279"/>
      <c r="C289" s="279"/>
      <c r="D289" s="279"/>
      <c r="E289" s="279"/>
      <c r="F289" s="356"/>
      <c r="G289" s="279"/>
      <c r="H289" s="284"/>
      <c r="I289" s="279"/>
      <c r="J289" s="279"/>
      <c r="K289" s="279"/>
      <c r="L289" s="356"/>
      <c r="M289" s="279"/>
      <c r="N289" s="279"/>
      <c r="O289" s="279"/>
      <c r="P289" s="279"/>
      <c r="Q289" s="279"/>
      <c r="R289" s="279"/>
      <c r="S289" s="279"/>
      <c r="T289" s="279"/>
      <c r="U289" s="279"/>
      <c r="V289" s="279"/>
      <c r="W289" s="279"/>
      <c r="X289" s="279"/>
      <c r="Y289" s="279"/>
      <c r="Z289" s="279"/>
      <c r="AA289" s="279"/>
      <c r="AB289" s="279"/>
      <c r="AC289" s="279"/>
      <c r="AD289" s="279"/>
    </row>
    <row r="290" spans="2:30" customFormat="1" x14ac:dyDescent="0.2">
      <c r="B290" s="279"/>
      <c r="C290" s="279"/>
      <c r="D290" s="279"/>
      <c r="E290" s="279"/>
      <c r="F290" s="356"/>
      <c r="G290" s="279"/>
      <c r="H290" s="284"/>
      <c r="I290" s="279"/>
      <c r="J290" s="279"/>
      <c r="K290" s="279"/>
      <c r="L290" s="356"/>
      <c r="M290" s="279"/>
      <c r="N290" s="279"/>
      <c r="O290" s="279"/>
      <c r="P290" s="279"/>
      <c r="Q290" s="279"/>
      <c r="R290" s="279"/>
      <c r="S290" s="279"/>
      <c r="T290" s="279"/>
      <c r="U290" s="279"/>
      <c r="V290" s="279"/>
      <c r="W290" s="279"/>
      <c r="X290" s="279"/>
      <c r="Y290" s="279"/>
      <c r="Z290" s="279"/>
      <c r="AA290" s="279"/>
      <c r="AB290" s="279"/>
      <c r="AC290" s="279"/>
      <c r="AD290" s="279"/>
    </row>
    <row r="291" spans="2:30" customFormat="1" x14ac:dyDescent="0.2">
      <c r="B291" s="279"/>
      <c r="C291" s="279"/>
      <c r="D291" s="279"/>
      <c r="E291" s="279"/>
      <c r="F291" s="356"/>
      <c r="G291" s="279"/>
      <c r="H291" s="284"/>
      <c r="I291" s="279"/>
      <c r="J291" s="279"/>
      <c r="K291" s="279"/>
      <c r="L291" s="356"/>
      <c r="M291" s="279"/>
      <c r="N291" s="279"/>
      <c r="O291" s="279"/>
      <c r="P291" s="279"/>
      <c r="Q291" s="279"/>
      <c r="R291" s="279"/>
      <c r="S291" s="279"/>
      <c r="T291" s="279"/>
      <c r="U291" s="279"/>
      <c r="V291" s="279"/>
      <c r="W291" s="279"/>
      <c r="X291" s="279"/>
      <c r="Y291" s="279"/>
      <c r="Z291" s="279"/>
      <c r="AA291" s="279"/>
      <c r="AB291" s="279"/>
      <c r="AC291" s="279"/>
      <c r="AD291" s="279"/>
    </row>
    <row r="292" spans="2:30" customFormat="1" x14ac:dyDescent="0.2">
      <c r="B292" s="279"/>
      <c r="C292" s="279"/>
      <c r="D292" s="279"/>
      <c r="E292" s="279"/>
      <c r="F292" s="356"/>
      <c r="G292" s="279"/>
      <c r="H292" s="284"/>
      <c r="I292" s="279"/>
      <c r="J292" s="279"/>
      <c r="K292" s="279"/>
      <c r="L292" s="356"/>
      <c r="M292" s="279"/>
      <c r="N292" s="279"/>
      <c r="O292" s="279"/>
      <c r="P292" s="279"/>
      <c r="Q292" s="279"/>
      <c r="R292" s="279"/>
      <c r="S292" s="279"/>
      <c r="T292" s="279"/>
      <c r="U292" s="279"/>
      <c r="V292" s="279"/>
      <c r="W292" s="279"/>
      <c r="X292" s="279"/>
      <c r="Y292" s="279"/>
      <c r="Z292" s="279"/>
      <c r="AA292" s="279"/>
      <c r="AB292" s="279"/>
      <c r="AC292" s="279"/>
      <c r="AD292" s="279"/>
    </row>
    <row r="293" spans="2:30" customFormat="1" x14ac:dyDescent="0.2">
      <c r="B293" s="279"/>
      <c r="C293" s="279"/>
      <c r="D293" s="279"/>
      <c r="E293" s="279"/>
      <c r="F293" s="356"/>
      <c r="G293" s="279"/>
      <c r="H293" s="284"/>
      <c r="I293" s="279"/>
      <c r="J293" s="279"/>
      <c r="K293" s="279"/>
      <c r="L293" s="356"/>
      <c r="M293" s="279"/>
      <c r="N293" s="279"/>
      <c r="O293" s="279"/>
      <c r="P293" s="279"/>
      <c r="Q293" s="279"/>
      <c r="R293" s="279"/>
      <c r="S293" s="279"/>
      <c r="T293" s="279"/>
      <c r="U293" s="279"/>
      <c r="V293" s="279"/>
      <c r="W293" s="279"/>
      <c r="X293" s="279"/>
      <c r="Y293" s="279"/>
      <c r="Z293" s="279"/>
      <c r="AA293" s="279"/>
      <c r="AB293" s="279"/>
      <c r="AC293" s="279"/>
      <c r="AD293" s="279"/>
    </row>
    <row r="294" spans="2:30" customFormat="1" x14ac:dyDescent="0.2">
      <c r="B294" s="279"/>
      <c r="C294" s="279"/>
      <c r="D294" s="279"/>
      <c r="E294" s="279"/>
      <c r="F294" s="356"/>
      <c r="G294" s="279"/>
      <c r="H294" s="284"/>
      <c r="I294" s="279"/>
      <c r="J294" s="279"/>
      <c r="K294" s="279"/>
      <c r="L294" s="356"/>
      <c r="M294" s="279"/>
      <c r="N294" s="279"/>
      <c r="O294" s="279"/>
      <c r="P294" s="279"/>
      <c r="Q294" s="279"/>
      <c r="R294" s="279"/>
      <c r="S294" s="279"/>
      <c r="T294" s="279"/>
      <c r="U294" s="279"/>
      <c r="V294" s="279"/>
      <c r="W294" s="279"/>
      <c r="X294" s="279"/>
      <c r="Y294" s="279"/>
      <c r="Z294" s="279"/>
      <c r="AA294" s="279"/>
      <c r="AB294" s="279"/>
      <c r="AC294" s="279"/>
      <c r="AD294" s="279"/>
    </row>
    <row r="295" spans="2:30" customFormat="1" x14ac:dyDescent="0.2">
      <c r="B295" s="279"/>
      <c r="C295" s="279"/>
      <c r="D295" s="279"/>
      <c r="E295" s="279"/>
      <c r="F295" s="356"/>
      <c r="G295" s="279"/>
      <c r="H295" s="284"/>
      <c r="I295" s="279"/>
      <c r="J295" s="279"/>
      <c r="K295" s="279"/>
      <c r="L295" s="356"/>
      <c r="M295" s="279"/>
      <c r="N295" s="279"/>
      <c r="O295" s="279"/>
      <c r="P295" s="279"/>
      <c r="Q295" s="279"/>
      <c r="R295" s="279"/>
      <c r="S295" s="279"/>
      <c r="T295" s="279"/>
      <c r="U295" s="279"/>
      <c r="V295" s="279"/>
      <c r="W295" s="279"/>
      <c r="X295" s="279"/>
      <c r="Y295" s="279"/>
      <c r="Z295" s="279"/>
      <c r="AA295" s="279"/>
      <c r="AB295" s="279"/>
      <c r="AC295" s="279"/>
      <c r="AD295" s="279"/>
    </row>
    <row r="296" spans="2:30" customFormat="1" x14ac:dyDescent="0.2">
      <c r="B296" s="279"/>
      <c r="C296" s="279"/>
      <c r="D296" s="279"/>
      <c r="E296" s="279"/>
      <c r="F296" s="356"/>
      <c r="G296" s="279"/>
      <c r="H296" s="284"/>
      <c r="I296" s="279"/>
      <c r="J296" s="279"/>
      <c r="K296" s="279"/>
      <c r="L296" s="356"/>
      <c r="M296" s="279"/>
      <c r="N296" s="279"/>
      <c r="O296" s="279"/>
      <c r="P296" s="279"/>
      <c r="Q296" s="279"/>
      <c r="R296" s="279"/>
      <c r="S296" s="279"/>
      <c r="T296" s="279"/>
      <c r="U296" s="279"/>
      <c r="V296" s="279"/>
      <c r="W296" s="279"/>
      <c r="X296" s="279"/>
      <c r="Y296" s="279"/>
      <c r="Z296" s="279"/>
      <c r="AA296" s="279"/>
      <c r="AB296" s="279"/>
      <c r="AC296" s="279"/>
      <c r="AD296" s="279"/>
    </row>
    <row r="297" spans="2:30" customFormat="1" x14ac:dyDescent="0.2">
      <c r="B297" s="279"/>
      <c r="C297" s="279"/>
      <c r="D297" s="279"/>
      <c r="E297" s="279"/>
      <c r="F297" s="356"/>
      <c r="G297" s="279"/>
      <c r="H297" s="284"/>
      <c r="I297" s="279"/>
      <c r="J297" s="279"/>
      <c r="K297" s="279"/>
      <c r="L297" s="356"/>
      <c r="M297" s="279"/>
      <c r="N297" s="279"/>
      <c r="O297" s="279"/>
      <c r="P297" s="279"/>
      <c r="Q297" s="279"/>
      <c r="R297" s="279"/>
      <c r="S297" s="279"/>
      <c r="T297" s="279"/>
      <c r="U297" s="279"/>
      <c r="V297" s="279"/>
      <c r="W297" s="279"/>
      <c r="X297" s="279"/>
      <c r="Y297" s="279"/>
      <c r="Z297" s="279"/>
      <c r="AA297" s="279"/>
      <c r="AB297" s="279"/>
      <c r="AC297" s="279"/>
      <c r="AD297" s="279"/>
    </row>
    <row r="298" spans="2:30" customFormat="1" x14ac:dyDescent="0.2">
      <c r="B298" s="279"/>
      <c r="C298" s="279"/>
      <c r="D298" s="279"/>
      <c r="E298" s="279"/>
      <c r="F298" s="356"/>
      <c r="G298" s="279"/>
      <c r="H298" s="284"/>
      <c r="I298" s="279"/>
      <c r="J298" s="279"/>
      <c r="K298" s="279"/>
      <c r="L298" s="356"/>
      <c r="M298" s="279"/>
      <c r="N298" s="279"/>
      <c r="O298" s="279"/>
      <c r="P298" s="279"/>
      <c r="Q298" s="279"/>
      <c r="R298" s="279"/>
      <c r="S298" s="279"/>
      <c r="T298" s="279"/>
      <c r="U298" s="279"/>
      <c r="V298" s="279"/>
      <c r="W298" s="279"/>
      <c r="X298" s="279"/>
      <c r="Y298" s="279"/>
      <c r="Z298" s="279"/>
      <c r="AA298" s="279"/>
      <c r="AB298" s="279"/>
      <c r="AC298" s="279"/>
      <c r="AD298" s="279"/>
    </row>
    <row r="299" spans="2:30" customFormat="1" x14ac:dyDescent="0.2">
      <c r="B299" s="279"/>
      <c r="C299" s="279"/>
      <c r="D299" s="279"/>
      <c r="E299" s="279"/>
      <c r="F299" s="356"/>
      <c r="G299" s="279"/>
      <c r="H299" s="284"/>
      <c r="I299" s="279"/>
      <c r="J299" s="279"/>
      <c r="K299" s="279"/>
      <c r="L299" s="356"/>
      <c r="M299" s="279"/>
      <c r="N299" s="279"/>
      <c r="O299" s="279"/>
      <c r="P299" s="279"/>
      <c r="Q299" s="279"/>
      <c r="R299" s="279"/>
      <c r="S299" s="279"/>
      <c r="T299" s="279"/>
      <c r="U299" s="279"/>
      <c r="V299" s="279"/>
      <c r="W299" s="279"/>
      <c r="X299" s="279"/>
      <c r="Y299" s="279"/>
      <c r="Z299" s="279"/>
      <c r="AA299" s="279"/>
      <c r="AB299" s="279"/>
      <c r="AC299" s="279"/>
      <c r="AD299" s="279"/>
    </row>
    <row r="300" spans="2:30" customFormat="1" x14ac:dyDescent="0.2">
      <c r="B300" s="279"/>
      <c r="C300" s="279"/>
      <c r="D300" s="279"/>
      <c r="E300" s="279"/>
      <c r="F300" s="356"/>
      <c r="G300" s="279"/>
      <c r="H300" s="284"/>
      <c r="I300" s="279"/>
      <c r="J300" s="279"/>
      <c r="K300" s="279"/>
      <c r="L300" s="356"/>
      <c r="M300" s="279"/>
      <c r="N300" s="279"/>
      <c r="O300" s="279"/>
      <c r="P300" s="279"/>
      <c r="Q300" s="279"/>
      <c r="R300" s="279"/>
      <c r="S300" s="279"/>
      <c r="T300" s="279"/>
      <c r="U300" s="279"/>
      <c r="V300" s="279"/>
      <c r="W300" s="279"/>
      <c r="X300" s="279"/>
      <c r="Y300" s="279"/>
      <c r="Z300" s="279"/>
      <c r="AA300" s="279"/>
      <c r="AB300" s="279"/>
      <c r="AC300" s="279"/>
      <c r="AD300" s="279"/>
    </row>
    <row r="301" spans="2:30" customFormat="1" x14ac:dyDescent="0.2">
      <c r="B301" s="279"/>
      <c r="C301" s="279"/>
      <c r="D301" s="279"/>
      <c r="E301" s="279"/>
      <c r="F301" s="356"/>
      <c r="G301" s="279"/>
      <c r="H301" s="284"/>
      <c r="I301" s="279"/>
      <c r="J301" s="279"/>
      <c r="K301" s="279"/>
      <c r="L301" s="356"/>
      <c r="M301" s="279"/>
      <c r="N301" s="279"/>
      <c r="O301" s="279"/>
      <c r="P301" s="279"/>
      <c r="Q301" s="279"/>
      <c r="R301" s="279"/>
      <c r="S301" s="279"/>
      <c r="T301" s="279"/>
      <c r="U301" s="279"/>
      <c r="V301" s="279"/>
      <c r="W301" s="279"/>
      <c r="X301" s="279"/>
      <c r="Y301" s="279"/>
      <c r="Z301" s="279"/>
      <c r="AA301" s="279"/>
      <c r="AB301" s="279"/>
      <c r="AC301" s="279"/>
      <c r="AD301" s="279"/>
    </row>
    <row r="302" spans="2:30" customFormat="1" x14ac:dyDescent="0.2">
      <c r="B302" s="279"/>
      <c r="C302" s="279"/>
      <c r="D302" s="279"/>
      <c r="E302" s="279"/>
      <c r="F302" s="356"/>
      <c r="G302" s="279"/>
      <c r="H302" s="284"/>
      <c r="I302" s="279"/>
      <c r="J302" s="279"/>
      <c r="K302" s="279"/>
      <c r="L302" s="356"/>
      <c r="M302" s="279"/>
      <c r="N302" s="279"/>
      <c r="O302" s="279"/>
      <c r="P302" s="279"/>
      <c r="Q302" s="279"/>
      <c r="R302" s="279"/>
      <c r="S302" s="279"/>
      <c r="T302" s="279"/>
      <c r="U302" s="279"/>
      <c r="V302" s="279"/>
      <c r="W302" s="279"/>
      <c r="X302" s="279"/>
      <c r="Y302" s="279"/>
      <c r="Z302" s="279"/>
      <c r="AA302" s="279"/>
      <c r="AB302" s="279"/>
      <c r="AC302" s="279"/>
      <c r="AD302" s="279"/>
    </row>
    <row r="303" spans="2:30" customFormat="1" x14ac:dyDescent="0.2">
      <c r="B303" s="262"/>
      <c r="C303" s="262"/>
      <c r="D303" s="262"/>
      <c r="E303" s="262"/>
      <c r="F303" s="262"/>
      <c r="G303" s="262"/>
      <c r="H303" s="262"/>
      <c r="I303" s="262"/>
      <c r="J303" s="262"/>
      <c r="K303" s="262"/>
      <c r="L303" s="262"/>
      <c r="M303" s="262"/>
      <c r="N303" s="262"/>
      <c r="O303" s="262"/>
      <c r="P303" s="262"/>
      <c r="Q303" s="262"/>
      <c r="R303" s="262"/>
      <c r="S303" s="262"/>
      <c r="T303" s="262"/>
      <c r="U303" s="262"/>
      <c r="V303" s="262"/>
      <c r="W303" s="262"/>
      <c r="X303" s="262"/>
      <c r="Y303" s="262"/>
      <c r="Z303" s="262"/>
      <c r="AA303" s="262"/>
      <c r="AB303" s="262"/>
      <c r="AC303" s="262"/>
      <c r="AD303" s="262"/>
    </row>
  </sheetData>
  <mergeCells count="7">
    <mergeCell ref="B275:Q275"/>
    <mergeCell ref="B216:Q216"/>
    <mergeCell ref="B219:Q219"/>
    <mergeCell ref="B217:Q217"/>
    <mergeCell ref="B218:Q218"/>
    <mergeCell ref="B220:N220"/>
    <mergeCell ref="B221:AD221"/>
  </mergeCells>
  <phoneticPr fontId="31" type="noConversion"/>
  <pageMargins left="0.75" right="0.75" top="1" bottom="1" header="0.5" footer="0.5"/>
  <pageSetup scale="23"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W69"/>
  <sheetViews>
    <sheetView showGridLines="0" topLeftCell="A111" workbookViewId="0">
      <selection activeCell="N5" sqref="K5:N5"/>
    </sheetView>
  </sheetViews>
  <sheetFormatPr defaultColWidth="11.42578125" defaultRowHeight="12.75" x14ac:dyDescent="0.2"/>
  <cols>
    <col min="1" max="1" width="4.28515625" style="21" customWidth="1"/>
    <col min="2" max="5" width="11.42578125" style="21"/>
    <col min="6" max="6" width="4.140625" style="21" customWidth="1"/>
    <col min="7" max="9" width="11.42578125" style="21"/>
    <col min="10" max="10" width="4.140625" style="21" customWidth="1"/>
    <col min="11" max="16384" width="11.42578125" style="21"/>
  </cols>
  <sheetData>
    <row r="2" spans="2:17" ht="18.75" x14ac:dyDescent="0.3">
      <c r="B2" s="5" t="s">
        <v>50</v>
      </c>
      <c r="C2" s="6"/>
      <c r="D2" s="7"/>
      <c r="E2" s="7"/>
      <c r="F2" s="7"/>
      <c r="G2" s="7"/>
      <c r="H2" s="7"/>
      <c r="I2" s="7"/>
      <c r="J2" s="8"/>
      <c r="K2" s="8"/>
      <c r="L2" s="8"/>
      <c r="M2" s="8"/>
      <c r="N2" s="8"/>
    </row>
    <row r="3" spans="2:17" ht="47.25" x14ac:dyDescent="0.25">
      <c r="B3" s="9" t="s">
        <v>53</v>
      </c>
      <c r="C3" s="9" t="s">
        <v>54</v>
      </c>
      <c r="D3" s="9" t="s">
        <v>55</v>
      </c>
      <c r="E3" s="9" t="s">
        <v>56</v>
      </c>
      <c r="F3" s="10"/>
      <c r="G3" s="11" t="s">
        <v>19</v>
      </c>
      <c r="H3" s="11" t="s">
        <v>20</v>
      </c>
      <c r="I3" s="11" t="s">
        <v>21</v>
      </c>
      <c r="J3" s="8"/>
      <c r="K3" s="11" t="s">
        <v>22</v>
      </c>
      <c r="L3" s="11" t="s">
        <v>23</v>
      </c>
      <c r="M3" s="11" t="s">
        <v>24</v>
      </c>
      <c r="N3" s="11" t="s">
        <v>25</v>
      </c>
    </row>
    <row r="4" spans="2:17" ht="15.75" x14ac:dyDescent="0.25">
      <c r="B4" s="18" t="s">
        <v>52</v>
      </c>
      <c r="C4" s="18">
        <v>2568</v>
      </c>
      <c r="D4" s="18">
        <v>435</v>
      </c>
      <c r="E4" s="12">
        <f t="shared" ref="E4" si="0">D4/C4</f>
        <v>0.16939252336448599</v>
      </c>
      <c r="F4" s="13"/>
      <c r="G4" s="14"/>
      <c r="H4" s="14"/>
      <c r="I4" s="14"/>
      <c r="J4" s="8"/>
      <c r="K4" s="15"/>
      <c r="L4" s="16"/>
      <c r="M4" s="17"/>
      <c r="N4" s="17"/>
    </row>
    <row r="5" spans="2:17" ht="15.75" x14ac:dyDescent="0.25">
      <c r="B5" s="23" t="s">
        <v>51</v>
      </c>
      <c r="C5" s="24">
        <v>2592</v>
      </c>
      <c r="D5" s="24">
        <v>526</v>
      </c>
      <c r="E5" s="25">
        <f>D5/C5</f>
        <v>0.20293209876543211</v>
      </c>
      <c r="F5" s="13"/>
      <c r="G5" s="14" t="str">
        <f>IF(OR($N5&lt;0.1,$N5&gt;0.9), "YES", "NO")</f>
        <v>YES</v>
      </c>
      <c r="H5" s="14" t="str">
        <f>IF(OR($N5&lt;0.05,$N5&gt;0.95), "YES", "NO")</f>
        <v>YES</v>
      </c>
      <c r="I5" s="14" t="str">
        <f>IF(OR($N5&lt;0.01,$N5&gt;0.99), "YES", "NO")</f>
        <v>YES</v>
      </c>
      <c r="J5" s="8"/>
      <c r="K5" s="16">
        <f>SQRT((E$4*(1-E$4)/C$4))</f>
        <v>7.4019735200097844E-3</v>
      </c>
      <c r="L5" s="16">
        <f>SQRT((E5*(1-E5)/C5))</f>
        <v>7.899607889356907E-3</v>
      </c>
      <c r="M5" s="17">
        <f>(E$4-E5)/SQRT(POWER(K5,2)+POWER(L5,2))</f>
        <v>-3.0981803366602327</v>
      </c>
      <c r="N5" s="17">
        <f>NORMDIST(M5,0,1,TRUE)</f>
        <v>9.735645187319245E-4</v>
      </c>
    </row>
    <row r="6" spans="2:17" ht="15.75" x14ac:dyDescent="0.25">
      <c r="B6" s="19" t="s">
        <v>26</v>
      </c>
      <c r="C6" s="18">
        <v>2550</v>
      </c>
      <c r="D6" s="18">
        <v>409</v>
      </c>
      <c r="E6" s="12">
        <f t="shared" ref="E6:E9" si="1">D6/C6</f>
        <v>0.16039215686274511</v>
      </c>
      <c r="F6" s="13"/>
      <c r="G6" s="14" t="str">
        <f>IF(OR($N6&lt;0.1,$N6&gt;0.9), "YES", "NO")</f>
        <v>NO</v>
      </c>
      <c r="H6" s="14" t="str">
        <f>IF(OR($N6&lt;0.05,$N6&gt;0.95), "YES", "NO")</f>
        <v>NO</v>
      </c>
      <c r="I6" s="14" t="str">
        <f>IF(OR($N6&lt;0.01,$N6&gt;0.99), "YES", "NO")</f>
        <v>NO</v>
      </c>
      <c r="J6" s="8"/>
      <c r="K6" s="16">
        <f t="shared" ref="K6:K10" si="2">SQRT((E$4*(1-E$4)/C$4))</f>
        <v>7.4019735200097844E-3</v>
      </c>
      <c r="L6" s="16">
        <f t="shared" ref="L6:L10" si="3">SQRT((E6*(1-E6)/C6))</f>
        <v>7.2670762489264185E-3</v>
      </c>
      <c r="M6" s="17">
        <f t="shared" ref="M6:M10" si="4">(E$4-E6)/SQRT(POWER(K6,2)+POWER(L6,2))</f>
        <v>0.86767053101041014</v>
      </c>
      <c r="N6" s="17">
        <f t="shared" ref="N6:N10" si="5">NORMDIST(M6,0,1,TRUE)</f>
        <v>0.80721263861643711</v>
      </c>
    </row>
    <row r="7" spans="2:17" ht="15.75" x14ac:dyDescent="0.25">
      <c r="B7" s="18" t="s">
        <v>27</v>
      </c>
      <c r="C7" s="18">
        <v>2609</v>
      </c>
      <c r="D7" s="18">
        <v>539</v>
      </c>
      <c r="E7" s="12">
        <f t="shared" si="1"/>
        <v>0.20659256420084324</v>
      </c>
      <c r="F7" s="13"/>
      <c r="G7" s="14" t="str">
        <f>IF(OR($N7&lt;0.1,$N7&gt;0.9), "YES", "NO")</f>
        <v>YES</v>
      </c>
      <c r="H7" s="14" t="str">
        <f>IF(OR($N7&lt;0.05,$N7&gt;0.95), "YES", "NO")</f>
        <v>YES</v>
      </c>
      <c r="I7" s="14" t="str">
        <f t="shared" ref="I7:I9" si="6">IF(OR($N7&lt;0.01,$N7&gt;0.99), "YES", "NO")</f>
        <v>YES</v>
      </c>
      <c r="J7" s="8"/>
      <c r="K7" s="16">
        <f t="shared" si="2"/>
        <v>7.4019735200097844E-3</v>
      </c>
      <c r="L7" s="16">
        <f t="shared" si="3"/>
        <v>7.9262622367852146E-3</v>
      </c>
      <c r="M7" s="17">
        <f t="shared" si="4"/>
        <v>-3.4301439513689131</v>
      </c>
      <c r="N7" s="17">
        <f t="shared" si="5"/>
        <v>3.0163055714044722E-4</v>
      </c>
    </row>
    <row r="8" spans="2:17" ht="15.75" x14ac:dyDescent="0.25">
      <c r="B8" s="26" t="s">
        <v>28</v>
      </c>
      <c r="C8" s="27">
        <v>2637</v>
      </c>
      <c r="D8" s="27">
        <v>567</v>
      </c>
      <c r="E8" s="25">
        <f t="shared" si="1"/>
        <v>0.21501706484641639</v>
      </c>
      <c r="F8" s="13"/>
      <c r="G8" s="14" t="str">
        <f t="shared" ref="G8:G9" si="7">IF(OR($N8&lt;0.1,$N8&gt;0.9), "YES", "NO")</f>
        <v>YES</v>
      </c>
      <c r="H8" s="14" t="str">
        <f t="shared" ref="H8:H9" si="8">IF(OR($N8&lt;0.05,$N8&gt;0.95), "YES", "NO")</f>
        <v>YES</v>
      </c>
      <c r="I8" s="14" t="str">
        <f t="shared" si="6"/>
        <v>YES</v>
      </c>
      <c r="J8" s="8"/>
      <c r="K8" s="16">
        <f t="shared" si="2"/>
        <v>7.4019735200097844E-3</v>
      </c>
      <c r="L8" s="16">
        <f t="shared" si="3"/>
        <v>8.0003964319497051E-3</v>
      </c>
      <c r="M8" s="17">
        <f t="shared" si="4"/>
        <v>-4.1859922252067285</v>
      </c>
      <c r="N8" s="17">
        <f t="shared" si="5"/>
        <v>1.4196153330923287E-5</v>
      </c>
    </row>
    <row r="9" spans="2:17" ht="15.75" x14ac:dyDescent="0.25">
      <c r="B9" s="19" t="s">
        <v>29</v>
      </c>
      <c r="C9" s="18">
        <v>2628</v>
      </c>
      <c r="D9" s="18">
        <v>558</v>
      </c>
      <c r="E9" s="12">
        <f t="shared" si="1"/>
        <v>0.21232876712328766</v>
      </c>
      <c r="F9" s="13"/>
      <c r="G9" s="14" t="str">
        <f t="shared" si="7"/>
        <v>YES</v>
      </c>
      <c r="H9" s="14" t="str">
        <f t="shared" si="8"/>
        <v>YES</v>
      </c>
      <c r="I9" s="14" t="str">
        <f t="shared" si="6"/>
        <v>YES</v>
      </c>
      <c r="J9" s="8"/>
      <c r="K9" s="16">
        <f t="shared" si="2"/>
        <v>7.4019735200097844E-3</v>
      </c>
      <c r="L9" s="16">
        <f t="shared" si="3"/>
        <v>7.9774525717135579E-3</v>
      </c>
      <c r="M9" s="17">
        <f t="shared" si="4"/>
        <v>-3.9454367665018863</v>
      </c>
      <c r="N9" s="17">
        <f t="shared" si="5"/>
        <v>3.9827325633827605E-5</v>
      </c>
    </row>
    <row r="10" spans="2:17" ht="15.75" x14ac:dyDescent="0.25">
      <c r="B10" s="19" t="s">
        <v>30</v>
      </c>
      <c r="C10" s="18">
        <v>2542</v>
      </c>
      <c r="D10" s="18">
        <v>638</v>
      </c>
      <c r="E10" s="12">
        <f>D10/C10</f>
        <v>0.25098347757671124</v>
      </c>
      <c r="F10" s="13"/>
      <c r="G10" s="14" t="str">
        <f>IF(OR($N10&lt;0.1,$N10&gt;0.9), "YES", "NO")</f>
        <v>YES</v>
      </c>
      <c r="H10" s="14" t="str">
        <f>IF(OR($N10&lt;0.05,$N10&gt;0.95), "YES", "NO")</f>
        <v>YES</v>
      </c>
      <c r="I10" s="14" t="str">
        <f>IF(OR($N10&lt;0.01,$N10&gt;0.99), "YES", "NO")</f>
        <v>YES</v>
      </c>
      <c r="J10" s="8"/>
      <c r="K10" s="16">
        <f t="shared" si="2"/>
        <v>7.4019735200097844E-3</v>
      </c>
      <c r="L10" s="16">
        <f t="shared" si="3"/>
        <v>8.5996443753940301E-3</v>
      </c>
      <c r="M10" s="17">
        <f t="shared" si="4"/>
        <v>-7.1908468440488482</v>
      </c>
      <c r="N10" s="17">
        <f t="shared" si="5"/>
        <v>3.2195340113264154E-13</v>
      </c>
    </row>
    <row r="11" spans="2:17" x14ac:dyDescent="0.2">
      <c r="B11" s="8"/>
      <c r="C11" s="8"/>
      <c r="D11" s="8"/>
      <c r="E11" s="8"/>
      <c r="F11" s="8"/>
      <c r="G11" s="8"/>
      <c r="H11" s="8"/>
      <c r="I11" s="8"/>
      <c r="J11" s="8"/>
      <c r="K11" s="8"/>
      <c r="L11" s="8"/>
      <c r="M11" s="8"/>
      <c r="N11" s="8"/>
    </row>
    <row r="16" spans="2:17" x14ac:dyDescent="0.2">
      <c r="B16" s="1" t="s">
        <v>0</v>
      </c>
      <c r="G16" s="1" t="s">
        <v>1</v>
      </c>
      <c r="L16" s="1" t="s">
        <v>3</v>
      </c>
      <c r="P16" s="1"/>
      <c r="Q16" s="1" t="s">
        <v>31</v>
      </c>
    </row>
    <row r="39" spans="2:12" x14ac:dyDescent="0.2">
      <c r="B39" s="1" t="s">
        <v>32</v>
      </c>
      <c r="G39" s="1" t="s">
        <v>33</v>
      </c>
      <c r="L39" s="1" t="s">
        <v>34</v>
      </c>
    </row>
    <row r="60" spans="2:23" ht="39.950000000000003" customHeight="1" x14ac:dyDescent="0.25">
      <c r="B60" s="20" t="s">
        <v>57</v>
      </c>
      <c r="C60" s="20" t="s">
        <v>4</v>
      </c>
      <c r="D60" s="20" t="s">
        <v>58</v>
      </c>
      <c r="E60" s="9" t="s">
        <v>56</v>
      </c>
      <c r="G60" s="11" t="s">
        <v>19</v>
      </c>
      <c r="H60" s="11" t="s">
        <v>20</v>
      </c>
      <c r="I60" s="11" t="s">
        <v>21</v>
      </c>
      <c r="J60" s="8"/>
      <c r="K60" s="11" t="s">
        <v>22</v>
      </c>
      <c r="L60" s="11" t="s">
        <v>23</v>
      </c>
      <c r="M60" s="11" t="s">
        <v>24</v>
      </c>
      <c r="N60" s="11" t="s">
        <v>25</v>
      </c>
      <c r="Q60" s="20" t="s">
        <v>59</v>
      </c>
      <c r="R60" s="20" t="s">
        <v>60</v>
      </c>
      <c r="S60" s="20" t="s">
        <v>61</v>
      </c>
      <c r="T60" s="20" t="s">
        <v>62</v>
      </c>
      <c r="U60" s="20" t="s">
        <v>63</v>
      </c>
      <c r="V60" s="20" t="s">
        <v>64</v>
      </c>
      <c r="W60" s="20" t="s">
        <v>65</v>
      </c>
    </row>
    <row r="61" spans="2:23" x14ac:dyDescent="0.2">
      <c r="B61" s="20" t="s">
        <v>0</v>
      </c>
      <c r="C61" s="20">
        <v>4775</v>
      </c>
      <c r="D61" s="20">
        <v>257</v>
      </c>
      <c r="E61" s="28">
        <f>D61/C61</f>
        <v>5.3821989528795813E-2</v>
      </c>
      <c r="G61" s="14"/>
      <c r="H61" s="14"/>
      <c r="I61" s="14"/>
      <c r="J61" s="8"/>
      <c r="K61" s="15"/>
      <c r="L61" s="16"/>
      <c r="M61" s="17"/>
      <c r="N61" s="17"/>
      <c r="Q61" s="28">
        <f>R61/C61</f>
        <v>0.26659685863874344</v>
      </c>
      <c r="R61" s="20">
        <f>SUM(S61:W61)</f>
        <v>1273</v>
      </c>
      <c r="S61" s="20">
        <v>257</v>
      </c>
      <c r="T61" s="20">
        <v>165</v>
      </c>
      <c r="U61" s="20">
        <v>27</v>
      </c>
      <c r="V61" s="20">
        <v>25</v>
      </c>
      <c r="W61" s="20">
        <v>799</v>
      </c>
    </row>
    <row r="62" spans="2:23" x14ac:dyDescent="0.2">
      <c r="B62" s="20" t="s">
        <v>1</v>
      </c>
      <c r="C62" s="20">
        <v>2732</v>
      </c>
      <c r="D62" s="20">
        <v>193</v>
      </c>
      <c r="E62" s="28">
        <f>D62/C62</f>
        <v>7.0644216691068809E-2</v>
      </c>
      <c r="G62" s="14" t="str">
        <f>IF(OR($N62&lt;0.1,$N62&gt;0.9), "YES", "NO")</f>
        <v>YES</v>
      </c>
      <c r="H62" s="14" t="str">
        <f>IF(OR($N62&lt;0.05,$N62&gt;0.95), "YES", "NO")</f>
        <v>YES</v>
      </c>
      <c r="I62" s="14" t="str">
        <f>IF(OR($N62&lt;0.01,$N62&gt;0.99), "YES", "NO")</f>
        <v>YES</v>
      </c>
      <c r="J62" s="8"/>
      <c r="K62" s="16">
        <f>SQRT((E$61*(1-E$61)/C$61))</f>
        <v>3.2657250013899282E-3</v>
      </c>
      <c r="L62" s="16">
        <f>SQRT((E62*(1-E62)/C62))</f>
        <v>4.9021767111917143E-3</v>
      </c>
      <c r="M62" s="17">
        <f>(E$61-E62)/SQRT(POWER(K62,2)+POWER(L62,2))</f>
        <v>-2.8558930155804889</v>
      </c>
      <c r="N62" s="17">
        <f>NORMDIST(M62,0,1,TRUE)</f>
        <v>2.1457985808640005E-3</v>
      </c>
      <c r="Q62" s="28">
        <f>R62/C62</f>
        <v>0.23389458272327965</v>
      </c>
      <c r="R62" s="20">
        <f>SUM(S62:W62)</f>
        <v>639</v>
      </c>
      <c r="S62" s="20">
        <v>193</v>
      </c>
      <c r="T62" s="20">
        <v>92</v>
      </c>
      <c r="U62" s="20">
        <v>24</v>
      </c>
      <c r="V62" s="20">
        <v>15</v>
      </c>
      <c r="W62" s="20">
        <v>315</v>
      </c>
    </row>
    <row r="69" spans="2:12" x14ac:dyDescent="0.2">
      <c r="B69" s="1" t="s">
        <v>0</v>
      </c>
      <c r="L69" s="1" t="s">
        <v>1</v>
      </c>
    </row>
  </sheetData>
  <conditionalFormatting sqref="F4">
    <cfRule type="cellIs" dxfId="7" priority="7" operator="lessThan">
      <formula>0</formula>
    </cfRule>
    <cfRule type="cellIs" dxfId="6" priority="8" operator="greaterThan">
      <formula>0</formula>
    </cfRule>
  </conditionalFormatting>
  <conditionalFormatting sqref="G2:I11">
    <cfRule type="expression" dxfId="5" priority="5">
      <formula>NOT(ISERROR(SEARCH("No",G2)))</formula>
    </cfRule>
    <cfRule type="expression" dxfId="4" priority="6">
      <formula>NOT(ISERROR(SEARCH("Yes",G2)))</formula>
    </cfRule>
  </conditionalFormatting>
  <conditionalFormatting sqref="G62:I62">
    <cfRule type="expression" dxfId="3" priority="3">
      <formula>NOT(ISERROR(SEARCH("No",G62)))</formula>
    </cfRule>
    <cfRule type="expression" dxfId="2" priority="4">
      <formula>NOT(ISERROR(SEARCH("Yes",G62)))</formula>
    </cfRule>
  </conditionalFormatting>
  <conditionalFormatting sqref="G60:I61">
    <cfRule type="expression" dxfId="1" priority="1">
      <formula>NOT(ISERROR(SEARCH("No",G60)))</formula>
    </cfRule>
    <cfRule type="expression" dxfId="0" priority="2">
      <formula>NOT(ISERROR(SEARCH("Yes",G60)))</formula>
    </cfRule>
  </conditionalFormatting>
  <pageMargins left="0.75" right="0.75" top="1" bottom="1" header="0.5" footer="0.5"/>
  <pageSetup orientation="portrait" horizontalDpi="4294967292" verticalDpi="429496729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316"/>
  <sheetViews>
    <sheetView showGridLines="0" zoomScale="120" zoomScaleNormal="120" workbookViewId="0">
      <pane ySplit="1" topLeftCell="A283" activePane="bottomLeft" state="frozen"/>
      <selection pane="bottomLeft" activeCell="D309" sqref="D309"/>
    </sheetView>
  </sheetViews>
  <sheetFormatPr defaultColWidth="8.85546875" defaultRowHeight="15" x14ac:dyDescent="0.25"/>
  <cols>
    <col min="1" max="1" width="3.28515625" style="262" customWidth="1"/>
    <col min="2" max="2" width="11" style="262" customWidth="1"/>
    <col min="3" max="3" width="10.85546875" style="262" customWidth="1"/>
    <col min="4" max="4" width="2.140625" style="398" customWidth="1"/>
    <col min="5" max="5" width="11" style="262" customWidth="1"/>
    <col min="6" max="6" width="7.85546875" style="262" customWidth="1"/>
    <col min="7" max="7" width="2.42578125" style="398" customWidth="1"/>
    <col min="8" max="8" width="8.85546875" style="262"/>
    <col min="9" max="9" width="9.42578125" style="262" customWidth="1"/>
    <col min="10" max="10" width="2.85546875" style="398" customWidth="1"/>
    <col min="11" max="11" width="10.28515625" style="262" customWidth="1"/>
    <col min="12" max="12" width="7.42578125" style="262" customWidth="1"/>
    <col min="13" max="13" width="3" style="398" customWidth="1"/>
    <col min="14" max="14" width="10.85546875" style="262" customWidth="1"/>
    <col min="15" max="15" width="10" style="262" customWidth="1"/>
    <col min="16" max="16" width="3.7109375" style="398" customWidth="1"/>
    <col min="17" max="17" width="8.85546875" style="262"/>
    <col min="18" max="18" width="9.7109375" style="262" customWidth="1"/>
    <col min="19" max="19" width="3.28515625" style="398" customWidth="1"/>
    <col min="20" max="20" width="10.140625" style="262" customWidth="1"/>
    <col min="21" max="21" width="7.42578125" style="262" customWidth="1"/>
    <col min="22" max="22" width="3.7109375" style="398" customWidth="1"/>
    <col min="23" max="23" width="10.42578125" style="262" customWidth="1"/>
    <col min="24" max="24" width="8.85546875" style="262"/>
    <col min="25" max="25" width="3.28515625" style="398" customWidth="1"/>
    <col min="26" max="26" width="10" style="262" customWidth="1"/>
    <col min="27" max="27" width="7.42578125" style="262" bestFit="1" customWidth="1"/>
    <col min="28" max="28" width="4" style="398" customWidth="1"/>
    <col min="29" max="29" width="10.42578125" style="262" customWidth="1"/>
    <col min="30" max="30" width="7.42578125" style="262" customWidth="1"/>
    <col min="31" max="31" width="3.7109375" style="398" customWidth="1"/>
    <col min="32" max="32" width="8.85546875" style="398"/>
    <col min="33" max="33" width="8.85546875" style="262"/>
    <col min="34" max="34" width="3.7109375" style="398" customWidth="1"/>
    <col min="35" max="36" width="8.85546875" style="262"/>
    <col min="37" max="37" width="6.42578125" style="262" customWidth="1"/>
    <col min="38" max="60" width="8.85546875" style="262"/>
    <col min="61" max="16384" width="8.85546875" style="443"/>
  </cols>
  <sheetData>
    <row r="1" spans="1:60" ht="15" customHeight="1" x14ac:dyDescent="0.25">
      <c r="E1" s="520" t="s">
        <v>146</v>
      </c>
      <c r="F1" s="526"/>
      <c r="H1" s="520" t="s">
        <v>6</v>
      </c>
      <c r="I1" s="520"/>
      <c r="K1" s="520" t="s">
        <v>7</v>
      </c>
      <c r="L1" s="520"/>
      <c r="N1" s="520" t="s">
        <v>75</v>
      </c>
      <c r="O1" s="520"/>
      <c r="Q1" s="520" t="s">
        <v>8</v>
      </c>
      <c r="R1" s="520"/>
      <c r="T1" s="520" t="s">
        <v>9</v>
      </c>
      <c r="U1" s="520"/>
      <c r="W1" s="520" t="s">
        <v>94</v>
      </c>
      <c r="X1" s="520"/>
      <c r="Z1" s="520" t="s">
        <v>11</v>
      </c>
      <c r="AA1" s="520"/>
      <c r="AC1" s="520" t="s">
        <v>12</v>
      </c>
      <c r="AD1" s="520"/>
      <c r="AF1" s="520" t="s">
        <v>147</v>
      </c>
      <c r="AG1" s="520"/>
      <c r="AI1" s="520" t="s">
        <v>190</v>
      </c>
      <c r="AJ1" s="520"/>
    </row>
    <row r="2" spans="1:60" ht="26.25" x14ac:dyDescent="0.25">
      <c r="B2" s="3" t="s">
        <v>17</v>
      </c>
      <c r="C2" s="3" t="s">
        <v>18</v>
      </c>
      <c r="E2" s="3" t="s">
        <v>368</v>
      </c>
      <c r="F2" s="3" t="s">
        <v>15</v>
      </c>
      <c r="H2" s="3" t="s">
        <v>368</v>
      </c>
      <c r="I2" s="3" t="s">
        <v>15</v>
      </c>
      <c r="K2" s="3" t="s">
        <v>368</v>
      </c>
      <c r="L2" s="3" t="s">
        <v>15</v>
      </c>
      <c r="N2" s="3" t="s">
        <v>368</v>
      </c>
      <c r="O2" s="3" t="s">
        <v>15</v>
      </c>
      <c r="Q2" s="3" t="s">
        <v>368</v>
      </c>
      <c r="R2" s="3" t="s">
        <v>15</v>
      </c>
      <c r="T2" s="3" t="s">
        <v>368</v>
      </c>
      <c r="U2" s="3" t="s">
        <v>15</v>
      </c>
      <c r="W2" s="3" t="s">
        <v>368</v>
      </c>
      <c r="X2" s="3" t="s">
        <v>15</v>
      </c>
      <c r="Z2" s="3" t="s">
        <v>368</v>
      </c>
      <c r="AA2" s="3" t="s">
        <v>15</v>
      </c>
      <c r="AC2" s="3" t="s">
        <v>368</v>
      </c>
      <c r="AD2" s="3" t="s">
        <v>15</v>
      </c>
      <c r="AF2" s="3" t="s">
        <v>368</v>
      </c>
      <c r="AG2" s="3" t="s">
        <v>15</v>
      </c>
      <c r="AI2" s="3" t="s">
        <v>368</v>
      </c>
      <c r="AJ2" s="3" t="s">
        <v>15</v>
      </c>
    </row>
    <row r="3" spans="1:60" x14ac:dyDescent="0.25">
      <c r="A3" s="32"/>
      <c r="B3" s="406">
        <v>41526</v>
      </c>
      <c r="C3" s="406">
        <v>41532</v>
      </c>
      <c r="E3" s="407">
        <v>11638</v>
      </c>
      <c r="F3" s="407">
        <v>1952</v>
      </c>
      <c r="H3" s="407">
        <v>14584</v>
      </c>
      <c r="I3" s="407">
        <v>1654</v>
      </c>
      <c r="K3" s="407">
        <v>5967</v>
      </c>
      <c r="L3" s="407">
        <v>507</v>
      </c>
      <c r="N3" s="407">
        <v>4641</v>
      </c>
      <c r="O3" s="407">
        <v>248</v>
      </c>
      <c r="Q3" s="474">
        <v>9363</v>
      </c>
      <c r="R3" s="474">
        <v>556</v>
      </c>
      <c r="S3" s="464"/>
      <c r="T3" s="474">
        <v>5259</v>
      </c>
      <c r="U3" s="474">
        <v>324</v>
      </c>
      <c r="V3" s="464"/>
      <c r="W3" s="474">
        <v>3990</v>
      </c>
      <c r="X3" s="474">
        <v>298</v>
      </c>
      <c r="Y3" s="464"/>
      <c r="Z3" s="474">
        <v>5222</v>
      </c>
      <c r="AA3" s="474">
        <v>549</v>
      </c>
      <c r="AB3" s="464"/>
      <c r="AC3" s="474">
        <v>6926</v>
      </c>
      <c r="AD3" s="474">
        <v>572</v>
      </c>
      <c r="AF3" s="407" t="s">
        <v>145</v>
      </c>
      <c r="AG3" s="407" t="s">
        <v>145</v>
      </c>
      <c r="AI3" s="407" t="s">
        <v>145</v>
      </c>
      <c r="AJ3" s="407" t="s">
        <v>145</v>
      </c>
      <c r="AK3" s="32"/>
      <c r="AL3" s="32"/>
      <c r="AM3" s="32"/>
      <c r="AN3" s="32"/>
      <c r="AO3" s="32"/>
      <c r="AP3" s="32"/>
      <c r="AQ3" s="32"/>
      <c r="AR3" s="32"/>
      <c r="AS3" s="32"/>
      <c r="AT3" s="32"/>
      <c r="AU3" s="32"/>
      <c r="AV3" s="32"/>
      <c r="AW3" s="32"/>
      <c r="AX3" s="32"/>
      <c r="AY3" s="32"/>
      <c r="AZ3" s="32"/>
      <c r="BA3" s="32"/>
      <c r="BB3" s="32"/>
      <c r="BC3" s="32"/>
      <c r="BD3" s="32"/>
      <c r="BE3" s="32"/>
      <c r="BF3" s="32"/>
      <c r="BG3" s="32"/>
      <c r="BH3" s="32"/>
    </row>
    <row r="4" spans="1:60" x14ac:dyDescent="0.25">
      <c r="A4" s="32"/>
      <c r="B4" s="406">
        <v>41533</v>
      </c>
      <c r="C4" s="406">
        <v>41539</v>
      </c>
      <c r="E4" s="407">
        <v>18901</v>
      </c>
      <c r="F4" s="407">
        <v>4462</v>
      </c>
      <c r="H4" s="407">
        <v>14699</v>
      </c>
      <c r="I4" s="407">
        <v>3710</v>
      </c>
      <c r="K4" s="407">
        <v>5119</v>
      </c>
      <c r="L4" s="407">
        <v>1181</v>
      </c>
      <c r="N4" s="407">
        <v>3373</v>
      </c>
      <c r="O4" s="407">
        <v>712</v>
      </c>
      <c r="Q4" s="474">
        <v>10192</v>
      </c>
      <c r="R4" s="474">
        <v>2777</v>
      </c>
      <c r="S4" s="464"/>
      <c r="T4" s="474">
        <v>3470</v>
      </c>
      <c r="U4" s="474">
        <v>549</v>
      </c>
      <c r="V4" s="464"/>
      <c r="W4" s="474">
        <v>4620</v>
      </c>
      <c r="X4" s="474">
        <v>878</v>
      </c>
      <c r="Y4" s="464"/>
      <c r="Z4" s="474">
        <v>5485</v>
      </c>
      <c r="AA4" s="474">
        <v>1038</v>
      </c>
      <c r="AB4" s="464"/>
      <c r="AC4" s="474">
        <v>5391</v>
      </c>
      <c r="AD4" s="474">
        <v>880</v>
      </c>
      <c r="AF4" s="407" t="s">
        <v>145</v>
      </c>
      <c r="AG4" s="407" t="s">
        <v>145</v>
      </c>
      <c r="AI4" s="407" t="s">
        <v>145</v>
      </c>
      <c r="AJ4" s="407" t="s">
        <v>145</v>
      </c>
      <c r="AK4" s="32"/>
      <c r="AL4" s="32"/>
      <c r="AM4" s="32"/>
      <c r="AN4" s="32"/>
      <c r="AO4" s="32"/>
      <c r="AP4" s="32"/>
      <c r="AQ4" s="32"/>
      <c r="AR4" s="32"/>
      <c r="AS4" s="32"/>
      <c r="AT4" s="32"/>
      <c r="AU4" s="32"/>
      <c r="AV4" s="32"/>
      <c r="AW4" s="32"/>
      <c r="AX4" s="32"/>
      <c r="AY4" s="32"/>
      <c r="AZ4" s="32"/>
      <c r="BA4" s="32"/>
      <c r="BB4" s="32"/>
      <c r="BC4" s="32"/>
      <c r="BD4" s="32"/>
      <c r="BE4" s="32"/>
      <c r="BF4" s="32"/>
      <c r="BG4" s="32"/>
      <c r="BH4" s="32"/>
    </row>
    <row r="5" spans="1:60" x14ac:dyDescent="0.25">
      <c r="A5" s="32"/>
      <c r="B5" s="406">
        <v>41540</v>
      </c>
      <c r="C5" s="406">
        <v>41546</v>
      </c>
      <c r="E5" s="407">
        <v>18644</v>
      </c>
      <c r="F5" s="407">
        <v>5613</v>
      </c>
      <c r="H5" s="407">
        <v>21492</v>
      </c>
      <c r="I5" s="407">
        <v>5264</v>
      </c>
      <c r="K5" s="407">
        <v>7659</v>
      </c>
      <c r="L5" s="407">
        <v>1565</v>
      </c>
      <c r="N5" s="407">
        <v>4476</v>
      </c>
      <c r="O5" s="407">
        <v>1078</v>
      </c>
      <c r="Q5" s="474">
        <v>20562</v>
      </c>
      <c r="R5" s="474">
        <v>5950</v>
      </c>
      <c r="S5" s="464"/>
      <c r="T5" s="474">
        <v>4758</v>
      </c>
      <c r="U5" s="474">
        <v>908</v>
      </c>
      <c r="V5" s="464"/>
      <c r="W5" s="474">
        <v>6559</v>
      </c>
      <c r="X5" s="474">
        <v>1482</v>
      </c>
      <c r="Y5" s="464"/>
      <c r="Z5" s="474">
        <v>6846</v>
      </c>
      <c r="AA5" s="474">
        <v>1393</v>
      </c>
      <c r="AB5" s="464"/>
      <c r="AC5" s="474">
        <v>6544</v>
      </c>
      <c r="AD5" s="474">
        <v>1284</v>
      </c>
      <c r="AF5" s="407" t="s">
        <v>145</v>
      </c>
      <c r="AG5" s="407" t="s">
        <v>145</v>
      </c>
      <c r="AI5" s="407" t="s">
        <v>145</v>
      </c>
      <c r="AJ5" s="407" t="s">
        <v>145</v>
      </c>
      <c r="AK5" s="32"/>
      <c r="AL5" s="32"/>
      <c r="AM5" s="32"/>
      <c r="AN5" s="32"/>
      <c r="AO5" s="32"/>
      <c r="AP5" s="32"/>
      <c r="AQ5" s="32"/>
      <c r="AR5" s="32"/>
      <c r="AS5" s="32"/>
      <c r="AT5" s="32"/>
      <c r="AU5" s="32"/>
      <c r="AV5" s="32"/>
      <c r="AW5" s="32"/>
      <c r="AX5" s="32"/>
      <c r="AY5" s="32"/>
      <c r="AZ5" s="32"/>
      <c r="BA5" s="32"/>
      <c r="BB5" s="32"/>
      <c r="BC5" s="32"/>
      <c r="BD5" s="32"/>
      <c r="BE5" s="32"/>
      <c r="BF5" s="32"/>
      <c r="BG5" s="32"/>
      <c r="BH5" s="32"/>
    </row>
    <row r="6" spans="1:60" x14ac:dyDescent="0.25">
      <c r="A6" s="32"/>
      <c r="B6" s="406">
        <v>41547</v>
      </c>
      <c r="C6" s="406">
        <v>41553</v>
      </c>
      <c r="E6" s="407">
        <v>13139</v>
      </c>
      <c r="F6" s="407">
        <v>5428</v>
      </c>
      <c r="H6" s="407">
        <v>22144</v>
      </c>
      <c r="I6" s="407">
        <v>4959</v>
      </c>
      <c r="K6" s="407">
        <v>8172</v>
      </c>
      <c r="L6" s="407">
        <v>1501</v>
      </c>
      <c r="N6" s="407">
        <v>5250</v>
      </c>
      <c r="O6" s="407">
        <v>1003</v>
      </c>
      <c r="Q6" s="474">
        <v>22511</v>
      </c>
      <c r="R6" s="474">
        <v>6035</v>
      </c>
      <c r="S6" s="464"/>
      <c r="T6" s="474">
        <v>4510</v>
      </c>
      <c r="U6" s="474">
        <v>804</v>
      </c>
      <c r="V6" s="464"/>
      <c r="W6" s="474">
        <v>4576</v>
      </c>
      <c r="X6" s="474">
        <v>1355</v>
      </c>
      <c r="Y6" s="464"/>
      <c r="Z6" s="474">
        <v>5744</v>
      </c>
      <c r="AA6" s="474">
        <v>1176</v>
      </c>
      <c r="AB6" s="464"/>
      <c r="AC6" s="474">
        <v>6515</v>
      </c>
      <c r="AD6" s="474">
        <v>1187</v>
      </c>
      <c r="AF6" s="407" t="s">
        <v>145</v>
      </c>
      <c r="AG6" s="407" t="s">
        <v>145</v>
      </c>
      <c r="AI6" s="407" t="s">
        <v>145</v>
      </c>
      <c r="AJ6" s="407" t="s">
        <v>145</v>
      </c>
      <c r="AK6" s="32"/>
      <c r="AL6" s="32"/>
      <c r="AM6" s="32"/>
      <c r="AN6" s="32"/>
      <c r="AO6" s="32"/>
      <c r="AP6" s="32"/>
      <c r="AQ6" s="32"/>
      <c r="AR6" s="32"/>
      <c r="AS6" s="32"/>
      <c r="AT6" s="32"/>
      <c r="AU6" s="32"/>
      <c r="AV6" s="32"/>
      <c r="AW6" s="32"/>
      <c r="AX6" s="32"/>
      <c r="AY6" s="32"/>
      <c r="AZ6" s="32"/>
      <c r="BA6" s="32"/>
      <c r="BB6" s="32"/>
      <c r="BC6" s="32"/>
      <c r="BD6" s="32"/>
      <c r="BE6" s="32"/>
      <c r="BF6" s="32"/>
      <c r="BG6" s="32"/>
      <c r="BH6" s="32"/>
    </row>
    <row r="7" spans="1:60" x14ac:dyDescent="0.25">
      <c r="A7" s="32"/>
      <c r="B7" s="406">
        <v>41554</v>
      </c>
      <c r="C7" s="406">
        <v>41560</v>
      </c>
      <c r="E7" s="407">
        <v>11578</v>
      </c>
      <c r="F7" s="407">
        <v>4842</v>
      </c>
      <c r="H7" s="407">
        <v>76061</v>
      </c>
      <c r="I7" s="407">
        <v>3459</v>
      </c>
      <c r="K7" s="407">
        <v>6241</v>
      </c>
      <c r="L7" s="407">
        <v>1295</v>
      </c>
      <c r="N7" s="407">
        <v>3638</v>
      </c>
      <c r="O7" s="407">
        <v>866</v>
      </c>
      <c r="Q7" s="474">
        <v>13541</v>
      </c>
      <c r="R7" s="474">
        <v>3734</v>
      </c>
      <c r="S7" s="464"/>
      <c r="T7" s="474">
        <v>3715</v>
      </c>
      <c r="U7" s="474">
        <v>694</v>
      </c>
      <c r="V7" s="464"/>
      <c r="W7" s="474">
        <v>3456</v>
      </c>
      <c r="X7" s="474">
        <v>1186</v>
      </c>
      <c r="Y7" s="464"/>
      <c r="Z7" s="474">
        <v>5307</v>
      </c>
      <c r="AA7" s="474">
        <v>1250</v>
      </c>
      <c r="AB7" s="464"/>
      <c r="AC7" s="474">
        <v>5524</v>
      </c>
      <c r="AD7" s="474">
        <v>1096</v>
      </c>
      <c r="AF7" s="407" t="s">
        <v>145</v>
      </c>
      <c r="AG7" s="407" t="s">
        <v>145</v>
      </c>
      <c r="AI7" s="407" t="s">
        <v>145</v>
      </c>
      <c r="AJ7" s="407" t="s">
        <v>145</v>
      </c>
      <c r="AK7" s="32"/>
      <c r="AL7" s="32"/>
      <c r="AM7" s="32"/>
      <c r="AN7" s="32"/>
      <c r="AO7" s="32"/>
      <c r="AP7" s="32"/>
      <c r="AQ7" s="32"/>
      <c r="AR7" s="32"/>
      <c r="AS7" s="32"/>
      <c r="AT7" s="32"/>
      <c r="AU7" s="32"/>
      <c r="AV7" s="32"/>
      <c r="AW7" s="32"/>
      <c r="AX7" s="32"/>
      <c r="AY7" s="32"/>
      <c r="AZ7" s="32"/>
      <c r="BA7" s="32"/>
      <c r="BB7" s="32"/>
      <c r="BC7" s="32"/>
      <c r="BD7" s="32"/>
      <c r="BE7" s="32"/>
      <c r="BF7" s="32"/>
      <c r="BG7" s="32"/>
      <c r="BH7" s="32"/>
    </row>
    <row r="8" spans="1:60" x14ac:dyDescent="0.25">
      <c r="A8" s="32"/>
      <c r="B8" s="406">
        <v>41561</v>
      </c>
      <c r="C8" s="406">
        <v>41567</v>
      </c>
      <c r="E8" s="407">
        <v>1036</v>
      </c>
      <c r="F8" s="407">
        <v>476</v>
      </c>
      <c r="H8" s="407">
        <v>2346</v>
      </c>
      <c r="I8" s="407">
        <v>661</v>
      </c>
      <c r="K8" s="407">
        <v>782</v>
      </c>
      <c r="L8" s="407">
        <v>206</v>
      </c>
      <c r="N8" s="407">
        <v>596</v>
      </c>
      <c r="O8" s="407">
        <v>720</v>
      </c>
      <c r="Q8" s="474">
        <v>1921</v>
      </c>
      <c r="R8" s="474">
        <v>720</v>
      </c>
      <c r="S8" s="464"/>
      <c r="T8" s="474">
        <v>712</v>
      </c>
      <c r="U8" s="474">
        <v>183</v>
      </c>
      <c r="V8" s="464"/>
      <c r="W8" s="474">
        <v>396</v>
      </c>
      <c r="X8" s="474">
        <v>161</v>
      </c>
      <c r="Y8" s="464"/>
      <c r="Z8" s="474">
        <v>419</v>
      </c>
      <c r="AA8" s="474">
        <v>101</v>
      </c>
      <c r="AB8" s="464"/>
      <c r="AC8" s="474">
        <v>642</v>
      </c>
      <c r="AD8" s="474">
        <v>172</v>
      </c>
      <c r="AF8" s="407" t="s">
        <v>145</v>
      </c>
      <c r="AG8" s="407" t="s">
        <v>145</v>
      </c>
      <c r="AI8" s="407" t="s">
        <v>145</v>
      </c>
      <c r="AJ8" s="407" t="s">
        <v>145</v>
      </c>
      <c r="AK8" s="32"/>
      <c r="AL8" s="32"/>
      <c r="AM8" s="32"/>
      <c r="AN8" s="32"/>
      <c r="AO8" s="32"/>
      <c r="AP8" s="32"/>
      <c r="AQ8" s="32"/>
      <c r="AR8" s="32"/>
      <c r="AS8" s="32"/>
      <c r="AT8" s="32"/>
      <c r="AU8" s="32"/>
      <c r="AV8" s="32"/>
      <c r="AW8" s="32"/>
      <c r="AX8" s="32"/>
      <c r="AY8" s="32"/>
      <c r="AZ8" s="32"/>
      <c r="BA8" s="32"/>
      <c r="BB8" s="32"/>
      <c r="BC8" s="32"/>
      <c r="BD8" s="32"/>
      <c r="BE8" s="32"/>
      <c r="BF8" s="32"/>
      <c r="BG8" s="32"/>
      <c r="BH8" s="32"/>
    </row>
    <row r="9" spans="1:60" x14ac:dyDescent="0.25">
      <c r="A9" s="32"/>
      <c r="B9" s="406">
        <v>41568</v>
      </c>
      <c r="C9" s="406">
        <v>41574</v>
      </c>
      <c r="E9" s="407">
        <v>982</v>
      </c>
      <c r="F9" s="407">
        <v>513</v>
      </c>
      <c r="H9" s="407">
        <v>2006</v>
      </c>
      <c r="I9" s="407">
        <v>681</v>
      </c>
      <c r="K9" s="407">
        <v>705</v>
      </c>
      <c r="L9" s="407">
        <v>193</v>
      </c>
      <c r="N9" s="407">
        <v>549</v>
      </c>
      <c r="O9" s="407">
        <v>651</v>
      </c>
      <c r="Q9" s="474">
        <v>1751</v>
      </c>
      <c r="R9" s="474">
        <v>651</v>
      </c>
      <c r="S9" s="464"/>
      <c r="T9" s="474">
        <v>733</v>
      </c>
      <c r="U9" s="474">
        <v>202</v>
      </c>
      <c r="V9" s="464"/>
      <c r="W9" s="474">
        <v>364</v>
      </c>
      <c r="X9" s="474">
        <v>171</v>
      </c>
      <c r="Y9" s="464"/>
      <c r="Z9" s="474">
        <v>397</v>
      </c>
      <c r="AA9" s="474">
        <v>112</v>
      </c>
      <c r="AB9" s="464"/>
      <c r="AC9" s="474">
        <v>566</v>
      </c>
      <c r="AD9" s="474">
        <v>153</v>
      </c>
      <c r="AF9" s="407" t="s">
        <v>145</v>
      </c>
      <c r="AG9" s="407" t="s">
        <v>145</v>
      </c>
      <c r="AI9" s="407" t="s">
        <v>145</v>
      </c>
      <c r="AJ9" s="407" t="s">
        <v>145</v>
      </c>
      <c r="AK9" s="32"/>
      <c r="AL9" s="32"/>
      <c r="AM9" s="32"/>
      <c r="AN9" s="32"/>
      <c r="AO9" s="32"/>
      <c r="AP9" s="32"/>
      <c r="AQ9" s="32"/>
      <c r="AR9" s="32"/>
      <c r="AS9" s="32"/>
      <c r="AT9" s="32"/>
      <c r="AU9" s="32"/>
      <c r="AV9" s="32"/>
      <c r="AW9" s="32"/>
      <c r="AX9" s="32"/>
      <c r="AY9" s="32"/>
      <c r="AZ9" s="32"/>
      <c r="BA9" s="32"/>
      <c r="BB9" s="32"/>
      <c r="BC9" s="32"/>
      <c r="BD9" s="32"/>
      <c r="BE9" s="32"/>
      <c r="BF9" s="32"/>
      <c r="BG9" s="32"/>
      <c r="BH9" s="32"/>
    </row>
    <row r="10" spans="1:60" x14ac:dyDescent="0.25">
      <c r="A10" s="32"/>
      <c r="B10" s="406">
        <v>41575</v>
      </c>
      <c r="C10" s="406">
        <v>41581</v>
      </c>
      <c r="E10" s="407">
        <v>1136</v>
      </c>
      <c r="F10" s="407">
        <v>576</v>
      </c>
      <c r="H10" s="407">
        <v>2303</v>
      </c>
      <c r="I10" s="407">
        <v>683</v>
      </c>
      <c r="K10" s="407">
        <v>759</v>
      </c>
      <c r="L10" s="407">
        <v>198</v>
      </c>
      <c r="N10" s="407">
        <v>638</v>
      </c>
      <c r="O10" s="407">
        <v>772</v>
      </c>
      <c r="Q10" s="474">
        <v>2137</v>
      </c>
      <c r="R10" s="474">
        <v>772</v>
      </c>
      <c r="S10" s="464"/>
      <c r="T10" s="474">
        <v>784</v>
      </c>
      <c r="U10" s="474">
        <v>217</v>
      </c>
      <c r="V10" s="464"/>
      <c r="W10" s="474">
        <v>470</v>
      </c>
      <c r="X10" s="474">
        <v>220</v>
      </c>
      <c r="Y10" s="464"/>
      <c r="Z10" s="474">
        <v>482</v>
      </c>
      <c r="AA10" s="474">
        <v>149</v>
      </c>
      <c r="AB10" s="464"/>
      <c r="AC10" s="474">
        <v>684</v>
      </c>
      <c r="AD10" s="474">
        <v>184</v>
      </c>
      <c r="AF10" s="407" t="s">
        <v>145</v>
      </c>
      <c r="AG10" s="407" t="s">
        <v>145</v>
      </c>
      <c r="AI10" s="407" t="s">
        <v>145</v>
      </c>
      <c r="AJ10" s="407" t="s">
        <v>145</v>
      </c>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row>
    <row r="11" spans="1:60" x14ac:dyDescent="0.25">
      <c r="A11" s="32"/>
      <c r="B11" s="406">
        <v>41582</v>
      </c>
      <c r="C11" s="406">
        <v>41588</v>
      </c>
      <c r="E11" s="407">
        <v>2732</v>
      </c>
      <c r="F11" s="407">
        <v>1432</v>
      </c>
      <c r="H11" s="407">
        <v>4249</v>
      </c>
      <c r="I11" s="407">
        <v>1065</v>
      </c>
      <c r="K11" s="407">
        <v>1318</v>
      </c>
      <c r="L11" s="407">
        <v>296</v>
      </c>
      <c r="N11" s="407">
        <v>1200</v>
      </c>
      <c r="O11" s="407">
        <v>301</v>
      </c>
      <c r="Q11" s="474">
        <v>5597</v>
      </c>
      <c r="R11" s="474">
        <v>1809</v>
      </c>
      <c r="S11" s="464"/>
      <c r="T11" s="474">
        <v>1649</v>
      </c>
      <c r="U11" s="474">
        <v>318</v>
      </c>
      <c r="V11" s="464"/>
      <c r="W11" s="474">
        <v>1633</v>
      </c>
      <c r="X11" s="474">
        <v>779</v>
      </c>
      <c r="Y11" s="464"/>
      <c r="Z11" s="474">
        <v>1865</v>
      </c>
      <c r="AA11" s="474">
        <v>575</v>
      </c>
      <c r="AB11" s="464"/>
      <c r="AC11" s="474">
        <v>2169</v>
      </c>
      <c r="AD11" s="474">
        <v>555</v>
      </c>
      <c r="AF11" s="407" t="s">
        <v>145</v>
      </c>
      <c r="AG11" s="407" t="s">
        <v>145</v>
      </c>
      <c r="AI11" s="407" t="s">
        <v>145</v>
      </c>
      <c r="AJ11" s="407" t="s">
        <v>145</v>
      </c>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row>
    <row r="12" spans="1:60" x14ac:dyDescent="0.25">
      <c r="B12" s="406">
        <v>41589</v>
      </c>
      <c r="C12" s="406">
        <v>41595</v>
      </c>
      <c r="E12" s="407">
        <v>8736</v>
      </c>
      <c r="F12" s="407">
        <v>4242</v>
      </c>
      <c r="H12" s="407">
        <v>15878</v>
      </c>
      <c r="I12" s="407">
        <v>3246</v>
      </c>
      <c r="K12" s="407">
        <v>4374</v>
      </c>
      <c r="L12" s="407">
        <v>986</v>
      </c>
      <c r="N12" s="407">
        <v>3297</v>
      </c>
      <c r="O12" s="407">
        <v>925</v>
      </c>
      <c r="Q12" s="474">
        <v>12308</v>
      </c>
      <c r="R12" s="474">
        <v>3741</v>
      </c>
      <c r="S12" s="464"/>
      <c r="T12" s="474">
        <v>3275</v>
      </c>
      <c r="U12" s="474">
        <v>664</v>
      </c>
      <c r="V12" s="464"/>
      <c r="W12" s="474">
        <v>3699</v>
      </c>
      <c r="X12" s="474">
        <v>1603</v>
      </c>
      <c r="Y12" s="464"/>
      <c r="Z12" s="474">
        <v>4092</v>
      </c>
      <c r="AA12" s="474">
        <v>1222</v>
      </c>
      <c r="AB12" s="464"/>
      <c r="AC12" s="474">
        <v>5382</v>
      </c>
      <c r="AD12" s="474">
        <v>1348</v>
      </c>
      <c r="AF12" s="407" t="s">
        <v>145</v>
      </c>
      <c r="AG12" s="407" t="s">
        <v>145</v>
      </c>
      <c r="AI12" s="407" t="s">
        <v>145</v>
      </c>
      <c r="AJ12" s="407" t="s">
        <v>145</v>
      </c>
    </row>
    <row r="13" spans="1:60" x14ac:dyDescent="0.25">
      <c r="B13" s="406">
        <v>41596</v>
      </c>
      <c r="C13" s="406">
        <v>41602</v>
      </c>
      <c r="E13" s="407">
        <v>8507</v>
      </c>
      <c r="F13" s="407">
        <v>4105</v>
      </c>
      <c r="H13" s="407">
        <v>18360</v>
      </c>
      <c r="I13" s="407">
        <v>3415</v>
      </c>
      <c r="K13" s="407">
        <v>4648</v>
      </c>
      <c r="L13" s="407">
        <v>1149</v>
      </c>
      <c r="N13" s="407">
        <v>2984</v>
      </c>
      <c r="O13" s="407">
        <v>846</v>
      </c>
      <c r="Q13" s="474">
        <v>10969</v>
      </c>
      <c r="R13" s="474">
        <v>3337</v>
      </c>
      <c r="S13" s="464"/>
      <c r="T13" s="474">
        <v>2454</v>
      </c>
      <c r="U13" s="474">
        <v>459</v>
      </c>
      <c r="V13" s="464"/>
      <c r="W13" s="474">
        <v>2397</v>
      </c>
      <c r="X13" s="474">
        <v>898</v>
      </c>
      <c r="Y13" s="464"/>
      <c r="Z13" s="474">
        <v>3242</v>
      </c>
      <c r="AA13" s="474">
        <v>937</v>
      </c>
      <c r="AB13" s="464"/>
      <c r="AC13" s="474">
        <v>4483</v>
      </c>
      <c r="AD13" s="474">
        <v>1052</v>
      </c>
      <c r="AF13" s="407" t="s">
        <v>145</v>
      </c>
      <c r="AG13" s="407" t="s">
        <v>145</v>
      </c>
      <c r="AI13" s="407" t="s">
        <v>145</v>
      </c>
      <c r="AJ13" s="407" t="s">
        <v>145</v>
      </c>
    </row>
    <row r="14" spans="1:60" x14ac:dyDescent="0.25">
      <c r="B14" s="406">
        <v>41603</v>
      </c>
      <c r="C14" s="406">
        <v>41609</v>
      </c>
      <c r="E14" s="407">
        <v>5987</v>
      </c>
      <c r="F14" s="407">
        <v>2802</v>
      </c>
      <c r="H14" s="407">
        <v>14340</v>
      </c>
      <c r="I14" s="407">
        <v>2398</v>
      </c>
      <c r="K14" s="407">
        <v>3704</v>
      </c>
      <c r="L14" s="407">
        <v>735</v>
      </c>
      <c r="N14" s="407">
        <v>1805</v>
      </c>
      <c r="O14" s="407">
        <v>469</v>
      </c>
      <c r="Q14" s="474">
        <v>7511</v>
      </c>
      <c r="R14" s="474">
        <v>2146</v>
      </c>
      <c r="S14" s="464"/>
      <c r="T14" s="474">
        <v>1861</v>
      </c>
      <c r="U14" s="474">
        <v>296</v>
      </c>
      <c r="V14" s="464"/>
      <c r="W14" s="474">
        <v>1569</v>
      </c>
      <c r="X14" s="474">
        <v>566</v>
      </c>
      <c r="Y14" s="464"/>
      <c r="Z14" s="474">
        <v>2374</v>
      </c>
      <c r="AA14" s="474">
        <v>721</v>
      </c>
      <c r="AB14" s="464"/>
      <c r="AC14" s="474">
        <v>3287</v>
      </c>
      <c r="AD14" s="474">
        <v>718</v>
      </c>
      <c r="AF14" s="407" t="s">
        <v>145</v>
      </c>
      <c r="AG14" s="407" t="s">
        <v>145</v>
      </c>
      <c r="AI14" s="407" t="s">
        <v>145</v>
      </c>
      <c r="AJ14" s="407" t="s">
        <v>145</v>
      </c>
    </row>
    <row r="15" spans="1:60" x14ac:dyDescent="0.25">
      <c r="B15" s="406">
        <v>41610</v>
      </c>
      <c r="C15" s="406">
        <v>41616</v>
      </c>
      <c r="E15" s="407">
        <v>7574</v>
      </c>
      <c r="F15" s="407">
        <v>3575</v>
      </c>
      <c r="H15" s="407">
        <v>18072</v>
      </c>
      <c r="I15" s="407">
        <v>3244</v>
      </c>
      <c r="K15" s="407">
        <v>4651</v>
      </c>
      <c r="L15" s="407">
        <v>1038</v>
      </c>
      <c r="N15" s="407">
        <v>2678</v>
      </c>
      <c r="O15" s="407">
        <v>811</v>
      </c>
      <c r="Q15" s="474">
        <v>10002</v>
      </c>
      <c r="R15" s="474">
        <v>3046</v>
      </c>
      <c r="S15" s="464"/>
      <c r="T15" s="474">
        <v>2220</v>
      </c>
      <c r="U15" s="474">
        <v>429</v>
      </c>
      <c r="V15" s="464"/>
      <c r="W15" s="474">
        <v>1996</v>
      </c>
      <c r="X15" s="474">
        <v>753</v>
      </c>
      <c r="Y15" s="464"/>
      <c r="Z15" s="474">
        <v>2804</v>
      </c>
      <c r="AA15" s="474">
        <v>868</v>
      </c>
      <c r="AB15" s="464"/>
      <c r="AC15" s="474">
        <v>6975</v>
      </c>
      <c r="AD15" s="474">
        <v>968</v>
      </c>
      <c r="AF15" s="407" t="s">
        <v>145</v>
      </c>
      <c r="AG15" s="407" t="s">
        <v>145</v>
      </c>
      <c r="AI15" s="407" t="s">
        <v>145</v>
      </c>
      <c r="AJ15" s="407" t="s">
        <v>145</v>
      </c>
    </row>
    <row r="16" spans="1:60" x14ac:dyDescent="0.25">
      <c r="B16" s="406">
        <v>41617</v>
      </c>
      <c r="C16" s="406">
        <v>41623</v>
      </c>
      <c r="E16" s="407">
        <v>8180</v>
      </c>
      <c r="F16" s="407">
        <v>3860</v>
      </c>
      <c r="H16" s="407">
        <v>17519</v>
      </c>
      <c r="I16" s="407">
        <v>3186</v>
      </c>
      <c r="K16" s="407">
        <v>10204</v>
      </c>
      <c r="L16" s="407">
        <v>2180</v>
      </c>
      <c r="N16" s="407">
        <v>3343</v>
      </c>
      <c r="O16" s="407">
        <v>1021</v>
      </c>
      <c r="Q16" s="474">
        <v>12333</v>
      </c>
      <c r="R16" s="474">
        <v>3550</v>
      </c>
      <c r="S16" s="464"/>
      <c r="T16" s="474">
        <v>2661</v>
      </c>
      <c r="U16" s="474">
        <v>495</v>
      </c>
      <c r="V16" s="464"/>
      <c r="W16" s="474">
        <v>2198</v>
      </c>
      <c r="X16" s="474">
        <v>873</v>
      </c>
      <c r="Y16" s="464"/>
      <c r="Z16" s="474">
        <v>3075</v>
      </c>
      <c r="AA16" s="474">
        <v>944</v>
      </c>
      <c r="AB16" s="464"/>
      <c r="AC16" s="474">
        <v>4189</v>
      </c>
      <c r="AD16" s="474">
        <v>989</v>
      </c>
      <c r="AF16" s="407" t="s">
        <v>145</v>
      </c>
      <c r="AG16" s="407" t="s">
        <v>145</v>
      </c>
      <c r="AI16" s="407" t="s">
        <v>145</v>
      </c>
      <c r="AJ16" s="407" t="s">
        <v>145</v>
      </c>
    </row>
    <row r="17" spans="2:36" x14ac:dyDescent="0.25">
      <c r="B17" s="406">
        <v>41624</v>
      </c>
      <c r="C17" s="406">
        <v>41630</v>
      </c>
      <c r="E17" s="407">
        <v>6192</v>
      </c>
      <c r="F17" s="407">
        <v>2944</v>
      </c>
      <c r="H17" s="407">
        <v>14872</v>
      </c>
      <c r="I17" s="407">
        <v>2557</v>
      </c>
      <c r="K17" s="407">
        <v>6347</v>
      </c>
      <c r="L17" s="407">
        <v>1477</v>
      </c>
      <c r="N17" s="407">
        <v>2491</v>
      </c>
      <c r="O17" s="407">
        <v>758</v>
      </c>
      <c r="Q17" s="474">
        <v>7623</v>
      </c>
      <c r="R17" s="474">
        <v>2313</v>
      </c>
      <c r="S17" s="464"/>
      <c r="T17" s="474">
        <v>1820</v>
      </c>
      <c r="U17" s="474">
        <v>374</v>
      </c>
      <c r="V17" s="464"/>
      <c r="W17" s="474">
        <v>1577</v>
      </c>
      <c r="X17" s="474">
        <v>626</v>
      </c>
      <c r="Y17" s="464"/>
      <c r="Z17" s="474">
        <v>2205</v>
      </c>
      <c r="AA17" s="474">
        <v>706</v>
      </c>
      <c r="AB17" s="464"/>
      <c r="AC17" s="474">
        <v>3598</v>
      </c>
      <c r="AD17" s="474">
        <v>817</v>
      </c>
      <c r="AF17" s="407" t="s">
        <v>145</v>
      </c>
      <c r="AG17" s="407" t="s">
        <v>145</v>
      </c>
      <c r="AI17" s="407" t="s">
        <v>145</v>
      </c>
      <c r="AJ17" s="407" t="s">
        <v>145</v>
      </c>
    </row>
    <row r="18" spans="2:36" x14ac:dyDescent="0.25">
      <c r="B18" s="406">
        <v>41631</v>
      </c>
      <c r="C18" s="406">
        <v>41637</v>
      </c>
      <c r="E18" s="407">
        <v>6531</v>
      </c>
      <c r="F18" s="407">
        <v>3102</v>
      </c>
      <c r="H18" s="407">
        <v>15072</v>
      </c>
      <c r="I18" s="407">
        <v>2853</v>
      </c>
      <c r="K18" s="407">
        <v>4461</v>
      </c>
      <c r="L18" s="407">
        <v>1030</v>
      </c>
      <c r="N18" s="407">
        <v>2590</v>
      </c>
      <c r="O18" s="407">
        <v>834</v>
      </c>
      <c r="Q18" s="474">
        <v>9202</v>
      </c>
      <c r="R18" s="474">
        <v>2775</v>
      </c>
      <c r="S18" s="464"/>
      <c r="T18" s="474">
        <v>2852</v>
      </c>
      <c r="U18" s="474">
        <v>627</v>
      </c>
      <c r="V18" s="464"/>
      <c r="W18" s="474">
        <v>2025</v>
      </c>
      <c r="X18" s="474">
        <v>821</v>
      </c>
      <c r="Y18" s="464"/>
      <c r="Z18" s="474">
        <v>2615</v>
      </c>
      <c r="AA18" s="474">
        <v>882</v>
      </c>
      <c r="AB18" s="464"/>
      <c r="AC18" s="474">
        <v>4749</v>
      </c>
      <c r="AD18" s="474">
        <v>1235</v>
      </c>
      <c r="AF18" s="407" t="s">
        <v>145</v>
      </c>
      <c r="AG18" s="407" t="s">
        <v>145</v>
      </c>
      <c r="AI18" s="407" t="s">
        <v>145</v>
      </c>
      <c r="AJ18" s="407" t="s">
        <v>145</v>
      </c>
    </row>
    <row r="19" spans="2:36" x14ac:dyDescent="0.25">
      <c r="B19" s="406">
        <v>41638</v>
      </c>
      <c r="C19" s="406">
        <v>41644</v>
      </c>
      <c r="E19" s="407">
        <v>6286</v>
      </c>
      <c r="F19" s="407">
        <v>3095</v>
      </c>
      <c r="H19" s="407">
        <v>13604</v>
      </c>
      <c r="I19" s="407">
        <v>2632</v>
      </c>
      <c r="K19" s="407">
        <v>4878</v>
      </c>
      <c r="L19" s="407">
        <v>1256</v>
      </c>
      <c r="N19" s="407">
        <v>2365</v>
      </c>
      <c r="O19" s="407">
        <v>654</v>
      </c>
      <c r="Q19" s="474">
        <v>7956</v>
      </c>
      <c r="R19" s="474">
        <v>2378</v>
      </c>
      <c r="S19" s="464"/>
      <c r="T19" s="474">
        <v>1994</v>
      </c>
      <c r="U19" s="474">
        <v>511</v>
      </c>
      <c r="V19" s="464"/>
      <c r="W19" s="474">
        <v>1545</v>
      </c>
      <c r="X19" s="474">
        <v>617</v>
      </c>
      <c r="Y19" s="464"/>
      <c r="Z19" s="474">
        <v>2257</v>
      </c>
      <c r="AA19" s="474">
        <v>799</v>
      </c>
      <c r="AB19" s="464"/>
      <c r="AC19" s="474">
        <v>3342</v>
      </c>
      <c r="AD19" s="474">
        <v>808</v>
      </c>
      <c r="AF19" s="407" t="s">
        <v>145</v>
      </c>
      <c r="AG19" s="407" t="s">
        <v>145</v>
      </c>
      <c r="AI19" s="407" t="s">
        <v>145</v>
      </c>
      <c r="AJ19" s="407" t="s">
        <v>145</v>
      </c>
    </row>
    <row r="20" spans="2:36" x14ac:dyDescent="0.25">
      <c r="B20" s="406">
        <v>41645</v>
      </c>
      <c r="C20" s="406">
        <v>41651</v>
      </c>
      <c r="E20" s="407">
        <v>6347</v>
      </c>
      <c r="F20" s="407">
        <v>3187</v>
      </c>
      <c r="H20" s="407">
        <v>11867</v>
      </c>
      <c r="I20" s="407">
        <v>2604</v>
      </c>
      <c r="K20" s="407">
        <v>5333</v>
      </c>
      <c r="L20" s="407">
        <v>1558</v>
      </c>
      <c r="N20" s="407">
        <v>2654</v>
      </c>
      <c r="O20" s="407">
        <v>782</v>
      </c>
      <c r="Q20" s="474">
        <v>7709</v>
      </c>
      <c r="R20" s="474">
        <v>2394</v>
      </c>
      <c r="S20" s="464"/>
      <c r="T20" s="474">
        <v>2089</v>
      </c>
      <c r="U20" s="474">
        <v>515</v>
      </c>
      <c r="V20" s="464"/>
      <c r="W20" s="474">
        <v>1619</v>
      </c>
      <c r="X20" s="474">
        <v>661</v>
      </c>
      <c r="Y20" s="464"/>
      <c r="Z20" s="474">
        <v>2301</v>
      </c>
      <c r="AA20" s="474">
        <v>765</v>
      </c>
      <c r="AB20" s="464"/>
      <c r="AC20" s="474">
        <v>3256</v>
      </c>
      <c r="AD20" s="474">
        <v>805</v>
      </c>
      <c r="AF20" s="407" t="s">
        <v>145</v>
      </c>
      <c r="AG20" s="407" t="s">
        <v>145</v>
      </c>
      <c r="AI20" s="407" t="s">
        <v>145</v>
      </c>
      <c r="AJ20" s="407" t="s">
        <v>145</v>
      </c>
    </row>
    <row r="21" spans="2:36" x14ac:dyDescent="0.25">
      <c r="B21" s="406">
        <v>41652</v>
      </c>
      <c r="C21" s="406">
        <v>41658</v>
      </c>
      <c r="E21" s="407">
        <v>7169</v>
      </c>
      <c r="F21" s="407">
        <v>3688</v>
      </c>
      <c r="H21" s="407">
        <v>8519</v>
      </c>
      <c r="I21" s="407">
        <v>2080</v>
      </c>
      <c r="K21" s="407">
        <v>5397</v>
      </c>
      <c r="L21" s="407">
        <v>1535</v>
      </c>
      <c r="N21" s="407">
        <v>2709</v>
      </c>
      <c r="O21" s="407">
        <v>788</v>
      </c>
      <c r="Q21" s="474">
        <v>8530</v>
      </c>
      <c r="R21" s="474">
        <v>2600</v>
      </c>
      <c r="S21" s="464"/>
      <c r="T21" s="474">
        <v>2156</v>
      </c>
      <c r="U21" s="474">
        <v>494</v>
      </c>
      <c r="V21" s="464"/>
      <c r="W21" s="474">
        <v>1667</v>
      </c>
      <c r="X21" s="474">
        <v>715</v>
      </c>
      <c r="Y21" s="464"/>
      <c r="Z21" s="474">
        <v>2542</v>
      </c>
      <c r="AA21" s="474">
        <v>870</v>
      </c>
      <c r="AB21" s="464"/>
      <c r="AC21" s="474">
        <v>3617</v>
      </c>
      <c r="AD21" s="474">
        <v>905</v>
      </c>
      <c r="AF21" s="407" t="s">
        <v>145</v>
      </c>
      <c r="AG21" s="407" t="s">
        <v>145</v>
      </c>
      <c r="AI21" s="407" t="s">
        <v>145</v>
      </c>
      <c r="AJ21" s="407" t="s">
        <v>145</v>
      </c>
    </row>
    <row r="22" spans="2:36" x14ac:dyDescent="0.25">
      <c r="B22" s="406">
        <v>41659</v>
      </c>
      <c r="C22" s="406">
        <v>41665</v>
      </c>
      <c r="E22" s="407">
        <v>6979</v>
      </c>
      <c r="F22" s="407">
        <v>3479</v>
      </c>
      <c r="H22" s="407">
        <v>7817</v>
      </c>
      <c r="I22" s="407">
        <v>1915</v>
      </c>
      <c r="K22" s="407">
        <v>4948</v>
      </c>
      <c r="L22" s="407">
        <v>1268</v>
      </c>
      <c r="N22" s="407">
        <v>2463</v>
      </c>
      <c r="O22" s="407">
        <v>664</v>
      </c>
      <c r="Q22" s="474">
        <v>8383</v>
      </c>
      <c r="R22" s="474">
        <v>2240</v>
      </c>
      <c r="S22" s="464"/>
      <c r="T22" s="474">
        <v>2013</v>
      </c>
      <c r="U22" s="474">
        <v>487</v>
      </c>
      <c r="V22" s="464"/>
      <c r="W22" s="474">
        <v>1659</v>
      </c>
      <c r="X22" s="474">
        <v>668</v>
      </c>
      <c r="Y22" s="464"/>
      <c r="Z22" s="474">
        <v>2394</v>
      </c>
      <c r="AA22" s="474">
        <v>871</v>
      </c>
      <c r="AB22" s="464"/>
      <c r="AC22" s="474">
        <v>3421</v>
      </c>
      <c r="AD22" s="474">
        <v>831</v>
      </c>
      <c r="AF22" s="407" t="s">
        <v>145</v>
      </c>
      <c r="AG22" s="407" t="s">
        <v>145</v>
      </c>
      <c r="AI22" s="407" t="s">
        <v>145</v>
      </c>
      <c r="AJ22" s="407" t="s">
        <v>145</v>
      </c>
    </row>
    <row r="23" spans="2:36" x14ac:dyDescent="0.25">
      <c r="B23" s="406">
        <v>41666</v>
      </c>
      <c r="C23" s="406">
        <v>41672</v>
      </c>
      <c r="E23" s="407">
        <v>6627</v>
      </c>
      <c r="F23" s="407">
        <v>3339</v>
      </c>
      <c r="H23" s="407">
        <v>7927</v>
      </c>
      <c r="I23" s="407">
        <v>1820</v>
      </c>
      <c r="K23" s="407">
        <v>5009</v>
      </c>
      <c r="L23" s="407">
        <v>1183</v>
      </c>
      <c r="N23" s="407">
        <v>2222</v>
      </c>
      <c r="O23" s="407">
        <v>644</v>
      </c>
      <c r="Q23" s="474">
        <v>7197</v>
      </c>
      <c r="R23" s="474">
        <v>2017</v>
      </c>
      <c r="S23" s="464"/>
      <c r="T23" s="474">
        <v>1840</v>
      </c>
      <c r="U23" s="474">
        <v>450</v>
      </c>
      <c r="V23" s="464"/>
      <c r="W23" s="474">
        <v>1612</v>
      </c>
      <c r="X23" s="474">
        <v>614</v>
      </c>
      <c r="Y23" s="464"/>
      <c r="Z23" s="474">
        <v>2337</v>
      </c>
      <c r="AA23" s="474">
        <v>870</v>
      </c>
      <c r="AB23" s="464"/>
      <c r="AC23" s="474">
        <v>3422</v>
      </c>
      <c r="AD23" s="474">
        <v>781</v>
      </c>
      <c r="AF23" s="407" t="s">
        <v>145</v>
      </c>
      <c r="AG23" s="407" t="s">
        <v>145</v>
      </c>
      <c r="AI23" s="407" t="s">
        <v>145</v>
      </c>
      <c r="AJ23" s="407" t="s">
        <v>145</v>
      </c>
    </row>
    <row r="24" spans="2:36" x14ac:dyDescent="0.25">
      <c r="B24" s="406">
        <v>41673</v>
      </c>
      <c r="C24" s="406">
        <v>41679</v>
      </c>
      <c r="E24" s="407">
        <v>9201</v>
      </c>
      <c r="F24" s="407">
        <v>4554</v>
      </c>
      <c r="H24" s="407">
        <v>11303</v>
      </c>
      <c r="I24" s="407">
        <v>2536</v>
      </c>
      <c r="K24" s="407">
        <v>5875</v>
      </c>
      <c r="L24" s="407">
        <v>1454</v>
      </c>
      <c r="N24" s="407">
        <v>3186</v>
      </c>
      <c r="O24" s="407">
        <v>921</v>
      </c>
      <c r="Q24" s="474">
        <v>18964</v>
      </c>
      <c r="R24" s="474">
        <v>4707</v>
      </c>
      <c r="S24" s="464"/>
      <c r="T24" s="474">
        <v>3149</v>
      </c>
      <c r="U24" s="474">
        <v>706</v>
      </c>
      <c r="V24" s="464"/>
      <c r="W24" s="474">
        <v>2841</v>
      </c>
      <c r="X24" s="474">
        <v>1287</v>
      </c>
      <c r="Y24" s="464"/>
      <c r="Z24" s="474">
        <v>3498</v>
      </c>
      <c r="AA24" s="474">
        <v>1248</v>
      </c>
      <c r="AB24" s="464"/>
      <c r="AC24" s="474">
        <v>4538</v>
      </c>
      <c r="AD24" s="474">
        <v>1029</v>
      </c>
      <c r="AF24" s="407" t="s">
        <v>145</v>
      </c>
      <c r="AG24" s="407" t="s">
        <v>145</v>
      </c>
      <c r="AI24" s="407" t="s">
        <v>145</v>
      </c>
      <c r="AJ24" s="407" t="s">
        <v>145</v>
      </c>
    </row>
    <row r="25" spans="2:36" x14ac:dyDescent="0.25">
      <c r="B25" s="406">
        <v>41680</v>
      </c>
      <c r="C25" s="406">
        <v>41686</v>
      </c>
      <c r="E25" s="407">
        <v>6674</v>
      </c>
      <c r="F25" s="407">
        <v>3364</v>
      </c>
      <c r="H25" s="407">
        <v>7312</v>
      </c>
      <c r="I25" s="407">
        <v>1680</v>
      </c>
      <c r="K25" s="407">
        <v>4339</v>
      </c>
      <c r="L25" s="407">
        <v>1069</v>
      </c>
      <c r="N25" s="407">
        <v>2103</v>
      </c>
      <c r="O25" s="407">
        <v>575</v>
      </c>
      <c r="Q25" s="474">
        <v>8443</v>
      </c>
      <c r="R25" s="474">
        <v>2241</v>
      </c>
      <c r="S25" s="464"/>
      <c r="T25" s="474">
        <v>2026</v>
      </c>
      <c r="U25" s="474">
        <v>422</v>
      </c>
      <c r="V25" s="464"/>
      <c r="W25" s="474">
        <v>1736</v>
      </c>
      <c r="X25" s="474">
        <v>701</v>
      </c>
      <c r="Y25" s="464"/>
      <c r="Z25" s="474">
        <v>2460</v>
      </c>
      <c r="AA25" s="474">
        <v>929</v>
      </c>
      <c r="AB25" s="464"/>
      <c r="AC25" s="474">
        <v>3548</v>
      </c>
      <c r="AD25" s="474">
        <v>868</v>
      </c>
      <c r="AF25" s="407" t="s">
        <v>145</v>
      </c>
      <c r="AG25" s="407" t="s">
        <v>145</v>
      </c>
      <c r="AI25" s="407" t="s">
        <v>145</v>
      </c>
      <c r="AJ25" s="407" t="s">
        <v>145</v>
      </c>
    </row>
    <row r="26" spans="2:36" x14ac:dyDescent="0.25">
      <c r="B26" s="406">
        <v>41687</v>
      </c>
      <c r="C26" s="406">
        <v>41693</v>
      </c>
      <c r="E26" s="407">
        <v>7175</v>
      </c>
      <c r="F26" s="407">
        <v>3648</v>
      </c>
      <c r="H26" s="407">
        <v>7033</v>
      </c>
      <c r="I26" s="407">
        <v>1705</v>
      </c>
      <c r="K26" s="407">
        <v>4312</v>
      </c>
      <c r="L26" s="407">
        <v>1141</v>
      </c>
      <c r="N26" s="407">
        <v>2277</v>
      </c>
      <c r="O26" s="407">
        <v>659</v>
      </c>
      <c r="Q26" s="474">
        <v>8793</v>
      </c>
      <c r="R26" s="474">
        <v>2615</v>
      </c>
      <c r="S26" s="464"/>
      <c r="T26" s="474">
        <v>1921</v>
      </c>
      <c r="U26" s="474">
        <v>493</v>
      </c>
      <c r="V26" s="464"/>
      <c r="W26" s="474">
        <v>1732</v>
      </c>
      <c r="X26" s="474">
        <v>683</v>
      </c>
      <c r="Y26" s="464"/>
      <c r="Z26" s="474">
        <v>2512</v>
      </c>
      <c r="AA26" s="474">
        <v>1063</v>
      </c>
      <c r="AB26" s="464"/>
      <c r="AC26" s="474">
        <v>3371</v>
      </c>
      <c r="AD26" s="474">
        <v>865</v>
      </c>
      <c r="AF26" s="407" t="s">
        <v>145</v>
      </c>
      <c r="AG26" s="407" t="s">
        <v>145</v>
      </c>
      <c r="AI26" s="407" t="s">
        <v>145</v>
      </c>
      <c r="AJ26" s="407" t="s">
        <v>145</v>
      </c>
    </row>
    <row r="27" spans="2:36" x14ac:dyDescent="0.25">
      <c r="B27" s="406">
        <v>41694</v>
      </c>
      <c r="C27" s="406">
        <v>41700</v>
      </c>
      <c r="E27" s="407">
        <v>7835</v>
      </c>
      <c r="F27" s="407">
        <v>3841</v>
      </c>
      <c r="H27" s="407">
        <v>7514</v>
      </c>
      <c r="I27" s="407">
        <v>1802</v>
      </c>
      <c r="K27" s="407">
        <v>4761</v>
      </c>
      <c r="L27" s="407">
        <v>1169</v>
      </c>
      <c r="N27" s="407">
        <v>2283</v>
      </c>
      <c r="O27" s="407">
        <v>706</v>
      </c>
      <c r="Q27" s="474">
        <v>8601</v>
      </c>
      <c r="R27" s="474">
        <v>2594</v>
      </c>
      <c r="S27" s="464"/>
      <c r="T27" s="474">
        <v>1955</v>
      </c>
      <c r="U27" s="474">
        <v>443</v>
      </c>
      <c r="V27" s="464"/>
      <c r="W27" s="474">
        <v>1886</v>
      </c>
      <c r="X27" s="474">
        <v>715</v>
      </c>
      <c r="Y27" s="464"/>
      <c r="Z27" s="474">
        <v>2643</v>
      </c>
      <c r="AA27" s="474">
        <v>1010</v>
      </c>
      <c r="AB27" s="464"/>
      <c r="AC27" s="474">
        <v>3949</v>
      </c>
      <c r="AD27" s="474">
        <v>1109</v>
      </c>
      <c r="AF27" s="407" t="s">
        <v>145</v>
      </c>
      <c r="AG27" s="407" t="s">
        <v>145</v>
      </c>
      <c r="AI27" s="407" t="s">
        <v>145</v>
      </c>
      <c r="AJ27" s="407" t="s">
        <v>145</v>
      </c>
    </row>
    <row r="28" spans="2:36" x14ac:dyDescent="0.25">
      <c r="B28" s="406">
        <v>41701</v>
      </c>
      <c r="C28" s="406">
        <v>41707</v>
      </c>
      <c r="E28" s="407">
        <v>7728</v>
      </c>
      <c r="F28" s="407">
        <v>3739</v>
      </c>
      <c r="H28" s="407">
        <v>7914</v>
      </c>
      <c r="I28" s="407">
        <v>1883</v>
      </c>
      <c r="K28" s="407">
        <v>4950</v>
      </c>
      <c r="L28" s="407">
        <v>1176</v>
      </c>
      <c r="N28" s="407">
        <v>2221</v>
      </c>
      <c r="O28" s="407">
        <v>659</v>
      </c>
      <c r="Q28" s="474">
        <v>8557</v>
      </c>
      <c r="R28" s="474">
        <v>2572</v>
      </c>
      <c r="S28" s="464"/>
      <c r="T28" s="474">
        <v>2238</v>
      </c>
      <c r="U28" s="474">
        <v>540</v>
      </c>
      <c r="V28" s="464"/>
      <c r="W28" s="474">
        <v>2032</v>
      </c>
      <c r="X28" s="474">
        <v>796</v>
      </c>
      <c r="Y28" s="464"/>
      <c r="Z28" s="474">
        <v>2713</v>
      </c>
      <c r="AA28" s="474">
        <v>1006</v>
      </c>
      <c r="AB28" s="464"/>
      <c r="AC28" s="474">
        <v>3930</v>
      </c>
      <c r="AD28" s="474">
        <v>958</v>
      </c>
      <c r="AF28" s="407" t="s">
        <v>145</v>
      </c>
      <c r="AG28" s="407" t="s">
        <v>145</v>
      </c>
      <c r="AI28" s="407" t="s">
        <v>145</v>
      </c>
      <c r="AJ28" s="407" t="s">
        <v>145</v>
      </c>
    </row>
    <row r="29" spans="2:36" x14ac:dyDescent="0.25">
      <c r="B29" s="406">
        <v>41708</v>
      </c>
      <c r="C29" s="406">
        <v>41714</v>
      </c>
      <c r="E29" s="407">
        <v>7205</v>
      </c>
      <c r="F29" s="407">
        <v>3473</v>
      </c>
      <c r="H29" s="407">
        <v>8298</v>
      </c>
      <c r="I29" s="407">
        <v>1956</v>
      </c>
      <c r="K29" s="407">
        <v>4309</v>
      </c>
      <c r="L29" s="407">
        <v>997</v>
      </c>
      <c r="N29" s="407">
        <v>2219</v>
      </c>
      <c r="O29" s="407">
        <v>604</v>
      </c>
      <c r="Q29" s="474">
        <v>9721</v>
      </c>
      <c r="R29" s="474">
        <v>2735</v>
      </c>
      <c r="S29" s="464"/>
      <c r="T29" s="474">
        <v>2145</v>
      </c>
      <c r="U29" s="474">
        <v>497</v>
      </c>
      <c r="V29" s="464"/>
      <c r="W29" s="474">
        <v>1783</v>
      </c>
      <c r="X29" s="474">
        <v>652</v>
      </c>
      <c r="Y29" s="464"/>
      <c r="Z29" s="474">
        <v>2464</v>
      </c>
      <c r="AA29" s="474">
        <v>853</v>
      </c>
      <c r="AB29" s="464"/>
      <c r="AC29" s="474">
        <v>3707</v>
      </c>
      <c r="AD29" s="474">
        <v>912</v>
      </c>
      <c r="AF29" s="407" t="s">
        <v>145</v>
      </c>
      <c r="AG29" s="407" t="s">
        <v>145</v>
      </c>
      <c r="AI29" s="407" t="s">
        <v>145</v>
      </c>
      <c r="AJ29" s="407" t="s">
        <v>145</v>
      </c>
    </row>
    <row r="30" spans="2:36" x14ac:dyDescent="0.25">
      <c r="B30" s="406">
        <v>41715</v>
      </c>
      <c r="C30" s="406">
        <v>41721</v>
      </c>
      <c r="E30" s="407">
        <v>8332</v>
      </c>
      <c r="F30" s="407">
        <v>4126</v>
      </c>
      <c r="H30" s="407">
        <v>10067</v>
      </c>
      <c r="I30" s="407">
        <v>2295</v>
      </c>
      <c r="K30" s="407">
        <v>5303</v>
      </c>
      <c r="L30" s="407">
        <v>1255</v>
      </c>
      <c r="N30" s="407">
        <v>2741</v>
      </c>
      <c r="O30" s="407">
        <v>744</v>
      </c>
      <c r="Q30" s="474">
        <v>12040</v>
      </c>
      <c r="R30" s="474">
        <v>3137</v>
      </c>
      <c r="S30" s="464"/>
      <c r="T30" s="474">
        <v>3190</v>
      </c>
      <c r="U30" s="474">
        <v>579</v>
      </c>
      <c r="V30" s="464"/>
      <c r="W30" s="474">
        <v>2065</v>
      </c>
      <c r="X30" s="474">
        <v>807</v>
      </c>
      <c r="Y30" s="464"/>
      <c r="Z30" s="474">
        <v>2936</v>
      </c>
      <c r="AA30" s="474">
        <v>1096</v>
      </c>
      <c r="AB30" s="464"/>
      <c r="AC30" s="474">
        <v>6135</v>
      </c>
      <c r="AD30" s="474">
        <v>1211</v>
      </c>
      <c r="AF30" s="407" t="s">
        <v>145</v>
      </c>
      <c r="AG30" s="407" t="s">
        <v>145</v>
      </c>
      <c r="AI30" s="407" t="s">
        <v>145</v>
      </c>
      <c r="AJ30" s="407" t="s">
        <v>145</v>
      </c>
    </row>
    <row r="31" spans="2:36" x14ac:dyDescent="0.25">
      <c r="B31" s="406">
        <v>41722</v>
      </c>
      <c r="C31" s="406">
        <v>41728</v>
      </c>
      <c r="E31" s="407">
        <v>8943</v>
      </c>
      <c r="F31" s="407">
        <v>4334</v>
      </c>
      <c r="H31" s="407">
        <v>11024</v>
      </c>
      <c r="I31" s="407">
        <v>2412</v>
      </c>
      <c r="K31" s="407">
        <v>5636</v>
      </c>
      <c r="L31" s="407">
        <v>1335</v>
      </c>
      <c r="N31" s="407">
        <v>2630</v>
      </c>
      <c r="O31" s="407">
        <v>771</v>
      </c>
      <c r="Q31" s="474">
        <v>11758</v>
      </c>
      <c r="R31" s="474">
        <v>3637</v>
      </c>
      <c r="S31" s="464"/>
      <c r="T31" s="474">
        <v>2236</v>
      </c>
      <c r="U31" s="474">
        <v>535</v>
      </c>
      <c r="V31" s="464"/>
      <c r="W31" s="474">
        <v>2252</v>
      </c>
      <c r="X31" s="474">
        <v>915</v>
      </c>
      <c r="Y31" s="464"/>
      <c r="Z31" s="474">
        <v>3317</v>
      </c>
      <c r="AA31" s="474">
        <v>1192</v>
      </c>
      <c r="AB31" s="464"/>
      <c r="AC31" s="474">
        <v>6766</v>
      </c>
      <c r="AD31" s="474">
        <v>1328</v>
      </c>
      <c r="AF31" s="407" t="s">
        <v>145</v>
      </c>
      <c r="AG31" s="407" t="s">
        <v>145</v>
      </c>
      <c r="AI31" s="407" t="s">
        <v>145</v>
      </c>
      <c r="AJ31" s="407" t="s">
        <v>145</v>
      </c>
    </row>
    <row r="32" spans="2:36" x14ac:dyDescent="0.25">
      <c r="B32" s="406">
        <v>41729</v>
      </c>
      <c r="C32" s="406">
        <v>41735</v>
      </c>
      <c r="E32" s="407">
        <v>8518</v>
      </c>
      <c r="F32" s="407">
        <v>4013</v>
      </c>
      <c r="H32" s="407">
        <v>9875</v>
      </c>
      <c r="I32" s="407">
        <v>2247</v>
      </c>
      <c r="K32" s="407">
        <v>4635</v>
      </c>
      <c r="L32" s="407">
        <v>1126</v>
      </c>
      <c r="N32" s="407">
        <v>2550</v>
      </c>
      <c r="O32" s="407">
        <v>747</v>
      </c>
      <c r="Q32" s="474">
        <v>11906</v>
      </c>
      <c r="R32" s="474">
        <v>3529</v>
      </c>
      <c r="S32" s="464"/>
      <c r="T32" s="474">
        <v>2067</v>
      </c>
      <c r="U32" s="474">
        <v>494</v>
      </c>
      <c r="V32" s="464"/>
      <c r="W32" s="474">
        <v>1944</v>
      </c>
      <c r="X32" s="474">
        <v>793</v>
      </c>
      <c r="Y32" s="464"/>
      <c r="Z32" s="474">
        <v>3004</v>
      </c>
      <c r="AA32" s="474">
        <v>1119</v>
      </c>
      <c r="AB32" s="464"/>
      <c r="AC32" s="474">
        <v>5639</v>
      </c>
      <c r="AD32" s="474">
        <v>1071</v>
      </c>
      <c r="AF32" s="407" t="s">
        <v>145</v>
      </c>
      <c r="AG32" s="407" t="s">
        <v>145</v>
      </c>
      <c r="AI32" s="407" t="s">
        <v>145</v>
      </c>
      <c r="AJ32" s="407" t="s">
        <v>145</v>
      </c>
    </row>
    <row r="33" spans="2:36" x14ac:dyDescent="0.25">
      <c r="B33" s="406">
        <v>41736</v>
      </c>
      <c r="C33" s="406">
        <v>41742</v>
      </c>
      <c r="E33" s="407">
        <v>7698</v>
      </c>
      <c r="F33" s="407">
        <v>3706</v>
      </c>
      <c r="H33" s="407">
        <v>9248</v>
      </c>
      <c r="I33" s="407">
        <v>2172</v>
      </c>
      <c r="K33" s="407">
        <v>4076</v>
      </c>
      <c r="L33" s="407">
        <v>1163</v>
      </c>
      <c r="N33" s="407">
        <v>2544</v>
      </c>
      <c r="O33" s="407">
        <v>728</v>
      </c>
      <c r="Q33" s="474">
        <v>11204</v>
      </c>
      <c r="R33" s="474">
        <v>2911</v>
      </c>
      <c r="S33" s="464"/>
      <c r="T33" s="474">
        <v>1966</v>
      </c>
      <c r="U33" s="474">
        <v>471</v>
      </c>
      <c r="V33" s="464"/>
      <c r="W33" s="474">
        <v>1618</v>
      </c>
      <c r="X33" s="474">
        <v>644</v>
      </c>
      <c r="Y33" s="464"/>
      <c r="Z33" s="474">
        <v>2812</v>
      </c>
      <c r="AA33" s="474">
        <v>1033</v>
      </c>
      <c r="AB33" s="464"/>
      <c r="AC33" s="474">
        <v>4595</v>
      </c>
      <c r="AD33" s="474">
        <v>937</v>
      </c>
      <c r="AF33" s="407" t="s">
        <v>145</v>
      </c>
      <c r="AG33" s="407" t="s">
        <v>145</v>
      </c>
      <c r="AI33" s="407" t="s">
        <v>145</v>
      </c>
      <c r="AJ33" s="407" t="s">
        <v>145</v>
      </c>
    </row>
    <row r="34" spans="2:36" x14ac:dyDescent="0.25">
      <c r="B34" s="406">
        <v>41743</v>
      </c>
      <c r="C34" s="406">
        <v>41749</v>
      </c>
      <c r="E34" s="407">
        <v>7026</v>
      </c>
      <c r="F34" s="407">
        <v>3500</v>
      </c>
      <c r="H34" s="407">
        <v>8767</v>
      </c>
      <c r="I34" s="407">
        <v>2041</v>
      </c>
      <c r="K34" s="407">
        <v>4254</v>
      </c>
      <c r="L34" s="407">
        <v>1222</v>
      </c>
      <c r="N34" s="407">
        <v>2380</v>
      </c>
      <c r="O34" s="407">
        <v>638</v>
      </c>
      <c r="Q34" s="474">
        <v>10871</v>
      </c>
      <c r="R34" s="474">
        <v>2842</v>
      </c>
      <c r="S34" s="464"/>
      <c r="T34" s="474">
        <v>1995</v>
      </c>
      <c r="U34" s="474">
        <v>494</v>
      </c>
      <c r="V34" s="464"/>
      <c r="W34" s="474">
        <v>1678</v>
      </c>
      <c r="X34" s="474">
        <v>602</v>
      </c>
      <c r="Y34" s="464"/>
      <c r="Z34" s="474">
        <v>2654</v>
      </c>
      <c r="AA34" s="474">
        <v>1024</v>
      </c>
      <c r="AB34" s="464"/>
      <c r="AC34" s="474">
        <v>4325</v>
      </c>
      <c r="AD34" s="474">
        <v>927</v>
      </c>
      <c r="AF34" s="407" t="s">
        <v>145</v>
      </c>
      <c r="AG34" s="407" t="s">
        <v>145</v>
      </c>
      <c r="AI34" s="407" t="s">
        <v>145</v>
      </c>
      <c r="AJ34" s="407" t="s">
        <v>145</v>
      </c>
    </row>
    <row r="35" spans="2:36" x14ac:dyDescent="0.25">
      <c r="B35" s="406">
        <v>41750</v>
      </c>
      <c r="C35" s="406">
        <v>41756</v>
      </c>
      <c r="E35" s="407">
        <v>8763</v>
      </c>
      <c r="F35" s="407">
        <v>4297</v>
      </c>
      <c r="H35" s="407">
        <v>11018</v>
      </c>
      <c r="I35" s="407">
        <v>2476</v>
      </c>
      <c r="K35" s="407">
        <v>5158</v>
      </c>
      <c r="L35" s="407">
        <v>1337</v>
      </c>
      <c r="N35" s="407">
        <v>3251</v>
      </c>
      <c r="O35" s="407">
        <v>915</v>
      </c>
      <c r="Q35" s="474">
        <v>13035</v>
      </c>
      <c r="R35" s="474">
        <v>3398</v>
      </c>
      <c r="S35" s="464"/>
      <c r="T35" s="474">
        <v>2860</v>
      </c>
      <c r="U35" s="474">
        <v>632</v>
      </c>
      <c r="V35" s="464"/>
      <c r="W35" s="474">
        <v>38164</v>
      </c>
      <c r="X35" s="474">
        <v>13391</v>
      </c>
      <c r="Y35" s="464"/>
      <c r="Z35" s="474">
        <v>3666</v>
      </c>
      <c r="AA35" s="474">
        <v>1391</v>
      </c>
      <c r="AB35" s="464"/>
      <c r="AC35" s="474">
        <v>5255</v>
      </c>
      <c r="AD35" s="474">
        <v>1090</v>
      </c>
      <c r="AF35" s="407" t="s">
        <v>145</v>
      </c>
      <c r="AG35" s="407" t="s">
        <v>145</v>
      </c>
      <c r="AI35" s="407" t="s">
        <v>145</v>
      </c>
      <c r="AJ35" s="407" t="s">
        <v>145</v>
      </c>
    </row>
    <row r="36" spans="2:36" x14ac:dyDescent="0.25">
      <c r="B36" s="406">
        <v>41757</v>
      </c>
      <c r="C36" s="406">
        <v>41763</v>
      </c>
      <c r="E36" s="407">
        <v>7661</v>
      </c>
      <c r="F36" s="407">
        <v>3743</v>
      </c>
      <c r="H36" s="407">
        <v>9576</v>
      </c>
      <c r="I36" s="407">
        <v>2156</v>
      </c>
      <c r="K36" s="407">
        <v>5269</v>
      </c>
      <c r="L36" s="407">
        <v>1296</v>
      </c>
      <c r="N36" s="407">
        <v>2689</v>
      </c>
      <c r="O36" s="407">
        <v>722</v>
      </c>
      <c r="Q36" s="474">
        <v>11167</v>
      </c>
      <c r="R36" s="474">
        <v>2790</v>
      </c>
      <c r="S36" s="464"/>
      <c r="T36" s="474">
        <v>2039</v>
      </c>
      <c r="U36" s="474">
        <v>506</v>
      </c>
      <c r="V36" s="464"/>
      <c r="W36" s="474">
        <v>5486</v>
      </c>
      <c r="X36" s="474">
        <v>1893</v>
      </c>
      <c r="Y36" s="464"/>
      <c r="Z36" s="474">
        <v>2948</v>
      </c>
      <c r="AA36" s="474">
        <v>1135</v>
      </c>
      <c r="AB36" s="464"/>
      <c r="AC36" s="474">
        <v>4973</v>
      </c>
      <c r="AD36" s="474">
        <v>1013</v>
      </c>
      <c r="AF36" s="407" t="s">
        <v>145</v>
      </c>
      <c r="AG36" s="407" t="s">
        <v>145</v>
      </c>
      <c r="AI36" s="407" t="s">
        <v>145</v>
      </c>
      <c r="AJ36" s="407" t="s">
        <v>145</v>
      </c>
    </row>
    <row r="37" spans="2:36" x14ac:dyDescent="0.25">
      <c r="B37" s="406">
        <v>41764</v>
      </c>
      <c r="C37" s="406">
        <v>41770</v>
      </c>
      <c r="E37" s="407">
        <v>7282</v>
      </c>
      <c r="F37" s="407">
        <v>3488</v>
      </c>
      <c r="H37" s="407">
        <v>8484</v>
      </c>
      <c r="I37" s="407">
        <v>1915</v>
      </c>
      <c r="K37" s="407">
        <v>4348</v>
      </c>
      <c r="L37" s="407">
        <v>1178</v>
      </c>
      <c r="N37" s="407">
        <v>2463</v>
      </c>
      <c r="O37" s="407">
        <v>672</v>
      </c>
      <c r="Q37" s="474">
        <v>10284</v>
      </c>
      <c r="R37" s="474">
        <v>2444</v>
      </c>
      <c r="S37" s="464"/>
      <c r="T37" s="474">
        <v>1847</v>
      </c>
      <c r="U37" s="474">
        <v>473</v>
      </c>
      <c r="V37" s="464"/>
      <c r="W37" s="474">
        <v>2576</v>
      </c>
      <c r="X37" s="474">
        <v>864</v>
      </c>
      <c r="Y37" s="464"/>
      <c r="Z37" s="474">
        <v>2661</v>
      </c>
      <c r="AA37" s="474">
        <v>885</v>
      </c>
      <c r="AB37" s="464"/>
      <c r="AC37" s="474">
        <v>4514</v>
      </c>
      <c r="AD37" s="474">
        <v>949</v>
      </c>
      <c r="AF37" s="407" t="s">
        <v>145</v>
      </c>
      <c r="AG37" s="407" t="s">
        <v>145</v>
      </c>
      <c r="AI37" s="407" t="s">
        <v>145</v>
      </c>
      <c r="AJ37" s="407" t="s">
        <v>145</v>
      </c>
    </row>
    <row r="38" spans="2:36" x14ac:dyDescent="0.25">
      <c r="B38" s="406">
        <v>41771</v>
      </c>
      <c r="C38" s="406">
        <v>41777</v>
      </c>
      <c r="E38" s="407">
        <v>7085</v>
      </c>
      <c r="F38" s="407">
        <v>3336</v>
      </c>
      <c r="H38" s="407">
        <v>8503</v>
      </c>
      <c r="I38" s="407">
        <v>1840</v>
      </c>
      <c r="K38" s="407">
        <v>4217</v>
      </c>
      <c r="L38" s="407">
        <v>1118</v>
      </c>
      <c r="N38" s="407">
        <v>2414</v>
      </c>
      <c r="O38" s="407">
        <v>697</v>
      </c>
      <c r="Q38" s="474">
        <v>11618</v>
      </c>
      <c r="R38" s="474">
        <v>2672</v>
      </c>
      <c r="S38" s="464"/>
      <c r="T38" s="474">
        <v>1842</v>
      </c>
      <c r="U38" s="474">
        <v>441</v>
      </c>
      <c r="V38" s="464"/>
      <c r="W38" s="474">
        <v>2078</v>
      </c>
      <c r="X38" s="474">
        <v>785</v>
      </c>
      <c r="Y38" s="464"/>
      <c r="Z38" s="474">
        <v>2573</v>
      </c>
      <c r="AA38" s="474">
        <v>820</v>
      </c>
      <c r="AB38" s="464"/>
      <c r="AC38" s="474">
        <v>4502</v>
      </c>
      <c r="AD38" s="474">
        <v>893</v>
      </c>
      <c r="AF38" s="407" t="s">
        <v>145</v>
      </c>
      <c r="AG38" s="407" t="s">
        <v>145</v>
      </c>
      <c r="AI38" s="407" t="s">
        <v>145</v>
      </c>
      <c r="AJ38" s="407" t="s">
        <v>145</v>
      </c>
    </row>
    <row r="39" spans="2:36" x14ac:dyDescent="0.25">
      <c r="B39" s="406">
        <v>41778</v>
      </c>
      <c r="C39" s="406">
        <v>41784</v>
      </c>
      <c r="E39" s="407">
        <v>7148</v>
      </c>
      <c r="F39" s="407">
        <v>3262</v>
      </c>
      <c r="H39" s="407">
        <v>8669</v>
      </c>
      <c r="I39" s="407">
        <v>1943</v>
      </c>
      <c r="K39" s="407">
        <v>4057</v>
      </c>
      <c r="L39" s="407">
        <v>1033</v>
      </c>
      <c r="N39" s="407">
        <v>2543</v>
      </c>
      <c r="O39" s="407">
        <v>683</v>
      </c>
      <c r="Q39" s="474">
        <v>12270</v>
      </c>
      <c r="R39" s="474">
        <v>2661</v>
      </c>
      <c r="S39" s="464"/>
      <c r="T39" s="474">
        <v>1854</v>
      </c>
      <c r="U39" s="474">
        <v>449</v>
      </c>
      <c r="V39" s="464"/>
      <c r="W39" s="474">
        <v>1838</v>
      </c>
      <c r="X39" s="474">
        <v>679</v>
      </c>
      <c r="Y39" s="464"/>
      <c r="Z39" s="474">
        <v>2939</v>
      </c>
      <c r="AA39" s="474">
        <v>910</v>
      </c>
      <c r="AB39" s="464"/>
      <c r="AC39" s="474">
        <v>4689</v>
      </c>
      <c r="AD39" s="474">
        <v>926</v>
      </c>
      <c r="AF39" s="407" t="s">
        <v>145</v>
      </c>
      <c r="AG39" s="407" t="s">
        <v>145</v>
      </c>
      <c r="AI39" s="407" t="s">
        <v>145</v>
      </c>
      <c r="AJ39" s="407" t="s">
        <v>145</v>
      </c>
    </row>
    <row r="40" spans="2:36" x14ac:dyDescent="0.25">
      <c r="B40" s="406">
        <v>41785</v>
      </c>
      <c r="C40" s="406">
        <v>41791</v>
      </c>
      <c r="E40" s="407">
        <v>7654</v>
      </c>
      <c r="F40" s="407">
        <v>3590</v>
      </c>
      <c r="H40" s="407">
        <v>9172</v>
      </c>
      <c r="I40" s="407">
        <v>2213</v>
      </c>
      <c r="K40" s="407">
        <v>4258</v>
      </c>
      <c r="L40" s="407">
        <v>1054</v>
      </c>
      <c r="N40" s="407">
        <v>2649</v>
      </c>
      <c r="O40" s="407">
        <v>697</v>
      </c>
      <c r="Q40" s="474">
        <v>13402</v>
      </c>
      <c r="R40" s="474">
        <v>3052</v>
      </c>
      <c r="S40" s="464"/>
      <c r="T40" s="474">
        <v>1898</v>
      </c>
      <c r="U40" s="474">
        <v>446</v>
      </c>
      <c r="V40" s="464"/>
      <c r="W40" s="474">
        <v>1922</v>
      </c>
      <c r="X40" s="474">
        <v>652</v>
      </c>
      <c r="Y40" s="464"/>
      <c r="Z40" s="474">
        <v>3285</v>
      </c>
      <c r="AA40" s="474">
        <v>1055</v>
      </c>
      <c r="AB40" s="464"/>
      <c r="AC40" s="474">
        <v>5141</v>
      </c>
      <c r="AD40" s="474">
        <v>962</v>
      </c>
      <c r="AF40" s="407" t="s">
        <v>145</v>
      </c>
      <c r="AG40" s="407" t="s">
        <v>145</v>
      </c>
      <c r="AI40" s="407" t="s">
        <v>145</v>
      </c>
      <c r="AJ40" s="407" t="s">
        <v>145</v>
      </c>
    </row>
    <row r="41" spans="2:36" x14ac:dyDescent="0.25">
      <c r="B41" s="406">
        <v>41792</v>
      </c>
      <c r="C41" s="406">
        <v>41798</v>
      </c>
      <c r="E41" s="407">
        <v>6421</v>
      </c>
      <c r="F41" s="407">
        <v>3002</v>
      </c>
      <c r="H41" s="407">
        <v>7181</v>
      </c>
      <c r="I41" s="407">
        <v>1775</v>
      </c>
      <c r="K41" s="407">
        <v>3891</v>
      </c>
      <c r="L41" s="407">
        <v>1025</v>
      </c>
      <c r="N41" s="407">
        <v>2446</v>
      </c>
      <c r="O41" s="407">
        <v>723</v>
      </c>
      <c r="Q41" s="474">
        <v>9282</v>
      </c>
      <c r="R41" s="474">
        <v>2237</v>
      </c>
      <c r="S41" s="464"/>
      <c r="T41" s="474">
        <v>1694</v>
      </c>
      <c r="U41" s="474">
        <v>434</v>
      </c>
      <c r="V41" s="464"/>
      <c r="W41" s="474">
        <v>1601</v>
      </c>
      <c r="X41" s="474">
        <v>575</v>
      </c>
      <c r="Y41" s="464"/>
      <c r="Z41" s="474">
        <v>2531</v>
      </c>
      <c r="AA41" s="474">
        <v>844</v>
      </c>
      <c r="AB41" s="464"/>
      <c r="AC41" s="474">
        <v>3793</v>
      </c>
      <c r="AD41" s="474">
        <v>756</v>
      </c>
      <c r="AF41" s="407" t="s">
        <v>145</v>
      </c>
      <c r="AG41" s="407" t="s">
        <v>145</v>
      </c>
      <c r="AI41" s="407" t="s">
        <v>145</v>
      </c>
      <c r="AJ41" s="407" t="s">
        <v>145</v>
      </c>
    </row>
    <row r="42" spans="2:36" x14ac:dyDescent="0.25">
      <c r="B42" s="406">
        <v>41799</v>
      </c>
      <c r="C42" s="406">
        <v>41805</v>
      </c>
      <c r="E42" s="407">
        <v>4929</v>
      </c>
      <c r="F42" s="407">
        <v>2428</v>
      </c>
      <c r="H42" s="407">
        <v>2977</v>
      </c>
      <c r="I42" s="407">
        <v>931</v>
      </c>
      <c r="K42" s="407">
        <v>2778</v>
      </c>
      <c r="L42" s="407">
        <v>730</v>
      </c>
      <c r="N42" s="407">
        <v>1664</v>
      </c>
      <c r="O42" s="407">
        <v>501</v>
      </c>
      <c r="Q42" s="474">
        <v>2419</v>
      </c>
      <c r="R42" s="474">
        <v>869</v>
      </c>
      <c r="S42" s="464"/>
      <c r="T42" s="474">
        <v>1044</v>
      </c>
      <c r="U42" s="474">
        <v>256</v>
      </c>
      <c r="V42" s="464"/>
      <c r="W42" s="474">
        <v>1144</v>
      </c>
      <c r="X42" s="474">
        <v>430</v>
      </c>
      <c r="Y42" s="464"/>
      <c r="Z42" s="474">
        <v>1917</v>
      </c>
      <c r="AA42" s="474">
        <v>702</v>
      </c>
      <c r="AB42" s="464"/>
      <c r="AC42" s="474">
        <v>1628</v>
      </c>
      <c r="AD42" s="474">
        <v>513</v>
      </c>
      <c r="AF42" s="407" t="s">
        <v>145</v>
      </c>
      <c r="AG42" s="407" t="s">
        <v>145</v>
      </c>
      <c r="AI42" s="407" t="s">
        <v>145</v>
      </c>
      <c r="AJ42" s="407" t="s">
        <v>145</v>
      </c>
    </row>
    <row r="43" spans="2:36" x14ac:dyDescent="0.25">
      <c r="B43" s="406">
        <v>41806</v>
      </c>
      <c r="C43" s="406">
        <v>41812</v>
      </c>
      <c r="E43" s="407">
        <v>6009</v>
      </c>
      <c r="F43" s="407">
        <v>2801</v>
      </c>
      <c r="H43" s="407">
        <v>6830</v>
      </c>
      <c r="I43" s="407">
        <v>1578</v>
      </c>
      <c r="K43" s="407">
        <v>3975</v>
      </c>
      <c r="L43" s="407">
        <v>979</v>
      </c>
      <c r="N43" s="407">
        <v>1818</v>
      </c>
      <c r="O43" s="407">
        <v>566</v>
      </c>
      <c r="Q43" s="474">
        <v>2669</v>
      </c>
      <c r="R43" s="474">
        <v>1027</v>
      </c>
      <c r="S43" s="464"/>
      <c r="T43" s="474">
        <v>1546</v>
      </c>
      <c r="U43" s="474">
        <v>369</v>
      </c>
      <c r="V43" s="464"/>
      <c r="W43" s="474">
        <v>1402</v>
      </c>
      <c r="X43" s="474">
        <v>495</v>
      </c>
      <c r="Y43" s="464"/>
      <c r="Z43" s="474">
        <v>2110</v>
      </c>
      <c r="AA43" s="474">
        <v>712</v>
      </c>
      <c r="AB43" s="464"/>
      <c r="AC43" s="474">
        <v>3854</v>
      </c>
      <c r="AD43" s="474">
        <v>825</v>
      </c>
      <c r="AF43" s="407" t="s">
        <v>145</v>
      </c>
      <c r="AG43" s="407" t="s">
        <v>145</v>
      </c>
      <c r="AI43" s="407" t="s">
        <v>145</v>
      </c>
      <c r="AJ43" s="407" t="s">
        <v>145</v>
      </c>
    </row>
    <row r="44" spans="2:36" x14ac:dyDescent="0.25">
      <c r="B44" s="406">
        <v>41813</v>
      </c>
      <c r="C44" s="406">
        <v>41819</v>
      </c>
      <c r="E44" s="407">
        <v>6964</v>
      </c>
      <c r="F44" s="407">
        <v>3211</v>
      </c>
      <c r="H44" s="407">
        <v>8563</v>
      </c>
      <c r="I44" s="407">
        <v>1926</v>
      </c>
      <c r="K44" s="407">
        <v>5044</v>
      </c>
      <c r="L44" s="407">
        <v>1239</v>
      </c>
      <c r="N44" s="407">
        <v>1850</v>
      </c>
      <c r="O44" s="407">
        <v>567</v>
      </c>
      <c r="Q44" s="474">
        <v>2635</v>
      </c>
      <c r="R44" s="474">
        <v>937</v>
      </c>
      <c r="S44" s="464"/>
      <c r="T44" s="474">
        <v>1797</v>
      </c>
      <c r="U44" s="474">
        <v>462</v>
      </c>
      <c r="V44" s="464"/>
      <c r="W44" s="474">
        <v>1570</v>
      </c>
      <c r="X44" s="474">
        <v>535</v>
      </c>
      <c r="Y44" s="464"/>
      <c r="Z44" s="474">
        <v>2621</v>
      </c>
      <c r="AA44" s="474">
        <v>893</v>
      </c>
      <c r="AB44" s="464"/>
      <c r="AC44" s="474">
        <v>4696</v>
      </c>
      <c r="AD44" s="474">
        <v>943</v>
      </c>
      <c r="AF44" s="407" t="s">
        <v>145</v>
      </c>
      <c r="AG44" s="407" t="s">
        <v>145</v>
      </c>
      <c r="AI44" s="407" t="s">
        <v>145</v>
      </c>
      <c r="AJ44" s="407" t="s">
        <v>145</v>
      </c>
    </row>
    <row r="45" spans="2:36" x14ac:dyDescent="0.25">
      <c r="B45" s="406">
        <v>41820</v>
      </c>
      <c r="C45" s="406">
        <v>41826</v>
      </c>
      <c r="E45" s="407">
        <v>6121</v>
      </c>
      <c r="F45" s="407">
        <v>2837</v>
      </c>
      <c r="H45" s="407">
        <v>7633</v>
      </c>
      <c r="I45" s="407">
        <v>1594</v>
      </c>
      <c r="K45" s="407">
        <v>4437</v>
      </c>
      <c r="L45" s="407">
        <v>1033</v>
      </c>
      <c r="N45" s="407">
        <v>1517</v>
      </c>
      <c r="O45" s="407">
        <v>458</v>
      </c>
      <c r="Q45" s="474">
        <v>2272</v>
      </c>
      <c r="R45" s="474">
        <v>796</v>
      </c>
      <c r="S45" s="464"/>
      <c r="T45" s="474">
        <v>1482</v>
      </c>
      <c r="U45" s="474">
        <v>388</v>
      </c>
      <c r="V45" s="464"/>
      <c r="W45" s="474">
        <v>1368</v>
      </c>
      <c r="X45" s="474">
        <v>500</v>
      </c>
      <c r="Y45" s="464"/>
      <c r="Z45" s="474">
        <v>2486</v>
      </c>
      <c r="AA45" s="474">
        <v>845</v>
      </c>
      <c r="AB45" s="464"/>
      <c r="AC45" s="474">
        <v>4181</v>
      </c>
      <c r="AD45" s="474">
        <v>810</v>
      </c>
      <c r="AF45" s="407" t="s">
        <v>145</v>
      </c>
      <c r="AG45" s="407" t="s">
        <v>145</v>
      </c>
      <c r="AI45" s="407" t="s">
        <v>145</v>
      </c>
      <c r="AJ45" s="407" t="s">
        <v>145</v>
      </c>
    </row>
    <row r="46" spans="2:36" x14ac:dyDescent="0.25">
      <c r="B46" s="406">
        <v>41827</v>
      </c>
      <c r="C46" s="406">
        <v>41833</v>
      </c>
      <c r="E46" s="407">
        <v>7163</v>
      </c>
      <c r="F46" s="407">
        <v>3336</v>
      </c>
      <c r="H46" s="407">
        <v>8422</v>
      </c>
      <c r="I46" s="407">
        <v>1887</v>
      </c>
      <c r="K46" s="407">
        <v>5139</v>
      </c>
      <c r="L46" s="407">
        <v>1293</v>
      </c>
      <c r="N46" s="407">
        <v>1841</v>
      </c>
      <c r="O46" s="407">
        <v>574</v>
      </c>
      <c r="Q46" s="474">
        <v>2460</v>
      </c>
      <c r="R46" s="474">
        <v>858</v>
      </c>
      <c r="S46" s="464"/>
      <c r="T46" s="474">
        <v>1871</v>
      </c>
      <c r="U46" s="474">
        <v>434</v>
      </c>
      <c r="V46" s="464"/>
      <c r="W46" s="474">
        <v>1499</v>
      </c>
      <c r="X46" s="474">
        <v>520</v>
      </c>
      <c r="Y46" s="464"/>
      <c r="Z46" s="474">
        <v>2676</v>
      </c>
      <c r="AA46" s="474">
        <v>853</v>
      </c>
      <c r="AB46" s="464"/>
      <c r="AC46" s="474">
        <v>4514</v>
      </c>
      <c r="AD46" s="474">
        <v>851</v>
      </c>
      <c r="AF46" s="407" t="s">
        <v>145</v>
      </c>
      <c r="AG46" s="407" t="s">
        <v>145</v>
      </c>
      <c r="AI46" s="407" t="s">
        <v>145</v>
      </c>
      <c r="AJ46" s="407" t="s">
        <v>145</v>
      </c>
    </row>
    <row r="47" spans="2:36" x14ac:dyDescent="0.25">
      <c r="B47" s="406">
        <v>41834</v>
      </c>
      <c r="C47" s="406">
        <v>41840</v>
      </c>
      <c r="E47" s="407">
        <v>7328</v>
      </c>
      <c r="F47" s="407">
        <v>3465</v>
      </c>
      <c r="H47" s="407">
        <v>8395</v>
      </c>
      <c r="I47" s="407">
        <v>2025</v>
      </c>
      <c r="K47" s="407">
        <v>5189</v>
      </c>
      <c r="L47" s="407">
        <v>1284</v>
      </c>
      <c r="N47" s="407">
        <v>1869</v>
      </c>
      <c r="O47" s="407">
        <v>637</v>
      </c>
      <c r="Q47" s="474">
        <v>2618</v>
      </c>
      <c r="R47" s="474">
        <v>986</v>
      </c>
      <c r="S47" s="464"/>
      <c r="T47" s="474">
        <v>1913</v>
      </c>
      <c r="U47" s="474">
        <v>477</v>
      </c>
      <c r="V47" s="464"/>
      <c r="W47" s="474">
        <v>1501</v>
      </c>
      <c r="X47" s="474">
        <v>534</v>
      </c>
      <c r="Y47" s="464"/>
      <c r="Z47" s="474">
        <v>2461</v>
      </c>
      <c r="AA47" s="474">
        <v>770</v>
      </c>
      <c r="AB47" s="464"/>
      <c r="AC47" s="474">
        <v>4561</v>
      </c>
      <c r="AD47" s="474">
        <v>847</v>
      </c>
      <c r="AF47" s="407" t="s">
        <v>145</v>
      </c>
      <c r="AG47" s="407" t="s">
        <v>145</v>
      </c>
      <c r="AI47" s="407" t="s">
        <v>145</v>
      </c>
      <c r="AJ47" s="407" t="s">
        <v>145</v>
      </c>
    </row>
    <row r="48" spans="2:36" x14ac:dyDescent="0.25">
      <c r="B48" s="406">
        <v>41841</v>
      </c>
      <c r="C48" s="406">
        <v>41847</v>
      </c>
      <c r="E48" s="407">
        <v>7217</v>
      </c>
      <c r="F48" s="407">
        <v>3325</v>
      </c>
      <c r="H48" s="407">
        <v>8653</v>
      </c>
      <c r="I48" s="407">
        <v>1939</v>
      </c>
      <c r="K48" s="407">
        <v>5049</v>
      </c>
      <c r="L48" s="407">
        <v>1217</v>
      </c>
      <c r="N48" s="407">
        <v>1869</v>
      </c>
      <c r="O48" s="407">
        <v>613</v>
      </c>
      <c r="Q48" s="474">
        <v>2627</v>
      </c>
      <c r="R48" s="474">
        <v>925</v>
      </c>
      <c r="S48" s="464"/>
      <c r="T48" s="474">
        <v>1812</v>
      </c>
      <c r="U48" s="474">
        <v>452</v>
      </c>
      <c r="V48" s="464"/>
      <c r="W48" s="474">
        <v>1557</v>
      </c>
      <c r="X48" s="474">
        <v>576</v>
      </c>
      <c r="Y48" s="464"/>
      <c r="Z48" s="474">
        <v>2603</v>
      </c>
      <c r="AA48" s="474">
        <v>886</v>
      </c>
      <c r="AB48" s="464"/>
      <c r="AC48" s="474">
        <v>4676</v>
      </c>
      <c r="AD48" s="474">
        <v>971</v>
      </c>
      <c r="AF48" s="407" t="s">
        <v>145</v>
      </c>
      <c r="AG48" s="407" t="s">
        <v>145</v>
      </c>
      <c r="AI48" s="407" t="s">
        <v>145</v>
      </c>
      <c r="AJ48" s="407" t="s">
        <v>145</v>
      </c>
    </row>
    <row r="49" spans="2:36" x14ac:dyDescent="0.25">
      <c r="B49" s="374">
        <v>41848</v>
      </c>
      <c r="C49" s="374">
        <v>41854</v>
      </c>
      <c r="E49" s="407">
        <v>4879</v>
      </c>
      <c r="F49" s="407">
        <v>1747</v>
      </c>
      <c r="H49" s="407">
        <v>7412</v>
      </c>
      <c r="I49" s="407">
        <v>1702</v>
      </c>
      <c r="K49" s="407">
        <v>4078</v>
      </c>
      <c r="L49" s="407">
        <v>929</v>
      </c>
      <c r="N49" s="407">
        <v>1470</v>
      </c>
      <c r="O49" s="407">
        <v>377</v>
      </c>
      <c r="Q49" s="474">
        <v>2853</v>
      </c>
      <c r="R49" s="474">
        <v>853</v>
      </c>
      <c r="S49" s="464"/>
      <c r="T49" s="474">
        <v>1589</v>
      </c>
      <c r="U49" s="474">
        <v>402</v>
      </c>
      <c r="V49" s="464"/>
      <c r="W49" s="474">
        <v>1234</v>
      </c>
      <c r="X49" s="474">
        <v>359</v>
      </c>
      <c r="Y49" s="464"/>
      <c r="Z49" s="474">
        <v>1800</v>
      </c>
      <c r="AA49" s="474">
        <v>487</v>
      </c>
      <c r="AB49" s="464"/>
      <c r="AC49" s="474">
        <v>3382</v>
      </c>
      <c r="AD49" s="474">
        <v>693</v>
      </c>
      <c r="AF49" s="407">
        <v>5101</v>
      </c>
      <c r="AG49" s="407">
        <v>1983</v>
      </c>
      <c r="AI49" s="407" t="s">
        <v>145</v>
      </c>
      <c r="AJ49" s="407" t="s">
        <v>145</v>
      </c>
    </row>
    <row r="50" spans="2:36" x14ac:dyDescent="0.25">
      <c r="B50" s="374">
        <v>41855</v>
      </c>
      <c r="C50" s="374">
        <v>41861</v>
      </c>
      <c r="E50" s="407">
        <v>3270</v>
      </c>
      <c r="F50" s="407">
        <v>16</v>
      </c>
      <c r="H50" s="407">
        <v>6947</v>
      </c>
      <c r="I50" s="407">
        <v>1721</v>
      </c>
      <c r="K50" s="407">
        <v>3636</v>
      </c>
      <c r="L50" s="407">
        <v>571</v>
      </c>
      <c r="N50" s="407">
        <v>1356</v>
      </c>
      <c r="O50" s="407">
        <v>228</v>
      </c>
      <c r="Q50" s="474">
        <v>3172</v>
      </c>
      <c r="R50" s="474">
        <v>687</v>
      </c>
      <c r="S50" s="464"/>
      <c r="T50" s="474">
        <v>1434</v>
      </c>
      <c r="U50" s="474">
        <v>338</v>
      </c>
      <c r="V50" s="464"/>
      <c r="W50" s="474">
        <v>1053</v>
      </c>
      <c r="X50" s="474">
        <v>197</v>
      </c>
      <c r="Y50" s="464"/>
      <c r="Z50" s="474">
        <v>1517</v>
      </c>
      <c r="AA50" s="474">
        <v>180</v>
      </c>
      <c r="AB50" s="464"/>
      <c r="AC50" s="474">
        <v>2786</v>
      </c>
      <c r="AD50" s="474">
        <v>637</v>
      </c>
      <c r="AF50" s="407">
        <v>3512</v>
      </c>
      <c r="AG50" s="407">
        <v>651</v>
      </c>
      <c r="AI50" s="407" t="s">
        <v>145</v>
      </c>
      <c r="AJ50" s="407" t="s">
        <v>145</v>
      </c>
    </row>
    <row r="51" spans="2:36" x14ac:dyDescent="0.25">
      <c r="B51" s="374">
        <v>41862</v>
      </c>
      <c r="C51" s="374">
        <v>41868</v>
      </c>
      <c r="E51" s="407">
        <v>3334</v>
      </c>
      <c r="F51" s="407">
        <v>9</v>
      </c>
      <c r="H51" s="407">
        <v>8037</v>
      </c>
      <c r="I51" s="407">
        <v>2017</v>
      </c>
      <c r="K51" s="407">
        <v>4274</v>
      </c>
      <c r="L51" s="407">
        <v>739</v>
      </c>
      <c r="N51" s="407">
        <v>1651</v>
      </c>
      <c r="O51" s="407">
        <v>306</v>
      </c>
      <c r="Q51" s="474">
        <v>3781</v>
      </c>
      <c r="R51" s="474">
        <v>856</v>
      </c>
      <c r="S51" s="464"/>
      <c r="T51" s="474">
        <v>1775</v>
      </c>
      <c r="U51" s="474">
        <v>466</v>
      </c>
      <c r="V51" s="464"/>
      <c r="W51" s="474">
        <v>1154</v>
      </c>
      <c r="X51" s="474">
        <v>230</v>
      </c>
      <c r="Y51" s="464"/>
      <c r="Z51" s="474">
        <v>1695</v>
      </c>
      <c r="AA51" s="474">
        <v>223</v>
      </c>
      <c r="AB51" s="464"/>
      <c r="AC51" s="474">
        <v>2945</v>
      </c>
      <c r="AD51" s="474">
        <v>694</v>
      </c>
      <c r="AF51" s="407">
        <v>3739</v>
      </c>
      <c r="AG51" s="407">
        <v>732</v>
      </c>
      <c r="AI51" s="407" t="s">
        <v>145</v>
      </c>
      <c r="AJ51" s="407" t="s">
        <v>145</v>
      </c>
    </row>
    <row r="52" spans="2:36" x14ac:dyDescent="0.25">
      <c r="B52" s="374">
        <v>41869</v>
      </c>
      <c r="C52" s="374">
        <v>41875</v>
      </c>
      <c r="E52" s="407">
        <v>3489</v>
      </c>
      <c r="F52" s="407">
        <v>15</v>
      </c>
      <c r="H52" s="407">
        <v>8079</v>
      </c>
      <c r="I52" s="407">
        <v>2116</v>
      </c>
      <c r="K52" s="407">
        <v>4055</v>
      </c>
      <c r="L52" s="407">
        <v>626</v>
      </c>
      <c r="N52" s="407">
        <v>1598</v>
      </c>
      <c r="O52" s="407">
        <v>272</v>
      </c>
      <c r="Q52" s="474">
        <v>3892</v>
      </c>
      <c r="R52" s="474">
        <v>866</v>
      </c>
      <c r="S52" s="464"/>
      <c r="T52" s="474">
        <v>1676</v>
      </c>
      <c r="U52" s="474">
        <v>429</v>
      </c>
      <c r="V52" s="464"/>
      <c r="W52" s="474">
        <v>1059</v>
      </c>
      <c r="X52" s="474">
        <v>196</v>
      </c>
      <c r="Y52" s="464"/>
      <c r="Z52" s="474">
        <v>1736</v>
      </c>
      <c r="AA52" s="474">
        <v>233</v>
      </c>
      <c r="AB52" s="464"/>
      <c r="AC52" s="474">
        <v>2993</v>
      </c>
      <c r="AD52" s="474">
        <v>661</v>
      </c>
      <c r="AF52" s="407">
        <v>3795</v>
      </c>
      <c r="AG52" s="407">
        <v>710</v>
      </c>
      <c r="AI52" s="407" t="s">
        <v>145</v>
      </c>
      <c r="AJ52" s="407" t="s">
        <v>145</v>
      </c>
    </row>
    <row r="53" spans="2:36" x14ac:dyDescent="0.25">
      <c r="B53" s="374">
        <v>41876</v>
      </c>
      <c r="C53" s="374">
        <v>41882</v>
      </c>
      <c r="E53" s="407">
        <v>3381</v>
      </c>
      <c r="F53" s="407">
        <v>10</v>
      </c>
      <c r="H53" s="407">
        <v>8452</v>
      </c>
      <c r="I53" s="407">
        <v>1966</v>
      </c>
      <c r="K53" s="407">
        <v>4259</v>
      </c>
      <c r="L53" s="407">
        <v>566</v>
      </c>
      <c r="N53" s="407">
        <v>1623</v>
      </c>
      <c r="O53" s="407">
        <v>295</v>
      </c>
      <c r="Q53" s="474">
        <v>3874</v>
      </c>
      <c r="R53" s="474">
        <v>833</v>
      </c>
      <c r="S53" s="464"/>
      <c r="T53" s="474">
        <v>1836</v>
      </c>
      <c r="U53" s="474">
        <v>481</v>
      </c>
      <c r="V53" s="464"/>
      <c r="W53" s="474">
        <v>1182</v>
      </c>
      <c r="X53" s="474">
        <v>197</v>
      </c>
      <c r="Y53" s="464"/>
      <c r="Z53" s="474">
        <v>1739</v>
      </c>
      <c r="AA53" s="474">
        <v>241</v>
      </c>
      <c r="AB53" s="464"/>
      <c r="AC53" s="474">
        <v>3191</v>
      </c>
      <c r="AD53" s="474">
        <v>676</v>
      </c>
      <c r="AF53" s="407">
        <v>3695</v>
      </c>
      <c r="AG53" s="407">
        <v>682</v>
      </c>
      <c r="AI53" s="407" t="s">
        <v>145</v>
      </c>
      <c r="AJ53" s="407" t="s">
        <v>145</v>
      </c>
    </row>
    <row r="54" spans="2:36" x14ac:dyDescent="0.25">
      <c r="B54" s="374">
        <v>41883</v>
      </c>
      <c r="C54" s="374">
        <v>41889</v>
      </c>
      <c r="E54" s="407">
        <v>3402</v>
      </c>
      <c r="F54" s="407">
        <v>16</v>
      </c>
      <c r="H54" s="407">
        <v>7731</v>
      </c>
      <c r="I54" s="407">
        <v>1893</v>
      </c>
      <c r="K54" s="407">
        <v>4070</v>
      </c>
      <c r="L54" s="407">
        <v>605</v>
      </c>
      <c r="N54" s="407">
        <v>1373</v>
      </c>
      <c r="O54" s="407">
        <v>260</v>
      </c>
      <c r="Q54" s="474">
        <v>3711</v>
      </c>
      <c r="R54" s="474">
        <v>757</v>
      </c>
      <c r="S54" s="464"/>
      <c r="T54" s="474">
        <v>1641</v>
      </c>
      <c r="U54" s="474">
        <v>413</v>
      </c>
      <c r="V54" s="464"/>
      <c r="W54" s="474">
        <v>1203</v>
      </c>
      <c r="X54" s="474">
        <v>237</v>
      </c>
      <c r="Y54" s="464"/>
      <c r="Z54" s="474">
        <v>1571</v>
      </c>
      <c r="AA54" s="474">
        <v>186</v>
      </c>
      <c r="AB54" s="464"/>
      <c r="AC54" s="474">
        <v>2929</v>
      </c>
      <c r="AD54" s="474">
        <v>635</v>
      </c>
      <c r="AF54" s="407">
        <v>3689</v>
      </c>
      <c r="AG54" s="407">
        <v>638</v>
      </c>
      <c r="AI54" s="407" t="s">
        <v>145</v>
      </c>
      <c r="AJ54" s="407" t="s">
        <v>145</v>
      </c>
    </row>
    <row r="55" spans="2:36" x14ac:dyDescent="0.25">
      <c r="B55" s="374">
        <v>41890</v>
      </c>
      <c r="C55" s="374">
        <v>41896</v>
      </c>
      <c r="E55" s="407">
        <v>3303</v>
      </c>
      <c r="F55" s="407">
        <v>71</v>
      </c>
      <c r="H55" s="407">
        <v>7892</v>
      </c>
      <c r="I55" s="407">
        <v>1971</v>
      </c>
      <c r="K55" s="407">
        <v>3914</v>
      </c>
      <c r="L55" s="407">
        <v>639</v>
      </c>
      <c r="N55" s="407">
        <v>1491</v>
      </c>
      <c r="O55" s="407">
        <v>303</v>
      </c>
      <c r="Q55" s="474">
        <v>3526</v>
      </c>
      <c r="R55" s="474">
        <v>779</v>
      </c>
      <c r="S55" s="464"/>
      <c r="T55" s="474">
        <v>1562</v>
      </c>
      <c r="U55" s="474">
        <v>400</v>
      </c>
      <c r="V55" s="464"/>
      <c r="W55" s="474">
        <v>1087</v>
      </c>
      <c r="X55" s="474">
        <v>203</v>
      </c>
      <c r="Y55" s="464"/>
      <c r="Z55" s="474">
        <v>1540</v>
      </c>
      <c r="AA55" s="474">
        <v>216</v>
      </c>
      <c r="AB55" s="464"/>
      <c r="AC55" s="474">
        <v>2727</v>
      </c>
      <c r="AD55" s="474">
        <v>637</v>
      </c>
      <c r="AF55" s="407">
        <v>3596</v>
      </c>
      <c r="AG55" s="407">
        <v>684</v>
      </c>
      <c r="AI55" s="408" t="s">
        <v>145</v>
      </c>
      <c r="AJ55" s="408" t="s">
        <v>145</v>
      </c>
    </row>
    <row r="56" spans="2:36" x14ac:dyDescent="0.25">
      <c r="B56" s="374">
        <v>41897</v>
      </c>
      <c r="C56" s="374">
        <v>41903</v>
      </c>
      <c r="E56" s="407">
        <v>3287</v>
      </c>
      <c r="F56" s="407">
        <v>81</v>
      </c>
      <c r="H56" s="407">
        <v>7894</v>
      </c>
      <c r="I56" s="407">
        <v>1922</v>
      </c>
      <c r="K56" s="407">
        <v>3594</v>
      </c>
      <c r="L56" s="407">
        <v>492</v>
      </c>
      <c r="N56" s="407">
        <v>1519</v>
      </c>
      <c r="O56" s="407">
        <v>289</v>
      </c>
      <c r="Q56" s="474">
        <v>3806</v>
      </c>
      <c r="R56" s="474">
        <v>834</v>
      </c>
      <c r="S56" s="464"/>
      <c r="T56" s="474">
        <v>1592</v>
      </c>
      <c r="U56" s="474">
        <v>416</v>
      </c>
      <c r="V56" s="464"/>
      <c r="W56" s="474">
        <v>1121</v>
      </c>
      <c r="X56" s="474">
        <v>224</v>
      </c>
      <c r="Y56" s="464"/>
      <c r="Z56" s="474">
        <v>1665</v>
      </c>
      <c r="AA56" s="474">
        <v>267</v>
      </c>
      <c r="AB56" s="464"/>
      <c r="AC56" s="474">
        <v>2938</v>
      </c>
      <c r="AD56" s="474">
        <v>686</v>
      </c>
      <c r="AF56" s="407">
        <v>3786</v>
      </c>
      <c r="AG56" s="407">
        <v>757</v>
      </c>
      <c r="AI56" s="407" t="s">
        <v>145</v>
      </c>
      <c r="AJ56" s="407" t="s">
        <v>145</v>
      </c>
    </row>
    <row r="57" spans="2:36" x14ac:dyDescent="0.25">
      <c r="B57" s="374">
        <v>41904</v>
      </c>
      <c r="C57" s="374">
        <v>41910</v>
      </c>
      <c r="E57" s="407">
        <v>3353</v>
      </c>
      <c r="F57" s="407">
        <v>16</v>
      </c>
      <c r="H57" s="407">
        <v>8343</v>
      </c>
      <c r="I57" s="407">
        <v>2110</v>
      </c>
      <c r="K57" s="407">
        <v>3814</v>
      </c>
      <c r="L57" s="407">
        <v>607</v>
      </c>
      <c r="N57" s="407">
        <v>1733</v>
      </c>
      <c r="O57" s="407">
        <v>334</v>
      </c>
      <c r="Q57" s="474">
        <v>4157</v>
      </c>
      <c r="R57" s="474">
        <v>879</v>
      </c>
      <c r="S57" s="464"/>
      <c r="T57" s="474">
        <v>1633</v>
      </c>
      <c r="U57" s="474">
        <v>444</v>
      </c>
      <c r="V57" s="464"/>
      <c r="W57" s="474">
        <v>1165</v>
      </c>
      <c r="X57" s="474">
        <v>226</v>
      </c>
      <c r="Y57" s="464"/>
      <c r="Z57" s="474">
        <v>1819</v>
      </c>
      <c r="AA57" s="474">
        <v>256</v>
      </c>
      <c r="AB57" s="464"/>
      <c r="AC57" s="474">
        <v>2898</v>
      </c>
      <c r="AD57" s="474">
        <v>706</v>
      </c>
      <c r="AF57" s="407">
        <v>3748</v>
      </c>
      <c r="AG57" s="407">
        <v>686</v>
      </c>
      <c r="AI57" s="407" t="s">
        <v>145</v>
      </c>
      <c r="AJ57" s="407" t="s">
        <v>145</v>
      </c>
    </row>
    <row r="58" spans="2:36" x14ac:dyDescent="0.25">
      <c r="B58" s="374">
        <v>41911</v>
      </c>
      <c r="C58" s="374">
        <v>41917</v>
      </c>
      <c r="E58" s="407">
        <v>3190</v>
      </c>
      <c r="F58" s="407">
        <v>9</v>
      </c>
      <c r="H58" s="407">
        <v>7954</v>
      </c>
      <c r="I58" s="407">
        <v>1984</v>
      </c>
      <c r="K58" s="407">
        <v>3998</v>
      </c>
      <c r="L58" s="407">
        <v>587</v>
      </c>
      <c r="N58" s="407">
        <v>1628</v>
      </c>
      <c r="O58" s="407">
        <v>304</v>
      </c>
      <c r="Q58" s="474">
        <v>4170</v>
      </c>
      <c r="R58" s="474">
        <v>879</v>
      </c>
      <c r="S58" s="464"/>
      <c r="T58" s="474">
        <v>1562</v>
      </c>
      <c r="U58" s="474">
        <v>416</v>
      </c>
      <c r="V58" s="464"/>
      <c r="W58" s="474">
        <v>1143</v>
      </c>
      <c r="X58" s="474">
        <v>219</v>
      </c>
      <c r="Y58" s="464"/>
      <c r="Z58" s="474">
        <v>1686</v>
      </c>
      <c r="AA58" s="474">
        <v>239</v>
      </c>
      <c r="AB58" s="464"/>
      <c r="AC58" s="474">
        <v>2925</v>
      </c>
      <c r="AD58" s="474">
        <v>688</v>
      </c>
      <c r="AF58" s="407">
        <v>3561</v>
      </c>
      <c r="AG58" s="407">
        <v>655</v>
      </c>
      <c r="AI58" s="407" t="s">
        <v>145</v>
      </c>
      <c r="AJ58" s="407" t="s">
        <v>145</v>
      </c>
    </row>
    <row r="59" spans="2:36" x14ac:dyDescent="0.25">
      <c r="B59" s="374">
        <v>41918</v>
      </c>
      <c r="C59" s="374">
        <v>41924</v>
      </c>
      <c r="E59" s="407">
        <v>3450</v>
      </c>
      <c r="F59" s="407">
        <v>15</v>
      </c>
      <c r="H59" s="407">
        <v>8366</v>
      </c>
      <c r="I59" s="407">
        <v>2095</v>
      </c>
      <c r="K59" s="407">
        <v>3448</v>
      </c>
      <c r="L59" s="407">
        <v>514</v>
      </c>
      <c r="N59" s="407">
        <v>1541</v>
      </c>
      <c r="O59" s="407">
        <v>312</v>
      </c>
      <c r="Q59" s="474">
        <v>4335</v>
      </c>
      <c r="R59" s="474">
        <v>963</v>
      </c>
      <c r="S59" s="464"/>
      <c r="T59" s="474">
        <v>1742</v>
      </c>
      <c r="U59" s="474">
        <v>476</v>
      </c>
      <c r="V59" s="464"/>
      <c r="W59" s="474">
        <v>1329</v>
      </c>
      <c r="X59" s="474">
        <v>259</v>
      </c>
      <c r="Y59" s="464"/>
      <c r="Z59" s="474">
        <v>1936</v>
      </c>
      <c r="AA59" s="474">
        <v>250</v>
      </c>
      <c r="AB59" s="464"/>
      <c r="AC59" s="474">
        <v>2895</v>
      </c>
      <c r="AD59" s="474">
        <v>715</v>
      </c>
      <c r="AF59" s="407">
        <v>3798</v>
      </c>
      <c r="AG59" s="407">
        <v>678</v>
      </c>
      <c r="AI59" s="407" t="s">
        <v>145</v>
      </c>
      <c r="AJ59" s="407" t="s">
        <v>145</v>
      </c>
    </row>
    <row r="60" spans="2:36" x14ac:dyDescent="0.25">
      <c r="B60" s="374">
        <v>41925</v>
      </c>
      <c r="C60" s="374">
        <v>41931</v>
      </c>
      <c r="E60" s="407">
        <v>3406</v>
      </c>
      <c r="F60" s="407">
        <v>17</v>
      </c>
      <c r="H60" s="407">
        <v>8151</v>
      </c>
      <c r="I60" s="407">
        <v>2105</v>
      </c>
      <c r="K60" s="407">
        <v>3729</v>
      </c>
      <c r="L60" s="407">
        <v>622</v>
      </c>
      <c r="N60" s="407">
        <v>1586</v>
      </c>
      <c r="O60" s="407">
        <v>278</v>
      </c>
      <c r="Q60" s="474">
        <v>4348</v>
      </c>
      <c r="R60" s="474">
        <v>974</v>
      </c>
      <c r="S60" s="464"/>
      <c r="T60" s="474">
        <v>1781</v>
      </c>
      <c r="U60" s="474">
        <v>517</v>
      </c>
      <c r="V60" s="464"/>
      <c r="W60" s="474">
        <v>1316</v>
      </c>
      <c r="X60" s="474">
        <v>269</v>
      </c>
      <c r="Y60" s="464"/>
      <c r="Z60" s="474">
        <v>1812</v>
      </c>
      <c r="AA60" s="474">
        <v>246</v>
      </c>
      <c r="AB60" s="464"/>
      <c r="AC60" s="474">
        <v>2933</v>
      </c>
      <c r="AD60" s="474">
        <v>695</v>
      </c>
      <c r="AF60" s="407">
        <v>3743</v>
      </c>
      <c r="AG60" s="407">
        <v>704</v>
      </c>
      <c r="AI60" s="407" t="s">
        <v>145</v>
      </c>
      <c r="AJ60" s="407" t="s">
        <v>145</v>
      </c>
    </row>
    <row r="61" spans="2:36" x14ac:dyDescent="0.25">
      <c r="B61" s="374">
        <v>41932</v>
      </c>
      <c r="C61" s="374">
        <v>41938</v>
      </c>
      <c r="E61" s="407">
        <v>3870</v>
      </c>
      <c r="F61" s="407">
        <v>21</v>
      </c>
      <c r="H61" s="407">
        <v>9176</v>
      </c>
      <c r="I61" s="407">
        <v>2295</v>
      </c>
      <c r="K61" s="407">
        <v>4150</v>
      </c>
      <c r="L61" s="407">
        <v>645</v>
      </c>
      <c r="N61" s="407">
        <v>1852</v>
      </c>
      <c r="O61" s="407">
        <v>339</v>
      </c>
      <c r="Q61" s="474">
        <v>5152</v>
      </c>
      <c r="R61" s="474">
        <v>1069</v>
      </c>
      <c r="S61" s="464"/>
      <c r="T61" s="474">
        <v>2010</v>
      </c>
      <c r="U61" s="474">
        <v>552</v>
      </c>
      <c r="V61" s="464"/>
      <c r="W61" s="474">
        <v>1459</v>
      </c>
      <c r="X61" s="474">
        <v>294</v>
      </c>
      <c r="Y61" s="464"/>
      <c r="Z61" s="474">
        <v>1991</v>
      </c>
      <c r="AA61" s="474">
        <v>258</v>
      </c>
      <c r="AB61" s="464"/>
      <c r="AC61" s="474">
        <v>3246</v>
      </c>
      <c r="AD61" s="474">
        <v>722</v>
      </c>
      <c r="AF61" s="407">
        <v>4327</v>
      </c>
      <c r="AG61" s="407">
        <v>764</v>
      </c>
      <c r="AI61" s="407" t="s">
        <v>145</v>
      </c>
      <c r="AJ61" s="407" t="s">
        <v>145</v>
      </c>
    </row>
    <row r="62" spans="2:36" x14ac:dyDescent="0.25">
      <c r="B62" s="374">
        <v>41939</v>
      </c>
      <c r="C62" s="374">
        <v>41945</v>
      </c>
      <c r="E62" s="407">
        <v>4191</v>
      </c>
      <c r="F62" s="407">
        <v>10</v>
      </c>
      <c r="H62" s="407">
        <v>9704</v>
      </c>
      <c r="I62" s="407">
        <v>2376</v>
      </c>
      <c r="K62" s="407">
        <v>5577</v>
      </c>
      <c r="L62" s="407">
        <v>795</v>
      </c>
      <c r="N62" s="407">
        <v>1928</v>
      </c>
      <c r="O62" s="407">
        <v>343</v>
      </c>
      <c r="Q62" s="474">
        <v>5440</v>
      </c>
      <c r="R62" s="474">
        <v>1198</v>
      </c>
      <c r="S62" s="464"/>
      <c r="T62" s="474">
        <v>2095</v>
      </c>
      <c r="U62" s="474">
        <v>569</v>
      </c>
      <c r="V62" s="464"/>
      <c r="W62" s="474">
        <v>1466</v>
      </c>
      <c r="X62" s="474">
        <v>263</v>
      </c>
      <c r="Y62" s="464"/>
      <c r="Z62" s="474">
        <v>1945</v>
      </c>
      <c r="AA62" s="474">
        <v>248</v>
      </c>
      <c r="AB62" s="464"/>
      <c r="AC62" s="474">
        <v>3688</v>
      </c>
      <c r="AD62" s="474">
        <v>889</v>
      </c>
      <c r="AF62" s="407">
        <v>4627</v>
      </c>
      <c r="AG62" s="407">
        <v>801</v>
      </c>
      <c r="AI62" s="407" t="s">
        <v>145</v>
      </c>
      <c r="AJ62" s="407" t="s">
        <v>145</v>
      </c>
    </row>
    <row r="63" spans="2:36" x14ac:dyDescent="0.25">
      <c r="B63" s="374">
        <v>41946</v>
      </c>
      <c r="C63" s="374">
        <v>41952</v>
      </c>
      <c r="E63" s="407">
        <v>4521</v>
      </c>
      <c r="F63" s="407">
        <v>27</v>
      </c>
      <c r="H63" s="407">
        <v>10550</v>
      </c>
      <c r="I63" s="407">
        <v>2577</v>
      </c>
      <c r="K63" s="407">
        <v>6589</v>
      </c>
      <c r="L63" s="407">
        <v>1003</v>
      </c>
      <c r="N63" s="407">
        <v>2202</v>
      </c>
      <c r="O63" s="407">
        <v>329</v>
      </c>
      <c r="Q63" s="474">
        <v>7081</v>
      </c>
      <c r="R63" s="474">
        <v>1441</v>
      </c>
      <c r="S63" s="464"/>
      <c r="T63" s="474">
        <v>2442</v>
      </c>
      <c r="U63" s="474">
        <v>657</v>
      </c>
      <c r="V63" s="464"/>
      <c r="W63" s="474">
        <v>1738</v>
      </c>
      <c r="X63" s="474">
        <v>326</v>
      </c>
      <c r="Y63" s="464"/>
      <c r="Z63" s="474">
        <v>2379</v>
      </c>
      <c r="AA63" s="474">
        <v>315</v>
      </c>
      <c r="AB63" s="464"/>
      <c r="AC63" s="474">
        <v>3792</v>
      </c>
      <c r="AD63" s="474">
        <v>940</v>
      </c>
      <c r="AF63" s="407">
        <v>5123</v>
      </c>
      <c r="AG63" s="407">
        <v>884</v>
      </c>
      <c r="AI63" s="407" t="s">
        <v>145</v>
      </c>
      <c r="AJ63" s="407" t="s">
        <v>145</v>
      </c>
    </row>
    <row r="64" spans="2:36" x14ac:dyDescent="0.25">
      <c r="B64" s="374">
        <v>41953</v>
      </c>
      <c r="C64" s="374">
        <v>41959</v>
      </c>
      <c r="E64" s="407">
        <v>5626</v>
      </c>
      <c r="F64" s="407">
        <v>20</v>
      </c>
      <c r="H64" s="407">
        <v>12413</v>
      </c>
      <c r="I64" s="407">
        <v>2864</v>
      </c>
      <c r="K64" s="407">
        <v>6870</v>
      </c>
      <c r="L64" s="407">
        <v>1073</v>
      </c>
      <c r="N64" s="407">
        <v>2661</v>
      </c>
      <c r="O64" s="407">
        <v>389</v>
      </c>
      <c r="Q64" s="474">
        <v>10250</v>
      </c>
      <c r="R64" s="474">
        <v>2205</v>
      </c>
      <c r="S64" s="464"/>
      <c r="T64" s="474">
        <v>3243</v>
      </c>
      <c r="U64" s="474">
        <v>766</v>
      </c>
      <c r="V64" s="464"/>
      <c r="W64" s="474">
        <v>2317</v>
      </c>
      <c r="X64" s="474">
        <v>399</v>
      </c>
      <c r="Y64" s="464"/>
      <c r="Z64" s="474">
        <v>3011</v>
      </c>
      <c r="AA64" s="474">
        <v>355</v>
      </c>
      <c r="AB64" s="464"/>
      <c r="AC64" s="474">
        <v>4698</v>
      </c>
      <c r="AD64" s="474">
        <v>1083</v>
      </c>
      <c r="AF64" s="407">
        <v>6469</v>
      </c>
      <c r="AG64" s="407">
        <v>980</v>
      </c>
      <c r="AI64" s="407" t="s">
        <v>145</v>
      </c>
      <c r="AJ64" s="407" t="s">
        <v>145</v>
      </c>
    </row>
    <row r="65" spans="2:36" x14ac:dyDescent="0.25">
      <c r="B65" s="374">
        <v>41960</v>
      </c>
      <c r="C65" s="374">
        <v>41966</v>
      </c>
      <c r="E65" s="407">
        <v>5144</v>
      </c>
      <c r="F65" s="407">
        <v>18</v>
      </c>
      <c r="H65" s="407">
        <v>13270</v>
      </c>
      <c r="I65" s="407">
        <v>3188</v>
      </c>
      <c r="K65" s="407">
        <v>7994</v>
      </c>
      <c r="L65" s="407">
        <v>1284</v>
      </c>
      <c r="N65" s="407">
        <v>3807</v>
      </c>
      <c r="O65" s="407">
        <v>688</v>
      </c>
      <c r="Q65" s="474">
        <v>8822</v>
      </c>
      <c r="R65" s="474">
        <v>1792</v>
      </c>
      <c r="S65" s="464"/>
      <c r="T65" s="474">
        <v>3546</v>
      </c>
      <c r="U65" s="474">
        <v>836</v>
      </c>
      <c r="V65" s="464"/>
      <c r="W65" s="474">
        <v>2277</v>
      </c>
      <c r="X65" s="474">
        <v>459</v>
      </c>
      <c r="Y65" s="464"/>
      <c r="Z65" s="474">
        <v>2570</v>
      </c>
      <c r="AA65" s="474">
        <v>315</v>
      </c>
      <c r="AB65" s="464"/>
      <c r="AC65" s="474">
        <v>4160</v>
      </c>
      <c r="AD65" s="474">
        <v>1017</v>
      </c>
      <c r="AF65" s="407">
        <v>6084</v>
      </c>
      <c r="AG65" s="407">
        <v>1001</v>
      </c>
      <c r="AI65" s="407" t="s">
        <v>145</v>
      </c>
      <c r="AJ65" s="407" t="s">
        <v>145</v>
      </c>
    </row>
    <row r="66" spans="2:36" x14ac:dyDescent="0.25">
      <c r="B66" s="374">
        <v>41967</v>
      </c>
      <c r="C66" s="374">
        <v>41973</v>
      </c>
      <c r="E66" s="407">
        <v>3321</v>
      </c>
      <c r="F66" s="407">
        <v>12</v>
      </c>
      <c r="H66" s="407">
        <v>9075</v>
      </c>
      <c r="I66" s="407">
        <v>1927</v>
      </c>
      <c r="K66" s="407">
        <v>4827</v>
      </c>
      <c r="L66" s="407">
        <v>691</v>
      </c>
      <c r="N66" s="407">
        <v>1734</v>
      </c>
      <c r="O66" s="407">
        <v>291</v>
      </c>
      <c r="Q66" s="474">
        <v>5458</v>
      </c>
      <c r="R66" s="474">
        <v>1027</v>
      </c>
      <c r="S66" s="464"/>
      <c r="T66" s="474">
        <v>1974</v>
      </c>
      <c r="U66" s="474">
        <v>470</v>
      </c>
      <c r="V66" s="464"/>
      <c r="W66" s="474">
        <v>1252</v>
      </c>
      <c r="X66" s="474">
        <v>244</v>
      </c>
      <c r="Y66" s="464"/>
      <c r="Z66" s="474">
        <v>1701</v>
      </c>
      <c r="AA66" s="474">
        <v>216</v>
      </c>
      <c r="AB66" s="464"/>
      <c r="AC66" s="474">
        <v>3001</v>
      </c>
      <c r="AD66" s="474">
        <v>597</v>
      </c>
      <c r="AF66" s="407">
        <v>3797</v>
      </c>
      <c r="AG66" s="407">
        <v>601</v>
      </c>
      <c r="AI66" s="407" t="s">
        <v>145</v>
      </c>
      <c r="AJ66" s="407" t="s">
        <v>145</v>
      </c>
    </row>
    <row r="67" spans="2:36" x14ac:dyDescent="0.25">
      <c r="B67" s="374">
        <v>42339</v>
      </c>
      <c r="C67" s="374">
        <v>42345</v>
      </c>
      <c r="E67" s="407">
        <v>4660</v>
      </c>
      <c r="F67" s="407">
        <v>18</v>
      </c>
      <c r="H67" s="407">
        <v>11654</v>
      </c>
      <c r="I67" s="407">
        <v>2899</v>
      </c>
      <c r="K67" s="407">
        <v>7069</v>
      </c>
      <c r="L67" s="407">
        <v>1101</v>
      </c>
      <c r="N67" s="407">
        <v>4166</v>
      </c>
      <c r="O67" s="407">
        <v>729</v>
      </c>
      <c r="Q67" s="474">
        <v>7739</v>
      </c>
      <c r="R67" s="474">
        <v>1542</v>
      </c>
      <c r="S67" s="464"/>
      <c r="T67" s="474">
        <v>2705</v>
      </c>
      <c r="U67" s="474">
        <v>685</v>
      </c>
      <c r="V67" s="464"/>
      <c r="W67" s="474">
        <v>1691</v>
      </c>
      <c r="X67" s="474">
        <v>294</v>
      </c>
      <c r="Y67" s="464"/>
      <c r="Z67" s="474">
        <v>2224</v>
      </c>
      <c r="AA67" s="474">
        <v>287</v>
      </c>
      <c r="AB67" s="464"/>
      <c r="AC67" s="474">
        <v>3902</v>
      </c>
      <c r="AD67" s="474">
        <v>868</v>
      </c>
      <c r="AF67" s="407">
        <v>5281</v>
      </c>
      <c r="AG67" s="407">
        <v>924</v>
      </c>
      <c r="AH67" s="466"/>
      <c r="AI67" s="407" t="s">
        <v>145</v>
      </c>
      <c r="AJ67" s="407" t="s">
        <v>145</v>
      </c>
    </row>
    <row r="68" spans="2:36" x14ac:dyDescent="0.25">
      <c r="B68" s="374">
        <v>42346</v>
      </c>
      <c r="C68" s="374">
        <v>42352</v>
      </c>
      <c r="E68" s="407">
        <v>5734</v>
      </c>
      <c r="F68" s="407">
        <v>25</v>
      </c>
      <c r="H68" s="407">
        <v>13237</v>
      </c>
      <c r="I68" s="407">
        <v>3045</v>
      </c>
      <c r="K68" s="407">
        <v>7277</v>
      </c>
      <c r="L68" s="407">
        <v>1169</v>
      </c>
      <c r="N68" s="407">
        <v>6920</v>
      </c>
      <c r="O68" s="407">
        <v>1171</v>
      </c>
      <c r="Q68" s="474">
        <v>8707</v>
      </c>
      <c r="R68" s="474">
        <v>1682</v>
      </c>
      <c r="S68" s="464"/>
      <c r="T68" s="474">
        <v>3372</v>
      </c>
      <c r="U68" s="474">
        <v>804</v>
      </c>
      <c r="V68" s="464"/>
      <c r="W68" s="474">
        <v>2261</v>
      </c>
      <c r="X68" s="474">
        <v>449</v>
      </c>
      <c r="Y68" s="464"/>
      <c r="Z68" s="474">
        <v>2716</v>
      </c>
      <c r="AA68" s="474">
        <v>307</v>
      </c>
      <c r="AB68" s="464"/>
      <c r="AC68" s="474">
        <v>4434</v>
      </c>
      <c r="AD68" s="474">
        <v>1012</v>
      </c>
      <c r="AF68" s="407">
        <v>7045</v>
      </c>
      <c r="AG68" s="407">
        <v>1153</v>
      </c>
      <c r="AH68" s="466"/>
      <c r="AI68" s="407" t="s">
        <v>145</v>
      </c>
      <c r="AJ68" s="407" t="s">
        <v>145</v>
      </c>
    </row>
    <row r="69" spans="2:36" x14ac:dyDescent="0.25">
      <c r="B69" s="374">
        <v>42353</v>
      </c>
      <c r="C69" s="374">
        <v>42359</v>
      </c>
      <c r="E69" s="407">
        <v>4576</v>
      </c>
      <c r="F69" s="407">
        <v>17</v>
      </c>
      <c r="H69" s="407">
        <v>10735</v>
      </c>
      <c r="I69" s="407">
        <v>2467</v>
      </c>
      <c r="K69" s="407">
        <v>6026</v>
      </c>
      <c r="L69" s="407">
        <v>939</v>
      </c>
      <c r="N69" s="407">
        <v>7199</v>
      </c>
      <c r="O69" s="407">
        <v>1269</v>
      </c>
      <c r="Q69" s="474">
        <v>6583</v>
      </c>
      <c r="R69" s="474">
        <v>1325</v>
      </c>
      <c r="S69" s="464"/>
      <c r="T69" s="474">
        <v>2594</v>
      </c>
      <c r="U69" s="474">
        <v>635</v>
      </c>
      <c r="V69" s="464"/>
      <c r="W69" s="474">
        <v>1549</v>
      </c>
      <c r="X69" s="474">
        <v>289</v>
      </c>
      <c r="Y69" s="464"/>
      <c r="Z69" s="474">
        <v>2112</v>
      </c>
      <c r="AA69" s="474">
        <v>303</v>
      </c>
      <c r="AB69" s="464"/>
      <c r="AC69" s="474">
        <v>3791</v>
      </c>
      <c r="AD69" s="474">
        <v>758</v>
      </c>
      <c r="AF69" s="407">
        <v>5281</v>
      </c>
      <c r="AG69" s="407">
        <v>838</v>
      </c>
      <c r="AH69" s="466"/>
      <c r="AI69" s="407" t="s">
        <v>145</v>
      </c>
      <c r="AJ69" s="407" t="s">
        <v>145</v>
      </c>
    </row>
    <row r="70" spans="2:36" x14ac:dyDescent="0.25">
      <c r="B70" s="374">
        <v>42360</v>
      </c>
      <c r="C70" s="374">
        <v>42366</v>
      </c>
      <c r="E70" s="407">
        <v>8399</v>
      </c>
      <c r="F70" s="407">
        <v>18</v>
      </c>
      <c r="H70" s="407">
        <v>26510</v>
      </c>
      <c r="I70" s="407">
        <v>5771</v>
      </c>
      <c r="K70" s="407">
        <v>8497</v>
      </c>
      <c r="L70" s="407">
        <v>1101</v>
      </c>
      <c r="N70" s="407">
        <v>9386</v>
      </c>
      <c r="O70" s="407">
        <v>1402</v>
      </c>
      <c r="Q70" s="474">
        <v>18730</v>
      </c>
      <c r="R70" s="474">
        <v>3238</v>
      </c>
      <c r="S70" s="464"/>
      <c r="T70" s="474">
        <v>8048</v>
      </c>
      <c r="U70" s="474">
        <v>1718</v>
      </c>
      <c r="V70" s="464"/>
      <c r="W70" s="474">
        <v>5541</v>
      </c>
      <c r="X70" s="474">
        <v>947</v>
      </c>
      <c r="Y70" s="464"/>
      <c r="Z70" s="474">
        <v>6149</v>
      </c>
      <c r="AA70" s="474">
        <v>546</v>
      </c>
      <c r="AB70" s="464"/>
      <c r="AC70" s="474">
        <v>7487</v>
      </c>
      <c r="AD70" s="474">
        <v>1719</v>
      </c>
      <c r="AF70" s="407">
        <v>10668</v>
      </c>
      <c r="AG70" s="407">
        <v>1688</v>
      </c>
      <c r="AH70" s="466"/>
      <c r="AI70" s="407" t="s">
        <v>145</v>
      </c>
      <c r="AJ70" s="407" t="s">
        <v>145</v>
      </c>
    </row>
    <row r="71" spans="2:36" x14ac:dyDescent="0.25">
      <c r="B71" s="374">
        <v>42367</v>
      </c>
      <c r="C71" s="374">
        <v>42008</v>
      </c>
      <c r="E71" s="407">
        <v>5470</v>
      </c>
      <c r="F71" s="407">
        <v>19</v>
      </c>
      <c r="H71" s="407">
        <v>13252</v>
      </c>
      <c r="I71" s="407">
        <v>3061</v>
      </c>
      <c r="K71" s="407">
        <v>6994</v>
      </c>
      <c r="L71" s="407">
        <v>936</v>
      </c>
      <c r="N71" s="407">
        <v>7840</v>
      </c>
      <c r="O71" s="407">
        <v>1206</v>
      </c>
      <c r="Q71" s="474">
        <v>9531</v>
      </c>
      <c r="R71" s="474">
        <v>1875</v>
      </c>
      <c r="S71" s="464"/>
      <c r="T71" s="474">
        <v>3577</v>
      </c>
      <c r="U71" s="474">
        <v>822</v>
      </c>
      <c r="V71" s="464"/>
      <c r="W71" s="474">
        <v>2474</v>
      </c>
      <c r="X71" s="474">
        <v>442</v>
      </c>
      <c r="Y71" s="464"/>
      <c r="Z71" s="474">
        <v>2992</v>
      </c>
      <c r="AA71" s="474">
        <v>365</v>
      </c>
      <c r="AB71" s="464"/>
      <c r="AC71" s="474">
        <v>4789</v>
      </c>
      <c r="AD71" s="474">
        <v>1040</v>
      </c>
      <c r="AF71" s="407">
        <v>6455</v>
      </c>
      <c r="AG71" s="407">
        <v>1054</v>
      </c>
      <c r="AH71" s="466"/>
      <c r="AI71" s="407" t="s">
        <v>145</v>
      </c>
      <c r="AJ71" s="407" t="s">
        <v>145</v>
      </c>
    </row>
    <row r="72" spans="2:36" x14ac:dyDescent="0.25">
      <c r="B72" s="374">
        <v>42009</v>
      </c>
      <c r="C72" s="374">
        <v>42015</v>
      </c>
      <c r="E72" s="407">
        <v>6464</v>
      </c>
      <c r="F72" s="407">
        <v>31</v>
      </c>
      <c r="H72" s="407">
        <v>14752</v>
      </c>
      <c r="I72" s="407">
        <v>3666</v>
      </c>
      <c r="K72" s="407">
        <v>9945</v>
      </c>
      <c r="L72" s="407">
        <v>1524</v>
      </c>
      <c r="N72" s="407">
        <v>9002</v>
      </c>
      <c r="O72" s="407">
        <v>1504</v>
      </c>
      <c r="Q72" s="474">
        <v>11543</v>
      </c>
      <c r="R72" s="474">
        <v>2270</v>
      </c>
      <c r="S72" s="464"/>
      <c r="T72" s="474">
        <v>4451</v>
      </c>
      <c r="U72" s="474">
        <v>1093</v>
      </c>
      <c r="V72" s="464"/>
      <c r="W72" s="474">
        <v>2865</v>
      </c>
      <c r="X72" s="474">
        <v>583</v>
      </c>
      <c r="Y72" s="464"/>
      <c r="Z72" s="474">
        <v>3439</v>
      </c>
      <c r="AA72" s="474">
        <v>455</v>
      </c>
      <c r="AB72" s="464"/>
      <c r="AC72" s="474">
        <v>5097</v>
      </c>
      <c r="AD72" s="474">
        <v>1202</v>
      </c>
      <c r="AF72" s="407">
        <v>7545</v>
      </c>
      <c r="AG72" s="407">
        <v>1236</v>
      </c>
      <c r="AH72" s="466"/>
      <c r="AI72" s="407" t="s">
        <v>145</v>
      </c>
      <c r="AJ72" s="407" t="s">
        <v>145</v>
      </c>
    </row>
    <row r="73" spans="2:36" x14ac:dyDescent="0.25">
      <c r="B73" s="374">
        <v>42016</v>
      </c>
      <c r="C73" s="374">
        <v>42022</v>
      </c>
      <c r="E73" s="407">
        <v>5547</v>
      </c>
      <c r="F73" s="407">
        <v>21</v>
      </c>
      <c r="H73" s="407">
        <v>11880</v>
      </c>
      <c r="I73" s="407">
        <v>2972</v>
      </c>
      <c r="K73" s="407">
        <v>8247</v>
      </c>
      <c r="L73" s="407">
        <v>1265</v>
      </c>
      <c r="N73" s="407">
        <v>8268</v>
      </c>
      <c r="O73" s="407">
        <v>1444</v>
      </c>
      <c r="Q73" s="474">
        <v>12442</v>
      </c>
      <c r="R73" s="474">
        <v>2456</v>
      </c>
      <c r="S73" s="464"/>
      <c r="T73" s="474">
        <v>3664</v>
      </c>
      <c r="U73" s="474">
        <v>869</v>
      </c>
      <c r="V73" s="464"/>
      <c r="W73" s="474">
        <v>2291</v>
      </c>
      <c r="X73" s="474">
        <v>430</v>
      </c>
      <c r="Y73" s="464"/>
      <c r="Z73" s="474">
        <v>3000</v>
      </c>
      <c r="AA73" s="474">
        <v>371</v>
      </c>
      <c r="AB73" s="464"/>
      <c r="AC73" s="474">
        <v>4194</v>
      </c>
      <c r="AD73" s="474">
        <v>1015</v>
      </c>
      <c r="AF73" s="407">
        <v>6241</v>
      </c>
      <c r="AG73" s="407">
        <v>1063</v>
      </c>
      <c r="AH73" s="466"/>
      <c r="AI73" s="407" t="s">
        <v>145</v>
      </c>
      <c r="AJ73" s="407" t="s">
        <v>145</v>
      </c>
    </row>
    <row r="74" spans="2:36" x14ac:dyDescent="0.25">
      <c r="B74" s="374">
        <v>42023</v>
      </c>
      <c r="C74" s="374">
        <v>42029</v>
      </c>
      <c r="E74" s="407">
        <v>5775</v>
      </c>
      <c r="F74" s="407">
        <v>23</v>
      </c>
      <c r="H74" s="407">
        <v>12595</v>
      </c>
      <c r="I74" s="407">
        <v>3067</v>
      </c>
      <c r="K74" s="407">
        <v>7904</v>
      </c>
      <c r="L74" s="407">
        <v>1181</v>
      </c>
      <c r="N74" s="407">
        <v>9216</v>
      </c>
      <c r="O74" s="407">
        <v>1574</v>
      </c>
      <c r="Q74" s="474">
        <v>14111</v>
      </c>
      <c r="R74" s="474">
        <v>2927</v>
      </c>
      <c r="S74" s="464"/>
      <c r="T74" s="474">
        <v>4002</v>
      </c>
      <c r="U74" s="474">
        <v>1044</v>
      </c>
      <c r="V74" s="464"/>
      <c r="W74" s="474">
        <v>2409</v>
      </c>
      <c r="X74" s="474">
        <v>462</v>
      </c>
      <c r="Y74" s="464"/>
      <c r="Z74" s="474">
        <v>3341</v>
      </c>
      <c r="AA74" s="474">
        <v>456</v>
      </c>
      <c r="AB74" s="464"/>
      <c r="AC74" s="474">
        <v>4544</v>
      </c>
      <c r="AD74" s="474">
        <v>1058</v>
      </c>
      <c r="AF74" s="407">
        <v>6601</v>
      </c>
      <c r="AG74" s="407">
        <v>1112</v>
      </c>
      <c r="AH74" s="466"/>
      <c r="AI74" s="407" t="s">
        <v>145</v>
      </c>
      <c r="AJ74" s="407" t="s">
        <v>145</v>
      </c>
    </row>
    <row r="75" spans="2:36" x14ac:dyDescent="0.25">
      <c r="B75" s="374">
        <v>42030</v>
      </c>
      <c r="C75" s="374">
        <v>42036</v>
      </c>
      <c r="E75" s="407">
        <v>5825</v>
      </c>
      <c r="F75" s="407">
        <v>24</v>
      </c>
      <c r="H75" s="407">
        <v>12551</v>
      </c>
      <c r="I75" s="407">
        <v>3089</v>
      </c>
      <c r="K75" s="407">
        <v>8047</v>
      </c>
      <c r="L75" s="407">
        <v>1116</v>
      </c>
      <c r="N75" s="407">
        <v>9291</v>
      </c>
      <c r="O75" s="407">
        <v>1584</v>
      </c>
      <c r="Q75" s="474">
        <v>13998</v>
      </c>
      <c r="R75" s="474">
        <v>2924</v>
      </c>
      <c r="S75" s="464"/>
      <c r="T75" s="474">
        <v>3770</v>
      </c>
      <c r="U75" s="474">
        <v>949</v>
      </c>
      <c r="V75" s="464"/>
      <c r="W75" s="474">
        <v>2424</v>
      </c>
      <c r="X75" s="474">
        <v>422</v>
      </c>
      <c r="Y75" s="464"/>
      <c r="Z75" s="474">
        <v>3431</v>
      </c>
      <c r="AA75" s="474">
        <v>432</v>
      </c>
      <c r="AB75" s="464"/>
      <c r="AC75" s="474">
        <v>4702</v>
      </c>
      <c r="AD75" s="474">
        <v>1068</v>
      </c>
      <c r="AF75" s="407">
        <v>6546</v>
      </c>
      <c r="AG75" s="407">
        <v>1066</v>
      </c>
      <c r="AH75" s="466"/>
      <c r="AI75" s="407" t="s">
        <v>145</v>
      </c>
      <c r="AJ75" s="407" t="s">
        <v>145</v>
      </c>
    </row>
    <row r="76" spans="2:36" x14ac:dyDescent="0.25">
      <c r="B76" s="374">
        <v>42037</v>
      </c>
      <c r="C76" s="374">
        <v>42043</v>
      </c>
      <c r="E76" s="407">
        <v>5696</v>
      </c>
      <c r="F76" s="407">
        <v>15</v>
      </c>
      <c r="H76" s="407">
        <v>12873</v>
      </c>
      <c r="I76" s="407">
        <v>3156</v>
      </c>
      <c r="K76" s="407">
        <v>8091</v>
      </c>
      <c r="L76" s="407">
        <v>1087</v>
      </c>
      <c r="N76" s="407">
        <v>9972</v>
      </c>
      <c r="O76" s="407">
        <v>1607</v>
      </c>
      <c r="Q76" s="474">
        <v>14031</v>
      </c>
      <c r="R76" s="474">
        <v>2830</v>
      </c>
      <c r="S76" s="464"/>
      <c r="T76" s="474">
        <v>3712</v>
      </c>
      <c r="U76" s="474">
        <v>921</v>
      </c>
      <c r="V76" s="464"/>
      <c r="W76" s="474">
        <v>2438</v>
      </c>
      <c r="X76" s="474">
        <v>432</v>
      </c>
      <c r="Y76" s="464"/>
      <c r="Z76" s="474">
        <v>3171</v>
      </c>
      <c r="AA76" s="474">
        <v>380</v>
      </c>
      <c r="AB76" s="464"/>
      <c r="AC76" s="474">
        <v>4806</v>
      </c>
      <c r="AD76" s="474">
        <v>1060</v>
      </c>
      <c r="AF76" s="407">
        <v>6433</v>
      </c>
      <c r="AG76" s="407">
        <v>1043</v>
      </c>
      <c r="AH76" s="466"/>
      <c r="AI76" s="407" t="s">
        <v>145</v>
      </c>
      <c r="AJ76" s="407" t="s">
        <v>145</v>
      </c>
    </row>
    <row r="77" spans="2:36" x14ac:dyDescent="0.25">
      <c r="B77" s="374">
        <v>42044</v>
      </c>
      <c r="C77" s="374">
        <v>42050</v>
      </c>
      <c r="E77" s="407">
        <v>5333</v>
      </c>
      <c r="F77" s="407">
        <v>19</v>
      </c>
      <c r="H77" s="407">
        <v>12363</v>
      </c>
      <c r="I77" s="407">
        <v>3108</v>
      </c>
      <c r="K77" s="407">
        <v>7076</v>
      </c>
      <c r="L77" s="407">
        <v>925</v>
      </c>
      <c r="N77" s="407">
        <v>9675</v>
      </c>
      <c r="O77" s="407">
        <v>1552</v>
      </c>
      <c r="Q77" s="474">
        <v>13687</v>
      </c>
      <c r="R77" s="474">
        <v>2851</v>
      </c>
      <c r="S77" s="464"/>
      <c r="T77" s="474">
        <v>3646</v>
      </c>
      <c r="U77" s="474">
        <v>904</v>
      </c>
      <c r="V77" s="464"/>
      <c r="W77" s="474">
        <v>2930</v>
      </c>
      <c r="X77" s="474">
        <v>464</v>
      </c>
      <c r="Y77" s="464"/>
      <c r="Z77" s="474">
        <v>2969</v>
      </c>
      <c r="AA77" s="474">
        <v>341</v>
      </c>
      <c r="AB77" s="464"/>
      <c r="AC77" s="474">
        <v>4463</v>
      </c>
      <c r="AD77" s="474">
        <v>1009</v>
      </c>
      <c r="AF77" s="407">
        <v>5923</v>
      </c>
      <c r="AG77" s="407">
        <v>934</v>
      </c>
      <c r="AH77" s="466"/>
      <c r="AI77" s="407" t="s">
        <v>145</v>
      </c>
      <c r="AJ77" s="407" t="s">
        <v>145</v>
      </c>
    </row>
    <row r="78" spans="2:36" x14ac:dyDescent="0.25">
      <c r="B78" s="374">
        <v>42051</v>
      </c>
      <c r="C78" s="374">
        <v>42057</v>
      </c>
      <c r="E78" s="407">
        <v>5818</v>
      </c>
      <c r="F78" s="407">
        <v>20</v>
      </c>
      <c r="H78" s="407">
        <v>12103</v>
      </c>
      <c r="I78" s="407">
        <v>2964</v>
      </c>
      <c r="K78" s="407">
        <v>5769</v>
      </c>
      <c r="L78" s="407">
        <v>776</v>
      </c>
      <c r="N78" s="407">
        <v>8480</v>
      </c>
      <c r="O78" s="407">
        <v>1414</v>
      </c>
      <c r="Q78" s="474">
        <v>10157</v>
      </c>
      <c r="R78" s="474">
        <v>2035</v>
      </c>
      <c r="S78" s="464"/>
      <c r="T78" s="474">
        <v>21263</v>
      </c>
      <c r="U78" s="474">
        <v>6187</v>
      </c>
      <c r="V78" s="464"/>
      <c r="W78" s="474">
        <v>2737</v>
      </c>
      <c r="X78" s="474">
        <v>491</v>
      </c>
      <c r="Y78" s="464"/>
      <c r="Z78" s="474">
        <v>3341</v>
      </c>
      <c r="AA78" s="474">
        <v>431</v>
      </c>
      <c r="AB78" s="464"/>
      <c r="AC78" s="474">
        <v>4220</v>
      </c>
      <c r="AD78" s="474">
        <v>956</v>
      </c>
      <c r="AF78" s="407">
        <v>6822</v>
      </c>
      <c r="AG78" s="407">
        <v>1147</v>
      </c>
      <c r="AH78" s="466"/>
      <c r="AI78" s="407" t="s">
        <v>145</v>
      </c>
      <c r="AJ78" s="407" t="s">
        <v>145</v>
      </c>
    </row>
    <row r="79" spans="2:36" x14ac:dyDescent="0.25">
      <c r="B79" s="374">
        <v>42058</v>
      </c>
      <c r="C79" s="374">
        <v>42064</v>
      </c>
      <c r="E79" s="407">
        <v>5977</v>
      </c>
      <c r="F79" s="407">
        <v>27</v>
      </c>
      <c r="H79" s="407">
        <v>17426</v>
      </c>
      <c r="I79" s="407">
        <v>2720</v>
      </c>
      <c r="K79" s="407">
        <v>4202</v>
      </c>
      <c r="L79" s="407">
        <v>570</v>
      </c>
      <c r="N79" s="407">
        <v>6624</v>
      </c>
      <c r="O79" s="407">
        <v>1058</v>
      </c>
      <c r="Q79" s="474">
        <v>9339</v>
      </c>
      <c r="R79" s="474">
        <v>1850</v>
      </c>
      <c r="S79" s="464"/>
      <c r="T79" s="474">
        <v>6065</v>
      </c>
      <c r="U79" s="474">
        <v>1668</v>
      </c>
      <c r="V79" s="464"/>
      <c r="W79" s="474">
        <v>2118</v>
      </c>
      <c r="X79" s="474">
        <v>382</v>
      </c>
      <c r="Y79" s="464"/>
      <c r="Z79" s="474">
        <v>3025</v>
      </c>
      <c r="AA79" s="474">
        <v>363</v>
      </c>
      <c r="AB79" s="464"/>
      <c r="AC79" s="474">
        <v>3843</v>
      </c>
      <c r="AD79" s="474">
        <v>968</v>
      </c>
      <c r="AF79" s="407">
        <v>6609</v>
      </c>
      <c r="AG79" s="407">
        <v>1109</v>
      </c>
      <c r="AH79" s="466"/>
      <c r="AI79" s="407" t="s">
        <v>145</v>
      </c>
      <c r="AJ79" s="407" t="s">
        <v>145</v>
      </c>
    </row>
    <row r="80" spans="2:36" x14ac:dyDescent="0.25">
      <c r="B80" s="374">
        <v>42065</v>
      </c>
      <c r="C80" s="374">
        <v>42071</v>
      </c>
      <c r="E80" s="407">
        <v>5383</v>
      </c>
      <c r="F80" s="407">
        <v>21</v>
      </c>
      <c r="H80" s="407">
        <v>20615</v>
      </c>
      <c r="I80" s="407">
        <v>2398</v>
      </c>
      <c r="K80" s="407">
        <v>4689</v>
      </c>
      <c r="L80" s="407">
        <v>610</v>
      </c>
      <c r="N80" s="407">
        <v>6349</v>
      </c>
      <c r="O80" s="407">
        <v>974</v>
      </c>
      <c r="Q80" s="474">
        <v>9510</v>
      </c>
      <c r="R80" s="474">
        <v>1682</v>
      </c>
      <c r="S80" s="464"/>
      <c r="T80" s="474">
        <v>4606</v>
      </c>
      <c r="U80" s="474">
        <v>1130</v>
      </c>
      <c r="V80" s="464"/>
      <c r="W80" s="474">
        <v>2271</v>
      </c>
      <c r="X80" s="474">
        <v>334</v>
      </c>
      <c r="Y80" s="464"/>
      <c r="Z80" s="474">
        <v>3140</v>
      </c>
      <c r="AA80" s="474">
        <v>352</v>
      </c>
      <c r="AB80" s="464"/>
      <c r="AC80" s="474">
        <v>3542</v>
      </c>
      <c r="AD80" s="474">
        <v>793</v>
      </c>
      <c r="AF80" s="407">
        <v>6713</v>
      </c>
      <c r="AG80" s="407">
        <v>951</v>
      </c>
      <c r="AH80" s="466"/>
      <c r="AI80" s="407" t="s">
        <v>145</v>
      </c>
      <c r="AJ80" s="407" t="s">
        <v>145</v>
      </c>
    </row>
    <row r="81" spans="1:60" x14ac:dyDescent="0.25">
      <c r="B81" s="374">
        <v>42072</v>
      </c>
      <c r="C81" s="374">
        <v>42078</v>
      </c>
      <c r="E81" s="407">
        <v>5271</v>
      </c>
      <c r="F81" s="407">
        <v>18</v>
      </c>
      <c r="H81" s="407">
        <v>9424</v>
      </c>
      <c r="I81" s="407">
        <v>2429</v>
      </c>
      <c r="K81" s="407">
        <v>3392</v>
      </c>
      <c r="L81" s="407">
        <v>487</v>
      </c>
      <c r="N81" s="407">
        <v>5304</v>
      </c>
      <c r="O81" s="407">
        <v>933</v>
      </c>
      <c r="Q81" s="474">
        <v>41233</v>
      </c>
      <c r="R81" s="474">
        <v>11722</v>
      </c>
      <c r="S81" s="464"/>
      <c r="T81" s="474">
        <v>3559</v>
      </c>
      <c r="U81" s="474">
        <v>854</v>
      </c>
      <c r="V81" s="464"/>
      <c r="W81" s="474">
        <v>1863</v>
      </c>
      <c r="X81" s="474">
        <v>323</v>
      </c>
      <c r="Y81" s="464"/>
      <c r="Z81" s="474">
        <v>2700</v>
      </c>
      <c r="AA81" s="474">
        <v>355</v>
      </c>
      <c r="AB81" s="464"/>
      <c r="AC81" s="474">
        <v>3332</v>
      </c>
      <c r="AD81" s="474">
        <v>840</v>
      </c>
      <c r="AF81" s="407">
        <v>6686</v>
      </c>
      <c r="AG81" s="407">
        <v>933</v>
      </c>
      <c r="AH81" s="466"/>
      <c r="AI81" s="407" t="s">
        <v>145</v>
      </c>
      <c r="AJ81" s="407" t="s">
        <v>145</v>
      </c>
    </row>
    <row r="82" spans="1:60" x14ac:dyDescent="0.25">
      <c r="B82" s="374">
        <v>42079</v>
      </c>
      <c r="C82" s="374">
        <v>42085</v>
      </c>
      <c r="E82" s="407">
        <v>8067</v>
      </c>
      <c r="F82" s="407">
        <v>26</v>
      </c>
      <c r="H82" s="407">
        <v>10577</v>
      </c>
      <c r="I82" s="407">
        <v>4581</v>
      </c>
      <c r="K82" s="407">
        <v>8354</v>
      </c>
      <c r="L82" s="407">
        <v>917</v>
      </c>
      <c r="N82" s="407">
        <v>8293</v>
      </c>
      <c r="O82" s="407">
        <v>1307</v>
      </c>
      <c r="Q82" s="474">
        <v>20617</v>
      </c>
      <c r="R82" s="474">
        <v>4246</v>
      </c>
      <c r="S82" s="464"/>
      <c r="T82" s="474">
        <v>7441</v>
      </c>
      <c r="U82" s="474">
        <v>1628</v>
      </c>
      <c r="V82" s="464"/>
      <c r="W82" s="474">
        <v>4317</v>
      </c>
      <c r="X82" s="474">
        <v>705</v>
      </c>
      <c r="Y82" s="464"/>
      <c r="Z82" s="474">
        <v>4988</v>
      </c>
      <c r="AA82" s="474">
        <v>550</v>
      </c>
      <c r="AB82" s="464"/>
      <c r="AC82" s="474">
        <v>5663</v>
      </c>
      <c r="AD82" s="474">
        <v>1126</v>
      </c>
      <c r="AF82" s="407">
        <v>9005</v>
      </c>
      <c r="AG82" s="407">
        <v>1396</v>
      </c>
      <c r="AH82" s="466"/>
      <c r="AI82" s="407">
        <v>196267</v>
      </c>
      <c r="AJ82" s="407">
        <v>49563</v>
      </c>
    </row>
    <row r="83" spans="1:60" x14ac:dyDescent="0.25">
      <c r="B83" s="374">
        <v>42086</v>
      </c>
      <c r="C83" s="374">
        <v>42092</v>
      </c>
      <c r="E83" s="407">
        <v>6458</v>
      </c>
      <c r="F83" s="407">
        <v>12</v>
      </c>
      <c r="H83" s="407">
        <v>10446</v>
      </c>
      <c r="I83" s="407">
        <v>4347</v>
      </c>
      <c r="K83" s="407">
        <v>6507</v>
      </c>
      <c r="L83" s="407">
        <v>858</v>
      </c>
      <c r="N83" s="407">
        <v>8368</v>
      </c>
      <c r="O83" s="407">
        <v>1454</v>
      </c>
      <c r="Q83" s="474">
        <v>13303</v>
      </c>
      <c r="R83" s="474">
        <v>2717</v>
      </c>
      <c r="S83" s="464"/>
      <c r="T83" s="474">
        <v>5715</v>
      </c>
      <c r="U83" s="474">
        <v>1381</v>
      </c>
      <c r="V83" s="464"/>
      <c r="W83" s="474">
        <v>2761</v>
      </c>
      <c r="X83" s="474">
        <v>415</v>
      </c>
      <c r="Y83" s="464"/>
      <c r="Z83" s="474">
        <v>3890</v>
      </c>
      <c r="AA83" s="474">
        <v>520</v>
      </c>
      <c r="AB83" s="464"/>
      <c r="AC83" s="474">
        <v>4642</v>
      </c>
      <c r="AD83" s="474">
        <v>1020</v>
      </c>
      <c r="AF83" s="407">
        <v>7079</v>
      </c>
      <c r="AG83" s="407">
        <v>1146</v>
      </c>
      <c r="AH83" s="466"/>
      <c r="AI83" s="407">
        <v>125079</v>
      </c>
      <c r="AJ83" s="407">
        <v>35854</v>
      </c>
    </row>
    <row r="84" spans="1:60" x14ac:dyDescent="0.25">
      <c r="A84" s="32"/>
      <c r="B84" s="374">
        <v>42093</v>
      </c>
      <c r="C84" s="374">
        <v>42099</v>
      </c>
      <c r="E84" s="407">
        <v>4449</v>
      </c>
      <c r="F84" s="407">
        <v>13</v>
      </c>
      <c r="H84" s="407">
        <v>10208</v>
      </c>
      <c r="I84" s="407">
        <v>2595</v>
      </c>
      <c r="K84" s="407">
        <v>3624</v>
      </c>
      <c r="L84" s="407">
        <v>530</v>
      </c>
      <c r="N84" s="407">
        <v>6854</v>
      </c>
      <c r="O84" s="407">
        <v>1315</v>
      </c>
      <c r="Q84" s="474">
        <v>7931</v>
      </c>
      <c r="R84" s="474">
        <v>1683</v>
      </c>
      <c r="S84" s="464"/>
      <c r="T84" s="474">
        <v>3139</v>
      </c>
      <c r="U84" s="474">
        <v>824</v>
      </c>
      <c r="V84" s="464"/>
      <c r="W84" s="474">
        <v>1375</v>
      </c>
      <c r="X84" s="474">
        <v>232</v>
      </c>
      <c r="Y84" s="464"/>
      <c r="Z84" s="474">
        <v>2400</v>
      </c>
      <c r="AA84" s="474">
        <v>313</v>
      </c>
      <c r="AB84" s="464"/>
      <c r="AC84" s="474">
        <v>3083</v>
      </c>
      <c r="AD84" s="474">
        <v>731</v>
      </c>
      <c r="AF84" s="407">
        <v>4799</v>
      </c>
      <c r="AG84" s="407">
        <v>796</v>
      </c>
      <c r="AH84" s="466"/>
      <c r="AI84" s="407">
        <v>20425</v>
      </c>
      <c r="AJ84" s="407">
        <v>6151</v>
      </c>
      <c r="AK84" s="32"/>
      <c r="AL84" s="32"/>
      <c r="AM84" s="32"/>
      <c r="AN84" s="32"/>
      <c r="AO84" s="32"/>
      <c r="AP84" s="32"/>
      <c r="AQ84" s="32"/>
      <c r="AR84" s="32"/>
      <c r="AS84" s="32"/>
      <c r="AT84" s="32"/>
      <c r="AU84" s="32"/>
      <c r="AV84" s="32"/>
      <c r="AW84" s="32"/>
      <c r="AX84" s="32"/>
      <c r="AY84" s="32"/>
      <c r="AZ84" s="32"/>
      <c r="BA84" s="32"/>
      <c r="BB84" s="32"/>
      <c r="BC84" s="32"/>
      <c r="BD84" s="32"/>
      <c r="BE84" s="32"/>
      <c r="BF84" s="32"/>
      <c r="BG84" s="32"/>
      <c r="BH84" s="32"/>
    </row>
    <row r="85" spans="1:60" x14ac:dyDescent="0.25">
      <c r="A85" s="32"/>
      <c r="B85" s="374">
        <v>42100</v>
      </c>
      <c r="C85" s="374">
        <v>42106</v>
      </c>
      <c r="E85" s="407">
        <v>4873</v>
      </c>
      <c r="F85" s="407">
        <v>13</v>
      </c>
      <c r="H85" s="407">
        <v>9962</v>
      </c>
      <c r="I85" s="407">
        <v>2542</v>
      </c>
      <c r="K85" s="407">
        <v>3600</v>
      </c>
      <c r="L85" s="407">
        <v>532</v>
      </c>
      <c r="N85" s="407">
        <v>7182</v>
      </c>
      <c r="O85" s="407">
        <v>1354</v>
      </c>
      <c r="Q85" s="474">
        <v>8112</v>
      </c>
      <c r="R85" s="474">
        <v>1628</v>
      </c>
      <c r="S85" s="464"/>
      <c r="T85" s="474">
        <v>3141</v>
      </c>
      <c r="U85" s="474">
        <v>853</v>
      </c>
      <c r="V85" s="464"/>
      <c r="W85" s="474">
        <v>1503</v>
      </c>
      <c r="X85" s="474">
        <v>253</v>
      </c>
      <c r="Y85" s="464"/>
      <c r="Z85" s="474">
        <v>2529</v>
      </c>
      <c r="AA85" s="474">
        <v>390</v>
      </c>
      <c r="AB85" s="464"/>
      <c r="AC85" s="474">
        <v>3197</v>
      </c>
      <c r="AD85" s="474">
        <v>736</v>
      </c>
      <c r="AF85" s="407">
        <v>5284</v>
      </c>
      <c r="AG85" s="407">
        <v>857</v>
      </c>
      <c r="AH85" s="466"/>
      <c r="AI85" s="407">
        <v>10943</v>
      </c>
      <c r="AJ85" s="407">
        <v>3520</v>
      </c>
      <c r="AK85" s="32"/>
      <c r="AL85" s="32"/>
      <c r="AM85" s="32"/>
      <c r="AN85" s="32"/>
      <c r="AO85" s="32"/>
      <c r="AP85" s="32"/>
      <c r="AQ85" s="32"/>
      <c r="AR85" s="32"/>
      <c r="AS85" s="32"/>
      <c r="AT85" s="32"/>
      <c r="AU85" s="32"/>
      <c r="AV85" s="32"/>
      <c r="AW85" s="32"/>
      <c r="AX85" s="32"/>
      <c r="AY85" s="32"/>
      <c r="AZ85" s="32"/>
      <c r="BA85" s="32"/>
      <c r="BB85" s="32"/>
      <c r="BC85" s="32"/>
      <c r="BD85" s="32"/>
      <c r="BE85" s="32"/>
      <c r="BF85" s="32"/>
      <c r="BG85" s="32"/>
      <c r="BH85" s="32"/>
    </row>
    <row r="86" spans="1:60" x14ac:dyDescent="0.25">
      <c r="A86" s="32"/>
      <c r="B86" s="374">
        <v>42107</v>
      </c>
      <c r="C86" s="374">
        <v>42113</v>
      </c>
      <c r="E86" s="407">
        <v>23578</v>
      </c>
      <c r="F86" s="407">
        <v>37</v>
      </c>
      <c r="H86" s="407">
        <v>21122</v>
      </c>
      <c r="I86" s="407">
        <v>5665</v>
      </c>
      <c r="K86" s="407">
        <v>10975</v>
      </c>
      <c r="L86" s="407">
        <v>1332</v>
      </c>
      <c r="N86" s="407">
        <v>9930</v>
      </c>
      <c r="O86" s="407">
        <v>1745</v>
      </c>
      <c r="Q86" s="474">
        <v>21223</v>
      </c>
      <c r="R86" s="474">
        <v>2975</v>
      </c>
      <c r="S86" s="464"/>
      <c r="T86" s="474">
        <v>12345</v>
      </c>
      <c r="U86" s="474">
        <v>2730</v>
      </c>
      <c r="V86" s="464"/>
      <c r="W86" s="474">
        <v>14335</v>
      </c>
      <c r="X86" s="474">
        <v>2797</v>
      </c>
      <c r="Y86" s="464"/>
      <c r="Z86" s="474">
        <v>5216</v>
      </c>
      <c r="AA86" s="474">
        <v>597</v>
      </c>
      <c r="AB86" s="464"/>
      <c r="AC86" s="474">
        <v>7148</v>
      </c>
      <c r="AD86" s="474">
        <v>1787</v>
      </c>
      <c r="AF86" s="407">
        <v>25139</v>
      </c>
      <c r="AG86" s="407">
        <v>3562</v>
      </c>
      <c r="AH86" s="466"/>
      <c r="AI86" s="407">
        <v>7293</v>
      </c>
      <c r="AJ86" s="407">
        <v>2424</v>
      </c>
      <c r="AK86" s="32"/>
      <c r="AL86" s="32"/>
      <c r="AM86" s="32"/>
      <c r="AN86" s="32"/>
      <c r="AO86" s="32"/>
      <c r="AP86" s="32"/>
      <c r="AQ86" s="32"/>
      <c r="AR86" s="32"/>
      <c r="AS86" s="32"/>
      <c r="AT86" s="32"/>
      <c r="AU86" s="32"/>
      <c r="AV86" s="32"/>
      <c r="AW86" s="32"/>
      <c r="AX86" s="32"/>
      <c r="AY86" s="32"/>
      <c r="AZ86" s="32"/>
      <c r="BA86" s="32"/>
      <c r="BB86" s="32"/>
      <c r="BC86" s="32"/>
      <c r="BD86" s="32"/>
      <c r="BE86" s="32"/>
      <c r="BF86" s="32"/>
      <c r="BG86" s="32"/>
      <c r="BH86" s="32"/>
    </row>
    <row r="87" spans="1:60" x14ac:dyDescent="0.25">
      <c r="A87" s="32"/>
      <c r="B87" s="374">
        <v>42114</v>
      </c>
      <c r="C87" s="374">
        <v>42120</v>
      </c>
      <c r="E87" s="407">
        <v>6396</v>
      </c>
      <c r="F87" s="407">
        <v>11</v>
      </c>
      <c r="H87" s="407">
        <v>10429</v>
      </c>
      <c r="I87" s="407">
        <v>2753</v>
      </c>
      <c r="K87" s="407">
        <v>3961</v>
      </c>
      <c r="L87" s="407">
        <v>644</v>
      </c>
      <c r="N87" s="407">
        <v>7797</v>
      </c>
      <c r="O87" s="407">
        <v>1393</v>
      </c>
      <c r="Q87" s="474">
        <v>8463</v>
      </c>
      <c r="R87" s="474">
        <v>1652</v>
      </c>
      <c r="S87" s="464"/>
      <c r="T87" s="474">
        <v>3779</v>
      </c>
      <c r="U87" s="474">
        <v>985</v>
      </c>
      <c r="V87" s="464"/>
      <c r="W87" s="474">
        <v>2063</v>
      </c>
      <c r="X87" s="474">
        <v>352</v>
      </c>
      <c r="Y87" s="464"/>
      <c r="Z87" s="474">
        <v>2630</v>
      </c>
      <c r="AA87" s="474">
        <v>357</v>
      </c>
      <c r="AB87" s="464"/>
      <c r="AC87" s="474">
        <v>3373</v>
      </c>
      <c r="AD87" s="474">
        <v>887</v>
      </c>
      <c r="AF87" s="407">
        <v>6925</v>
      </c>
      <c r="AG87" s="407">
        <v>1142</v>
      </c>
      <c r="AH87" s="466"/>
      <c r="AI87" s="407">
        <v>5226</v>
      </c>
      <c r="AJ87" s="407">
        <v>1819</v>
      </c>
      <c r="AK87" s="32"/>
      <c r="AL87" s="32"/>
      <c r="AM87" s="32"/>
      <c r="AN87" s="32"/>
      <c r="AO87" s="32"/>
      <c r="AP87" s="32"/>
      <c r="AQ87" s="32"/>
      <c r="AR87" s="32"/>
      <c r="AS87" s="32"/>
      <c r="AT87" s="32"/>
      <c r="AU87" s="32"/>
      <c r="AV87" s="32"/>
      <c r="AW87" s="32"/>
      <c r="AX87" s="32"/>
      <c r="AY87" s="32"/>
      <c r="AZ87" s="32"/>
      <c r="BA87" s="32"/>
      <c r="BB87" s="32"/>
      <c r="BC87" s="32"/>
      <c r="BD87" s="32"/>
      <c r="BE87" s="32"/>
      <c r="BF87" s="32"/>
      <c r="BG87" s="32"/>
      <c r="BH87" s="32"/>
    </row>
    <row r="88" spans="1:60" x14ac:dyDescent="0.25">
      <c r="A88" s="32"/>
      <c r="B88" s="374">
        <v>42121</v>
      </c>
      <c r="C88" s="374">
        <v>42127</v>
      </c>
      <c r="E88" s="407">
        <v>4949</v>
      </c>
      <c r="F88" s="407">
        <v>14</v>
      </c>
      <c r="H88" s="407">
        <v>9439</v>
      </c>
      <c r="I88" s="407">
        <v>2533</v>
      </c>
      <c r="K88" s="407">
        <v>3676</v>
      </c>
      <c r="L88" s="407">
        <v>614</v>
      </c>
      <c r="N88" s="407">
        <v>7055</v>
      </c>
      <c r="O88" s="407">
        <v>1194</v>
      </c>
      <c r="Q88" s="474">
        <v>7103</v>
      </c>
      <c r="R88" s="474">
        <v>1411</v>
      </c>
      <c r="S88" s="464"/>
      <c r="T88" s="474">
        <v>2927</v>
      </c>
      <c r="U88" s="474">
        <v>810</v>
      </c>
      <c r="V88" s="464"/>
      <c r="W88" s="474">
        <v>1408</v>
      </c>
      <c r="X88" s="474">
        <v>223</v>
      </c>
      <c r="Y88" s="464"/>
      <c r="Z88" s="474">
        <v>2257</v>
      </c>
      <c r="AA88" s="474">
        <v>309</v>
      </c>
      <c r="AB88" s="464"/>
      <c r="AC88" s="474">
        <v>2832</v>
      </c>
      <c r="AD88" s="474">
        <v>734</v>
      </c>
      <c r="AF88" s="407">
        <v>5412</v>
      </c>
      <c r="AG88" s="407">
        <v>881</v>
      </c>
      <c r="AH88" s="466"/>
      <c r="AI88" s="407">
        <v>4119</v>
      </c>
      <c r="AJ88" s="407">
        <v>1445</v>
      </c>
      <c r="AK88" s="32"/>
      <c r="AL88" s="32"/>
      <c r="AM88" s="32"/>
      <c r="AN88" s="32"/>
      <c r="AO88" s="32"/>
      <c r="AP88" s="32"/>
      <c r="AQ88" s="32"/>
      <c r="AR88" s="32"/>
      <c r="AS88" s="32"/>
      <c r="AT88" s="32"/>
      <c r="AU88" s="32"/>
      <c r="AV88" s="32"/>
      <c r="AW88" s="32"/>
      <c r="AX88" s="32"/>
      <c r="AY88" s="32"/>
      <c r="AZ88" s="32"/>
      <c r="BA88" s="32"/>
      <c r="BB88" s="32"/>
      <c r="BC88" s="32"/>
      <c r="BD88" s="32"/>
      <c r="BE88" s="32"/>
      <c r="BF88" s="32"/>
      <c r="BG88" s="32"/>
      <c r="BH88" s="32"/>
    </row>
    <row r="89" spans="1:60" x14ac:dyDescent="0.25">
      <c r="A89" s="32"/>
      <c r="B89" s="374">
        <v>42128</v>
      </c>
      <c r="C89" s="374">
        <v>42134</v>
      </c>
      <c r="E89" s="407">
        <v>4369</v>
      </c>
      <c r="F89" s="407">
        <v>9</v>
      </c>
      <c r="H89" s="407">
        <v>8657</v>
      </c>
      <c r="I89" s="407">
        <v>2384</v>
      </c>
      <c r="K89" s="407">
        <v>3353</v>
      </c>
      <c r="L89" s="407">
        <v>602</v>
      </c>
      <c r="N89" s="407">
        <v>7026</v>
      </c>
      <c r="O89" s="407">
        <v>1303</v>
      </c>
      <c r="Q89" s="474">
        <v>6255</v>
      </c>
      <c r="R89" s="474">
        <v>1336</v>
      </c>
      <c r="S89" s="464"/>
      <c r="T89" s="474">
        <v>2620</v>
      </c>
      <c r="U89" s="474">
        <v>736</v>
      </c>
      <c r="V89" s="464"/>
      <c r="W89" s="474">
        <v>1083</v>
      </c>
      <c r="X89" s="474">
        <v>152</v>
      </c>
      <c r="Y89" s="464"/>
      <c r="Z89" s="474">
        <v>2062</v>
      </c>
      <c r="AA89" s="474">
        <v>318</v>
      </c>
      <c r="AB89" s="464"/>
      <c r="AC89" s="474">
        <v>2618</v>
      </c>
      <c r="AD89" s="474">
        <v>665</v>
      </c>
      <c r="AF89" s="407">
        <v>4642</v>
      </c>
      <c r="AG89" s="407">
        <v>795</v>
      </c>
      <c r="AH89" s="466"/>
      <c r="AI89" s="407">
        <v>3285</v>
      </c>
      <c r="AJ89" s="407">
        <v>1133</v>
      </c>
      <c r="AK89" s="32"/>
      <c r="AL89" s="32"/>
      <c r="AM89" s="32"/>
      <c r="AN89" s="32"/>
      <c r="AO89" s="32"/>
      <c r="AP89" s="32"/>
      <c r="AQ89" s="32"/>
      <c r="AR89" s="32"/>
      <c r="AS89" s="32"/>
      <c r="AT89" s="32"/>
      <c r="AU89" s="32"/>
      <c r="AV89" s="32"/>
      <c r="AW89" s="32"/>
      <c r="AX89" s="32"/>
      <c r="AY89" s="32"/>
      <c r="AZ89" s="32"/>
      <c r="BA89" s="32"/>
      <c r="BB89" s="32"/>
      <c r="BC89" s="32"/>
      <c r="BD89" s="32"/>
      <c r="BE89" s="32"/>
      <c r="BF89" s="32"/>
      <c r="BG89" s="32"/>
      <c r="BH89" s="32"/>
    </row>
    <row r="90" spans="1:60" x14ac:dyDescent="0.25">
      <c r="A90" s="32"/>
      <c r="B90" s="374">
        <v>42135</v>
      </c>
      <c r="C90" s="374">
        <v>42141</v>
      </c>
      <c r="E90" s="407">
        <v>4884</v>
      </c>
      <c r="F90" s="407">
        <v>15</v>
      </c>
      <c r="H90" s="407">
        <v>10393</v>
      </c>
      <c r="I90" s="407">
        <v>2754</v>
      </c>
      <c r="K90" s="407">
        <v>3664</v>
      </c>
      <c r="L90" s="407">
        <v>630</v>
      </c>
      <c r="N90" s="407">
        <v>7443</v>
      </c>
      <c r="O90" s="407">
        <v>1379</v>
      </c>
      <c r="Q90" s="474">
        <v>7007</v>
      </c>
      <c r="R90" s="474">
        <v>1544</v>
      </c>
      <c r="S90" s="464"/>
      <c r="T90" s="474">
        <v>2899</v>
      </c>
      <c r="U90" s="474">
        <v>795</v>
      </c>
      <c r="V90" s="464"/>
      <c r="W90" s="474">
        <v>1321</v>
      </c>
      <c r="X90" s="474">
        <v>196</v>
      </c>
      <c r="Y90" s="464"/>
      <c r="Z90" s="474">
        <v>2413</v>
      </c>
      <c r="AA90" s="474">
        <v>294</v>
      </c>
      <c r="AB90" s="464"/>
      <c r="AC90" s="474">
        <v>2941</v>
      </c>
      <c r="AD90" s="474">
        <v>797</v>
      </c>
      <c r="AF90" s="407">
        <v>5402</v>
      </c>
      <c r="AG90" s="407">
        <v>961</v>
      </c>
      <c r="AH90" s="466"/>
      <c r="AI90" s="407">
        <v>2983</v>
      </c>
      <c r="AJ90" s="407">
        <v>1089</v>
      </c>
      <c r="AK90" s="32"/>
      <c r="AL90" s="32"/>
      <c r="AM90" s="32"/>
      <c r="AN90" s="32"/>
      <c r="AO90" s="32"/>
      <c r="AP90" s="32"/>
      <c r="AQ90" s="32"/>
      <c r="AR90" s="32"/>
      <c r="AS90" s="32"/>
      <c r="AT90" s="32"/>
      <c r="AU90" s="32"/>
      <c r="AV90" s="32"/>
      <c r="AW90" s="32"/>
      <c r="AX90" s="32"/>
      <c r="AY90" s="32"/>
      <c r="AZ90" s="32"/>
      <c r="BA90" s="32"/>
      <c r="BB90" s="32"/>
      <c r="BC90" s="32"/>
      <c r="BD90" s="32"/>
      <c r="BE90" s="32"/>
      <c r="BF90" s="32"/>
      <c r="BG90" s="32"/>
      <c r="BH90" s="32"/>
    </row>
    <row r="91" spans="1:60" x14ac:dyDescent="0.25">
      <c r="A91" s="32"/>
      <c r="B91" s="374">
        <v>42142</v>
      </c>
      <c r="C91" s="374">
        <v>42148</v>
      </c>
      <c r="E91" s="407">
        <v>5076</v>
      </c>
      <c r="F91" s="407">
        <v>16</v>
      </c>
      <c r="H91" s="407">
        <v>10288</v>
      </c>
      <c r="I91" s="407">
        <v>2623</v>
      </c>
      <c r="K91" s="407">
        <v>3510</v>
      </c>
      <c r="L91" s="407">
        <v>598</v>
      </c>
      <c r="N91" s="407">
        <v>7085</v>
      </c>
      <c r="O91" s="407">
        <v>1309</v>
      </c>
      <c r="Q91" s="474">
        <v>6501</v>
      </c>
      <c r="R91" s="474">
        <v>1366</v>
      </c>
      <c r="S91" s="464"/>
      <c r="T91" s="474">
        <v>2850</v>
      </c>
      <c r="U91" s="474">
        <v>782</v>
      </c>
      <c r="V91" s="464"/>
      <c r="W91" s="474">
        <v>1349</v>
      </c>
      <c r="X91" s="474">
        <v>242</v>
      </c>
      <c r="Y91" s="464"/>
      <c r="Z91" s="474">
        <v>6647</v>
      </c>
      <c r="AA91" s="474">
        <v>775</v>
      </c>
      <c r="AB91" s="464"/>
      <c r="AC91" s="474">
        <v>2827</v>
      </c>
      <c r="AD91" s="474">
        <v>724</v>
      </c>
      <c r="AF91" s="407">
        <v>5575</v>
      </c>
      <c r="AG91" s="407">
        <v>981</v>
      </c>
      <c r="AH91" s="466"/>
      <c r="AI91" s="407">
        <v>2482</v>
      </c>
      <c r="AJ91" s="407">
        <v>902</v>
      </c>
      <c r="AK91" s="32"/>
      <c r="AL91" s="32"/>
      <c r="AM91" s="32"/>
      <c r="AN91" s="32"/>
      <c r="AO91" s="32"/>
      <c r="AP91" s="32"/>
      <c r="AQ91" s="32"/>
      <c r="AR91" s="32"/>
      <c r="AS91" s="32"/>
      <c r="AT91" s="32"/>
      <c r="AU91" s="32"/>
      <c r="AV91" s="32"/>
      <c r="AW91" s="32"/>
      <c r="AX91" s="32"/>
      <c r="AY91" s="32"/>
      <c r="AZ91" s="32"/>
      <c r="BA91" s="32"/>
      <c r="BB91" s="32"/>
      <c r="BC91" s="32"/>
      <c r="BD91" s="32"/>
      <c r="BE91" s="32"/>
      <c r="BF91" s="32"/>
      <c r="BG91" s="32"/>
      <c r="BH91" s="32"/>
    </row>
    <row r="92" spans="1:60" x14ac:dyDescent="0.25">
      <c r="A92" s="32"/>
      <c r="B92" s="374">
        <v>42149</v>
      </c>
      <c r="C92" s="374">
        <v>42155</v>
      </c>
      <c r="E92" s="407">
        <v>5299</v>
      </c>
      <c r="F92" s="407">
        <v>16</v>
      </c>
      <c r="H92" s="407">
        <v>10765</v>
      </c>
      <c r="I92" s="407">
        <v>2693</v>
      </c>
      <c r="K92" s="407">
        <v>3820</v>
      </c>
      <c r="L92" s="407">
        <v>569</v>
      </c>
      <c r="N92" s="407">
        <v>6784</v>
      </c>
      <c r="O92" s="407">
        <v>1237</v>
      </c>
      <c r="Q92" s="474">
        <v>6911</v>
      </c>
      <c r="R92" s="474">
        <v>1394</v>
      </c>
      <c r="S92" s="464"/>
      <c r="T92" s="474">
        <v>2999</v>
      </c>
      <c r="U92" s="474">
        <v>782</v>
      </c>
      <c r="V92" s="464"/>
      <c r="W92" s="474">
        <v>1642</v>
      </c>
      <c r="X92" s="474">
        <v>233</v>
      </c>
      <c r="Y92" s="464"/>
      <c r="Z92" s="474">
        <v>26004</v>
      </c>
      <c r="AA92" s="474">
        <v>2790</v>
      </c>
      <c r="AB92" s="464"/>
      <c r="AC92" s="474">
        <v>2872</v>
      </c>
      <c r="AD92" s="474">
        <v>775</v>
      </c>
      <c r="AF92" s="407">
        <v>6407</v>
      </c>
      <c r="AG92" s="407">
        <v>1091</v>
      </c>
      <c r="AH92" s="466"/>
      <c r="AI92" s="407">
        <v>2482</v>
      </c>
      <c r="AJ92" s="407">
        <v>897</v>
      </c>
      <c r="AK92" s="32"/>
      <c r="AL92" s="32"/>
      <c r="AM92" s="32"/>
      <c r="AN92" s="32"/>
      <c r="AO92" s="32"/>
      <c r="AP92" s="32"/>
      <c r="AQ92" s="32"/>
      <c r="AR92" s="32"/>
      <c r="AS92" s="32"/>
      <c r="AT92" s="32"/>
      <c r="AU92" s="32"/>
      <c r="AV92" s="32"/>
      <c r="AW92" s="32"/>
      <c r="AX92" s="32"/>
      <c r="AY92" s="32"/>
      <c r="AZ92" s="32"/>
      <c r="BA92" s="32"/>
      <c r="BB92" s="32"/>
      <c r="BC92" s="32"/>
      <c r="BD92" s="32"/>
      <c r="BE92" s="32"/>
      <c r="BF92" s="32"/>
      <c r="BG92" s="32"/>
      <c r="BH92" s="32"/>
    </row>
    <row r="93" spans="1:60" x14ac:dyDescent="0.25">
      <c r="A93" s="32"/>
      <c r="B93" s="374">
        <v>42156</v>
      </c>
      <c r="C93" s="374">
        <v>42162</v>
      </c>
      <c r="E93" s="407">
        <v>4425</v>
      </c>
      <c r="F93" s="407">
        <v>7</v>
      </c>
      <c r="H93" s="407">
        <v>9560</v>
      </c>
      <c r="I93" s="407">
        <v>2409</v>
      </c>
      <c r="K93" s="407">
        <v>3429</v>
      </c>
      <c r="L93" s="407">
        <v>592</v>
      </c>
      <c r="N93" s="407">
        <v>7113</v>
      </c>
      <c r="O93" s="407">
        <v>1309</v>
      </c>
      <c r="Q93" s="474">
        <v>5983</v>
      </c>
      <c r="R93" s="474">
        <v>1293</v>
      </c>
      <c r="S93" s="464"/>
      <c r="T93" s="474">
        <v>2457</v>
      </c>
      <c r="U93" s="474">
        <v>698</v>
      </c>
      <c r="V93" s="464"/>
      <c r="W93" s="474">
        <v>986</v>
      </c>
      <c r="X93" s="474">
        <v>158</v>
      </c>
      <c r="Y93" s="464"/>
      <c r="Z93" s="474">
        <v>3553</v>
      </c>
      <c r="AA93" s="474">
        <v>450</v>
      </c>
      <c r="AB93" s="464"/>
      <c r="AC93" s="474">
        <v>2670</v>
      </c>
      <c r="AD93" s="474">
        <v>711</v>
      </c>
      <c r="AF93" s="407">
        <v>4799</v>
      </c>
      <c r="AG93" s="407">
        <v>852</v>
      </c>
      <c r="AH93" s="466"/>
      <c r="AI93" s="407">
        <v>2103</v>
      </c>
      <c r="AJ93" s="407">
        <v>752</v>
      </c>
      <c r="AK93" s="32"/>
      <c r="AL93" s="32"/>
      <c r="AM93" s="32"/>
      <c r="AN93" s="32"/>
      <c r="AO93" s="32"/>
      <c r="AP93" s="32"/>
      <c r="AQ93" s="32"/>
      <c r="AR93" s="32"/>
      <c r="AS93" s="32"/>
      <c r="AT93" s="32"/>
      <c r="AU93" s="32"/>
      <c r="AV93" s="32"/>
      <c r="AW93" s="32"/>
      <c r="AX93" s="32"/>
      <c r="AY93" s="32"/>
      <c r="AZ93" s="32"/>
      <c r="BA93" s="32"/>
      <c r="BB93" s="32"/>
      <c r="BC93" s="32"/>
      <c r="BD93" s="32"/>
      <c r="BE93" s="32"/>
      <c r="BF93" s="32"/>
      <c r="BG93" s="32"/>
      <c r="BH93" s="32"/>
    </row>
    <row r="94" spans="1:60" x14ac:dyDescent="0.25">
      <c r="A94" s="32"/>
      <c r="B94" s="371">
        <v>42163</v>
      </c>
      <c r="C94" s="371">
        <v>42169</v>
      </c>
      <c r="E94" s="33">
        <v>4846</v>
      </c>
      <c r="F94" s="33">
        <v>15</v>
      </c>
      <c r="H94" s="33">
        <v>10610</v>
      </c>
      <c r="I94" s="33">
        <v>2623</v>
      </c>
      <c r="K94" s="33">
        <v>26885</v>
      </c>
      <c r="L94" s="33">
        <v>2889</v>
      </c>
      <c r="N94" s="33">
        <v>7082</v>
      </c>
      <c r="O94" s="33">
        <v>1237</v>
      </c>
      <c r="Q94" s="463">
        <v>6085</v>
      </c>
      <c r="R94" s="463">
        <v>1251</v>
      </c>
      <c r="S94" s="464"/>
      <c r="T94" s="463">
        <v>2705</v>
      </c>
      <c r="U94" s="463">
        <v>749</v>
      </c>
      <c r="V94" s="464"/>
      <c r="W94" s="463">
        <v>1133</v>
      </c>
      <c r="X94" s="463">
        <v>171</v>
      </c>
      <c r="Y94" s="464"/>
      <c r="Z94" s="463">
        <v>2916</v>
      </c>
      <c r="AA94" s="463">
        <v>377</v>
      </c>
      <c r="AB94" s="464"/>
      <c r="AC94" s="463">
        <v>2646</v>
      </c>
      <c r="AD94" s="463">
        <v>705</v>
      </c>
      <c r="AF94" s="413">
        <v>10493</v>
      </c>
      <c r="AG94" s="33">
        <v>1138</v>
      </c>
      <c r="AH94" s="466"/>
      <c r="AI94" s="33">
        <v>1821</v>
      </c>
      <c r="AJ94" s="33">
        <v>717</v>
      </c>
      <c r="AK94" s="32"/>
      <c r="AL94" s="32"/>
      <c r="AM94" s="32"/>
      <c r="AN94" s="32"/>
      <c r="AO94" s="32"/>
      <c r="AP94" s="32"/>
      <c r="AQ94" s="32"/>
      <c r="AR94" s="32"/>
      <c r="AS94" s="32"/>
      <c r="AT94" s="32"/>
      <c r="AU94" s="32"/>
      <c r="AV94" s="32"/>
      <c r="AW94" s="32"/>
      <c r="AX94" s="32"/>
      <c r="AY94" s="32"/>
      <c r="AZ94" s="32"/>
      <c r="BA94" s="32"/>
      <c r="BB94" s="32"/>
      <c r="BC94" s="32"/>
      <c r="BD94" s="32"/>
      <c r="BE94" s="32"/>
      <c r="BF94" s="32"/>
      <c r="BG94" s="32"/>
      <c r="BH94" s="32"/>
    </row>
    <row r="95" spans="1:60" x14ac:dyDescent="0.25">
      <c r="A95" s="32"/>
      <c r="B95" s="371">
        <v>42170</v>
      </c>
      <c r="C95" s="371">
        <v>42176</v>
      </c>
      <c r="E95" s="33">
        <v>3453</v>
      </c>
      <c r="F95" s="33">
        <v>9</v>
      </c>
      <c r="H95" s="33">
        <v>9036</v>
      </c>
      <c r="I95" s="33">
        <v>2157</v>
      </c>
      <c r="K95" s="33">
        <v>5064</v>
      </c>
      <c r="L95" s="33">
        <v>750</v>
      </c>
      <c r="N95" s="33">
        <v>5582</v>
      </c>
      <c r="O95" s="33">
        <v>936</v>
      </c>
      <c r="Q95" s="463">
        <v>4761</v>
      </c>
      <c r="R95" s="463">
        <v>1010</v>
      </c>
      <c r="S95" s="464"/>
      <c r="T95" s="463">
        <v>2086</v>
      </c>
      <c r="U95" s="463">
        <v>599</v>
      </c>
      <c r="V95" s="464"/>
      <c r="W95" s="463">
        <v>765</v>
      </c>
      <c r="X95" s="463">
        <v>130</v>
      </c>
      <c r="Y95" s="464"/>
      <c r="Z95" s="463">
        <v>2113</v>
      </c>
      <c r="AA95" s="463">
        <v>275</v>
      </c>
      <c r="AB95" s="464"/>
      <c r="AC95" s="463">
        <v>2070</v>
      </c>
      <c r="AD95" s="463">
        <v>528</v>
      </c>
      <c r="AF95" s="413">
        <v>4218</v>
      </c>
      <c r="AG95" s="33">
        <v>703</v>
      </c>
      <c r="AH95" s="466"/>
      <c r="AI95" s="33">
        <v>1563</v>
      </c>
      <c r="AJ95" s="33">
        <v>621</v>
      </c>
      <c r="AK95" s="32"/>
      <c r="AL95" s="32"/>
      <c r="AM95" s="32"/>
      <c r="AN95" s="32"/>
      <c r="AO95" s="32"/>
      <c r="AP95" s="32"/>
      <c r="AQ95" s="32"/>
      <c r="AR95" s="32"/>
      <c r="AS95" s="32"/>
      <c r="AT95" s="32"/>
      <c r="AU95" s="32"/>
      <c r="AV95" s="32"/>
      <c r="AW95" s="32"/>
      <c r="AX95" s="32"/>
      <c r="AY95" s="32"/>
      <c r="AZ95" s="32"/>
      <c r="BA95" s="32"/>
      <c r="BB95" s="32"/>
      <c r="BC95" s="32"/>
      <c r="BD95" s="32"/>
      <c r="BE95" s="32"/>
      <c r="BF95" s="32"/>
      <c r="BG95" s="32"/>
      <c r="BH95" s="32"/>
    </row>
    <row r="96" spans="1:60" x14ac:dyDescent="0.25">
      <c r="A96" s="32"/>
      <c r="B96" s="371">
        <v>42177</v>
      </c>
      <c r="C96" s="371">
        <v>42183</v>
      </c>
      <c r="E96" s="33">
        <v>4636</v>
      </c>
      <c r="F96" s="33">
        <v>20</v>
      </c>
      <c r="H96" s="33">
        <v>11963</v>
      </c>
      <c r="I96" s="33">
        <v>2911</v>
      </c>
      <c r="K96" s="33">
        <v>4637</v>
      </c>
      <c r="L96" s="33">
        <v>713</v>
      </c>
      <c r="N96" s="33">
        <v>7367</v>
      </c>
      <c r="O96" s="33">
        <v>1285</v>
      </c>
      <c r="Q96" s="463">
        <v>6709</v>
      </c>
      <c r="R96" s="463">
        <v>1554</v>
      </c>
      <c r="S96" s="464"/>
      <c r="T96" s="463">
        <v>2612</v>
      </c>
      <c r="U96" s="463">
        <v>758</v>
      </c>
      <c r="V96" s="464"/>
      <c r="W96" s="463">
        <v>1196</v>
      </c>
      <c r="X96" s="463">
        <v>199</v>
      </c>
      <c r="Y96" s="464"/>
      <c r="Z96" s="463">
        <v>2500</v>
      </c>
      <c r="AA96" s="463">
        <v>321</v>
      </c>
      <c r="AB96" s="464"/>
      <c r="AC96" s="463">
        <v>2680</v>
      </c>
      <c r="AD96" s="463">
        <v>636</v>
      </c>
      <c r="AF96" s="413">
        <v>5259</v>
      </c>
      <c r="AG96" s="33">
        <v>871</v>
      </c>
      <c r="AH96" s="466"/>
      <c r="AI96" s="33">
        <v>1609</v>
      </c>
      <c r="AJ96" s="33">
        <v>595</v>
      </c>
      <c r="AK96" s="32"/>
      <c r="AL96" s="32"/>
      <c r="AM96" s="32"/>
      <c r="AN96" s="32"/>
      <c r="AO96" s="32"/>
      <c r="AP96" s="32"/>
      <c r="AQ96" s="32"/>
      <c r="AR96" s="32"/>
      <c r="AS96" s="32"/>
      <c r="AT96" s="32"/>
      <c r="AU96" s="32"/>
      <c r="AV96" s="32"/>
      <c r="AW96" s="32"/>
      <c r="AX96" s="32"/>
      <c r="AY96" s="32"/>
      <c r="AZ96" s="32"/>
      <c r="BA96" s="32"/>
      <c r="BB96" s="32"/>
      <c r="BC96" s="32"/>
      <c r="BD96" s="32"/>
      <c r="BE96" s="32"/>
      <c r="BF96" s="32"/>
      <c r="BG96" s="32"/>
      <c r="BH96" s="32"/>
    </row>
    <row r="97" spans="1:60" x14ac:dyDescent="0.25">
      <c r="A97" s="32"/>
      <c r="B97" s="371">
        <v>42184</v>
      </c>
      <c r="C97" s="371">
        <v>42190</v>
      </c>
      <c r="E97" s="33">
        <v>4165</v>
      </c>
      <c r="F97" s="33">
        <v>10</v>
      </c>
      <c r="H97" s="33">
        <v>11144</v>
      </c>
      <c r="I97" s="33">
        <v>2600</v>
      </c>
      <c r="K97" s="33">
        <v>3792</v>
      </c>
      <c r="L97" s="33">
        <v>608</v>
      </c>
      <c r="N97" s="33">
        <v>5960</v>
      </c>
      <c r="O97" s="33">
        <v>1002</v>
      </c>
      <c r="Q97" s="463">
        <v>5629</v>
      </c>
      <c r="R97" s="463">
        <v>1253</v>
      </c>
      <c r="S97" s="464"/>
      <c r="T97" s="463">
        <v>2316</v>
      </c>
      <c r="U97" s="463">
        <v>631</v>
      </c>
      <c r="V97" s="464"/>
      <c r="W97" s="463">
        <v>988</v>
      </c>
      <c r="X97" s="463">
        <v>164</v>
      </c>
      <c r="Y97" s="464"/>
      <c r="Z97" s="463">
        <v>2351</v>
      </c>
      <c r="AA97" s="463">
        <v>321</v>
      </c>
      <c r="AB97" s="464"/>
      <c r="AC97" s="463">
        <v>2371</v>
      </c>
      <c r="AD97" s="463">
        <v>584</v>
      </c>
      <c r="AF97" s="413">
        <v>4608</v>
      </c>
      <c r="AG97" s="33">
        <v>766</v>
      </c>
      <c r="AH97" s="466"/>
      <c r="AI97" s="33">
        <v>1512</v>
      </c>
      <c r="AJ97" s="33">
        <v>608</v>
      </c>
      <c r="AK97" s="32"/>
      <c r="AL97" s="32"/>
      <c r="AM97" s="32"/>
      <c r="AN97" s="32"/>
      <c r="AO97" s="32"/>
      <c r="AP97" s="32"/>
      <c r="AQ97" s="32"/>
      <c r="AR97" s="32"/>
      <c r="AS97" s="32"/>
      <c r="AT97" s="32"/>
      <c r="AU97" s="32"/>
      <c r="AV97" s="32"/>
      <c r="AW97" s="32"/>
      <c r="AX97" s="32"/>
      <c r="AY97" s="32"/>
      <c r="AZ97" s="32"/>
      <c r="BA97" s="32"/>
      <c r="BB97" s="32"/>
      <c r="BC97" s="32"/>
      <c r="BD97" s="32"/>
      <c r="BE97" s="32"/>
      <c r="BF97" s="32"/>
      <c r="BG97" s="32"/>
      <c r="BH97" s="32"/>
    </row>
    <row r="98" spans="1:60" x14ac:dyDescent="0.25">
      <c r="A98" s="32"/>
      <c r="B98" s="371">
        <v>42191</v>
      </c>
      <c r="C98" s="371">
        <v>42197</v>
      </c>
      <c r="E98" s="33">
        <v>1903</v>
      </c>
      <c r="F98" s="33">
        <v>5</v>
      </c>
      <c r="H98" s="33">
        <v>4425</v>
      </c>
      <c r="I98" s="33">
        <v>1213</v>
      </c>
      <c r="K98" s="33">
        <v>2391</v>
      </c>
      <c r="L98" s="33">
        <v>437</v>
      </c>
      <c r="N98" s="33">
        <v>1867</v>
      </c>
      <c r="O98" s="33">
        <v>312</v>
      </c>
      <c r="Q98" s="463">
        <v>3417</v>
      </c>
      <c r="R98" s="463">
        <v>614</v>
      </c>
      <c r="S98" s="464"/>
      <c r="T98" s="463">
        <v>1880</v>
      </c>
      <c r="U98" s="463">
        <v>561</v>
      </c>
      <c r="V98" s="464"/>
      <c r="W98" s="463">
        <v>685</v>
      </c>
      <c r="X98" s="463">
        <v>116</v>
      </c>
      <c r="Y98" s="464"/>
      <c r="Z98" s="463">
        <v>989</v>
      </c>
      <c r="AA98" s="463">
        <v>130</v>
      </c>
      <c r="AB98" s="464"/>
      <c r="AC98" s="463">
        <v>1160</v>
      </c>
      <c r="AD98" s="463">
        <v>286</v>
      </c>
      <c r="AF98" s="413">
        <v>2435</v>
      </c>
      <c r="AG98" s="33">
        <v>400</v>
      </c>
      <c r="AH98" s="466"/>
      <c r="AI98" s="33">
        <v>1467</v>
      </c>
      <c r="AJ98" s="33">
        <v>601</v>
      </c>
      <c r="AK98" s="32"/>
      <c r="AL98" s="32"/>
      <c r="AM98" s="32"/>
      <c r="AN98" s="32"/>
      <c r="AO98" s="32"/>
      <c r="AP98" s="32"/>
      <c r="AQ98" s="32"/>
      <c r="AR98" s="32"/>
      <c r="AS98" s="32"/>
      <c r="AT98" s="32"/>
      <c r="AU98" s="32"/>
      <c r="AV98" s="32"/>
      <c r="AW98" s="32"/>
      <c r="AX98" s="32"/>
      <c r="AY98" s="32"/>
      <c r="AZ98" s="32"/>
      <c r="BA98" s="32"/>
      <c r="BB98" s="32"/>
      <c r="BC98" s="32"/>
      <c r="BD98" s="32"/>
      <c r="BE98" s="32"/>
      <c r="BF98" s="32"/>
      <c r="BG98" s="32"/>
      <c r="BH98" s="32"/>
    </row>
    <row r="99" spans="1:60" x14ac:dyDescent="0.25">
      <c r="A99" s="32"/>
      <c r="B99" s="371">
        <v>42198</v>
      </c>
      <c r="C99" s="371">
        <v>42204</v>
      </c>
      <c r="E99" s="33">
        <v>1256</v>
      </c>
      <c r="F99" s="33">
        <v>2</v>
      </c>
      <c r="H99" s="33">
        <v>3163</v>
      </c>
      <c r="I99" s="33">
        <v>915</v>
      </c>
      <c r="K99" s="33">
        <v>1991</v>
      </c>
      <c r="L99" s="33">
        <v>373</v>
      </c>
      <c r="N99" s="33">
        <v>731</v>
      </c>
      <c r="O99" s="33">
        <v>94</v>
      </c>
      <c r="Q99" s="463">
        <v>2793</v>
      </c>
      <c r="R99" s="463">
        <v>497</v>
      </c>
      <c r="S99" s="464"/>
      <c r="T99" s="463">
        <v>1629</v>
      </c>
      <c r="U99" s="463">
        <v>445</v>
      </c>
      <c r="V99" s="464"/>
      <c r="W99" s="463">
        <v>587</v>
      </c>
      <c r="X99" s="463">
        <v>129</v>
      </c>
      <c r="Y99" s="464"/>
      <c r="Z99" s="463">
        <v>645</v>
      </c>
      <c r="AA99" s="463">
        <v>62</v>
      </c>
      <c r="AB99" s="464"/>
      <c r="AC99" s="463">
        <v>795</v>
      </c>
      <c r="AD99" s="463">
        <v>209</v>
      </c>
      <c r="AF99" s="413">
        <v>1696</v>
      </c>
      <c r="AG99" s="33">
        <v>262</v>
      </c>
      <c r="AH99" s="466"/>
      <c r="AI99" s="33">
        <v>1374</v>
      </c>
      <c r="AJ99" s="33">
        <v>546</v>
      </c>
      <c r="AK99" s="32"/>
      <c r="AL99" s="32"/>
      <c r="AM99" s="32"/>
      <c r="AN99" s="32"/>
      <c r="AO99" s="32"/>
      <c r="AP99" s="32"/>
      <c r="AQ99" s="32"/>
      <c r="AR99" s="32"/>
      <c r="AS99" s="32"/>
      <c r="AT99" s="32"/>
      <c r="AU99" s="32"/>
      <c r="AV99" s="32"/>
      <c r="AW99" s="32"/>
      <c r="AX99" s="32"/>
      <c r="AY99" s="32"/>
      <c r="AZ99" s="32"/>
      <c r="BA99" s="32"/>
      <c r="BB99" s="32"/>
      <c r="BC99" s="32"/>
      <c r="BD99" s="32"/>
      <c r="BE99" s="32"/>
      <c r="BF99" s="32"/>
      <c r="BG99" s="32"/>
      <c r="BH99" s="32"/>
    </row>
    <row r="100" spans="1:60" x14ac:dyDescent="0.25">
      <c r="A100" s="32"/>
      <c r="B100" s="371">
        <v>42205</v>
      </c>
      <c r="C100" s="371">
        <v>42211</v>
      </c>
      <c r="E100" s="33">
        <v>1667</v>
      </c>
      <c r="F100" s="33">
        <v>5</v>
      </c>
      <c r="H100" s="33">
        <v>4447</v>
      </c>
      <c r="I100" s="33">
        <v>1149</v>
      </c>
      <c r="K100" s="33">
        <v>2446</v>
      </c>
      <c r="L100" s="33">
        <v>436</v>
      </c>
      <c r="N100" s="33">
        <v>1067</v>
      </c>
      <c r="O100" s="33">
        <v>167</v>
      </c>
      <c r="Q100" s="463">
        <v>3402</v>
      </c>
      <c r="R100" s="463">
        <v>642</v>
      </c>
      <c r="S100" s="464"/>
      <c r="T100" s="463">
        <v>2256</v>
      </c>
      <c r="U100" s="463">
        <v>650</v>
      </c>
      <c r="V100" s="464"/>
      <c r="W100" s="463">
        <v>3970</v>
      </c>
      <c r="X100" s="463">
        <v>1155</v>
      </c>
      <c r="Y100" s="464"/>
      <c r="Z100" s="463">
        <v>900</v>
      </c>
      <c r="AA100" s="463">
        <v>99</v>
      </c>
      <c r="AB100" s="464"/>
      <c r="AC100" s="463">
        <v>1089</v>
      </c>
      <c r="AD100" s="463">
        <v>262</v>
      </c>
      <c r="AF100" s="413">
        <v>2227</v>
      </c>
      <c r="AG100" s="33">
        <v>353</v>
      </c>
      <c r="AH100" s="466"/>
      <c r="AI100" s="33">
        <v>1320</v>
      </c>
      <c r="AJ100" s="33">
        <v>510</v>
      </c>
      <c r="AK100" s="32"/>
      <c r="AL100" s="32"/>
      <c r="AM100" s="32"/>
      <c r="AN100" s="32"/>
      <c r="AO100" s="32"/>
      <c r="AP100" s="32"/>
      <c r="AQ100" s="32"/>
      <c r="AR100" s="32"/>
      <c r="AS100" s="32"/>
      <c r="AT100" s="32"/>
      <c r="AU100" s="32"/>
      <c r="AV100" s="32"/>
      <c r="AW100" s="32"/>
      <c r="AX100" s="32"/>
      <c r="AY100" s="32"/>
      <c r="AZ100" s="32"/>
      <c r="BA100" s="32"/>
      <c r="BB100" s="32"/>
      <c r="BC100" s="32"/>
      <c r="BD100" s="32"/>
      <c r="BE100" s="32"/>
      <c r="BF100" s="32"/>
      <c r="BG100" s="32"/>
      <c r="BH100" s="32"/>
    </row>
    <row r="101" spans="1:60" x14ac:dyDescent="0.25">
      <c r="A101" s="32"/>
      <c r="B101" s="371">
        <v>42578</v>
      </c>
      <c r="C101" s="371">
        <v>42584</v>
      </c>
      <c r="E101" s="33">
        <v>16404</v>
      </c>
      <c r="F101" s="33">
        <v>905</v>
      </c>
      <c r="H101" s="33">
        <v>15128</v>
      </c>
      <c r="I101" s="33">
        <v>4093</v>
      </c>
      <c r="K101" s="33">
        <v>5870</v>
      </c>
      <c r="L101" s="33">
        <v>986</v>
      </c>
      <c r="N101" s="33">
        <v>3479</v>
      </c>
      <c r="O101" s="33">
        <v>609</v>
      </c>
      <c r="Q101" s="463">
        <v>32416</v>
      </c>
      <c r="R101" s="463">
        <v>6152</v>
      </c>
      <c r="S101" s="464"/>
      <c r="T101" s="463">
        <v>9386</v>
      </c>
      <c r="U101" s="463">
        <v>3245</v>
      </c>
      <c r="V101" s="464"/>
      <c r="W101" s="463">
        <v>6568</v>
      </c>
      <c r="X101" s="463">
        <v>1366</v>
      </c>
      <c r="Y101" s="464"/>
      <c r="Z101" s="463">
        <v>4598</v>
      </c>
      <c r="AA101" s="463">
        <v>412</v>
      </c>
      <c r="AB101" s="464"/>
      <c r="AC101" s="463">
        <v>10015</v>
      </c>
      <c r="AD101" s="463">
        <v>3878</v>
      </c>
      <c r="AF101" s="413">
        <v>13371</v>
      </c>
      <c r="AG101" s="33">
        <v>2129</v>
      </c>
      <c r="AH101" s="466"/>
      <c r="AI101" s="33">
        <v>1466</v>
      </c>
      <c r="AJ101" s="33">
        <v>858</v>
      </c>
      <c r="AK101" s="32"/>
      <c r="AL101" s="32"/>
      <c r="AM101" s="32"/>
      <c r="AN101" s="32"/>
      <c r="AO101" s="32"/>
      <c r="AP101" s="32"/>
      <c r="AQ101" s="32"/>
      <c r="AR101" s="32"/>
      <c r="AS101" s="32"/>
      <c r="AT101" s="32"/>
      <c r="AU101" s="32"/>
      <c r="AV101" s="32"/>
      <c r="AW101" s="32"/>
      <c r="AX101" s="32"/>
      <c r="AY101" s="32"/>
      <c r="AZ101" s="32"/>
      <c r="BA101" s="32"/>
      <c r="BB101" s="32"/>
      <c r="BC101" s="32"/>
      <c r="BD101" s="32"/>
      <c r="BE101" s="32"/>
      <c r="BF101" s="32"/>
      <c r="BG101" s="32"/>
      <c r="BH101" s="32"/>
    </row>
    <row r="102" spans="1:60" x14ac:dyDescent="0.25">
      <c r="A102" s="32"/>
      <c r="B102" s="371">
        <v>42585</v>
      </c>
      <c r="C102" s="371">
        <v>42591</v>
      </c>
      <c r="E102" s="33">
        <v>2311</v>
      </c>
      <c r="F102" s="33">
        <v>7</v>
      </c>
      <c r="H102" s="33">
        <v>4084</v>
      </c>
      <c r="I102" s="33">
        <v>1313</v>
      </c>
      <c r="K102" s="33">
        <v>2506</v>
      </c>
      <c r="L102" s="33">
        <v>619</v>
      </c>
      <c r="N102" s="33">
        <v>1023</v>
      </c>
      <c r="O102" s="33">
        <v>187</v>
      </c>
      <c r="Q102" s="463">
        <v>4321</v>
      </c>
      <c r="R102" s="463">
        <v>1253</v>
      </c>
      <c r="S102" s="464"/>
      <c r="T102" s="463">
        <v>2255</v>
      </c>
      <c r="U102" s="463">
        <v>1110</v>
      </c>
      <c r="V102" s="464"/>
      <c r="W102" s="463">
        <v>873</v>
      </c>
      <c r="X102" s="463">
        <v>164</v>
      </c>
      <c r="Y102" s="464"/>
      <c r="Z102" s="463">
        <v>758</v>
      </c>
      <c r="AA102" s="463">
        <v>74</v>
      </c>
      <c r="AB102" s="464"/>
      <c r="AC102" s="463">
        <v>1424</v>
      </c>
      <c r="AD102" s="463">
        <v>467</v>
      </c>
      <c r="AF102" s="413">
        <v>2542</v>
      </c>
      <c r="AG102" s="33">
        <v>531</v>
      </c>
      <c r="AH102" s="466"/>
      <c r="AI102" s="33">
        <v>928</v>
      </c>
      <c r="AJ102" s="33">
        <v>555</v>
      </c>
      <c r="AK102" s="32"/>
      <c r="AL102" s="32"/>
      <c r="AM102" s="32"/>
      <c r="AN102" s="32"/>
      <c r="AO102" s="32"/>
      <c r="AP102" s="32"/>
      <c r="AQ102" s="32"/>
      <c r="AR102" s="32"/>
      <c r="AS102" s="32"/>
      <c r="AT102" s="32"/>
      <c r="AU102" s="32"/>
      <c r="AV102" s="32"/>
      <c r="AW102" s="32"/>
      <c r="AX102" s="32"/>
      <c r="AY102" s="32"/>
      <c r="AZ102" s="32"/>
      <c r="BA102" s="32"/>
      <c r="BB102" s="32"/>
      <c r="BC102" s="32"/>
      <c r="BD102" s="32"/>
      <c r="BE102" s="32"/>
      <c r="BF102" s="32"/>
      <c r="BG102" s="32"/>
      <c r="BH102" s="32"/>
    </row>
    <row r="103" spans="1:60" x14ac:dyDescent="0.25">
      <c r="A103" s="32"/>
      <c r="B103" s="371">
        <v>42592</v>
      </c>
      <c r="C103" s="371">
        <v>42598</v>
      </c>
      <c r="E103" s="33">
        <v>1712</v>
      </c>
      <c r="F103" s="33">
        <v>3</v>
      </c>
      <c r="H103" s="33">
        <v>3592</v>
      </c>
      <c r="I103" s="33">
        <v>1249</v>
      </c>
      <c r="K103" s="33">
        <v>2571</v>
      </c>
      <c r="L103" s="33">
        <v>548</v>
      </c>
      <c r="N103" s="33">
        <v>963</v>
      </c>
      <c r="O103" s="33">
        <v>182</v>
      </c>
      <c r="Q103" s="463">
        <v>3681</v>
      </c>
      <c r="R103" s="463">
        <v>1109</v>
      </c>
      <c r="S103" s="464"/>
      <c r="T103" s="463">
        <v>1884</v>
      </c>
      <c r="U103" s="463">
        <v>932</v>
      </c>
      <c r="V103" s="464"/>
      <c r="W103" s="463">
        <v>792</v>
      </c>
      <c r="X103" s="463">
        <v>160</v>
      </c>
      <c r="Y103" s="464"/>
      <c r="Z103" s="463">
        <v>684</v>
      </c>
      <c r="AA103" s="463">
        <v>73</v>
      </c>
      <c r="AB103" s="464"/>
      <c r="AC103" s="463">
        <v>1272</v>
      </c>
      <c r="AD103" s="463">
        <v>442</v>
      </c>
      <c r="AF103" s="413">
        <v>2534</v>
      </c>
      <c r="AG103" s="33">
        <v>444</v>
      </c>
      <c r="AH103" s="466"/>
      <c r="AI103" s="33">
        <v>910</v>
      </c>
      <c r="AJ103" s="33">
        <v>576</v>
      </c>
      <c r="AK103" s="32"/>
      <c r="AL103" s="32"/>
      <c r="AM103" s="32"/>
      <c r="AN103" s="32"/>
      <c r="AO103" s="32"/>
      <c r="AP103" s="32"/>
      <c r="AQ103" s="32"/>
      <c r="AR103" s="32"/>
      <c r="AS103" s="32"/>
      <c r="AT103" s="32"/>
      <c r="AU103" s="32"/>
      <c r="AV103" s="32"/>
      <c r="AW103" s="32"/>
      <c r="AX103" s="32"/>
      <c r="AY103" s="32"/>
      <c r="AZ103" s="32"/>
      <c r="BA103" s="32"/>
      <c r="BB103" s="32"/>
      <c r="BC103" s="32"/>
      <c r="BD103" s="32"/>
      <c r="BE103" s="32"/>
      <c r="BF103" s="32"/>
      <c r="BG103" s="32"/>
      <c r="BH103" s="32"/>
    </row>
    <row r="104" spans="1:60" x14ac:dyDescent="0.25">
      <c r="A104" s="32"/>
      <c r="B104" s="371">
        <v>42599</v>
      </c>
      <c r="C104" s="371">
        <v>42605</v>
      </c>
      <c r="E104" s="33">
        <v>1657</v>
      </c>
      <c r="F104" s="33">
        <v>3</v>
      </c>
      <c r="H104" s="33">
        <v>3535</v>
      </c>
      <c r="I104" s="33">
        <v>1142</v>
      </c>
      <c r="K104" s="33">
        <v>2551</v>
      </c>
      <c r="L104" s="33">
        <v>511</v>
      </c>
      <c r="N104" s="33">
        <v>915</v>
      </c>
      <c r="O104" s="33">
        <v>179</v>
      </c>
      <c r="Q104" s="463">
        <v>3442</v>
      </c>
      <c r="R104" s="463">
        <v>1058</v>
      </c>
      <c r="S104" s="464"/>
      <c r="T104" s="463">
        <v>2029</v>
      </c>
      <c r="U104" s="463">
        <v>1074</v>
      </c>
      <c r="V104" s="464"/>
      <c r="W104" s="463">
        <v>746</v>
      </c>
      <c r="X104" s="463">
        <v>165</v>
      </c>
      <c r="Y104" s="464"/>
      <c r="Z104" s="463">
        <v>639</v>
      </c>
      <c r="AA104" s="463">
        <v>76</v>
      </c>
      <c r="AB104" s="464"/>
      <c r="AC104" s="463">
        <v>1182</v>
      </c>
      <c r="AD104" s="463">
        <v>395</v>
      </c>
      <c r="AF104" s="413">
        <v>2446</v>
      </c>
      <c r="AG104" s="33">
        <v>482</v>
      </c>
      <c r="AH104" s="466"/>
      <c r="AI104" s="33">
        <v>958</v>
      </c>
      <c r="AJ104" s="33">
        <v>681</v>
      </c>
      <c r="AK104" s="32"/>
      <c r="AL104" s="32"/>
      <c r="AM104" s="32"/>
      <c r="AN104" s="32"/>
      <c r="AO104" s="32"/>
      <c r="AP104" s="32"/>
      <c r="AQ104" s="32"/>
      <c r="AR104" s="32"/>
      <c r="AS104" s="32"/>
      <c r="AT104" s="32"/>
      <c r="AU104" s="32"/>
      <c r="AV104" s="32"/>
      <c r="AW104" s="32"/>
      <c r="AX104" s="32"/>
      <c r="AY104" s="32"/>
      <c r="AZ104" s="32"/>
      <c r="BA104" s="32"/>
      <c r="BB104" s="32"/>
      <c r="BC104" s="32"/>
      <c r="BD104" s="32"/>
      <c r="BE104" s="32"/>
      <c r="BF104" s="32"/>
      <c r="BG104" s="32"/>
      <c r="BH104" s="32"/>
    </row>
    <row r="105" spans="1:60" x14ac:dyDescent="0.25">
      <c r="A105" s="32"/>
      <c r="B105" s="371">
        <v>42606</v>
      </c>
      <c r="C105" s="371">
        <v>42612</v>
      </c>
      <c r="E105" s="33">
        <v>2055</v>
      </c>
      <c r="F105" s="33">
        <v>2</v>
      </c>
      <c r="H105" s="33">
        <v>5135</v>
      </c>
      <c r="I105" s="33">
        <v>1844</v>
      </c>
      <c r="K105" s="33">
        <v>2859</v>
      </c>
      <c r="L105" s="33">
        <v>572</v>
      </c>
      <c r="N105" s="33">
        <v>1159</v>
      </c>
      <c r="O105" s="33">
        <v>205</v>
      </c>
      <c r="Q105" s="463">
        <v>4077</v>
      </c>
      <c r="R105" s="463">
        <v>1274</v>
      </c>
      <c r="S105" s="464"/>
      <c r="T105" s="463">
        <v>2384</v>
      </c>
      <c r="U105" s="463">
        <v>1055</v>
      </c>
      <c r="V105" s="464"/>
      <c r="W105" s="463">
        <v>960</v>
      </c>
      <c r="X105" s="463">
        <v>241</v>
      </c>
      <c r="Y105" s="464"/>
      <c r="Z105" s="463">
        <v>848</v>
      </c>
      <c r="AA105" s="463">
        <v>96</v>
      </c>
      <c r="AB105" s="464"/>
      <c r="AC105" s="463">
        <v>1445</v>
      </c>
      <c r="AD105" s="463">
        <v>433</v>
      </c>
      <c r="AF105" s="413">
        <v>2863</v>
      </c>
      <c r="AG105" s="33">
        <v>568</v>
      </c>
      <c r="AH105" s="466"/>
      <c r="AI105" s="33">
        <v>5532</v>
      </c>
      <c r="AJ105" s="33">
        <v>2404</v>
      </c>
      <c r="AK105" s="32"/>
      <c r="AL105" s="32"/>
      <c r="AM105" s="32"/>
      <c r="AN105" s="32"/>
      <c r="AO105" s="32"/>
      <c r="AP105" s="32"/>
      <c r="AQ105" s="32"/>
      <c r="AR105" s="32"/>
      <c r="AS105" s="32"/>
      <c r="AT105" s="32"/>
      <c r="AU105" s="32"/>
      <c r="AV105" s="32"/>
      <c r="AW105" s="32"/>
      <c r="AX105" s="32"/>
      <c r="AY105" s="32"/>
      <c r="AZ105" s="32"/>
      <c r="BA105" s="32"/>
      <c r="BB105" s="32"/>
      <c r="BC105" s="32"/>
      <c r="BD105" s="32"/>
      <c r="BE105" s="32"/>
      <c r="BF105" s="32"/>
      <c r="BG105" s="32"/>
      <c r="BH105" s="32"/>
    </row>
    <row r="106" spans="1:60" x14ac:dyDescent="0.25">
      <c r="A106" s="32"/>
      <c r="B106" s="371">
        <v>42613</v>
      </c>
      <c r="C106" s="371">
        <v>42619</v>
      </c>
      <c r="E106" s="33">
        <v>1533</v>
      </c>
      <c r="F106" s="33">
        <v>1</v>
      </c>
      <c r="H106" s="33">
        <v>3546</v>
      </c>
      <c r="I106" s="33">
        <v>1122</v>
      </c>
      <c r="K106" s="33">
        <v>2265</v>
      </c>
      <c r="L106" s="33">
        <v>410</v>
      </c>
      <c r="N106" s="33">
        <v>242</v>
      </c>
      <c r="O106" s="33">
        <v>170</v>
      </c>
      <c r="Q106" s="463">
        <v>3083</v>
      </c>
      <c r="R106" s="463">
        <v>851</v>
      </c>
      <c r="S106" s="464"/>
      <c r="T106" s="463">
        <v>1857</v>
      </c>
      <c r="U106" s="463">
        <v>748</v>
      </c>
      <c r="V106" s="464"/>
      <c r="W106" s="463">
        <v>678</v>
      </c>
      <c r="X106" s="463">
        <v>147</v>
      </c>
      <c r="Y106" s="464"/>
      <c r="Z106" s="463">
        <v>572</v>
      </c>
      <c r="AA106" s="463">
        <v>61</v>
      </c>
      <c r="AB106" s="464"/>
      <c r="AC106" s="463">
        <v>1118</v>
      </c>
      <c r="AD106" s="463">
        <v>386</v>
      </c>
      <c r="AF106" s="413">
        <v>2383</v>
      </c>
      <c r="AG106" s="33">
        <v>441</v>
      </c>
      <c r="AH106" s="466"/>
      <c r="AI106" s="33">
        <v>1586</v>
      </c>
      <c r="AJ106" s="33">
        <v>980</v>
      </c>
      <c r="AK106" s="32"/>
      <c r="AL106" s="32"/>
      <c r="AM106" s="32"/>
      <c r="AN106" s="32"/>
      <c r="AO106" s="32"/>
      <c r="AP106" s="32"/>
      <c r="AQ106" s="32"/>
      <c r="AR106" s="32"/>
      <c r="AS106" s="32"/>
      <c r="AT106" s="32"/>
      <c r="AU106" s="32"/>
      <c r="AV106" s="32"/>
      <c r="AW106" s="32"/>
      <c r="AX106" s="32"/>
      <c r="AY106" s="32"/>
      <c r="AZ106" s="32"/>
      <c r="BA106" s="32"/>
      <c r="BB106" s="32"/>
      <c r="BC106" s="32"/>
      <c r="BD106" s="32"/>
      <c r="BE106" s="32"/>
      <c r="BF106" s="32"/>
      <c r="BG106" s="32"/>
      <c r="BH106" s="32"/>
    </row>
    <row r="107" spans="1:60" x14ac:dyDescent="0.25">
      <c r="A107" s="32"/>
      <c r="B107" s="371">
        <v>42620</v>
      </c>
      <c r="C107" s="371">
        <v>42626</v>
      </c>
      <c r="E107" s="33">
        <v>1445</v>
      </c>
      <c r="F107" s="33">
        <v>1</v>
      </c>
      <c r="H107" s="33">
        <v>3027</v>
      </c>
      <c r="I107" s="33">
        <v>967</v>
      </c>
      <c r="K107" s="33">
        <v>1893</v>
      </c>
      <c r="L107" s="33">
        <v>367</v>
      </c>
      <c r="N107" s="33">
        <v>818</v>
      </c>
      <c r="O107" s="33">
        <v>172</v>
      </c>
      <c r="Q107" s="463">
        <v>2822</v>
      </c>
      <c r="R107" s="463">
        <v>821</v>
      </c>
      <c r="S107" s="464"/>
      <c r="T107" s="463">
        <v>1772</v>
      </c>
      <c r="U107" s="463">
        <v>706</v>
      </c>
      <c r="V107" s="464"/>
      <c r="W107" s="463">
        <v>555</v>
      </c>
      <c r="X107" s="463">
        <v>144</v>
      </c>
      <c r="Y107" s="464"/>
      <c r="Z107" s="463">
        <v>476</v>
      </c>
      <c r="AA107" s="463">
        <v>56</v>
      </c>
      <c r="AB107" s="464"/>
      <c r="AC107" s="463">
        <v>883</v>
      </c>
      <c r="AD107" s="463">
        <v>290</v>
      </c>
      <c r="AF107" s="413">
        <v>2221</v>
      </c>
      <c r="AG107" s="33">
        <v>414</v>
      </c>
      <c r="AH107" s="466"/>
      <c r="AI107" s="33">
        <v>1026</v>
      </c>
      <c r="AJ107" s="33">
        <v>713</v>
      </c>
      <c r="AK107" s="32"/>
      <c r="AL107" s="32"/>
      <c r="AM107" s="32"/>
      <c r="AN107" s="32"/>
      <c r="AO107" s="32"/>
      <c r="AP107" s="32"/>
      <c r="AQ107" s="32"/>
      <c r="AR107" s="32"/>
      <c r="AS107" s="32"/>
      <c r="AT107" s="32"/>
      <c r="AU107" s="32"/>
      <c r="AV107" s="32"/>
      <c r="AW107" s="32"/>
      <c r="AX107" s="32"/>
      <c r="AY107" s="32"/>
      <c r="AZ107" s="32"/>
      <c r="BA107" s="32"/>
      <c r="BB107" s="32"/>
      <c r="BC107" s="32"/>
      <c r="BD107" s="32"/>
      <c r="BE107" s="32"/>
      <c r="BF107" s="32"/>
      <c r="BG107" s="32"/>
      <c r="BH107" s="32"/>
    </row>
    <row r="108" spans="1:60" x14ac:dyDescent="0.25">
      <c r="A108" s="32"/>
      <c r="B108" s="371">
        <v>42627</v>
      </c>
      <c r="C108" s="371">
        <v>42633</v>
      </c>
      <c r="E108" s="33">
        <v>1652</v>
      </c>
      <c r="F108" s="33">
        <v>3</v>
      </c>
      <c r="H108" s="33">
        <v>3744</v>
      </c>
      <c r="I108" s="33">
        <v>1137</v>
      </c>
      <c r="K108" s="33">
        <v>2182</v>
      </c>
      <c r="L108" s="33">
        <v>401</v>
      </c>
      <c r="N108" s="33">
        <v>1012</v>
      </c>
      <c r="O108" s="33">
        <v>181</v>
      </c>
      <c r="Q108" s="463">
        <v>3431</v>
      </c>
      <c r="R108" s="463">
        <v>986</v>
      </c>
      <c r="S108" s="464"/>
      <c r="T108" s="463">
        <v>1918</v>
      </c>
      <c r="U108" s="463">
        <v>721</v>
      </c>
      <c r="V108" s="464"/>
      <c r="W108" s="463">
        <v>726</v>
      </c>
      <c r="X108" s="463">
        <v>165</v>
      </c>
      <c r="Y108" s="464"/>
      <c r="Z108" s="463">
        <v>624</v>
      </c>
      <c r="AA108" s="463">
        <v>91</v>
      </c>
      <c r="AB108" s="464"/>
      <c r="AC108" s="463">
        <v>1115</v>
      </c>
      <c r="AD108" s="463">
        <v>406</v>
      </c>
      <c r="AF108" s="413">
        <v>2407</v>
      </c>
      <c r="AG108" s="33">
        <v>469</v>
      </c>
      <c r="AH108" s="466"/>
      <c r="AI108" s="33">
        <v>934</v>
      </c>
      <c r="AJ108" s="33">
        <v>712</v>
      </c>
      <c r="AK108" s="32"/>
      <c r="AL108" s="32"/>
      <c r="AM108" s="32"/>
      <c r="AN108" s="32"/>
      <c r="AO108" s="32"/>
      <c r="AP108" s="32"/>
      <c r="AQ108" s="32"/>
      <c r="AR108" s="32"/>
      <c r="AS108" s="32"/>
      <c r="AT108" s="32"/>
      <c r="AU108" s="32"/>
      <c r="AV108" s="32"/>
      <c r="AW108" s="32"/>
      <c r="AX108" s="32"/>
      <c r="AY108" s="32"/>
      <c r="AZ108" s="32"/>
      <c r="BA108" s="32"/>
      <c r="BB108" s="32"/>
      <c r="BC108" s="32"/>
      <c r="BD108" s="32"/>
      <c r="BE108" s="32"/>
      <c r="BF108" s="32"/>
      <c r="BG108" s="32"/>
      <c r="BH108" s="32"/>
    </row>
    <row r="109" spans="1:60" x14ac:dyDescent="0.25">
      <c r="A109" s="32"/>
      <c r="B109" s="371">
        <v>42634</v>
      </c>
      <c r="C109" s="371">
        <v>42640</v>
      </c>
      <c r="E109" s="33">
        <v>1545</v>
      </c>
      <c r="F109" s="33">
        <v>1</v>
      </c>
      <c r="H109" s="33">
        <v>3510</v>
      </c>
      <c r="I109" s="33">
        <v>1224</v>
      </c>
      <c r="K109" s="33">
        <v>1777</v>
      </c>
      <c r="L109" s="33">
        <v>358</v>
      </c>
      <c r="N109" s="33">
        <v>932</v>
      </c>
      <c r="O109" s="33">
        <v>164</v>
      </c>
      <c r="Q109" s="463">
        <v>3294</v>
      </c>
      <c r="R109" s="463">
        <v>1100</v>
      </c>
      <c r="S109" s="464"/>
      <c r="T109" s="463">
        <v>1898</v>
      </c>
      <c r="U109" s="463">
        <v>825</v>
      </c>
      <c r="V109" s="464"/>
      <c r="W109" s="463">
        <v>742</v>
      </c>
      <c r="X109" s="463">
        <v>198</v>
      </c>
      <c r="Y109" s="464"/>
      <c r="Z109" s="463">
        <v>569</v>
      </c>
      <c r="AA109" s="463">
        <v>51</v>
      </c>
      <c r="AB109" s="464"/>
      <c r="AC109" s="463">
        <v>960</v>
      </c>
      <c r="AD109" s="463">
        <v>320</v>
      </c>
      <c r="AF109" s="413">
        <v>2138</v>
      </c>
      <c r="AG109" s="33">
        <v>426</v>
      </c>
      <c r="AH109" s="466"/>
      <c r="AI109" s="33">
        <v>4637</v>
      </c>
      <c r="AJ109" s="33">
        <v>1977</v>
      </c>
      <c r="AK109" s="32"/>
      <c r="AL109" s="32"/>
      <c r="AM109" s="32"/>
      <c r="AN109" s="32"/>
      <c r="AO109" s="32"/>
      <c r="AP109" s="32"/>
      <c r="AQ109" s="32"/>
      <c r="AR109" s="32"/>
      <c r="AS109" s="32"/>
      <c r="AT109" s="32"/>
      <c r="AU109" s="32"/>
      <c r="AV109" s="32"/>
      <c r="AW109" s="32"/>
      <c r="AX109" s="32"/>
      <c r="AY109" s="32"/>
      <c r="AZ109" s="32"/>
      <c r="BA109" s="32"/>
      <c r="BB109" s="32"/>
      <c r="BC109" s="32"/>
      <c r="BD109" s="32"/>
      <c r="BE109" s="32"/>
      <c r="BF109" s="32"/>
      <c r="BG109" s="32"/>
      <c r="BH109" s="32"/>
    </row>
    <row r="110" spans="1:60" x14ac:dyDescent="0.25">
      <c r="A110" s="32"/>
      <c r="B110" s="371">
        <v>42641</v>
      </c>
      <c r="C110" s="371">
        <v>42647</v>
      </c>
      <c r="E110" s="33">
        <v>1493</v>
      </c>
      <c r="F110" s="33">
        <v>4</v>
      </c>
      <c r="H110" s="33">
        <v>3492</v>
      </c>
      <c r="I110" s="33">
        <v>1159</v>
      </c>
      <c r="K110" s="33">
        <v>1875</v>
      </c>
      <c r="L110" s="33">
        <v>362</v>
      </c>
      <c r="N110" s="33">
        <v>1036</v>
      </c>
      <c r="O110" s="33">
        <v>150</v>
      </c>
      <c r="Q110" s="463">
        <v>3828</v>
      </c>
      <c r="R110" s="463">
        <v>1246</v>
      </c>
      <c r="S110" s="464"/>
      <c r="T110" s="463">
        <v>1714</v>
      </c>
      <c r="U110" s="463">
        <v>659</v>
      </c>
      <c r="V110" s="464"/>
      <c r="W110" s="463">
        <v>754</v>
      </c>
      <c r="X110" s="463">
        <v>153</v>
      </c>
      <c r="Y110" s="464"/>
      <c r="Z110" s="463">
        <v>672</v>
      </c>
      <c r="AA110" s="463">
        <v>86</v>
      </c>
      <c r="AB110" s="464"/>
      <c r="AC110" s="463">
        <v>1123</v>
      </c>
      <c r="AD110" s="463">
        <v>384</v>
      </c>
      <c r="AF110" s="413">
        <v>2210</v>
      </c>
      <c r="AG110" s="33">
        <v>416</v>
      </c>
      <c r="AH110" s="466"/>
      <c r="AI110" s="33">
        <v>1619</v>
      </c>
      <c r="AJ110" s="33">
        <v>885</v>
      </c>
      <c r="AK110" s="32"/>
      <c r="AL110" s="32"/>
      <c r="AM110" s="32"/>
      <c r="AN110" s="32"/>
      <c r="AO110" s="32"/>
      <c r="AP110" s="32"/>
      <c r="AQ110" s="32"/>
      <c r="AR110" s="32"/>
      <c r="AS110" s="32"/>
      <c r="AT110" s="32"/>
      <c r="AU110" s="32"/>
      <c r="AV110" s="32"/>
      <c r="AW110" s="32"/>
      <c r="AX110" s="32"/>
      <c r="AY110" s="32"/>
      <c r="AZ110" s="32"/>
      <c r="BA110" s="32"/>
      <c r="BB110" s="32"/>
      <c r="BC110" s="32"/>
      <c r="BD110" s="32"/>
      <c r="BE110" s="32"/>
      <c r="BF110" s="32"/>
      <c r="BG110" s="32"/>
      <c r="BH110" s="32"/>
    </row>
    <row r="111" spans="1:60" x14ac:dyDescent="0.25">
      <c r="A111" s="32"/>
      <c r="B111" s="371">
        <v>42648</v>
      </c>
      <c r="C111" s="371">
        <v>42654</v>
      </c>
      <c r="E111" s="33">
        <v>1331</v>
      </c>
      <c r="F111" s="33">
        <v>3</v>
      </c>
      <c r="H111" s="33">
        <v>2744</v>
      </c>
      <c r="I111" s="33">
        <v>880</v>
      </c>
      <c r="K111" s="33">
        <v>1424</v>
      </c>
      <c r="L111" s="33">
        <v>341</v>
      </c>
      <c r="N111" s="33">
        <v>781</v>
      </c>
      <c r="O111" s="33">
        <v>138</v>
      </c>
      <c r="Q111" s="463">
        <v>2994</v>
      </c>
      <c r="R111" s="463">
        <v>977</v>
      </c>
      <c r="S111" s="464"/>
      <c r="T111" s="463">
        <v>1451</v>
      </c>
      <c r="U111" s="463">
        <v>652</v>
      </c>
      <c r="V111" s="464"/>
      <c r="W111" s="463">
        <v>598</v>
      </c>
      <c r="X111" s="463">
        <v>129</v>
      </c>
      <c r="Y111" s="464"/>
      <c r="Z111" s="463">
        <v>469</v>
      </c>
      <c r="AA111" s="463">
        <v>49</v>
      </c>
      <c r="AB111" s="464"/>
      <c r="AC111" s="463">
        <v>823</v>
      </c>
      <c r="AD111" s="463">
        <v>251</v>
      </c>
      <c r="AF111" s="413">
        <v>1921</v>
      </c>
      <c r="AG111" s="33">
        <v>385</v>
      </c>
      <c r="AH111" s="466"/>
      <c r="AI111" s="33">
        <v>944</v>
      </c>
      <c r="AJ111" s="33">
        <v>593</v>
      </c>
      <c r="AK111" s="32"/>
      <c r="AL111" s="32"/>
      <c r="AM111" s="32"/>
      <c r="AN111" s="32"/>
      <c r="AO111" s="32"/>
      <c r="AP111" s="32"/>
      <c r="AQ111" s="32"/>
      <c r="AR111" s="32"/>
      <c r="AS111" s="32"/>
      <c r="AT111" s="32"/>
      <c r="AU111" s="32"/>
      <c r="AV111" s="32"/>
      <c r="AW111" s="32"/>
      <c r="AX111" s="32"/>
      <c r="AY111" s="32"/>
      <c r="AZ111" s="32"/>
      <c r="BA111" s="32"/>
      <c r="BB111" s="32"/>
      <c r="BC111" s="32"/>
      <c r="BD111" s="32"/>
      <c r="BE111" s="32"/>
      <c r="BF111" s="32"/>
      <c r="BG111" s="32"/>
      <c r="BH111" s="32"/>
    </row>
    <row r="112" spans="1:60" x14ac:dyDescent="0.25">
      <c r="A112" s="32"/>
      <c r="B112" s="371">
        <v>42655</v>
      </c>
      <c r="C112" s="371">
        <v>42661</v>
      </c>
      <c r="E112" s="33">
        <v>1412</v>
      </c>
      <c r="F112" s="33">
        <v>2</v>
      </c>
      <c r="H112" s="33">
        <v>3027</v>
      </c>
      <c r="I112" s="33">
        <v>980</v>
      </c>
      <c r="K112" s="33">
        <v>1655</v>
      </c>
      <c r="L112" s="33">
        <v>392</v>
      </c>
      <c r="N112" s="33">
        <v>846</v>
      </c>
      <c r="O112" s="33">
        <v>170</v>
      </c>
      <c r="Q112" s="463">
        <v>3161</v>
      </c>
      <c r="R112" s="463">
        <v>1070</v>
      </c>
      <c r="S112" s="464"/>
      <c r="T112" s="463">
        <v>1477</v>
      </c>
      <c r="U112" s="463">
        <v>585</v>
      </c>
      <c r="V112" s="464"/>
      <c r="W112" s="463">
        <v>643</v>
      </c>
      <c r="X112" s="463">
        <v>142</v>
      </c>
      <c r="Y112" s="464"/>
      <c r="Z112" s="463">
        <v>587</v>
      </c>
      <c r="AA112" s="463">
        <v>74</v>
      </c>
      <c r="AB112" s="464"/>
      <c r="AC112" s="463">
        <v>852</v>
      </c>
      <c r="AD112" s="463">
        <v>342</v>
      </c>
      <c r="AF112" s="413">
        <v>2021</v>
      </c>
      <c r="AG112" s="33">
        <v>390</v>
      </c>
      <c r="AH112" s="466"/>
      <c r="AI112" s="33">
        <v>925</v>
      </c>
      <c r="AJ112" s="33">
        <v>659</v>
      </c>
      <c r="AK112" s="32"/>
      <c r="AL112" s="32"/>
      <c r="AM112" s="32"/>
      <c r="AN112" s="32"/>
      <c r="AO112" s="32"/>
      <c r="AP112" s="32"/>
      <c r="AQ112" s="32"/>
      <c r="AR112" s="32"/>
      <c r="AS112" s="32"/>
      <c r="AT112" s="32"/>
      <c r="AU112" s="32"/>
      <c r="AV112" s="32"/>
      <c r="AW112" s="32"/>
      <c r="AX112" s="32"/>
      <c r="AY112" s="32"/>
      <c r="AZ112" s="32"/>
      <c r="BA112" s="32"/>
      <c r="BB112" s="32"/>
      <c r="BC112" s="32"/>
      <c r="BD112" s="32"/>
      <c r="BE112" s="32"/>
      <c r="BF112" s="32"/>
      <c r="BG112" s="32"/>
      <c r="BH112" s="32"/>
    </row>
    <row r="113" spans="1:60" x14ac:dyDescent="0.25">
      <c r="A113" s="32"/>
      <c r="B113" s="371">
        <v>42662</v>
      </c>
      <c r="C113" s="371">
        <v>42668</v>
      </c>
      <c r="E113" s="33">
        <v>1434</v>
      </c>
      <c r="F113" s="33">
        <v>3</v>
      </c>
      <c r="H113" s="33">
        <v>3183</v>
      </c>
      <c r="I113" s="33">
        <v>1092</v>
      </c>
      <c r="K113" s="33">
        <v>1640</v>
      </c>
      <c r="L113" s="33">
        <v>305</v>
      </c>
      <c r="N113" s="33">
        <v>877</v>
      </c>
      <c r="O113" s="33">
        <v>177</v>
      </c>
      <c r="Q113" s="463">
        <v>3301</v>
      </c>
      <c r="R113" s="463">
        <v>1025</v>
      </c>
      <c r="S113" s="464"/>
      <c r="T113" s="463">
        <v>1519</v>
      </c>
      <c r="U113" s="463">
        <v>664</v>
      </c>
      <c r="V113" s="464"/>
      <c r="W113" s="463">
        <v>586</v>
      </c>
      <c r="X113" s="463">
        <v>162</v>
      </c>
      <c r="Y113" s="464"/>
      <c r="Z113" s="463">
        <v>494</v>
      </c>
      <c r="AA113" s="463">
        <v>66</v>
      </c>
      <c r="AB113" s="464"/>
      <c r="AC113" s="463">
        <v>911</v>
      </c>
      <c r="AD113" s="463">
        <v>306</v>
      </c>
      <c r="AF113" s="413">
        <v>2119</v>
      </c>
      <c r="AG113" s="33">
        <v>346</v>
      </c>
      <c r="AH113" s="466"/>
      <c r="AI113" s="33">
        <v>890</v>
      </c>
      <c r="AJ113" s="33">
        <v>683</v>
      </c>
      <c r="AK113" s="32"/>
      <c r="AL113" s="32"/>
      <c r="AM113" s="32"/>
      <c r="AN113" s="32"/>
      <c r="AO113" s="32"/>
      <c r="AP113" s="32"/>
      <c r="AQ113" s="32"/>
      <c r="AR113" s="32"/>
      <c r="AS113" s="32"/>
      <c r="AT113" s="32"/>
      <c r="AU113" s="32"/>
      <c r="AV113" s="32"/>
      <c r="AW113" s="32"/>
      <c r="AX113" s="32"/>
      <c r="AY113" s="32"/>
      <c r="AZ113" s="32"/>
      <c r="BA113" s="32"/>
      <c r="BB113" s="32"/>
      <c r="BC113" s="32"/>
      <c r="BD113" s="32"/>
      <c r="BE113" s="32"/>
      <c r="BF113" s="32"/>
      <c r="BG113" s="32"/>
      <c r="BH113" s="32"/>
    </row>
    <row r="114" spans="1:60" x14ac:dyDescent="0.25">
      <c r="A114" s="32"/>
      <c r="B114" s="371">
        <v>42669</v>
      </c>
      <c r="C114" s="371">
        <v>42675</v>
      </c>
      <c r="E114" s="33">
        <v>1501</v>
      </c>
      <c r="F114" s="33">
        <v>3</v>
      </c>
      <c r="H114" s="33">
        <v>3443</v>
      </c>
      <c r="I114" s="33">
        <v>1200</v>
      </c>
      <c r="K114" s="33">
        <v>1589</v>
      </c>
      <c r="L114" s="33">
        <v>274</v>
      </c>
      <c r="N114" s="33">
        <v>789</v>
      </c>
      <c r="O114" s="33">
        <v>133</v>
      </c>
      <c r="Q114" s="463">
        <v>3313</v>
      </c>
      <c r="R114" s="463">
        <v>921</v>
      </c>
      <c r="S114" s="464"/>
      <c r="T114" s="463">
        <v>1429</v>
      </c>
      <c r="U114" s="463">
        <v>575</v>
      </c>
      <c r="V114" s="464"/>
      <c r="W114" s="463">
        <v>631</v>
      </c>
      <c r="X114" s="463">
        <v>129</v>
      </c>
      <c r="Y114" s="464"/>
      <c r="Z114" s="463">
        <v>537</v>
      </c>
      <c r="AA114" s="463">
        <v>67</v>
      </c>
      <c r="AB114" s="464"/>
      <c r="AC114" s="463">
        <v>921</v>
      </c>
      <c r="AD114" s="463">
        <v>276</v>
      </c>
      <c r="AF114" s="413">
        <v>2166</v>
      </c>
      <c r="AG114" s="33">
        <v>318</v>
      </c>
      <c r="AH114" s="466"/>
      <c r="AI114" s="33">
        <v>950</v>
      </c>
      <c r="AJ114" s="33">
        <v>737</v>
      </c>
      <c r="AK114" s="32"/>
      <c r="AL114" s="32"/>
      <c r="AM114" s="32"/>
      <c r="AN114" s="32"/>
      <c r="AO114" s="32"/>
      <c r="AP114" s="32"/>
      <c r="AQ114" s="32"/>
      <c r="AR114" s="32"/>
      <c r="AS114" s="32"/>
      <c r="AT114" s="32"/>
      <c r="AU114" s="32"/>
      <c r="AV114" s="32"/>
      <c r="AW114" s="32"/>
      <c r="AX114" s="32"/>
      <c r="AY114" s="32"/>
      <c r="AZ114" s="32"/>
      <c r="BA114" s="32"/>
      <c r="BB114" s="32"/>
      <c r="BC114" s="32"/>
      <c r="BD114" s="32"/>
      <c r="BE114" s="32"/>
      <c r="BF114" s="32"/>
      <c r="BG114" s="32"/>
      <c r="BH114" s="32"/>
    </row>
    <row r="115" spans="1:60" x14ac:dyDescent="0.25">
      <c r="A115" s="32"/>
      <c r="B115" s="371">
        <v>42676</v>
      </c>
      <c r="C115" s="371">
        <v>42682</v>
      </c>
      <c r="E115" s="33">
        <v>1550</v>
      </c>
      <c r="F115" s="33">
        <v>2</v>
      </c>
      <c r="H115" s="33">
        <v>3574</v>
      </c>
      <c r="I115" s="33">
        <v>1179</v>
      </c>
      <c r="K115" s="33">
        <v>1785</v>
      </c>
      <c r="L115" s="33">
        <v>383</v>
      </c>
      <c r="N115" s="33">
        <v>761</v>
      </c>
      <c r="O115" s="33">
        <v>118</v>
      </c>
      <c r="Q115" s="463">
        <v>3615</v>
      </c>
      <c r="R115" s="463">
        <v>1173</v>
      </c>
      <c r="S115" s="464"/>
      <c r="T115" s="463">
        <v>1582</v>
      </c>
      <c r="U115" s="463">
        <v>651</v>
      </c>
      <c r="V115" s="464"/>
      <c r="W115" s="463">
        <v>649</v>
      </c>
      <c r="X115" s="463">
        <v>163</v>
      </c>
      <c r="Y115" s="464"/>
      <c r="Z115" s="463">
        <v>629</v>
      </c>
      <c r="AA115" s="463">
        <v>61</v>
      </c>
      <c r="AB115" s="464"/>
      <c r="AC115" s="463">
        <v>956</v>
      </c>
      <c r="AD115" s="463">
        <v>293</v>
      </c>
      <c r="AF115" s="413">
        <v>2210</v>
      </c>
      <c r="AG115" s="33">
        <v>374</v>
      </c>
      <c r="AH115" s="466"/>
      <c r="AI115" s="33">
        <v>2553</v>
      </c>
      <c r="AJ115" s="33">
        <v>1167</v>
      </c>
      <c r="AK115" s="32"/>
      <c r="AL115" s="32"/>
      <c r="AM115" s="32"/>
      <c r="AN115" s="32"/>
      <c r="AO115" s="32"/>
      <c r="AP115" s="32"/>
      <c r="AQ115" s="32"/>
      <c r="AR115" s="32"/>
      <c r="AS115" s="32"/>
      <c r="AT115" s="32"/>
      <c r="AU115" s="32"/>
      <c r="AV115" s="32"/>
      <c r="AW115" s="32"/>
      <c r="AX115" s="32"/>
      <c r="AY115" s="32"/>
      <c r="AZ115" s="32"/>
      <c r="BA115" s="32"/>
      <c r="BB115" s="32"/>
      <c r="BC115" s="32"/>
      <c r="BD115" s="32"/>
      <c r="BE115" s="32"/>
      <c r="BF115" s="32"/>
      <c r="BG115" s="32"/>
      <c r="BH115" s="32"/>
    </row>
    <row r="116" spans="1:60" x14ac:dyDescent="0.25">
      <c r="A116" s="32"/>
      <c r="B116" s="371">
        <v>42683</v>
      </c>
      <c r="C116" s="371">
        <v>42689</v>
      </c>
      <c r="E116" s="33">
        <v>4108</v>
      </c>
      <c r="F116" s="33">
        <v>7</v>
      </c>
      <c r="H116" s="33">
        <v>8023</v>
      </c>
      <c r="I116" s="33">
        <v>2461</v>
      </c>
      <c r="K116" s="33">
        <v>5436</v>
      </c>
      <c r="L116" s="33">
        <v>931</v>
      </c>
      <c r="N116" s="33">
        <v>5975</v>
      </c>
      <c r="O116" s="33">
        <v>1125</v>
      </c>
      <c r="Q116" s="463">
        <v>17650</v>
      </c>
      <c r="R116" s="463">
        <v>5458</v>
      </c>
      <c r="S116" s="464"/>
      <c r="T116" s="463">
        <v>9267</v>
      </c>
      <c r="U116" s="463">
        <v>3720</v>
      </c>
      <c r="V116" s="464"/>
      <c r="W116" s="463">
        <v>8377</v>
      </c>
      <c r="X116" s="463">
        <v>1256</v>
      </c>
      <c r="Y116" s="464"/>
      <c r="Z116" s="463">
        <v>2527</v>
      </c>
      <c r="AA116" s="463">
        <v>232</v>
      </c>
      <c r="AB116" s="464"/>
      <c r="AC116" s="463">
        <v>2474</v>
      </c>
      <c r="AD116" s="463">
        <v>1019</v>
      </c>
      <c r="AF116" s="413">
        <v>5776</v>
      </c>
      <c r="AG116" s="33">
        <v>930</v>
      </c>
      <c r="AH116" s="466"/>
      <c r="AI116" s="33">
        <v>1123</v>
      </c>
      <c r="AJ116" s="33">
        <v>735</v>
      </c>
      <c r="AK116" s="32"/>
      <c r="AL116" s="32"/>
      <c r="AM116" s="32"/>
      <c r="AN116" s="32"/>
      <c r="AO116" s="32"/>
      <c r="AP116" s="32"/>
      <c r="AQ116" s="32"/>
      <c r="AR116" s="32"/>
      <c r="AS116" s="32"/>
      <c r="AT116" s="32"/>
      <c r="AU116" s="32"/>
      <c r="AV116" s="32"/>
      <c r="AW116" s="32"/>
      <c r="AX116" s="32"/>
      <c r="AY116" s="32"/>
      <c r="AZ116" s="32"/>
      <c r="BA116" s="32"/>
      <c r="BB116" s="32"/>
      <c r="BC116" s="32"/>
      <c r="BD116" s="32"/>
      <c r="BE116" s="32"/>
      <c r="BF116" s="32"/>
      <c r="BG116" s="32"/>
      <c r="BH116" s="32"/>
    </row>
    <row r="117" spans="1:60" x14ac:dyDescent="0.25">
      <c r="A117" s="32"/>
      <c r="B117" s="371">
        <v>42690</v>
      </c>
      <c r="C117" s="371">
        <v>42696</v>
      </c>
      <c r="E117" s="33">
        <v>1363</v>
      </c>
      <c r="F117" s="33">
        <v>2</v>
      </c>
      <c r="H117" s="33">
        <v>2826</v>
      </c>
      <c r="I117" s="33">
        <v>978</v>
      </c>
      <c r="K117" s="33">
        <v>1667</v>
      </c>
      <c r="L117" s="33">
        <v>375</v>
      </c>
      <c r="N117" s="33">
        <v>791</v>
      </c>
      <c r="O117" s="33">
        <v>123</v>
      </c>
      <c r="Q117" s="463">
        <v>3720</v>
      </c>
      <c r="R117" s="463">
        <v>1265</v>
      </c>
      <c r="S117" s="464"/>
      <c r="T117" s="463">
        <v>1682</v>
      </c>
      <c r="U117" s="463">
        <v>685</v>
      </c>
      <c r="V117" s="464"/>
      <c r="W117" s="463">
        <v>815</v>
      </c>
      <c r="X117" s="463">
        <v>136</v>
      </c>
      <c r="Y117" s="464"/>
      <c r="Z117" s="463">
        <v>449</v>
      </c>
      <c r="AA117" s="463">
        <v>49</v>
      </c>
      <c r="AB117" s="464"/>
      <c r="AC117" s="463">
        <v>819</v>
      </c>
      <c r="AD117" s="463">
        <v>263</v>
      </c>
      <c r="AF117" s="413">
        <v>2013</v>
      </c>
      <c r="AG117" s="33">
        <v>321</v>
      </c>
      <c r="AH117" s="466"/>
      <c r="AI117" s="33">
        <v>1132</v>
      </c>
      <c r="AJ117" s="33">
        <v>839</v>
      </c>
      <c r="AK117" s="32"/>
      <c r="AL117" s="32"/>
      <c r="AM117" s="32"/>
      <c r="AN117" s="32"/>
      <c r="AO117" s="32"/>
      <c r="AP117" s="32"/>
      <c r="AQ117" s="32"/>
      <c r="AR117" s="32"/>
      <c r="AS117" s="32"/>
      <c r="AT117" s="32"/>
      <c r="AU117" s="32"/>
      <c r="AV117" s="32"/>
      <c r="AW117" s="32"/>
      <c r="AX117" s="32"/>
      <c r="AY117" s="32"/>
      <c r="AZ117" s="32"/>
      <c r="BA117" s="32"/>
      <c r="BB117" s="32"/>
      <c r="BC117" s="32"/>
      <c r="BD117" s="32"/>
      <c r="BE117" s="32"/>
      <c r="BF117" s="32"/>
      <c r="BG117" s="32"/>
      <c r="BH117" s="32"/>
    </row>
    <row r="118" spans="1:60" x14ac:dyDescent="0.25">
      <c r="A118" s="32"/>
      <c r="B118" s="371">
        <v>42697</v>
      </c>
      <c r="C118" s="371">
        <v>42704</v>
      </c>
      <c r="E118" s="33">
        <v>1126</v>
      </c>
      <c r="F118" s="33">
        <v>3</v>
      </c>
      <c r="H118" s="33">
        <v>2447</v>
      </c>
      <c r="I118" s="33">
        <v>855</v>
      </c>
      <c r="K118" s="33">
        <v>1323</v>
      </c>
      <c r="L118" s="33">
        <v>298</v>
      </c>
      <c r="N118" s="33">
        <v>611</v>
      </c>
      <c r="O118" s="33">
        <v>107</v>
      </c>
      <c r="Q118" s="463">
        <v>3027</v>
      </c>
      <c r="R118" s="463">
        <v>868</v>
      </c>
      <c r="S118" s="464"/>
      <c r="T118" s="463">
        <v>1318</v>
      </c>
      <c r="U118" s="463">
        <v>582</v>
      </c>
      <c r="V118" s="464"/>
      <c r="W118" s="463">
        <v>558</v>
      </c>
      <c r="X118" s="463">
        <v>113</v>
      </c>
      <c r="Y118" s="464"/>
      <c r="Z118" s="463">
        <v>368</v>
      </c>
      <c r="AA118" s="463">
        <v>43</v>
      </c>
      <c r="AB118" s="464"/>
      <c r="AC118" s="463">
        <v>655</v>
      </c>
      <c r="AD118" s="463">
        <v>203</v>
      </c>
      <c r="AF118" s="413">
        <v>1735</v>
      </c>
      <c r="AG118" s="33">
        <v>340</v>
      </c>
      <c r="AH118" s="466"/>
      <c r="AI118" s="33">
        <v>814</v>
      </c>
      <c r="AJ118" s="33">
        <v>582</v>
      </c>
      <c r="AK118" s="32"/>
      <c r="AL118" s="32"/>
      <c r="AM118" s="32"/>
      <c r="AN118" s="32"/>
      <c r="AO118" s="32"/>
      <c r="AP118" s="32"/>
      <c r="AQ118" s="32"/>
      <c r="AR118" s="32"/>
      <c r="AS118" s="32"/>
      <c r="AT118" s="32"/>
      <c r="AU118" s="32"/>
      <c r="AV118" s="32"/>
      <c r="AW118" s="32"/>
      <c r="AX118" s="32"/>
      <c r="AY118" s="32"/>
      <c r="AZ118" s="32"/>
      <c r="BA118" s="32"/>
      <c r="BB118" s="32"/>
      <c r="BC118" s="32"/>
      <c r="BD118" s="32"/>
      <c r="BE118" s="32"/>
      <c r="BF118" s="32"/>
      <c r="BG118" s="32"/>
      <c r="BH118" s="32"/>
    </row>
    <row r="119" spans="1:60" x14ac:dyDescent="0.25">
      <c r="B119" s="370">
        <v>42705</v>
      </c>
      <c r="C119" s="370">
        <v>42711</v>
      </c>
      <c r="D119" s="409"/>
      <c r="E119" s="33">
        <v>1077</v>
      </c>
      <c r="F119" s="33">
        <v>1</v>
      </c>
      <c r="G119" s="409"/>
      <c r="H119" s="33">
        <v>2183</v>
      </c>
      <c r="I119" s="33">
        <v>769</v>
      </c>
      <c r="J119" s="409"/>
      <c r="K119" s="33">
        <v>981</v>
      </c>
      <c r="L119" s="33">
        <v>222</v>
      </c>
      <c r="N119" s="33">
        <v>507</v>
      </c>
      <c r="O119" s="33">
        <v>64</v>
      </c>
      <c r="P119" s="409"/>
      <c r="Q119" s="463">
        <v>2308</v>
      </c>
      <c r="R119" s="463">
        <v>728</v>
      </c>
      <c r="S119" s="464"/>
      <c r="T119" s="463">
        <v>1036</v>
      </c>
      <c r="U119" s="463">
        <v>401</v>
      </c>
      <c r="V119" s="464"/>
      <c r="W119" s="463">
        <v>616</v>
      </c>
      <c r="X119" s="463">
        <v>127</v>
      </c>
      <c r="Y119" s="464"/>
      <c r="Z119" s="463">
        <v>591</v>
      </c>
      <c r="AA119" s="463">
        <v>61</v>
      </c>
      <c r="AB119" s="464"/>
      <c r="AC119" s="463">
        <v>536</v>
      </c>
      <c r="AD119" s="463">
        <v>205</v>
      </c>
      <c r="AE119" s="409"/>
      <c r="AF119" s="413">
        <v>1265</v>
      </c>
      <c r="AG119" s="33">
        <v>225</v>
      </c>
      <c r="AI119" s="33">
        <v>467</v>
      </c>
      <c r="AJ119" s="33">
        <v>342</v>
      </c>
    </row>
    <row r="120" spans="1:60" x14ac:dyDescent="0.25">
      <c r="B120" s="370">
        <v>42712</v>
      </c>
      <c r="C120" s="370">
        <v>42718</v>
      </c>
      <c r="D120" s="409"/>
      <c r="E120" s="33">
        <v>1553</v>
      </c>
      <c r="F120" s="33">
        <v>4</v>
      </c>
      <c r="G120" s="409"/>
      <c r="H120" s="33">
        <v>3441</v>
      </c>
      <c r="I120" s="33">
        <v>1238</v>
      </c>
      <c r="J120" s="409"/>
      <c r="K120" s="33">
        <v>2425</v>
      </c>
      <c r="L120" s="33">
        <v>588</v>
      </c>
      <c r="M120" s="409"/>
      <c r="N120" s="33">
        <v>1635</v>
      </c>
      <c r="O120" s="33">
        <v>360</v>
      </c>
      <c r="P120" s="409"/>
      <c r="Q120" s="463">
        <v>3555</v>
      </c>
      <c r="R120" s="463">
        <v>1294</v>
      </c>
      <c r="S120" s="464"/>
      <c r="T120" s="463">
        <v>1567</v>
      </c>
      <c r="U120" s="463">
        <v>655</v>
      </c>
      <c r="V120" s="464"/>
      <c r="W120" s="463">
        <v>704</v>
      </c>
      <c r="X120" s="463">
        <v>149</v>
      </c>
      <c r="Y120" s="464"/>
      <c r="Z120" s="463">
        <v>660</v>
      </c>
      <c r="AA120" s="463">
        <v>76</v>
      </c>
      <c r="AB120" s="464"/>
      <c r="AC120" s="463">
        <v>807</v>
      </c>
      <c r="AD120" s="463">
        <v>375</v>
      </c>
      <c r="AE120" s="409"/>
      <c r="AF120" s="413">
        <v>2090</v>
      </c>
      <c r="AG120" s="33">
        <v>521</v>
      </c>
      <c r="AH120" s="409"/>
      <c r="AI120" s="33">
        <v>893</v>
      </c>
      <c r="AJ120" s="33">
        <v>699</v>
      </c>
    </row>
    <row r="121" spans="1:60" x14ac:dyDescent="0.25">
      <c r="B121" s="370">
        <v>42719</v>
      </c>
      <c r="C121" s="370">
        <v>42725</v>
      </c>
      <c r="D121" s="409"/>
      <c r="E121" s="33">
        <v>1454</v>
      </c>
      <c r="F121" s="33">
        <v>4</v>
      </c>
      <c r="G121" s="409"/>
      <c r="H121" s="33">
        <v>3141</v>
      </c>
      <c r="I121" s="33">
        <v>1085</v>
      </c>
      <c r="J121" s="409"/>
      <c r="K121" s="33">
        <v>2666</v>
      </c>
      <c r="L121" s="33">
        <v>648</v>
      </c>
      <c r="M121" s="409"/>
      <c r="N121" s="33">
        <v>21329</v>
      </c>
      <c r="O121" s="33">
        <v>5370</v>
      </c>
      <c r="P121" s="409"/>
      <c r="Q121" s="463">
        <v>3291</v>
      </c>
      <c r="R121" s="463">
        <v>1112</v>
      </c>
      <c r="S121" s="464"/>
      <c r="T121" s="463">
        <v>1660</v>
      </c>
      <c r="U121" s="463">
        <v>669</v>
      </c>
      <c r="V121" s="464"/>
      <c r="W121" s="463">
        <v>712</v>
      </c>
      <c r="X121" s="463">
        <v>146</v>
      </c>
      <c r="Y121" s="464"/>
      <c r="Z121" s="463">
        <v>536</v>
      </c>
      <c r="AA121" s="463">
        <v>60</v>
      </c>
      <c r="AB121" s="464"/>
      <c r="AC121" s="463">
        <v>727</v>
      </c>
      <c r="AD121" s="463">
        <v>309</v>
      </c>
      <c r="AE121" s="409"/>
      <c r="AF121" s="413">
        <v>2161</v>
      </c>
      <c r="AG121" s="33">
        <v>411</v>
      </c>
      <c r="AI121" s="33">
        <v>815</v>
      </c>
      <c r="AJ121" s="33">
        <v>639</v>
      </c>
    </row>
    <row r="122" spans="1:60" x14ac:dyDescent="0.25">
      <c r="B122" s="370">
        <v>42726</v>
      </c>
      <c r="C122" s="370">
        <v>42732</v>
      </c>
      <c r="D122" s="409"/>
      <c r="E122" s="33">
        <v>1162</v>
      </c>
      <c r="F122" s="33">
        <v>0</v>
      </c>
      <c r="G122" s="409"/>
      <c r="H122" s="33">
        <v>2237</v>
      </c>
      <c r="I122" s="33">
        <v>711</v>
      </c>
      <c r="J122" s="409"/>
      <c r="K122" s="33">
        <v>1431</v>
      </c>
      <c r="L122" s="33">
        <v>279</v>
      </c>
      <c r="M122" s="409"/>
      <c r="N122" s="33">
        <v>3395</v>
      </c>
      <c r="O122" s="33">
        <v>736</v>
      </c>
      <c r="P122" s="409"/>
      <c r="Q122" s="463">
        <v>2430</v>
      </c>
      <c r="R122" s="463">
        <v>828</v>
      </c>
      <c r="S122" s="464"/>
      <c r="T122" s="463">
        <v>1387</v>
      </c>
      <c r="U122" s="463">
        <v>550</v>
      </c>
      <c r="V122" s="464"/>
      <c r="W122" s="463">
        <v>517</v>
      </c>
      <c r="X122" s="463">
        <v>117</v>
      </c>
      <c r="Y122" s="464"/>
      <c r="Z122" s="463">
        <v>413</v>
      </c>
      <c r="AA122" s="463">
        <v>38</v>
      </c>
      <c r="AB122" s="464"/>
      <c r="AC122" s="463">
        <v>578</v>
      </c>
      <c r="AD122" s="463">
        <v>231</v>
      </c>
      <c r="AE122" s="409"/>
      <c r="AF122" s="413">
        <v>1445</v>
      </c>
      <c r="AG122" s="33">
        <v>256</v>
      </c>
      <c r="AI122" s="33">
        <v>604</v>
      </c>
      <c r="AJ122" s="33">
        <v>506</v>
      </c>
    </row>
    <row r="123" spans="1:60" x14ac:dyDescent="0.25">
      <c r="B123" s="370">
        <v>42733</v>
      </c>
      <c r="C123" s="372">
        <v>42373</v>
      </c>
      <c r="D123" s="409"/>
      <c r="E123" s="459">
        <v>1730</v>
      </c>
      <c r="F123" s="457">
        <v>5</v>
      </c>
      <c r="G123" s="448"/>
      <c r="H123" s="459">
        <v>3042</v>
      </c>
      <c r="I123" s="459">
        <v>1171</v>
      </c>
      <c r="J123" s="448"/>
      <c r="K123" s="459">
        <v>1925</v>
      </c>
      <c r="L123" s="457">
        <v>451</v>
      </c>
      <c r="M123" s="448"/>
      <c r="N123" s="459">
        <v>2191</v>
      </c>
      <c r="O123" s="457">
        <v>467</v>
      </c>
      <c r="P123" s="448"/>
      <c r="Q123" s="451">
        <v>3242</v>
      </c>
      <c r="R123" s="451">
        <v>1134</v>
      </c>
      <c r="S123" s="448"/>
      <c r="T123" s="451">
        <v>2098</v>
      </c>
      <c r="U123" s="450">
        <v>888</v>
      </c>
      <c r="V123" s="447"/>
      <c r="W123" s="450">
        <v>840</v>
      </c>
      <c r="X123" s="450">
        <v>167</v>
      </c>
      <c r="Y123" s="462"/>
      <c r="Z123" s="450">
        <v>618</v>
      </c>
      <c r="AA123" s="450">
        <v>68</v>
      </c>
      <c r="AB123" s="447"/>
      <c r="AC123" s="450">
        <v>849</v>
      </c>
      <c r="AD123" s="450">
        <v>369</v>
      </c>
      <c r="AE123" s="448"/>
      <c r="AF123" s="473">
        <v>2025</v>
      </c>
      <c r="AG123" s="457">
        <v>429</v>
      </c>
      <c r="AH123" s="447"/>
      <c r="AI123" s="457">
        <v>798</v>
      </c>
      <c r="AJ123" s="457">
        <v>714</v>
      </c>
    </row>
    <row r="124" spans="1:60" x14ac:dyDescent="0.25">
      <c r="B124" s="370">
        <v>42374</v>
      </c>
      <c r="C124" s="372">
        <v>42380</v>
      </c>
      <c r="D124" s="409"/>
      <c r="E124" s="459">
        <v>1920</v>
      </c>
      <c r="F124" s="457">
        <v>4</v>
      </c>
      <c r="G124" s="448"/>
      <c r="H124" s="459">
        <v>3479</v>
      </c>
      <c r="I124" s="459">
        <v>1371</v>
      </c>
      <c r="J124" s="448"/>
      <c r="K124" s="459">
        <v>2728</v>
      </c>
      <c r="L124" s="457">
        <v>733</v>
      </c>
      <c r="M124" s="448"/>
      <c r="N124" s="459">
        <v>2114</v>
      </c>
      <c r="O124" s="457">
        <v>385</v>
      </c>
      <c r="P124" s="448"/>
      <c r="Q124" s="451">
        <v>4115</v>
      </c>
      <c r="R124" s="451">
        <v>1414</v>
      </c>
      <c r="S124" s="448"/>
      <c r="T124" s="451">
        <v>2287</v>
      </c>
      <c r="U124" s="450">
        <v>868</v>
      </c>
      <c r="V124" s="447"/>
      <c r="W124" s="450">
        <v>855</v>
      </c>
      <c r="X124" s="450">
        <v>176</v>
      </c>
      <c r="Y124" s="447"/>
      <c r="Z124" s="450">
        <v>694</v>
      </c>
      <c r="AA124" s="450">
        <v>92</v>
      </c>
      <c r="AB124" s="447"/>
      <c r="AC124" s="450">
        <v>909</v>
      </c>
      <c r="AD124" s="450">
        <v>386</v>
      </c>
      <c r="AE124" s="448"/>
      <c r="AF124" s="473">
        <v>2458</v>
      </c>
      <c r="AG124" s="457">
        <v>481</v>
      </c>
      <c r="AH124" s="447"/>
      <c r="AI124" s="457">
        <v>862</v>
      </c>
      <c r="AJ124" s="457">
        <v>687</v>
      </c>
      <c r="AK124" s="32"/>
    </row>
    <row r="125" spans="1:60" x14ac:dyDescent="0.25">
      <c r="B125" s="370">
        <v>42381</v>
      </c>
      <c r="C125" s="372">
        <v>42387</v>
      </c>
      <c r="D125" s="409"/>
      <c r="E125" s="459">
        <v>1825</v>
      </c>
      <c r="F125" s="457">
        <v>1</v>
      </c>
      <c r="G125" s="448"/>
      <c r="H125" s="459">
        <v>3030</v>
      </c>
      <c r="I125" s="459">
        <v>1053</v>
      </c>
      <c r="J125" s="448"/>
      <c r="K125" s="459">
        <v>3556</v>
      </c>
      <c r="L125" s="457">
        <v>728</v>
      </c>
      <c r="M125" s="448"/>
      <c r="N125" s="459">
        <v>1623</v>
      </c>
      <c r="O125" s="457">
        <v>312</v>
      </c>
      <c r="P125" s="448"/>
      <c r="Q125" s="451">
        <v>3894</v>
      </c>
      <c r="R125" s="451">
        <v>1319</v>
      </c>
      <c r="S125" s="448"/>
      <c r="T125" s="451">
        <v>2176</v>
      </c>
      <c r="U125" s="450">
        <v>775</v>
      </c>
      <c r="V125" s="447"/>
      <c r="W125" s="450">
        <v>806</v>
      </c>
      <c r="X125" s="450">
        <v>128</v>
      </c>
      <c r="Y125" s="447"/>
      <c r="Z125" s="450">
        <v>677</v>
      </c>
      <c r="AA125" s="450">
        <v>70</v>
      </c>
      <c r="AB125" s="447"/>
      <c r="AC125" s="450">
        <v>852</v>
      </c>
      <c r="AD125" s="450">
        <v>354</v>
      </c>
      <c r="AE125" s="448"/>
      <c r="AF125" s="473">
        <v>2300</v>
      </c>
      <c r="AG125" s="457">
        <v>453</v>
      </c>
      <c r="AH125" s="447"/>
      <c r="AI125" s="457">
        <v>809</v>
      </c>
      <c r="AJ125" s="457">
        <v>629</v>
      </c>
    </row>
    <row r="126" spans="1:60" x14ac:dyDescent="0.25">
      <c r="B126" s="370">
        <v>42388</v>
      </c>
      <c r="C126" s="372">
        <v>42394</v>
      </c>
      <c r="D126" s="409"/>
      <c r="E126" s="459">
        <v>2122</v>
      </c>
      <c r="F126" s="457">
        <v>4</v>
      </c>
      <c r="G126" s="448"/>
      <c r="H126" s="459">
        <v>4086</v>
      </c>
      <c r="I126" s="459">
        <v>1627</v>
      </c>
      <c r="J126" s="448"/>
      <c r="K126" s="459">
        <v>3524</v>
      </c>
      <c r="L126" s="459">
        <v>1595</v>
      </c>
      <c r="M126" s="448"/>
      <c r="N126" s="459">
        <v>1823</v>
      </c>
      <c r="O126" s="457">
        <v>428</v>
      </c>
      <c r="P126" s="448"/>
      <c r="Q126" s="451">
        <v>4476</v>
      </c>
      <c r="R126" s="451">
        <v>1637</v>
      </c>
      <c r="S126" s="448"/>
      <c r="T126" s="451">
        <v>2509</v>
      </c>
      <c r="U126" s="451">
        <v>1079</v>
      </c>
      <c r="V126" s="448"/>
      <c r="W126" s="451">
        <v>1017</v>
      </c>
      <c r="X126" s="450">
        <v>278</v>
      </c>
      <c r="Y126" s="447"/>
      <c r="Z126" s="450">
        <v>810</v>
      </c>
      <c r="AA126" s="450">
        <v>85</v>
      </c>
      <c r="AB126" s="448"/>
      <c r="AC126" s="450">
        <v>997</v>
      </c>
      <c r="AD126" s="450">
        <v>472</v>
      </c>
      <c r="AE126" s="448"/>
      <c r="AF126" s="473">
        <v>2635</v>
      </c>
      <c r="AG126" s="457">
        <v>584</v>
      </c>
      <c r="AH126" s="447"/>
      <c r="AI126" s="457">
        <v>993</v>
      </c>
      <c r="AJ126" s="457">
        <v>871</v>
      </c>
    </row>
    <row r="127" spans="1:60" x14ac:dyDescent="0.25">
      <c r="B127" s="370">
        <v>42395</v>
      </c>
      <c r="C127" s="372">
        <v>42401</v>
      </c>
      <c r="D127" s="409"/>
      <c r="E127" s="451">
        <v>1933</v>
      </c>
      <c r="F127" s="450">
        <v>2</v>
      </c>
      <c r="G127" s="448"/>
      <c r="H127" s="451">
        <v>4327</v>
      </c>
      <c r="I127" s="451">
        <v>1529</v>
      </c>
      <c r="J127" s="448"/>
      <c r="K127" s="451">
        <v>3917</v>
      </c>
      <c r="L127" s="451">
        <v>1346</v>
      </c>
      <c r="M127" s="448"/>
      <c r="N127" s="451">
        <v>1461</v>
      </c>
      <c r="O127" s="450">
        <v>271</v>
      </c>
      <c r="P127" s="448"/>
      <c r="Q127" s="451">
        <v>3999</v>
      </c>
      <c r="R127" s="451">
        <v>1575</v>
      </c>
      <c r="S127" s="448"/>
      <c r="T127" s="451">
        <v>2201</v>
      </c>
      <c r="U127" s="450">
        <v>903</v>
      </c>
      <c r="V127" s="447"/>
      <c r="W127" s="450">
        <v>924</v>
      </c>
      <c r="X127" s="450">
        <v>208</v>
      </c>
      <c r="Y127" s="447"/>
      <c r="Z127" s="450">
        <v>770</v>
      </c>
      <c r="AA127" s="450">
        <v>92</v>
      </c>
      <c r="AB127" s="448"/>
      <c r="AC127" s="451">
        <v>1105</v>
      </c>
      <c r="AD127" s="450">
        <v>431</v>
      </c>
      <c r="AE127" s="448"/>
      <c r="AF127" s="452">
        <v>2461</v>
      </c>
      <c r="AG127" s="450">
        <v>520</v>
      </c>
      <c r="AH127" s="447"/>
      <c r="AI127" s="450">
        <v>887</v>
      </c>
      <c r="AJ127" s="450">
        <v>808</v>
      </c>
    </row>
    <row r="128" spans="1:60" x14ac:dyDescent="0.25">
      <c r="B128" s="370">
        <v>42402</v>
      </c>
      <c r="C128" s="372">
        <v>42408</v>
      </c>
      <c r="D128" s="409"/>
      <c r="E128" s="451">
        <v>1616</v>
      </c>
      <c r="F128" s="450">
        <v>3</v>
      </c>
      <c r="G128" s="448"/>
      <c r="H128" s="451">
        <v>3706</v>
      </c>
      <c r="I128" s="451">
        <v>1304</v>
      </c>
      <c r="J128" s="448"/>
      <c r="K128" s="451">
        <v>3681</v>
      </c>
      <c r="L128" s="451">
        <v>1500</v>
      </c>
      <c r="M128" s="448"/>
      <c r="N128" s="451">
        <v>1187</v>
      </c>
      <c r="O128" s="450">
        <v>251</v>
      </c>
      <c r="P128" s="448"/>
      <c r="Q128" s="451">
        <v>3503</v>
      </c>
      <c r="R128" s="451">
        <v>1171</v>
      </c>
      <c r="S128" s="448"/>
      <c r="T128" s="451">
        <v>2061</v>
      </c>
      <c r="U128" s="450">
        <v>791</v>
      </c>
      <c r="V128" s="447"/>
      <c r="W128" s="450">
        <v>762</v>
      </c>
      <c r="X128" s="450">
        <v>177</v>
      </c>
      <c r="Y128" s="447"/>
      <c r="Z128" s="450">
        <v>690</v>
      </c>
      <c r="AA128" s="450">
        <v>94</v>
      </c>
      <c r="AB128" s="447"/>
      <c r="AC128" s="450">
        <v>961</v>
      </c>
      <c r="AD128" s="450">
        <v>444</v>
      </c>
      <c r="AE128" s="448"/>
      <c r="AF128" s="452">
        <v>2137</v>
      </c>
      <c r="AG128" s="450">
        <v>450</v>
      </c>
      <c r="AH128" s="447"/>
      <c r="AI128" s="450">
        <v>893</v>
      </c>
      <c r="AJ128" s="450">
        <v>694</v>
      </c>
    </row>
    <row r="129" spans="2:36" x14ac:dyDescent="0.25">
      <c r="B129" s="370">
        <v>42409</v>
      </c>
      <c r="C129" s="372">
        <v>42415</v>
      </c>
      <c r="D129" s="409"/>
      <c r="E129" s="451">
        <v>1698</v>
      </c>
      <c r="F129" s="450">
        <v>7</v>
      </c>
      <c r="G129" s="448"/>
      <c r="H129" s="451">
        <v>3492</v>
      </c>
      <c r="I129" s="451">
        <v>1180</v>
      </c>
      <c r="J129" s="448"/>
      <c r="K129" s="451">
        <v>3299</v>
      </c>
      <c r="L129" s="451">
        <v>1153</v>
      </c>
      <c r="M129" s="448"/>
      <c r="N129" s="451">
        <v>1276</v>
      </c>
      <c r="O129" s="450">
        <v>224</v>
      </c>
      <c r="P129" s="448"/>
      <c r="Q129" s="451">
        <v>3602</v>
      </c>
      <c r="R129" s="451">
        <v>1169</v>
      </c>
      <c r="S129" s="448"/>
      <c r="T129" s="451">
        <v>1957</v>
      </c>
      <c r="U129" s="450">
        <v>847</v>
      </c>
      <c r="V129" s="447"/>
      <c r="W129" s="450">
        <v>731</v>
      </c>
      <c r="X129" s="450">
        <v>147</v>
      </c>
      <c r="Y129" s="447"/>
      <c r="Z129" s="450">
        <v>680</v>
      </c>
      <c r="AA129" s="450">
        <v>73</v>
      </c>
      <c r="AB129" s="447"/>
      <c r="AC129" s="450">
        <v>980</v>
      </c>
      <c r="AD129" s="450">
        <v>439</v>
      </c>
      <c r="AE129" s="448"/>
      <c r="AF129" s="452">
        <v>2262</v>
      </c>
      <c r="AG129" s="450">
        <v>476</v>
      </c>
      <c r="AH129" s="447"/>
      <c r="AI129" s="450">
        <v>816</v>
      </c>
      <c r="AJ129" s="450">
        <v>742</v>
      </c>
    </row>
    <row r="130" spans="2:36" x14ac:dyDescent="0.25">
      <c r="B130" s="370">
        <v>42416</v>
      </c>
      <c r="C130" s="372">
        <v>42422</v>
      </c>
      <c r="D130" s="409"/>
      <c r="E130" s="451">
        <v>1670</v>
      </c>
      <c r="F130" s="450">
        <v>6</v>
      </c>
      <c r="G130" s="448"/>
      <c r="H130" s="451">
        <v>3905</v>
      </c>
      <c r="I130" s="451">
        <v>1343</v>
      </c>
      <c r="J130" s="448"/>
      <c r="K130" s="451">
        <v>3820</v>
      </c>
      <c r="L130" s="451">
        <v>1543</v>
      </c>
      <c r="M130" s="448"/>
      <c r="N130" s="451">
        <v>1746</v>
      </c>
      <c r="O130" s="450">
        <v>380</v>
      </c>
      <c r="P130" s="448"/>
      <c r="Q130" s="451">
        <v>3670</v>
      </c>
      <c r="R130" s="451">
        <v>1141</v>
      </c>
      <c r="S130" s="448"/>
      <c r="T130" s="451">
        <v>2165</v>
      </c>
      <c r="U130" s="450">
        <v>954</v>
      </c>
      <c r="V130" s="447"/>
      <c r="W130" s="450">
        <v>769</v>
      </c>
      <c r="X130" s="450">
        <v>176</v>
      </c>
      <c r="Y130" s="447"/>
      <c r="Z130" s="450">
        <v>728</v>
      </c>
      <c r="AA130" s="450">
        <v>81</v>
      </c>
      <c r="AB130" s="447"/>
      <c r="AC130" s="450">
        <v>816</v>
      </c>
      <c r="AD130" s="450">
        <v>350</v>
      </c>
      <c r="AE130" s="448"/>
      <c r="AF130" s="452">
        <v>2130</v>
      </c>
      <c r="AG130" s="450">
        <v>428</v>
      </c>
      <c r="AH130" s="447"/>
      <c r="AI130" s="450">
        <v>858</v>
      </c>
      <c r="AJ130" s="450">
        <v>783</v>
      </c>
    </row>
    <row r="131" spans="2:36" x14ac:dyDescent="0.25">
      <c r="B131" s="370">
        <v>42423</v>
      </c>
      <c r="C131" s="372">
        <v>42429</v>
      </c>
      <c r="D131" s="409"/>
      <c r="E131" s="451">
        <v>2110</v>
      </c>
      <c r="F131" s="450">
        <v>5</v>
      </c>
      <c r="G131" s="448"/>
      <c r="H131" s="451">
        <v>4247</v>
      </c>
      <c r="I131" s="451">
        <v>1397</v>
      </c>
      <c r="J131" s="448"/>
      <c r="K131" s="451">
        <v>3871</v>
      </c>
      <c r="L131" s="451">
        <v>1467</v>
      </c>
      <c r="M131" s="448"/>
      <c r="N131" s="451">
        <v>1924</v>
      </c>
      <c r="O131" s="450">
        <v>360</v>
      </c>
      <c r="P131" s="448"/>
      <c r="Q131" s="451">
        <v>4285</v>
      </c>
      <c r="R131" s="451">
        <v>1350</v>
      </c>
      <c r="S131" s="448"/>
      <c r="T131" s="451">
        <v>2419</v>
      </c>
      <c r="U131" s="451">
        <v>1065</v>
      </c>
      <c r="V131" s="447"/>
      <c r="W131" s="451">
        <v>1105</v>
      </c>
      <c r="X131" s="450">
        <v>274</v>
      </c>
      <c r="Y131" s="447"/>
      <c r="Z131" s="451">
        <v>1551</v>
      </c>
      <c r="AA131" s="450">
        <v>267</v>
      </c>
      <c r="AB131" s="447"/>
      <c r="AC131" s="451">
        <v>1003</v>
      </c>
      <c r="AD131" s="450">
        <v>412</v>
      </c>
      <c r="AE131" s="448"/>
      <c r="AF131" s="452">
        <v>2676</v>
      </c>
      <c r="AG131" s="450">
        <v>550</v>
      </c>
      <c r="AH131" s="447"/>
      <c r="AI131" s="450">
        <v>874</v>
      </c>
      <c r="AJ131" s="450">
        <v>776</v>
      </c>
    </row>
    <row r="132" spans="2:36" x14ac:dyDescent="0.25">
      <c r="B132" s="370">
        <v>42430</v>
      </c>
      <c r="C132" s="372">
        <v>42436</v>
      </c>
      <c r="D132" s="409"/>
      <c r="E132" s="451">
        <v>3548</v>
      </c>
      <c r="F132" s="450">
        <v>7</v>
      </c>
      <c r="G132" s="448"/>
      <c r="H132" s="451">
        <v>5538</v>
      </c>
      <c r="I132" s="451">
        <v>1574</v>
      </c>
      <c r="J132" s="448"/>
      <c r="K132" s="451">
        <v>2831</v>
      </c>
      <c r="L132" s="451">
        <v>1439</v>
      </c>
      <c r="M132" s="448"/>
      <c r="N132" s="451">
        <v>2399</v>
      </c>
      <c r="O132" s="450">
        <v>479</v>
      </c>
      <c r="P132" s="448"/>
      <c r="Q132" s="451">
        <v>2973</v>
      </c>
      <c r="R132" s="451">
        <v>1481</v>
      </c>
      <c r="S132" s="448"/>
      <c r="T132" s="451">
        <v>2517</v>
      </c>
      <c r="U132" s="451">
        <v>1187</v>
      </c>
      <c r="V132" s="447"/>
      <c r="W132" s="451">
        <v>1929</v>
      </c>
      <c r="X132" s="450">
        <v>504</v>
      </c>
      <c r="Y132" s="447"/>
      <c r="Z132" s="451">
        <v>39314</v>
      </c>
      <c r="AA132" s="451">
        <v>4339</v>
      </c>
      <c r="AB132" s="447"/>
      <c r="AC132" s="450">
        <v>953</v>
      </c>
      <c r="AD132" s="450">
        <v>679</v>
      </c>
      <c r="AE132" s="448"/>
      <c r="AF132" s="452">
        <v>5032</v>
      </c>
      <c r="AG132" s="451">
        <v>1037</v>
      </c>
      <c r="AH132" s="447"/>
      <c r="AI132" s="451">
        <v>934</v>
      </c>
      <c r="AJ132" s="450">
        <v>707</v>
      </c>
    </row>
    <row r="133" spans="2:36" x14ac:dyDescent="0.25">
      <c r="B133" s="370">
        <v>42437</v>
      </c>
      <c r="C133" s="372">
        <v>42443</v>
      </c>
      <c r="D133" s="409"/>
      <c r="E133" s="451">
        <v>1699</v>
      </c>
      <c r="F133" s="450">
        <v>1</v>
      </c>
      <c r="G133" s="448"/>
      <c r="H133" s="451">
        <v>3563</v>
      </c>
      <c r="I133" s="451">
        <v>1184</v>
      </c>
      <c r="J133" s="448"/>
      <c r="K133" s="451">
        <v>3393</v>
      </c>
      <c r="L133" s="451">
        <v>1391</v>
      </c>
      <c r="M133" s="448"/>
      <c r="N133" s="451">
        <v>2106</v>
      </c>
      <c r="O133" s="450">
        <v>358</v>
      </c>
      <c r="P133" s="448"/>
      <c r="Q133" s="451">
        <v>3992</v>
      </c>
      <c r="R133" s="451">
        <v>1239</v>
      </c>
      <c r="S133" s="448"/>
      <c r="T133" s="451">
        <v>2228</v>
      </c>
      <c r="U133" s="451">
        <v>867</v>
      </c>
      <c r="V133" s="447"/>
      <c r="W133" s="451">
        <v>862</v>
      </c>
      <c r="X133" s="450">
        <v>166</v>
      </c>
      <c r="Y133" s="447"/>
      <c r="Z133" s="451">
        <v>3422</v>
      </c>
      <c r="AA133" s="450">
        <v>305</v>
      </c>
      <c r="AB133" s="447"/>
      <c r="AC133" s="451">
        <v>811</v>
      </c>
      <c r="AD133" s="450">
        <v>329</v>
      </c>
      <c r="AE133" s="448"/>
      <c r="AF133" s="452">
        <v>2303</v>
      </c>
      <c r="AG133" s="450">
        <v>421</v>
      </c>
      <c r="AH133" s="447"/>
      <c r="AI133" s="450">
        <v>925</v>
      </c>
      <c r="AJ133" s="450">
        <v>780</v>
      </c>
    </row>
    <row r="134" spans="2:36" x14ac:dyDescent="0.25">
      <c r="B134" s="370">
        <v>42444</v>
      </c>
      <c r="C134" s="372">
        <v>42450</v>
      </c>
      <c r="D134" s="409"/>
      <c r="E134" s="451">
        <v>1702</v>
      </c>
      <c r="F134" s="450">
        <v>5</v>
      </c>
      <c r="G134" s="448"/>
      <c r="H134" s="451">
        <v>3908</v>
      </c>
      <c r="I134" s="451">
        <v>1294</v>
      </c>
      <c r="J134" s="448"/>
      <c r="K134" s="451">
        <v>3491</v>
      </c>
      <c r="L134" s="451">
        <v>1480</v>
      </c>
      <c r="M134" s="448"/>
      <c r="N134" s="451">
        <v>2117</v>
      </c>
      <c r="O134" s="450">
        <v>431</v>
      </c>
      <c r="P134" s="448"/>
      <c r="Q134" s="451">
        <v>3968</v>
      </c>
      <c r="R134" s="451">
        <v>1260</v>
      </c>
      <c r="S134" s="448"/>
      <c r="T134" s="451">
        <v>2257</v>
      </c>
      <c r="U134" s="451">
        <v>948</v>
      </c>
      <c r="V134" s="447"/>
      <c r="W134" s="451">
        <v>863</v>
      </c>
      <c r="X134" s="450">
        <v>193</v>
      </c>
      <c r="Y134" s="447"/>
      <c r="Z134" s="451">
        <v>2078</v>
      </c>
      <c r="AA134" s="450">
        <v>168</v>
      </c>
      <c r="AB134" s="447"/>
      <c r="AC134" s="451">
        <v>861</v>
      </c>
      <c r="AD134" s="450">
        <v>374</v>
      </c>
      <c r="AE134" s="448"/>
      <c r="AF134" s="452">
        <v>2344</v>
      </c>
      <c r="AG134" s="450">
        <v>466</v>
      </c>
      <c r="AH134" s="447"/>
      <c r="AI134" s="450">
        <v>855</v>
      </c>
      <c r="AJ134" s="450">
        <v>723</v>
      </c>
    </row>
    <row r="135" spans="2:36" x14ac:dyDescent="0.25">
      <c r="B135" s="370">
        <v>42451</v>
      </c>
      <c r="C135" s="372">
        <v>42457</v>
      </c>
      <c r="D135" s="409"/>
      <c r="E135" s="451">
        <v>3713</v>
      </c>
      <c r="F135" s="450">
        <v>2</v>
      </c>
      <c r="G135" s="448"/>
      <c r="H135" s="451">
        <v>9988</v>
      </c>
      <c r="I135" s="451">
        <v>2657</v>
      </c>
      <c r="J135" s="448"/>
      <c r="K135" s="451">
        <v>4307</v>
      </c>
      <c r="L135" s="451">
        <v>1855</v>
      </c>
      <c r="M135" s="448"/>
      <c r="N135" s="451">
        <v>2635</v>
      </c>
      <c r="O135" s="450">
        <v>513</v>
      </c>
      <c r="P135" s="448"/>
      <c r="Q135" s="451">
        <v>7090</v>
      </c>
      <c r="R135" s="451">
        <v>2140</v>
      </c>
      <c r="S135" s="448"/>
      <c r="T135" s="451">
        <v>3550</v>
      </c>
      <c r="U135" s="451">
        <v>1356</v>
      </c>
      <c r="V135" s="447"/>
      <c r="W135" s="451">
        <v>2518</v>
      </c>
      <c r="X135" s="453">
        <v>610</v>
      </c>
      <c r="Y135" s="447"/>
      <c r="Z135" s="451">
        <v>3900</v>
      </c>
      <c r="AA135" s="450">
        <v>294</v>
      </c>
      <c r="AB135" s="447"/>
      <c r="AC135" s="451">
        <v>2142</v>
      </c>
      <c r="AD135" s="450">
        <v>885</v>
      </c>
      <c r="AE135" s="448"/>
      <c r="AF135" s="452">
        <v>4386</v>
      </c>
      <c r="AG135" s="450">
        <v>1016</v>
      </c>
      <c r="AH135" s="447"/>
      <c r="AI135" s="450">
        <v>883</v>
      </c>
      <c r="AJ135" s="450">
        <v>775</v>
      </c>
    </row>
    <row r="136" spans="2:36" x14ac:dyDescent="0.25">
      <c r="B136" s="370">
        <v>42458</v>
      </c>
      <c r="C136" s="372">
        <v>42464</v>
      </c>
      <c r="D136" s="409"/>
      <c r="E136" s="451">
        <v>1966</v>
      </c>
      <c r="F136" s="450">
        <v>4</v>
      </c>
      <c r="G136" s="448"/>
      <c r="H136" s="451">
        <v>5286</v>
      </c>
      <c r="I136" s="451">
        <v>1689</v>
      </c>
      <c r="J136" s="448"/>
      <c r="K136" s="451">
        <v>3852</v>
      </c>
      <c r="L136" s="451">
        <v>1756</v>
      </c>
      <c r="M136" s="448"/>
      <c r="N136" s="451">
        <v>2255</v>
      </c>
      <c r="O136" s="450">
        <v>430</v>
      </c>
      <c r="P136" s="448"/>
      <c r="Q136" s="451">
        <v>4663</v>
      </c>
      <c r="R136" s="451">
        <v>1434</v>
      </c>
      <c r="S136" s="448"/>
      <c r="T136" s="451">
        <v>2583</v>
      </c>
      <c r="U136" s="451">
        <v>1130</v>
      </c>
      <c r="V136" s="447"/>
      <c r="W136" s="451">
        <v>949</v>
      </c>
      <c r="X136" s="453">
        <v>232</v>
      </c>
      <c r="Y136" s="447"/>
      <c r="Z136" s="451">
        <v>1413</v>
      </c>
      <c r="AA136" s="450">
        <v>120</v>
      </c>
      <c r="AB136" s="447"/>
      <c r="AC136" s="451">
        <v>974</v>
      </c>
      <c r="AD136" s="450">
        <v>411</v>
      </c>
      <c r="AE136" s="448"/>
      <c r="AF136" s="452">
        <v>2758</v>
      </c>
      <c r="AG136" s="450">
        <v>509</v>
      </c>
      <c r="AH136" s="447"/>
      <c r="AI136" s="450">
        <v>862</v>
      </c>
      <c r="AJ136" s="450">
        <v>674</v>
      </c>
    </row>
    <row r="137" spans="2:36" x14ac:dyDescent="0.25">
      <c r="B137" s="370">
        <v>42465</v>
      </c>
      <c r="C137" s="372">
        <v>42471</v>
      </c>
      <c r="D137" s="409"/>
      <c r="E137" s="451">
        <v>2750</v>
      </c>
      <c r="F137" s="450">
        <v>3</v>
      </c>
      <c r="G137" s="448"/>
      <c r="H137" s="451">
        <v>4862</v>
      </c>
      <c r="I137" s="451">
        <v>1346</v>
      </c>
      <c r="J137" s="448"/>
      <c r="K137" s="451">
        <v>3968</v>
      </c>
      <c r="L137" s="451">
        <v>1778</v>
      </c>
      <c r="M137" s="448"/>
      <c r="N137" s="451">
        <v>2211</v>
      </c>
      <c r="O137" s="450">
        <v>413</v>
      </c>
      <c r="P137" s="448"/>
      <c r="Q137" s="451">
        <v>4642</v>
      </c>
      <c r="R137" s="451">
        <v>1366</v>
      </c>
      <c r="S137" s="448"/>
      <c r="T137" s="451">
        <v>2565</v>
      </c>
      <c r="U137" s="451">
        <v>1030</v>
      </c>
      <c r="V137" s="447"/>
      <c r="W137" s="451">
        <v>899</v>
      </c>
      <c r="X137" s="453">
        <v>224</v>
      </c>
      <c r="Y137" s="447"/>
      <c r="Z137" s="451">
        <v>1303</v>
      </c>
      <c r="AA137" s="450">
        <v>106</v>
      </c>
      <c r="AB137" s="447"/>
      <c r="AC137" s="451">
        <v>950</v>
      </c>
      <c r="AD137" s="450">
        <v>404</v>
      </c>
      <c r="AE137" s="448"/>
      <c r="AF137" s="452">
        <v>3494</v>
      </c>
      <c r="AG137" s="450">
        <v>604</v>
      </c>
      <c r="AH137" s="447"/>
      <c r="AI137" s="450">
        <v>928</v>
      </c>
      <c r="AJ137" s="450">
        <v>774</v>
      </c>
    </row>
    <row r="138" spans="2:36" x14ac:dyDescent="0.25">
      <c r="B138" s="370">
        <v>42472</v>
      </c>
      <c r="C138" s="372">
        <v>42478</v>
      </c>
      <c r="D138" s="409"/>
      <c r="E138" s="451">
        <v>1847</v>
      </c>
      <c r="F138" s="450">
        <v>5</v>
      </c>
      <c r="G138" s="448"/>
      <c r="H138" s="451">
        <v>4511</v>
      </c>
      <c r="I138" s="451">
        <v>1315</v>
      </c>
      <c r="J138" s="448"/>
      <c r="K138" s="451">
        <v>3968</v>
      </c>
      <c r="L138" s="451">
        <v>1823</v>
      </c>
      <c r="M138" s="448"/>
      <c r="N138" s="451">
        <v>2056</v>
      </c>
      <c r="O138" s="450">
        <v>463</v>
      </c>
      <c r="P138" s="448"/>
      <c r="Q138" s="451">
        <v>4186</v>
      </c>
      <c r="R138" s="451">
        <v>1320</v>
      </c>
      <c r="S138" s="448"/>
      <c r="T138" s="451">
        <v>2573</v>
      </c>
      <c r="U138" s="451">
        <v>1024</v>
      </c>
      <c r="V138" s="447"/>
      <c r="W138" s="451">
        <v>826</v>
      </c>
      <c r="X138" s="453">
        <v>189</v>
      </c>
      <c r="Y138" s="447"/>
      <c r="Z138" s="451">
        <v>1029</v>
      </c>
      <c r="AA138" s="450">
        <v>96</v>
      </c>
      <c r="AB138" s="447"/>
      <c r="AC138" s="451">
        <v>925</v>
      </c>
      <c r="AD138" s="450">
        <v>413</v>
      </c>
      <c r="AE138" s="448"/>
      <c r="AF138" s="452">
        <v>2629</v>
      </c>
      <c r="AG138" s="450">
        <v>505</v>
      </c>
      <c r="AH138" s="447"/>
      <c r="AI138" s="450">
        <v>926</v>
      </c>
      <c r="AJ138" s="450">
        <v>734</v>
      </c>
    </row>
    <row r="139" spans="2:36" x14ac:dyDescent="0.25">
      <c r="B139" s="370">
        <v>42479</v>
      </c>
      <c r="C139" s="372">
        <v>42485</v>
      </c>
      <c r="D139" s="409"/>
      <c r="E139" s="451">
        <v>2046</v>
      </c>
      <c r="F139" s="450">
        <v>1</v>
      </c>
      <c r="G139" s="448"/>
      <c r="H139" s="451">
        <v>5337</v>
      </c>
      <c r="I139" s="451">
        <v>1638</v>
      </c>
      <c r="J139" s="448"/>
      <c r="K139" s="451">
        <v>4275</v>
      </c>
      <c r="L139" s="451">
        <v>1951</v>
      </c>
      <c r="M139" s="448"/>
      <c r="N139" s="451">
        <v>2351</v>
      </c>
      <c r="O139" s="450">
        <v>615</v>
      </c>
      <c r="P139" s="448"/>
      <c r="Q139" s="451">
        <v>4587</v>
      </c>
      <c r="R139" s="451">
        <v>1589</v>
      </c>
      <c r="S139" s="448"/>
      <c r="T139" s="451">
        <v>4214</v>
      </c>
      <c r="U139" s="451">
        <v>1883</v>
      </c>
      <c r="V139" s="447"/>
      <c r="W139" s="451">
        <v>1105</v>
      </c>
      <c r="X139" s="453">
        <v>282</v>
      </c>
      <c r="Y139" s="447"/>
      <c r="Z139" s="451">
        <v>1086</v>
      </c>
      <c r="AA139" s="450">
        <v>129</v>
      </c>
      <c r="AB139" s="447"/>
      <c r="AC139" s="451">
        <v>1030</v>
      </c>
      <c r="AD139" s="450">
        <v>436</v>
      </c>
      <c r="AE139" s="448"/>
      <c r="AF139" s="452">
        <v>2908</v>
      </c>
      <c r="AG139" s="450">
        <v>584</v>
      </c>
      <c r="AH139" s="447"/>
      <c r="AI139" s="450">
        <v>1187</v>
      </c>
      <c r="AJ139" s="450">
        <v>734</v>
      </c>
    </row>
    <row r="140" spans="2:36" x14ac:dyDescent="0.25">
      <c r="B140" s="370">
        <v>42486</v>
      </c>
      <c r="C140" s="372">
        <v>42492</v>
      </c>
      <c r="D140" s="409"/>
      <c r="E140" s="451">
        <v>2209</v>
      </c>
      <c r="F140" s="450">
        <v>3</v>
      </c>
      <c r="G140" s="448"/>
      <c r="H140" s="451">
        <v>5601</v>
      </c>
      <c r="I140" s="451">
        <v>1689</v>
      </c>
      <c r="J140" s="448"/>
      <c r="K140" s="451">
        <v>3979</v>
      </c>
      <c r="L140" s="451">
        <v>1820</v>
      </c>
      <c r="M140" s="448"/>
      <c r="N140" s="451">
        <v>2189</v>
      </c>
      <c r="O140" s="450">
        <v>511</v>
      </c>
      <c r="P140" s="448"/>
      <c r="Q140" s="451">
        <v>4505</v>
      </c>
      <c r="R140" s="451">
        <v>1470</v>
      </c>
      <c r="S140" s="448"/>
      <c r="T140" s="451">
        <v>25456</v>
      </c>
      <c r="U140" s="451">
        <v>10062</v>
      </c>
      <c r="V140" s="447"/>
      <c r="W140" s="451">
        <v>1085</v>
      </c>
      <c r="X140" s="453">
        <v>265</v>
      </c>
      <c r="Y140" s="447"/>
      <c r="Z140" s="451">
        <v>1122</v>
      </c>
      <c r="AA140" s="450">
        <v>96</v>
      </c>
      <c r="AB140" s="447"/>
      <c r="AC140" s="451">
        <v>1049</v>
      </c>
      <c r="AD140" s="450">
        <v>425</v>
      </c>
      <c r="AE140" s="448"/>
      <c r="AF140" s="452">
        <v>3187</v>
      </c>
      <c r="AG140" s="450">
        <v>623</v>
      </c>
      <c r="AH140" s="447"/>
      <c r="AI140" s="450">
        <v>906</v>
      </c>
      <c r="AJ140" s="450">
        <v>680</v>
      </c>
    </row>
    <row r="141" spans="2:36" x14ac:dyDescent="0.25">
      <c r="B141" s="370">
        <v>42493</v>
      </c>
      <c r="C141" s="372">
        <v>42499</v>
      </c>
      <c r="D141" s="409"/>
      <c r="E141" s="451">
        <v>1887</v>
      </c>
      <c r="F141" s="450">
        <v>7</v>
      </c>
      <c r="G141" s="448"/>
      <c r="H141" s="451">
        <v>4818</v>
      </c>
      <c r="I141" s="451">
        <v>1424</v>
      </c>
      <c r="J141" s="448"/>
      <c r="K141" s="451">
        <v>4010</v>
      </c>
      <c r="L141" s="451">
        <v>1824</v>
      </c>
      <c r="M141" s="448"/>
      <c r="N141" s="451">
        <v>2065</v>
      </c>
      <c r="O141" s="450">
        <v>528</v>
      </c>
      <c r="P141" s="448"/>
      <c r="Q141" s="451">
        <v>4519</v>
      </c>
      <c r="R141" s="451">
        <v>1579</v>
      </c>
      <c r="S141" s="448"/>
      <c r="T141" s="451">
        <v>4106</v>
      </c>
      <c r="U141" s="451">
        <v>1645</v>
      </c>
      <c r="V141" s="447"/>
      <c r="W141" s="451">
        <v>932</v>
      </c>
      <c r="X141" s="453">
        <v>212</v>
      </c>
      <c r="Y141" s="447"/>
      <c r="Z141" s="451">
        <v>938</v>
      </c>
      <c r="AA141" s="450">
        <v>74</v>
      </c>
      <c r="AB141" s="447"/>
      <c r="AC141" s="451">
        <v>882</v>
      </c>
      <c r="AD141" s="450">
        <v>383</v>
      </c>
      <c r="AE141" s="448"/>
      <c r="AF141" s="452">
        <v>2725</v>
      </c>
      <c r="AG141" s="450">
        <v>513</v>
      </c>
      <c r="AH141" s="447"/>
      <c r="AI141" s="450">
        <v>865</v>
      </c>
      <c r="AJ141" s="450">
        <v>623</v>
      </c>
    </row>
    <row r="142" spans="2:36" x14ac:dyDescent="0.25">
      <c r="B142" s="370">
        <v>42500</v>
      </c>
      <c r="C142" s="372">
        <v>42506</v>
      </c>
      <c r="D142" s="409"/>
      <c r="E142" s="451">
        <v>2195</v>
      </c>
      <c r="F142" s="450">
        <v>7</v>
      </c>
      <c r="G142" s="448"/>
      <c r="H142" s="451">
        <v>5363</v>
      </c>
      <c r="I142" s="451">
        <v>1522</v>
      </c>
      <c r="J142" s="448"/>
      <c r="K142" s="451">
        <v>4333</v>
      </c>
      <c r="L142" s="451">
        <v>2054</v>
      </c>
      <c r="M142" s="448"/>
      <c r="N142" s="451">
        <v>2419</v>
      </c>
      <c r="O142" s="450">
        <v>591</v>
      </c>
      <c r="P142" s="448"/>
      <c r="Q142" s="451">
        <v>4808</v>
      </c>
      <c r="R142" s="451">
        <v>1568</v>
      </c>
      <c r="S142" s="448"/>
      <c r="T142" s="451">
        <v>3711</v>
      </c>
      <c r="U142" s="451">
        <v>1556</v>
      </c>
      <c r="V142" s="447"/>
      <c r="W142" s="451">
        <v>5570</v>
      </c>
      <c r="X142" s="453">
        <v>1845</v>
      </c>
      <c r="Y142" s="447"/>
      <c r="Z142" s="451">
        <v>1203</v>
      </c>
      <c r="AA142" s="450">
        <v>130</v>
      </c>
      <c r="AB142" s="447"/>
      <c r="AC142" s="451">
        <v>1045</v>
      </c>
      <c r="AD142" s="450">
        <v>429</v>
      </c>
      <c r="AE142" s="448"/>
      <c r="AF142" s="452">
        <v>3166</v>
      </c>
      <c r="AG142" s="450">
        <v>589</v>
      </c>
      <c r="AH142" s="447"/>
      <c r="AI142" s="450">
        <v>956</v>
      </c>
      <c r="AJ142" s="450">
        <v>762</v>
      </c>
    </row>
    <row r="143" spans="2:36" x14ac:dyDescent="0.25">
      <c r="B143" s="370">
        <v>42507</v>
      </c>
      <c r="C143" s="372">
        <v>42513</v>
      </c>
      <c r="D143" s="409"/>
      <c r="E143" s="451">
        <v>2229</v>
      </c>
      <c r="F143" s="450">
        <v>5</v>
      </c>
      <c r="G143" s="448"/>
      <c r="H143" s="451">
        <v>5248</v>
      </c>
      <c r="I143" s="451">
        <v>1413</v>
      </c>
      <c r="J143" s="448"/>
      <c r="K143" s="451">
        <v>4089</v>
      </c>
      <c r="L143" s="451">
        <v>1954</v>
      </c>
      <c r="M143" s="448"/>
      <c r="N143" s="451">
        <v>2138</v>
      </c>
      <c r="O143" s="450">
        <v>534</v>
      </c>
      <c r="P143" s="448"/>
      <c r="Q143" s="451">
        <v>4466</v>
      </c>
      <c r="R143" s="451">
        <v>1450</v>
      </c>
      <c r="S143" s="448"/>
      <c r="T143" s="451">
        <v>3141</v>
      </c>
      <c r="U143" s="451">
        <v>1266</v>
      </c>
      <c r="V143" s="447"/>
      <c r="W143" s="451">
        <v>41808</v>
      </c>
      <c r="X143" s="453">
        <v>11715</v>
      </c>
      <c r="Y143" s="447"/>
      <c r="Z143" s="451">
        <v>1270</v>
      </c>
      <c r="AA143" s="450">
        <v>112</v>
      </c>
      <c r="AB143" s="447"/>
      <c r="AC143" s="451">
        <v>1090</v>
      </c>
      <c r="AD143" s="450">
        <v>436</v>
      </c>
      <c r="AE143" s="448"/>
      <c r="AF143" s="452">
        <v>3404</v>
      </c>
      <c r="AG143" s="450">
        <v>668</v>
      </c>
      <c r="AH143" s="447"/>
      <c r="AI143" s="450">
        <v>886</v>
      </c>
      <c r="AJ143" s="450">
        <v>694</v>
      </c>
    </row>
    <row r="144" spans="2:36" x14ac:dyDescent="0.25">
      <c r="B144" s="370">
        <v>42514</v>
      </c>
      <c r="C144" s="372">
        <v>42520</v>
      </c>
      <c r="D144" s="409"/>
      <c r="E144" s="451">
        <v>1672</v>
      </c>
      <c r="F144" s="450">
        <v>2</v>
      </c>
      <c r="G144" s="448"/>
      <c r="H144" s="451">
        <v>4242</v>
      </c>
      <c r="I144" s="451">
        <v>1124</v>
      </c>
      <c r="J144" s="448"/>
      <c r="K144" s="451">
        <v>3544</v>
      </c>
      <c r="L144" s="451">
        <v>1504</v>
      </c>
      <c r="M144" s="448"/>
      <c r="N144" s="451">
        <v>1983</v>
      </c>
      <c r="O144" s="450">
        <v>499</v>
      </c>
      <c r="P144" s="448"/>
      <c r="Q144" s="451">
        <v>3517</v>
      </c>
      <c r="R144" s="451">
        <v>1182</v>
      </c>
      <c r="S144" s="448"/>
      <c r="T144" s="451">
        <v>2436</v>
      </c>
      <c r="U144" s="451">
        <v>954</v>
      </c>
      <c r="V144" s="447"/>
      <c r="W144" s="451">
        <v>2800</v>
      </c>
      <c r="X144" s="453">
        <v>727</v>
      </c>
      <c r="Y144" s="447"/>
      <c r="Z144" s="451">
        <v>896</v>
      </c>
      <c r="AA144" s="450">
        <v>79</v>
      </c>
      <c r="AB144" s="447"/>
      <c r="AC144" s="451">
        <v>811</v>
      </c>
      <c r="AD144" s="450">
        <v>297</v>
      </c>
      <c r="AE144" s="448"/>
      <c r="AF144" s="452">
        <v>2410</v>
      </c>
      <c r="AG144" s="450">
        <v>425</v>
      </c>
      <c r="AH144" s="447"/>
      <c r="AI144" s="450">
        <v>803</v>
      </c>
      <c r="AJ144" s="450">
        <v>644</v>
      </c>
    </row>
    <row r="145" spans="2:36" x14ac:dyDescent="0.25">
      <c r="B145" s="370">
        <v>42521</v>
      </c>
      <c r="C145" s="372">
        <v>42527</v>
      </c>
      <c r="D145" s="409"/>
      <c r="E145" s="451">
        <v>2016</v>
      </c>
      <c r="F145" s="450">
        <v>2</v>
      </c>
      <c r="G145" s="448"/>
      <c r="H145" s="451">
        <v>5171</v>
      </c>
      <c r="I145" s="451">
        <v>1641</v>
      </c>
      <c r="J145" s="448"/>
      <c r="K145" s="451">
        <v>5656</v>
      </c>
      <c r="L145" s="451">
        <v>1911</v>
      </c>
      <c r="M145" s="448"/>
      <c r="N145" s="451">
        <v>2258</v>
      </c>
      <c r="O145" s="450">
        <v>590</v>
      </c>
      <c r="P145" s="448"/>
      <c r="Q145" s="451">
        <v>4354</v>
      </c>
      <c r="R145" s="451">
        <v>1509</v>
      </c>
      <c r="S145" s="448"/>
      <c r="T145" s="451">
        <v>2831</v>
      </c>
      <c r="U145" s="451">
        <v>1144</v>
      </c>
      <c r="V145" s="447"/>
      <c r="W145" s="451">
        <v>1943</v>
      </c>
      <c r="X145" s="453">
        <v>473</v>
      </c>
      <c r="Y145" s="447"/>
      <c r="Z145" s="451">
        <v>975</v>
      </c>
      <c r="AA145" s="450">
        <v>75</v>
      </c>
      <c r="AB145" s="447"/>
      <c r="AC145" s="451">
        <v>977</v>
      </c>
      <c r="AD145" s="450">
        <v>465</v>
      </c>
      <c r="AE145" s="448"/>
      <c r="AF145" s="452">
        <v>2873</v>
      </c>
      <c r="AG145" s="450">
        <v>524</v>
      </c>
      <c r="AH145" s="447"/>
      <c r="AI145" s="450">
        <v>854</v>
      </c>
      <c r="AJ145" s="450">
        <v>712</v>
      </c>
    </row>
    <row r="146" spans="2:36" x14ac:dyDescent="0.25">
      <c r="B146" s="370">
        <v>42528</v>
      </c>
      <c r="C146" s="372">
        <v>42534</v>
      </c>
      <c r="D146" s="409"/>
      <c r="E146" s="451">
        <v>1969</v>
      </c>
      <c r="F146" s="450">
        <v>2</v>
      </c>
      <c r="G146" s="448"/>
      <c r="H146" s="451">
        <v>4701</v>
      </c>
      <c r="I146" s="451">
        <v>1278</v>
      </c>
      <c r="J146" s="448"/>
      <c r="K146" s="451">
        <v>4294</v>
      </c>
      <c r="L146" s="451">
        <v>1949</v>
      </c>
      <c r="M146" s="448"/>
      <c r="N146" s="451">
        <v>2030</v>
      </c>
      <c r="O146" s="450">
        <v>552</v>
      </c>
      <c r="P146" s="448"/>
      <c r="Q146" s="451">
        <v>3692</v>
      </c>
      <c r="R146" s="451">
        <v>1337</v>
      </c>
      <c r="S146" s="448"/>
      <c r="T146" s="451">
        <v>2394</v>
      </c>
      <c r="U146" s="451">
        <v>976</v>
      </c>
      <c r="V146" s="447"/>
      <c r="W146" s="451">
        <v>1424</v>
      </c>
      <c r="X146" s="453">
        <v>326</v>
      </c>
      <c r="Y146" s="447"/>
      <c r="Z146" s="451">
        <v>971</v>
      </c>
      <c r="AA146" s="450">
        <v>78</v>
      </c>
      <c r="AB146" s="447"/>
      <c r="AC146" s="451">
        <v>875</v>
      </c>
      <c r="AD146" s="450">
        <v>361</v>
      </c>
      <c r="AE146" s="448"/>
      <c r="AF146" s="452">
        <v>2617</v>
      </c>
      <c r="AG146" s="450">
        <v>480</v>
      </c>
      <c r="AH146" s="447"/>
      <c r="AI146" s="450">
        <v>909</v>
      </c>
      <c r="AJ146" s="450">
        <v>687</v>
      </c>
    </row>
    <row r="147" spans="2:36" x14ac:dyDescent="0.25">
      <c r="B147" s="370">
        <v>42535</v>
      </c>
      <c r="C147" s="372">
        <v>42541</v>
      </c>
      <c r="D147" s="409"/>
      <c r="E147" s="451">
        <v>1854</v>
      </c>
      <c r="F147" s="450">
        <v>5</v>
      </c>
      <c r="G147" s="448"/>
      <c r="H147" s="451">
        <v>4877</v>
      </c>
      <c r="I147" s="451">
        <v>1357</v>
      </c>
      <c r="J147" s="448"/>
      <c r="K147" s="451">
        <v>14836</v>
      </c>
      <c r="L147" s="451">
        <v>4115</v>
      </c>
      <c r="M147" s="448"/>
      <c r="N147" s="451">
        <v>2321</v>
      </c>
      <c r="O147" s="450">
        <v>599</v>
      </c>
      <c r="P147" s="448"/>
      <c r="Q147" s="451">
        <v>3866</v>
      </c>
      <c r="R147" s="451">
        <v>1263</v>
      </c>
      <c r="S147" s="448"/>
      <c r="T147" s="451">
        <v>2438</v>
      </c>
      <c r="U147" s="451">
        <v>1025</v>
      </c>
      <c r="V147" s="447"/>
      <c r="W147" s="451">
        <v>1175</v>
      </c>
      <c r="X147" s="453">
        <v>282</v>
      </c>
      <c r="Y147" s="447"/>
      <c r="Z147" s="451">
        <v>890</v>
      </c>
      <c r="AA147" s="450">
        <v>81</v>
      </c>
      <c r="AB147" s="447"/>
      <c r="AC147" s="451">
        <v>913</v>
      </c>
      <c r="AD147" s="450">
        <v>345</v>
      </c>
      <c r="AE147" s="448"/>
      <c r="AF147" s="452">
        <v>2858</v>
      </c>
      <c r="AG147" s="450">
        <v>472</v>
      </c>
      <c r="AH147" s="447"/>
      <c r="AI147" s="450">
        <v>784</v>
      </c>
      <c r="AJ147" s="450">
        <v>652</v>
      </c>
    </row>
    <row r="148" spans="2:36" x14ac:dyDescent="0.25">
      <c r="B148" s="370">
        <v>42542</v>
      </c>
      <c r="C148" s="372">
        <v>42548</v>
      </c>
      <c r="D148" s="409"/>
      <c r="E148" s="451">
        <v>1823</v>
      </c>
      <c r="F148" s="450">
        <v>1</v>
      </c>
      <c r="G148" s="448"/>
      <c r="H148" s="451">
        <v>4634</v>
      </c>
      <c r="I148" s="451">
        <v>1216</v>
      </c>
      <c r="J148" s="448"/>
      <c r="K148" s="451">
        <v>4899</v>
      </c>
      <c r="L148" s="451">
        <v>2108</v>
      </c>
      <c r="M148" s="448"/>
      <c r="N148" s="451">
        <v>2182</v>
      </c>
      <c r="O148" s="450">
        <v>603</v>
      </c>
      <c r="P148" s="448"/>
      <c r="Q148" s="451">
        <v>4285</v>
      </c>
      <c r="R148" s="451">
        <v>1447</v>
      </c>
      <c r="S148" s="448"/>
      <c r="T148" s="451">
        <v>2320</v>
      </c>
      <c r="U148" s="451">
        <v>937</v>
      </c>
      <c r="V148" s="447"/>
      <c r="W148" s="451">
        <v>1226</v>
      </c>
      <c r="X148" s="453">
        <v>279</v>
      </c>
      <c r="Y148" s="447"/>
      <c r="Z148" s="451">
        <v>819</v>
      </c>
      <c r="AA148" s="450">
        <v>73</v>
      </c>
      <c r="AB148" s="447"/>
      <c r="AC148" s="451">
        <v>908</v>
      </c>
      <c r="AD148" s="450">
        <v>381</v>
      </c>
      <c r="AE148" s="448"/>
      <c r="AF148" s="452">
        <v>2657</v>
      </c>
      <c r="AG148" s="450">
        <v>467</v>
      </c>
      <c r="AH148" s="447"/>
      <c r="AI148" s="450">
        <v>1463</v>
      </c>
      <c r="AJ148" s="450">
        <v>772</v>
      </c>
    </row>
    <row r="149" spans="2:36" x14ac:dyDescent="0.25">
      <c r="B149" s="370">
        <v>42549</v>
      </c>
      <c r="C149" s="372">
        <v>42555</v>
      </c>
      <c r="D149" s="409"/>
      <c r="E149" s="451">
        <v>1568</v>
      </c>
      <c r="F149" s="450">
        <v>4</v>
      </c>
      <c r="G149" s="448"/>
      <c r="H149" s="451">
        <v>4367</v>
      </c>
      <c r="I149" s="451">
        <v>1108</v>
      </c>
      <c r="J149" s="448"/>
      <c r="K149" s="451">
        <v>3810</v>
      </c>
      <c r="L149" s="451">
        <v>1592</v>
      </c>
      <c r="M149" s="448"/>
      <c r="N149" s="451">
        <v>1905</v>
      </c>
      <c r="O149" s="450">
        <v>551</v>
      </c>
      <c r="P149" s="448"/>
      <c r="Q149" s="451">
        <v>3349</v>
      </c>
      <c r="R149" s="451">
        <v>1041</v>
      </c>
      <c r="S149" s="448"/>
      <c r="T149" s="451">
        <v>1886</v>
      </c>
      <c r="U149" s="451">
        <v>823</v>
      </c>
      <c r="V149" s="447"/>
      <c r="W149" s="451">
        <v>768</v>
      </c>
      <c r="X149" s="453">
        <v>175</v>
      </c>
      <c r="Y149" s="447"/>
      <c r="Z149" s="451">
        <v>675</v>
      </c>
      <c r="AA149" s="450">
        <v>51</v>
      </c>
      <c r="AB149" s="447"/>
      <c r="AC149" s="451">
        <v>793</v>
      </c>
      <c r="AD149" s="450">
        <v>266</v>
      </c>
      <c r="AE149" s="448"/>
      <c r="AF149" s="452">
        <v>2266</v>
      </c>
      <c r="AG149" s="450">
        <v>412</v>
      </c>
      <c r="AH149" s="447"/>
      <c r="AI149" s="450">
        <v>902</v>
      </c>
      <c r="AJ149" s="450">
        <v>557</v>
      </c>
    </row>
    <row r="150" spans="2:36" x14ac:dyDescent="0.25">
      <c r="B150" s="370">
        <v>42556</v>
      </c>
      <c r="C150" s="372">
        <v>42562</v>
      </c>
      <c r="D150" s="409"/>
      <c r="E150" s="451">
        <v>1883</v>
      </c>
      <c r="F150" s="450">
        <v>6</v>
      </c>
      <c r="G150" s="448"/>
      <c r="H150" s="451">
        <v>5102</v>
      </c>
      <c r="I150" s="451">
        <v>1482</v>
      </c>
      <c r="J150" s="448"/>
      <c r="K150" s="451">
        <v>4676</v>
      </c>
      <c r="L150" s="451">
        <v>2380</v>
      </c>
      <c r="M150" s="448"/>
      <c r="N150" s="451">
        <v>2179</v>
      </c>
      <c r="O150" s="450">
        <v>613</v>
      </c>
      <c r="P150" s="448"/>
      <c r="Q150" s="451">
        <v>5770</v>
      </c>
      <c r="R150" s="451">
        <v>1655</v>
      </c>
      <c r="S150" s="448"/>
      <c r="T150" s="451">
        <v>2457</v>
      </c>
      <c r="U150" s="451">
        <v>1061</v>
      </c>
      <c r="V150" s="447"/>
      <c r="W150" s="451">
        <v>847</v>
      </c>
      <c r="X150" s="453">
        <v>210</v>
      </c>
      <c r="Y150" s="447"/>
      <c r="Z150" s="451">
        <v>861</v>
      </c>
      <c r="AA150" s="450">
        <v>99</v>
      </c>
      <c r="AB150" s="447"/>
      <c r="AC150" s="451">
        <v>952</v>
      </c>
      <c r="AD150" s="450">
        <v>366</v>
      </c>
      <c r="AE150" s="448"/>
      <c r="AF150" s="452">
        <v>2726</v>
      </c>
      <c r="AG150" s="450">
        <v>524</v>
      </c>
      <c r="AH150" s="447"/>
      <c r="AI150" s="451">
        <v>1016</v>
      </c>
      <c r="AJ150" s="450">
        <v>800</v>
      </c>
    </row>
    <row r="151" spans="2:36" x14ac:dyDescent="0.25">
      <c r="B151" s="370">
        <v>42563</v>
      </c>
      <c r="C151" s="372">
        <v>42569</v>
      </c>
      <c r="D151" s="409"/>
      <c r="E151" s="451">
        <v>1874</v>
      </c>
      <c r="F151" s="450">
        <v>1</v>
      </c>
      <c r="G151" s="448"/>
      <c r="H151" s="451">
        <v>4702</v>
      </c>
      <c r="I151" s="451">
        <v>1281</v>
      </c>
      <c r="J151" s="448"/>
      <c r="K151" s="451">
        <v>4733</v>
      </c>
      <c r="L151" s="451">
        <v>2362</v>
      </c>
      <c r="M151" s="448"/>
      <c r="N151" s="451">
        <v>2012</v>
      </c>
      <c r="O151" s="450">
        <v>605</v>
      </c>
      <c r="P151" s="448"/>
      <c r="Q151" s="451">
        <v>4357</v>
      </c>
      <c r="R151" s="451">
        <v>953</v>
      </c>
      <c r="S151" s="448"/>
      <c r="T151" s="451">
        <v>2335</v>
      </c>
      <c r="U151" s="451">
        <v>952</v>
      </c>
      <c r="V151" s="447"/>
      <c r="W151" s="451">
        <v>874</v>
      </c>
      <c r="X151" s="453">
        <v>212</v>
      </c>
      <c r="Y151" s="447"/>
      <c r="Z151" s="451">
        <v>775</v>
      </c>
      <c r="AA151" s="450">
        <v>72</v>
      </c>
      <c r="AB151" s="447"/>
      <c r="AC151" s="451">
        <v>917</v>
      </c>
      <c r="AD151" s="450">
        <v>415</v>
      </c>
      <c r="AE151" s="448"/>
      <c r="AF151" s="452">
        <v>2791</v>
      </c>
      <c r="AG151" s="450">
        <v>516</v>
      </c>
      <c r="AH151" s="447"/>
      <c r="AI151" s="450">
        <v>869</v>
      </c>
      <c r="AJ151" s="450">
        <v>718</v>
      </c>
    </row>
    <row r="152" spans="2:36" x14ac:dyDescent="0.25">
      <c r="B152" s="370">
        <v>42570</v>
      </c>
      <c r="C152" s="372">
        <v>42576</v>
      </c>
      <c r="D152" s="409"/>
      <c r="E152" s="451">
        <v>2017</v>
      </c>
      <c r="F152" s="450">
        <v>4</v>
      </c>
      <c r="G152" s="448"/>
      <c r="H152" s="451">
        <v>5368</v>
      </c>
      <c r="I152" s="451">
        <v>1461</v>
      </c>
      <c r="J152" s="448"/>
      <c r="K152" s="451">
        <v>5103</v>
      </c>
      <c r="L152" s="451">
        <v>2617</v>
      </c>
      <c r="M152" s="448"/>
      <c r="N152" s="451">
        <v>2229</v>
      </c>
      <c r="O152" s="450">
        <v>589</v>
      </c>
      <c r="P152" s="448"/>
      <c r="Q152" s="451">
        <v>19967</v>
      </c>
      <c r="R152" s="451">
        <v>3929</v>
      </c>
      <c r="S152" s="448"/>
      <c r="T152" s="451">
        <v>2523</v>
      </c>
      <c r="U152" s="451">
        <v>1063</v>
      </c>
      <c r="V152" s="447"/>
      <c r="W152" s="451">
        <v>983</v>
      </c>
      <c r="X152" s="453">
        <v>209</v>
      </c>
      <c r="Y152" s="447"/>
      <c r="Z152" s="451">
        <v>908</v>
      </c>
      <c r="AA152" s="450">
        <v>93</v>
      </c>
      <c r="AB152" s="447"/>
      <c r="AC152" s="451">
        <v>1067</v>
      </c>
      <c r="AD152" s="450">
        <v>421</v>
      </c>
      <c r="AE152" s="448"/>
      <c r="AF152" s="452">
        <v>3387</v>
      </c>
      <c r="AG152" s="450">
        <v>515</v>
      </c>
      <c r="AH152" s="447"/>
      <c r="AI152" s="450">
        <v>886</v>
      </c>
      <c r="AJ152" s="450">
        <v>664</v>
      </c>
    </row>
    <row r="153" spans="2:36" x14ac:dyDescent="0.25">
      <c r="B153" s="370">
        <v>42577</v>
      </c>
      <c r="C153" s="372">
        <v>42583</v>
      </c>
      <c r="D153" s="409"/>
      <c r="E153" s="451">
        <v>1948</v>
      </c>
      <c r="F153" s="450">
        <v>3</v>
      </c>
      <c r="G153" s="448"/>
      <c r="H153" s="451">
        <v>4939</v>
      </c>
      <c r="I153" s="451">
        <v>1339</v>
      </c>
      <c r="J153" s="448"/>
      <c r="K153" s="451">
        <v>5071</v>
      </c>
      <c r="L153" s="451">
        <v>2522</v>
      </c>
      <c r="M153" s="448"/>
      <c r="N153" s="451">
        <v>2284</v>
      </c>
      <c r="O153" s="450">
        <v>641</v>
      </c>
      <c r="P153" s="448"/>
      <c r="Q153" s="451">
        <v>6051</v>
      </c>
      <c r="R153" s="451">
        <v>1209</v>
      </c>
      <c r="S153" s="448"/>
      <c r="T153" s="451">
        <v>2312</v>
      </c>
      <c r="U153" s="451">
        <v>948</v>
      </c>
      <c r="V153" s="447"/>
      <c r="W153" s="451">
        <v>877</v>
      </c>
      <c r="X153" s="453">
        <v>213</v>
      </c>
      <c r="Y153" s="447"/>
      <c r="Z153" s="451">
        <v>725</v>
      </c>
      <c r="AA153" s="450">
        <v>70</v>
      </c>
      <c r="AB153" s="447"/>
      <c r="AC153" s="451">
        <v>972</v>
      </c>
      <c r="AD153" s="450">
        <v>422</v>
      </c>
      <c r="AE153" s="448"/>
      <c r="AF153" s="452">
        <v>2983</v>
      </c>
      <c r="AG153" s="450">
        <v>489</v>
      </c>
      <c r="AH153" s="447"/>
      <c r="AI153" s="451">
        <v>1116</v>
      </c>
      <c r="AJ153" s="450">
        <v>674</v>
      </c>
    </row>
    <row r="154" spans="2:36" x14ac:dyDescent="0.25">
      <c r="B154" s="370">
        <v>42584</v>
      </c>
      <c r="C154" s="372">
        <v>42590</v>
      </c>
      <c r="D154" s="409"/>
      <c r="E154" s="451">
        <v>1883</v>
      </c>
      <c r="F154" s="450">
        <v>6</v>
      </c>
      <c r="G154" s="448"/>
      <c r="H154" s="451">
        <v>4454</v>
      </c>
      <c r="I154" s="451">
        <v>1262</v>
      </c>
      <c r="J154" s="448"/>
      <c r="K154" s="451">
        <v>5390</v>
      </c>
      <c r="L154" s="451">
        <v>2790</v>
      </c>
      <c r="M154" s="448"/>
      <c r="N154" s="451">
        <v>2053</v>
      </c>
      <c r="O154" s="450">
        <v>532</v>
      </c>
      <c r="P154" s="448"/>
      <c r="Q154" s="451">
        <v>4846</v>
      </c>
      <c r="R154" s="451">
        <v>1062</v>
      </c>
      <c r="S154" s="448"/>
      <c r="T154" s="451">
        <v>2242</v>
      </c>
      <c r="U154" s="451">
        <v>911</v>
      </c>
      <c r="V154" s="447"/>
      <c r="W154" s="451">
        <v>860</v>
      </c>
      <c r="X154" s="453">
        <v>213</v>
      </c>
      <c r="Y154" s="447"/>
      <c r="Z154" s="451">
        <v>689</v>
      </c>
      <c r="AA154" s="450">
        <v>54</v>
      </c>
      <c r="AB154" s="447"/>
      <c r="AC154" s="451">
        <v>949</v>
      </c>
      <c r="AD154" s="450">
        <v>363</v>
      </c>
      <c r="AE154" s="448"/>
      <c r="AF154" s="452">
        <v>2842</v>
      </c>
      <c r="AG154" s="450">
        <v>479</v>
      </c>
      <c r="AH154" s="447"/>
      <c r="AI154" s="450">
        <v>840</v>
      </c>
      <c r="AJ154" s="450">
        <v>681</v>
      </c>
    </row>
    <row r="155" spans="2:36" x14ac:dyDescent="0.25">
      <c r="B155" s="370">
        <v>42591</v>
      </c>
      <c r="C155" s="372">
        <v>42597</v>
      </c>
      <c r="D155" s="409"/>
      <c r="E155" s="451">
        <v>2168</v>
      </c>
      <c r="F155" s="450">
        <v>3</v>
      </c>
      <c r="G155" s="448"/>
      <c r="H155" s="451">
        <v>5138</v>
      </c>
      <c r="I155" s="451">
        <v>1507</v>
      </c>
      <c r="J155" s="448"/>
      <c r="K155" s="451">
        <v>6467</v>
      </c>
      <c r="L155" s="451">
        <v>3616</v>
      </c>
      <c r="M155" s="448"/>
      <c r="N155" s="451">
        <v>2167</v>
      </c>
      <c r="O155" s="450">
        <v>578</v>
      </c>
      <c r="P155" s="448"/>
      <c r="Q155" s="451">
        <v>5531</v>
      </c>
      <c r="R155" s="451">
        <v>1155</v>
      </c>
      <c r="S155" s="448"/>
      <c r="T155" s="451">
        <v>2444</v>
      </c>
      <c r="U155" s="451">
        <v>979</v>
      </c>
      <c r="V155" s="447"/>
      <c r="W155" s="451">
        <v>984</v>
      </c>
      <c r="X155" s="453">
        <v>247</v>
      </c>
      <c r="Y155" s="447"/>
      <c r="Z155" s="451">
        <v>1072</v>
      </c>
      <c r="AA155" s="450">
        <v>79</v>
      </c>
      <c r="AB155" s="447"/>
      <c r="AC155" s="451">
        <v>1074</v>
      </c>
      <c r="AD155" s="450">
        <v>442</v>
      </c>
      <c r="AE155" s="448"/>
      <c r="AF155" s="452">
        <v>3230</v>
      </c>
      <c r="AG155" s="450">
        <v>516</v>
      </c>
      <c r="AH155" s="447"/>
      <c r="AI155" s="451">
        <v>895</v>
      </c>
      <c r="AJ155" s="450">
        <v>640</v>
      </c>
    </row>
    <row r="156" spans="2:36" x14ac:dyDescent="0.25">
      <c r="B156" s="370">
        <v>42598</v>
      </c>
      <c r="C156" s="372">
        <v>42604</v>
      </c>
      <c r="D156" s="409"/>
      <c r="E156" s="451">
        <v>1983</v>
      </c>
      <c r="F156" s="450">
        <v>6</v>
      </c>
      <c r="G156" s="448"/>
      <c r="H156" s="451">
        <v>4649</v>
      </c>
      <c r="I156" s="451">
        <v>1383</v>
      </c>
      <c r="J156" s="448"/>
      <c r="K156" s="451">
        <v>6182</v>
      </c>
      <c r="L156" s="451">
        <v>3658</v>
      </c>
      <c r="M156" s="448"/>
      <c r="N156" s="451">
        <v>2014</v>
      </c>
      <c r="O156" s="450">
        <v>531</v>
      </c>
      <c r="P156" s="448"/>
      <c r="Q156" s="451">
        <v>4420</v>
      </c>
      <c r="R156" s="451">
        <v>975</v>
      </c>
      <c r="S156" s="448"/>
      <c r="T156" s="451">
        <v>2195</v>
      </c>
      <c r="U156" s="451">
        <v>974</v>
      </c>
      <c r="V156" s="447"/>
      <c r="W156" s="451">
        <v>895</v>
      </c>
      <c r="X156" s="453">
        <v>214</v>
      </c>
      <c r="Y156" s="447"/>
      <c r="Z156" s="451">
        <v>790</v>
      </c>
      <c r="AA156" s="450">
        <v>90</v>
      </c>
      <c r="AB156" s="447"/>
      <c r="AC156" s="451">
        <v>952</v>
      </c>
      <c r="AD156" s="450">
        <v>414</v>
      </c>
      <c r="AE156" s="448"/>
      <c r="AF156" s="452">
        <v>3191</v>
      </c>
      <c r="AG156" s="450">
        <v>535</v>
      </c>
      <c r="AH156" s="447"/>
      <c r="AI156" s="450">
        <v>881</v>
      </c>
      <c r="AJ156" s="450">
        <v>731</v>
      </c>
    </row>
    <row r="157" spans="2:36" x14ac:dyDescent="0.25">
      <c r="B157" s="370">
        <v>42605</v>
      </c>
      <c r="C157" s="372">
        <v>42611</v>
      </c>
      <c r="D157" s="409"/>
      <c r="E157" s="451">
        <v>2051</v>
      </c>
      <c r="F157" s="450">
        <v>4</v>
      </c>
      <c r="G157" s="448"/>
      <c r="H157" s="451">
        <v>5085</v>
      </c>
      <c r="I157" s="451">
        <v>1563</v>
      </c>
      <c r="J157" s="448"/>
      <c r="K157" s="451">
        <v>6343</v>
      </c>
      <c r="L157" s="451">
        <v>3448</v>
      </c>
      <c r="M157" s="448"/>
      <c r="N157" s="451">
        <v>2138</v>
      </c>
      <c r="O157" s="450">
        <v>580</v>
      </c>
      <c r="P157" s="448"/>
      <c r="Q157" s="451">
        <v>4746</v>
      </c>
      <c r="R157" s="451">
        <v>927</v>
      </c>
      <c r="S157" s="448"/>
      <c r="T157" s="451">
        <v>2342</v>
      </c>
      <c r="U157" s="451">
        <v>1040</v>
      </c>
      <c r="V157" s="447"/>
      <c r="W157" s="451">
        <v>931</v>
      </c>
      <c r="X157" s="453">
        <v>233</v>
      </c>
      <c r="Y157" s="447"/>
      <c r="Z157" s="451">
        <v>823</v>
      </c>
      <c r="AA157" s="450">
        <v>79</v>
      </c>
      <c r="AB157" s="447"/>
      <c r="AC157" s="451">
        <v>1040</v>
      </c>
      <c r="AD157" s="450">
        <v>459</v>
      </c>
      <c r="AE157" s="448"/>
      <c r="AF157" s="452">
        <v>3251</v>
      </c>
      <c r="AG157" s="450">
        <v>612</v>
      </c>
      <c r="AH157" s="447"/>
      <c r="AI157" s="450">
        <v>937</v>
      </c>
      <c r="AJ157" s="450">
        <v>763</v>
      </c>
    </row>
    <row r="158" spans="2:36" x14ac:dyDescent="0.25">
      <c r="B158" s="370">
        <v>42612</v>
      </c>
      <c r="C158" s="372">
        <v>42618</v>
      </c>
      <c r="D158" s="409"/>
      <c r="E158" s="451">
        <v>2286</v>
      </c>
      <c r="F158" s="450">
        <v>4</v>
      </c>
      <c r="G158" s="448"/>
      <c r="H158" s="451">
        <v>5393</v>
      </c>
      <c r="I158" s="451">
        <v>1526</v>
      </c>
      <c r="J158" s="448"/>
      <c r="K158" s="451">
        <v>5134</v>
      </c>
      <c r="L158" s="451">
        <v>2400</v>
      </c>
      <c r="M158" s="448"/>
      <c r="N158" s="451">
        <v>2167</v>
      </c>
      <c r="O158" s="450">
        <v>575</v>
      </c>
      <c r="P158" s="448"/>
      <c r="Q158" s="451">
        <v>15339</v>
      </c>
      <c r="R158" s="451">
        <v>2505</v>
      </c>
      <c r="S158" s="448"/>
      <c r="T158" s="451">
        <v>2387</v>
      </c>
      <c r="U158" s="451">
        <v>969</v>
      </c>
      <c r="V158" s="447"/>
      <c r="W158" s="451">
        <v>998</v>
      </c>
      <c r="X158" s="453">
        <v>236</v>
      </c>
      <c r="Y158" s="447"/>
      <c r="Z158" s="451">
        <v>829</v>
      </c>
      <c r="AA158" s="450">
        <v>11</v>
      </c>
      <c r="AB158" s="447"/>
      <c r="AC158" s="451">
        <v>1152</v>
      </c>
      <c r="AD158" s="450">
        <v>476</v>
      </c>
      <c r="AE158" s="448"/>
      <c r="AF158" s="452">
        <v>3373</v>
      </c>
      <c r="AG158" s="450">
        <v>524</v>
      </c>
      <c r="AH158" s="447"/>
      <c r="AI158" s="451">
        <v>746</v>
      </c>
      <c r="AJ158" s="450">
        <v>568</v>
      </c>
    </row>
    <row r="159" spans="2:36" x14ac:dyDescent="0.25">
      <c r="B159" s="370">
        <v>42619</v>
      </c>
      <c r="C159" s="372">
        <v>42625</v>
      </c>
      <c r="D159" s="409"/>
      <c r="E159" s="451">
        <v>2477</v>
      </c>
      <c r="F159" s="450">
        <v>1</v>
      </c>
      <c r="G159" s="448"/>
      <c r="H159" s="451">
        <v>6255</v>
      </c>
      <c r="I159" s="451">
        <v>1528</v>
      </c>
      <c r="J159" s="448"/>
      <c r="K159" s="451">
        <v>6580</v>
      </c>
      <c r="L159" s="451">
        <v>3115</v>
      </c>
      <c r="M159" s="448"/>
      <c r="N159" s="451">
        <v>2832</v>
      </c>
      <c r="O159" s="450">
        <v>774</v>
      </c>
      <c r="P159" s="448"/>
      <c r="Q159" s="451">
        <v>6073</v>
      </c>
      <c r="R159" s="451">
        <v>1185</v>
      </c>
      <c r="S159" s="448"/>
      <c r="T159" s="451">
        <v>2507</v>
      </c>
      <c r="U159" s="451">
        <v>903</v>
      </c>
      <c r="V159" s="447"/>
      <c r="W159" s="451">
        <v>1025</v>
      </c>
      <c r="X159" s="453">
        <v>247</v>
      </c>
      <c r="Y159" s="447"/>
      <c r="Z159" s="451">
        <v>1128</v>
      </c>
      <c r="AA159" s="450">
        <v>98</v>
      </c>
      <c r="AB159" s="447"/>
      <c r="AC159" s="451">
        <v>1390</v>
      </c>
      <c r="AD159" s="450">
        <v>557</v>
      </c>
      <c r="AE159" s="448"/>
      <c r="AF159" s="452">
        <v>3866</v>
      </c>
      <c r="AG159" s="450">
        <v>565</v>
      </c>
      <c r="AH159" s="447"/>
      <c r="AI159" s="451">
        <v>765</v>
      </c>
      <c r="AJ159" s="450">
        <v>622</v>
      </c>
    </row>
    <row r="160" spans="2:36" x14ac:dyDescent="0.25">
      <c r="B160" s="370">
        <v>42626</v>
      </c>
      <c r="C160" s="372">
        <v>42632</v>
      </c>
      <c r="D160" s="409"/>
      <c r="E160" s="451">
        <v>1979</v>
      </c>
      <c r="F160" s="450">
        <v>4</v>
      </c>
      <c r="G160" s="448"/>
      <c r="H160" s="451">
        <v>4573</v>
      </c>
      <c r="I160" s="451">
        <v>1238</v>
      </c>
      <c r="J160" s="448"/>
      <c r="K160" s="451">
        <v>5517</v>
      </c>
      <c r="L160" s="451">
        <v>2660</v>
      </c>
      <c r="M160" s="448"/>
      <c r="N160" s="451">
        <v>2143</v>
      </c>
      <c r="O160" s="450">
        <v>564</v>
      </c>
      <c r="P160" s="448"/>
      <c r="Q160" s="451">
        <v>4887</v>
      </c>
      <c r="R160" s="451">
        <v>946</v>
      </c>
      <c r="S160" s="448"/>
      <c r="T160" s="451">
        <v>1988</v>
      </c>
      <c r="U160" s="451">
        <v>733</v>
      </c>
      <c r="V160" s="447"/>
      <c r="W160" s="451">
        <v>850</v>
      </c>
      <c r="X160" s="453">
        <v>202</v>
      </c>
      <c r="Y160" s="447"/>
      <c r="Z160" s="451">
        <v>749</v>
      </c>
      <c r="AA160" s="450">
        <v>64</v>
      </c>
      <c r="AB160" s="447"/>
      <c r="AC160" s="451">
        <v>1018</v>
      </c>
      <c r="AD160" s="450">
        <v>391</v>
      </c>
      <c r="AE160" s="448"/>
      <c r="AF160" s="452">
        <v>3462</v>
      </c>
      <c r="AG160" s="450">
        <v>479</v>
      </c>
      <c r="AH160" s="447"/>
      <c r="AI160" s="450">
        <v>712</v>
      </c>
      <c r="AJ160" s="450">
        <v>518</v>
      </c>
    </row>
    <row r="161" spans="1:60" x14ac:dyDescent="0.25">
      <c r="A161" s="32"/>
      <c r="B161" s="371">
        <v>42633</v>
      </c>
      <c r="C161" s="371">
        <v>42639</v>
      </c>
      <c r="D161" s="409"/>
      <c r="E161" s="455">
        <v>2212</v>
      </c>
      <c r="F161" s="454">
        <v>5</v>
      </c>
      <c r="G161" s="448"/>
      <c r="H161" s="455">
        <v>5236</v>
      </c>
      <c r="I161" s="455">
        <v>1365</v>
      </c>
      <c r="J161" s="448"/>
      <c r="K161" s="455">
        <v>5724</v>
      </c>
      <c r="L161" s="455">
        <v>2553</v>
      </c>
      <c r="M161" s="448"/>
      <c r="N161" s="455">
        <v>2425</v>
      </c>
      <c r="O161" s="454">
        <v>680</v>
      </c>
      <c r="P161" s="448"/>
      <c r="Q161" s="455">
        <v>5627</v>
      </c>
      <c r="R161" s="455">
        <v>1066</v>
      </c>
      <c r="S161" s="448"/>
      <c r="T161" s="455">
        <v>2051</v>
      </c>
      <c r="U161" s="455">
        <v>763</v>
      </c>
      <c r="V161" s="447"/>
      <c r="W161" s="455">
        <v>994</v>
      </c>
      <c r="X161" s="472">
        <v>235</v>
      </c>
      <c r="Y161" s="447"/>
      <c r="Z161" s="455">
        <v>869</v>
      </c>
      <c r="AA161" s="454">
        <v>74</v>
      </c>
      <c r="AB161" s="447"/>
      <c r="AC161" s="455">
        <v>1177</v>
      </c>
      <c r="AD161" s="454">
        <v>437</v>
      </c>
      <c r="AE161" s="448"/>
      <c r="AF161" s="452">
        <v>3654</v>
      </c>
      <c r="AG161" s="454">
        <v>576</v>
      </c>
      <c r="AH161" s="447"/>
      <c r="AI161" s="454">
        <v>1432</v>
      </c>
      <c r="AJ161" s="454">
        <v>1006</v>
      </c>
      <c r="AK161" s="32"/>
      <c r="AL161" s="32"/>
      <c r="AM161" s="32"/>
      <c r="AN161" s="32"/>
      <c r="AO161" s="32"/>
      <c r="AP161" s="32"/>
      <c r="AQ161" s="32"/>
      <c r="AR161" s="32"/>
      <c r="AS161" s="32"/>
      <c r="AT161" s="32"/>
      <c r="AU161" s="32"/>
      <c r="AV161" s="32"/>
      <c r="AW161" s="32"/>
      <c r="AX161" s="32"/>
      <c r="AY161" s="32"/>
      <c r="AZ161" s="32"/>
      <c r="BA161" s="32"/>
      <c r="BB161" s="32"/>
      <c r="BC161" s="32"/>
      <c r="BD161" s="32"/>
      <c r="BE161" s="32"/>
      <c r="BF161" s="32"/>
      <c r="BG161" s="32"/>
      <c r="BH161" s="32"/>
    </row>
    <row r="162" spans="1:60" x14ac:dyDescent="0.25">
      <c r="B162" s="370">
        <v>42640</v>
      </c>
      <c r="C162" s="372">
        <v>42646</v>
      </c>
      <c r="D162" s="409"/>
      <c r="E162" s="451">
        <v>1436</v>
      </c>
      <c r="F162" s="454">
        <v>2</v>
      </c>
      <c r="G162" s="448"/>
      <c r="H162" s="470">
        <v>2715</v>
      </c>
      <c r="I162" s="470">
        <v>819</v>
      </c>
      <c r="J162" s="448"/>
      <c r="K162" s="470">
        <v>4125</v>
      </c>
      <c r="L162" s="470">
        <v>2306</v>
      </c>
      <c r="M162" s="448"/>
      <c r="N162" s="470">
        <v>1083</v>
      </c>
      <c r="O162" s="469">
        <v>272</v>
      </c>
      <c r="P162" s="448"/>
      <c r="Q162" s="470">
        <v>3419</v>
      </c>
      <c r="R162" s="470">
        <v>639</v>
      </c>
      <c r="S162" s="448"/>
      <c r="T162" s="470">
        <v>1505</v>
      </c>
      <c r="U162" s="470">
        <v>655</v>
      </c>
      <c r="V162" s="447"/>
      <c r="W162" s="470">
        <v>580</v>
      </c>
      <c r="X162" s="471">
        <v>139</v>
      </c>
      <c r="Y162" s="447"/>
      <c r="Z162" s="470">
        <v>461</v>
      </c>
      <c r="AA162" s="469">
        <v>39</v>
      </c>
      <c r="AB162" s="447"/>
      <c r="AC162" s="470">
        <v>612</v>
      </c>
      <c r="AD162" s="469">
        <v>273</v>
      </c>
      <c r="AE162" s="448"/>
      <c r="AF162" s="452">
        <v>2600</v>
      </c>
      <c r="AG162" s="450">
        <v>377</v>
      </c>
      <c r="AH162" s="447"/>
      <c r="AI162" s="451">
        <v>1387</v>
      </c>
      <c r="AJ162" s="450">
        <v>847</v>
      </c>
    </row>
    <row r="163" spans="1:60" x14ac:dyDescent="0.25">
      <c r="B163" s="370">
        <v>42647</v>
      </c>
      <c r="C163" s="372">
        <v>42653</v>
      </c>
      <c r="D163" s="409"/>
      <c r="E163" s="451">
        <v>1295</v>
      </c>
      <c r="F163" s="454">
        <v>2</v>
      </c>
      <c r="G163" s="448"/>
      <c r="H163" s="451">
        <v>2065</v>
      </c>
      <c r="I163" s="451">
        <v>662</v>
      </c>
      <c r="J163" s="448"/>
      <c r="K163" s="451">
        <v>2859</v>
      </c>
      <c r="L163" s="451">
        <v>1742</v>
      </c>
      <c r="M163" s="448"/>
      <c r="N163" s="451">
        <v>623</v>
      </c>
      <c r="O163" s="450">
        <v>116</v>
      </c>
      <c r="P163" s="448"/>
      <c r="Q163" s="451">
        <v>2477</v>
      </c>
      <c r="R163" s="451">
        <v>436</v>
      </c>
      <c r="S163" s="448"/>
      <c r="T163" s="451">
        <v>1284</v>
      </c>
      <c r="U163" s="451">
        <v>526</v>
      </c>
      <c r="V163" s="447"/>
      <c r="W163" s="451">
        <v>465</v>
      </c>
      <c r="X163" s="453">
        <v>119</v>
      </c>
      <c r="Y163" s="447"/>
      <c r="Z163" s="451">
        <v>420</v>
      </c>
      <c r="AA163" s="450">
        <v>34</v>
      </c>
      <c r="AB163" s="447"/>
      <c r="AC163" s="451">
        <v>523</v>
      </c>
      <c r="AD163" s="450">
        <v>241</v>
      </c>
      <c r="AE163" s="448"/>
      <c r="AF163" s="452">
        <v>2595</v>
      </c>
      <c r="AG163" s="450">
        <v>346</v>
      </c>
      <c r="AH163" s="447"/>
      <c r="AI163" s="451">
        <v>1262</v>
      </c>
      <c r="AJ163" s="450">
        <v>756</v>
      </c>
    </row>
    <row r="164" spans="1:60" x14ac:dyDescent="0.25">
      <c r="B164" s="370">
        <v>42654</v>
      </c>
      <c r="C164" s="372">
        <v>42660</v>
      </c>
      <c r="D164" s="409"/>
      <c r="E164" s="451">
        <v>1646</v>
      </c>
      <c r="F164" s="454">
        <v>12</v>
      </c>
      <c r="G164" s="448"/>
      <c r="H164" s="451">
        <v>2667</v>
      </c>
      <c r="I164" s="451">
        <v>976</v>
      </c>
      <c r="J164" s="448"/>
      <c r="K164" s="451">
        <v>3335</v>
      </c>
      <c r="L164" s="451">
        <v>2111</v>
      </c>
      <c r="M164" s="448"/>
      <c r="N164" s="451">
        <v>722</v>
      </c>
      <c r="O164" s="450">
        <v>148</v>
      </c>
      <c r="P164" s="448"/>
      <c r="Q164" s="451">
        <v>2988</v>
      </c>
      <c r="R164" s="451">
        <v>526</v>
      </c>
      <c r="S164" s="448"/>
      <c r="T164" s="451">
        <v>1517</v>
      </c>
      <c r="U164" s="451">
        <v>669</v>
      </c>
      <c r="V164" s="447"/>
      <c r="W164" s="451">
        <v>662</v>
      </c>
      <c r="X164" s="453">
        <v>161</v>
      </c>
      <c r="Y164" s="447"/>
      <c r="Z164" s="451">
        <v>456</v>
      </c>
      <c r="AA164" s="450">
        <v>29</v>
      </c>
      <c r="AB164" s="447"/>
      <c r="AC164" s="451">
        <v>623</v>
      </c>
      <c r="AD164" s="450">
        <v>360</v>
      </c>
      <c r="AE164" s="448"/>
      <c r="AF164" s="452">
        <v>3434</v>
      </c>
      <c r="AG164" s="450">
        <v>448</v>
      </c>
      <c r="AH164" s="447"/>
      <c r="AI164" s="451">
        <v>1314</v>
      </c>
      <c r="AJ164" s="450">
        <v>863</v>
      </c>
    </row>
    <row r="165" spans="1:60" x14ac:dyDescent="0.25">
      <c r="B165" s="370">
        <v>42661</v>
      </c>
      <c r="C165" s="372">
        <v>42667</v>
      </c>
      <c r="D165" s="409"/>
      <c r="E165" s="451">
        <v>1696</v>
      </c>
      <c r="F165" s="454">
        <v>2</v>
      </c>
      <c r="G165" s="448"/>
      <c r="H165" s="451">
        <v>2667</v>
      </c>
      <c r="I165" s="451">
        <v>857</v>
      </c>
      <c r="J165" s="448"/>
      <c r="K165" s="451">
        <v>3408</v>
      </c>
      <c r="L165" s="451">
        <v>2073</v>
      </c>
      <c r="M165" s="448"/>
      <c r="N165" s="451">
        <v>777</v>
      </c>
      <c r="O165" s="450">
        <v>159</v>
      </c>
      <c r="P165" s="448"/>
      <c r="Q165" s="451">
        <v>2886</v>
      </c>
      <c r="R165" s="451">
        <v>524</v>
      </c>
      <c r="S165" s="448"/>
      <c r="T165" s="451">
        <v>1521</v>
      </c>
      <c r="U165" s="451">
        <v>616</v>
      </c>
      <c r="V165" s="447"/>
      <c r="W165" s="451">
        <v>630</v>
      </c>
      <c r="X165" s="453">
        <v>152</v>
      </c>
      <c r="Y165" s="447"/>
      <c r="Z165" s="451">
        <v>530</v>
      </c>
      <c r="AA165" s="450">
        <v>39</v>
      </c>
      <c r="AB165" s="447"/>
      <c r="AC165" s="451">
        <v>614</v>
      </c>
      <c r="AD165" s="450">
        <v>297</v>
      </c>
      <c r="AE165" s="448"/>
      <c r="AF165" s="452">
        <v>3469</v>
      </c>
      <c r="AG165" s="450">
        <v>438</v>
      </c>
      <c r="AH165" s="447"/>
      <c r="AI165" s="451">
        <v>1304</v>
      </c>
      <c r="AJ165" s="450">
        <v>824</v>
      </c>
    </row>
    <row r="166" spans="1:60" x14ac:dyDescent="0.25">
      <c r="B166" s="370">
        <v>42668</v>
      </c>
      <c r="C166" s="372">
        <v>42674</v>
      </c>
      <c r="D166" s="409"/>
      <c r="E166" s="451">
        <v>1779</v>
      </c>
      <c r="F166" s="454">
        <v>1</v>
      </c>
      <c r="G166" s="448"/>
      <c r="H166" s="451">
        <v>2570</v>
      </c>
      <c r="I166" s="451">
        <v>866</v>
      </c>
      <c r="J166" s="448"/>
      <c r="K166" s="451">
        <v>3101</v>
      </c>
      <c r="L166" s="451">
        <v>1986</v>
      </c>
      <c r="M166" s="448"/>
      <c r="N166" s="451">
        <v>700</v>
      </c>
      <c r="O166" s="450">
        <v>148</v>
      </c>
      <c r="P166" s="448"/>
      <c r="Q166" s="451">
        <v>3058</v>
      </c>
      <c r="R166" s="451">
        <v>558</v>
      </c>
      <c r="S166" s="448"/>
      <c r="T166" s="451">
        <v>1507</v>
      </c>
      <c r="U166" s="451">
        <v>591</v>
      </c>
      <c r="V166" s="447"/>
      <c r="W166" s="451">
        <v>646</v>
      </c>
      <c r="X166" s="453">
        <v>148</v>
      </c>
      <c r="Y166" s="447"/>
      <c r="Z166" s="451">
        <v>511</v>
      </c>
      <c r="AA166" s="450">
        <v>47</v>
      </c>
      <c r="AB166" s="447"/>
      <c r="AC166" s="451">
        <v>624</v>
      </c>
      <c r="AD166" s="450">
        <v>322</v>
      </c>
      <c r="AE166" s="448"/>
      <c r="AF166" s="452">
        <v>3618</v>
      </c>
      <c r="AG166" s="450">
        <v>402</v>
      </c>
      <c r="AH166" s="447"/>
      <c r="AI166" s="451">
        <v>1273</v>
      </c>
      <c r="AJ166" s="450">
        <v>845</v>
      </c>
    </row>
    <row r="167" spans="1:60" x14ac:dyDescent="0.25">
      <c r="B167" s="370">
        <v>42675</v>
      </c>
      <c r="C167" s="372">
        <v>42681</v>
      </c>
      <c r="D167" s="409"/>
      <c r="E167" s="451">
        <v>1777</v>
      </c>
      <c r="F167" s="454">
        <v>1</v>
      </c>
      <c r="G167" s="448"/>
      <c r="H167" s="451">
        <v>2486</v>
      </c>
      <c r="I167" s="451">
        <v>851</v>
      </c>
      <c r="J167" s="448"/>
      <c r="K167" s="451">
        <v>3214</v>
      </c>
      <c r="L167" s="451">
        <v>2009</v>
      </c>
      <c r="M167" s="448"/>
      <c r="N167" s="451">
        <v>756</v>
      </c>
      <c r="O167" s="450">
        <v>142</v>
      </c>
      <c r="P167" s="448"/>
      <c r="Q167" s="451">
        <v>3127</v>
      </c>
      <c r="R167" s="451">
        <v>601</v>
      </c>
      <c r="S167" s="448"/>
      <c r="T167" s="451">
        <v>1493</v>
      </c>
      <c r="U167" s="451">
        <v>681</v>
      </c>
      <c r="V167" s="447"/>
      <c r="W167" s="451">
        <v>654</v>
      </c>
      <c r="X167" s="453">
        <v>142</v>
      </c>
      <c r="Y167" s="447"/>
      <c r="Z167" s="451">
        <v>529</v>
      </c>
      <c r="AA167" s="450">
        <v>52</v>
      </c>
      <c r="AB167" s="447"/>
      <c r="AC167" s="451">
        <v>917</v>
      </c>
      <c r="AD167" s="450">
        <v>436</v>
      </c>
      <c r="AE167" s="448"/>
      <c r="AF167" s="452">
        <v>3750</v>
      </c>
      <c r="AG167" s="450">
        <v>426</v>
      </c>
      <c r="AH167" s="447"/>
      <c r="AI167" s="451">
        <v>1229</v>
      </c>
      <c r="AJ167" s="450">
        <v>730</v>
      </c>
    </row>
    <row r="168" spans="1:60" x14ac:dyDescent="0.25">
      <c r="B168" s="370">
        <v>42682</v>
      </c>
      <c r="C168" s="372">
        <v>42688</v>
      </c>
      <c r="D168" s="409"/>
      <c r="E168" s="451">
        <v>11222</v>
      </c>
      <c r="F168" s="454">
        <v>6</v>
      </c>
      <c r="G168" s="448"/>
      <c r="H168" s="451">
        <v>11154</v>
      </c>
      <c r="I168" s="451">
        <v>2720</v>
      </c>
      <c r="J168" s="448"/>
      <c r="K168" s="451">
        <v>7334</v>
      </c>
      <c r="L168" s="451">
        <v>2318</v>
      </c>
      <c r="M168" s="448"/>
      <c r="N168" s="451">
        <v>5295</v>
      </c>
      <c r="O168" s="451">
        <v>1284</v>
      </c>
      <c r="P168" s="448"/>
      <c r="Q168" s="451">
        <v>12039</v>
      </c>
      <c r="R168" s="451">
        <v>2578</v>
      </c>
      <c r="S168" s="448"/>
      <c r="T168" s="451">
        <v>6641</v>
      </c>
      <c r="U168" s="451">
        <v>2139</v>
      </c>
      <c r="V168" s="447"/>
      <c r="W168" s="451">
        <v>7838</v>
      </c>
      <c r="X168" s="451">
        <v>1771</v>
      </c>
      <c r="Y168" s="447"/>
      <c r="Z168" s="451">
        <v>7505</v>
      </c>
      <c r="AA168" s="450">
        <v>638</v>
      </c>
      <c r="AB168" s="447"/>
      <c r="AC168" s="451">
        <v>7047</v>
      </c>
      <c r="AD168" s="451">
        <v>2162</v>
      </c>
      <c r="AE168" s="448"/>
      <c r="AF168" s="452">
        <v>12487</v>
      </c>
      <c r="AG168" s="451">
        <v>1739</v>
      </c>
      <c r="AH168" s="447"/>
      <c r="AI168" s="451">
        <v>1281</v>
      </c>
      <c r="AJ168" s="450">
        <v>845</v>
      </c>
    </row>
    <row r="169" spans="1:60" x14ac:dyDescent="0.25">
      <c r="B169" s="370">
        <v>42689</v>
      </c>
      <c r="C169" s="372">
        <v>42695</v>
      </c>
      <c r="D169" s="409"/>
      <c r="E169" s="451">
        <v>3686</v>
      </c>
      <c r="F169" s="454">
        <v>10</v>
      </c>
      <c r="G169" s="448"/>
      <c r="H169" s="451">
        <v>5562</v>
      </c>
      <c r="I169" s="451">
        <v>1465</v>
      </c>
      <c r="J169" s="448"/>
      <c r="K169" s="451">
        <v>3714</v>
      </c>
      <c r="L169" s="451">
        <v>1719</v>
      </c>
      <c r="M169" s="448"/>
      <c r="N169" s="451">
        <v>2795</v>
      </c>
      <c r="O169" s="450">
        <v>726</v>
      </c>
      <c r="P169" s="448"/>
      <c r="Q169" s="451">
        <v>4668</v>
      </c>
      <c r="R169" s="451">
        <v>975</v>
      </c>
      <c r="S169" s="448"/>
      <c r="T169" s="451">
        <v>2181</v>
      </c>
      <c r="U169" s="451">
        <v>801</v>
      </c>
      <c r="V169" s="447"/>
      <c r="W169" s="451">
        <v>1246</v>
      </c>
      <c r="X169" s="453">
        <v>259</v>
      </c>
      <c r="Y169" s="447"/>
      <c r="Z169" s="451">
        <v>1335</v>
      </c>
      <c r="AA169" s="450">
        <v>104</v>
      </c>
      <c r="AB169" s="447"/>
      <c r="AC169" s="451">
        <v>1489</v>
      </c>
      <c r="AD169" s="450">
        <v>581</v>
      </c>
      <c r="AE169" s="448"/>
      <c r="AF169" s="452">
        <v>5641</v>
      </c>
      <c r="AG169" s="450">
        <v>756</v>
      </c>
      <c r="AH169" s="447"/>
      <c r="AI169" s="451">
        <v>1508</v>
      </c>
      <c r="AJ169" s="450">
        <v>928</v>
      </c>
    </row>
    <row r="170" spans="1:60" x14ac:dyDescent="0.25">
      <c r="B170" s="370">
        <v>42696</v>
      </c>
      <c r="C170" s="372">
        <v>42702</v>
      </c>
      <c r="D170" s="409"/>
      <c r="E170" s="451">
        <v>2789</v>
      </c>
      <c r="F170" s="454">
        <v>10</v>
      </c>
      <c r="G170" s="448"/>
      <c r="H170" s="451">
        <v>4355</v>
      </c>
      <c r="I170" s="451">
        <v>1120</v>
      </c>
      <c r="J170" s="448"/>
      <c r="K170" s="451">
        <v>2582</v>
      </c>
      <c r="L170" s="451">
        <v>1244</v>
      </c>
      <c r="M170" s="448"/>
      <c r="N170" s="451">
        <v>2131</v>
      </c>
      <c r="O170" s="450">
        <v>624</v>
      </c>
      <c r="P170" s="448"/>
      <c r="Q170" s="451">
        <v>3389</v>
      </c>
      <c r="R170" s="451">
        <v>642</v>
      </c>
      <c r="S170" s="448"/>
      <c r="T170" s="451">
        <v>1623</v>
      </c>
      <c r="U170" s="451">
        <v>646</v>
      </c>
      <c r="V170" s="447"/>
      <c r="W170" s="451">
        <v>790</v>
      </c>
      <c r="X170" s="453">
        <v>352</v>
      </c>
      <c r="Y170" s="447"/>
      <c r="Z170" s="451">
        <v>1134</v>
      </c>
      <c r="AA170" s="450">
        <v>138</v>
      </c>
      <c r="AB170" s="447"/>
      <c r="AC170" s="451">
        <v>1015</v>
      </c>
      <c r="AD170" s="450">
        <v>401</v>
      </c>
      <c r="AE170" s="448"/>
      <c r="AF170" s="452">
        <v>4383</v>
      </c>
      <c r="AG170" s="450">
        <v>670</v>
      </c>
      <c r="AH170" s="447"/>
      <c r="AI170" s="451">
        <v>1294</v>
      </c>
      <c r="AJ170" s="450">
        <v>920</v>
      </c>
    </row>
    <row r="171" spans="1:60" x14ac:dyDescent="0.25">
      <c r="B171" s="377">
        <v>42703</v>
      </c>
      <c r="C171" s="377">
        <v>42709</v>
      </c>
      <c r="D171" s="409"/>
      <c r="E171" s="446">
        <v>2462</v>
      </c>
      <c r="F171" s="445">
        <v>0</v>
      </c>
      <c r="G171" s="448"/>
      <c r="H171" s="446">
        <v>3777</v>
      </c>
      <c r="I171" s="446">
        <v>1348</v>
      </c>
      <c r="J171" s="448"/>
      <c r="K171" s="446">
        <v>2974</v>
      </c>
      <c r="L171" s="446">
        <v>1291</v>
      </c>
      <c r="M171" s="448"/>
      <c r="N171" s="446">
        <v>1549</v>
      </c>
      <c r="O171" s="502">
        <v>377</v>
      </c>
      <c r="P171" s="448"/>
      <c r="Q171" s="446">
        <v>3062</v>
      </c>
      <c r="R171" s="446">
        <v>1016</v>
      </c>
      <c r="S171" s="448"/>
      <c r="T171" s="446">
        <v>1422</v>
      </c>
      <c r="U171" s="446">
        <v>740</v>
      </c>
      <c r="V171" s="447"/>
      <c r="W171" s="446">
        <v>673</v>
      </c>
      <c r="X171" s="449">
        <v>271</v>
      </c>
      <c r="Y171" s="447"/>
      <c r="Z171" s="446">
        <v>1138</v>
      </c>
      <c r="AA171" s="445">
        <v>562</v>
      </c>
      <c r="AB171" s="447"/>
      <c r="AC171" s="446">
        <v>979</v>
      </c>
      <c r="AD171" s="445">
        <v>474</v>
      </c>
      <c r="AE171" s="448"/>
      <c r="AF171" s="446">
        <v>4313</v>
      </c>
      <c r="AG171" s="445">
        <v>686</v>
      </c>
      <c r="AH171" s="447"/>
      <c r="AI171" s="446">
        <v>1237</v>
      </c>
      <c r="AJ171" s="445">
        <v>833</v>
      </c>
    </row>
    <row r="172" spans="1:60" x14ac:dyDescent="0.25">
      <c r="B172" s="377">
        <v>42710</v>
      </c>
      <c r="C172" s="377">
        <v>42716</v>
      </c>
      <c r="D172" s="409"/>
      <c r="E172" s="446">
        <v>3241</v>
      </c>
      <c r="F172" s="445">
        <v>0</v>
      </c>
      <c r="G172" s="448"/>
      <c r="H172" s="446">
        <v>5085</v>
      </c>
      <c r="I172" s="446">
        <v>1639</v>
      </c>
      <c r="J172" s="448"/>
      <c r="K172" s="446">
        <v>3492</v>
      </c>
      <c r="L172" s="446">
        <v>2211</v>
      </c>
      <c r="M172" s="448"/>
      <c r="N172" s="446">
        <v>2446</v>
      </c>
      <c r="O172" s="502">
        <v>660</v>
      </c>
      <c r="P172" s="448"/>
      <c r="Q172" s="446">
        <v>3825</v>
      </c>
      <c r="R172" s="446">
        <v>1265</v>
      </c>
      <c r="S172" s="448"/>
      <c r="T172" s="446">
        <v>1726</v>
      </c>
      <c r="U172" s="446">
        <v>867</v>
      </c>
      <c r="V172" s="447"/>
      <c r="W172" s="446">
        <v>787</v>
      </c>
      <c r="X172" s="449">
        <v>296</v>
      </c>
      <c r="Y172" s="447"/>
      <c r="Z172" s="446">
        <v>1407</v>
      </c>
      <c r="AA172" s="445">
        <v>712</v>
      </c>
      <c r="AB172" s="447"/>
      <c r="AC172" s="446">
        <v>1263</v>
      </c>
      <c r="AD172" s="445">
        <v>610</v>
      </c>
      <c r="AE172" s="448"/>
      <c r="AF172" s="446">
        <v>5133</v>
      </c>
      <c r="AG172" s="445">
        <v>889</v>
      </c>
      <c r="AH172" s="447"/>
      <c r="AI172" s="446">
        <v>1472</v>
      </c>
      <c r="AJ172" s="445">
        <v>941</v>
      </c>
    </row>
    <row r="173" spans="1:60" x14ac:dyDescent="0.25">
      <c r="B173" s="377">
        <v>42717</v>
      </c>
      <c r="C173" s="377">
        <v>42723</v>
      </c>
      <c r="D173" s="409"/>
      <c r="E173" s="446">
        <v>3017</v>
      </c>
      <c r="F173" s="445">
        <v>3</v>
      </c>
      <c r="G173" s="448"/>
      <c r="H173" s="446">
        <v>4851</v>
      </c>
      <c r="I173" s="446">
        <v>1581</v>
      </c>
      <c r="J173" s="448"/>
      <c r="K173" s="446">
        <v>3137</v>
      </c>
      <c r="L173" s="446">
        <v>2025</v>
      </c>
      <c r="M173" s="448"/>
      <c r="N173" s="446">
        <v>2109</v>
      </c>
      <c r="O173" s="502">
        <v>508</v>
      </c>
      <c r="P173" s="448"/>
      <c r="Q173" s="446">
        <v>3407</v>
      </c>
      <c r="R173" s="446">
        <v>1132</v>
      </c>
      <c r="S173" s="448"/>
      <c r="T173" s="446">
        <v>1471</v>
      </c>
      <c r="U173" s="446">
        <v>705</v>
      </c>
      <c r="V173" s="447"/>
      <c r="W173" s="446">
        <v>720</v>
      </c>
      <c r="X173" s="449">
        <v>279</v>
      </c>
      <c r="Y173" s="447"/>
      <c r="Z173" s="446">
        <v>1538</v>
      </c>
      <c r="AA173" s="445">
        <v>832</v>
      </c>
      <c r="AB173" s="447"/>
      <c r="AC173" s="446">
        <v>1199</v>
      </c>
      <c r="AD173" s="445">
        <v>535</v>
      </c>
      <c r="AE173" s="448"/>
      <c r="AF173" s="446">
        <v>4860</v>
      </c>
      <c r="AG173" s="445">
        <v>781</v>
      </c>
      <c r="AH173" s="447"/>
      <c r="AI173" s="446">
        <v>1263</v>
      </c>
      <c r="AJ173" s="445">
        <v>803</v>
      </c>
    </row>
    <row r="174" spans="1:60" x14ac:dyDescent="0.25">
      <c r="B174" s="377">
        <v>42724</v>
      </c>
      <c r="C174" s="377">
        <v>42730</v>
      </c>
      <c r="D174" s="409"/>
      <c r="E174" s="446">
        <v>2589</v>
      </c>
      <c r="F174" s="445">
        <v>2</v>
      </c>
      <c r="G174" s="448"/>
      <c r="H174" s="446">
        <v>4452</v>
      </c>
      <c r="I174" s="446">
        <v>1259</v>
      </c>
      <c r="J174" s="448"/>
      <c r="K174" s="446">
        <v>2186</v>
      </c>
      <c r="L174" s="446">
        <v>1264</v>
      </c>
      <c r="M174" s="448"/>
      <c r="N174" s="446">
        <v>1952</v>
      </c>
      <c r="O174" s="502">
        <v>492</v>
      </c>
      <c r="P174" s="448"/>
      <c r="Q174" s="446">
        <v>3088</v>
      </c>
      <c r="R174" s="446">
        <v>1038</v>
      </c>
      <c r="S174" s="448"/>
      <c r="T174" s="446">
        <v>1385</v>
      </c>
      <c r="U174" s="446">
        <v>674</v>
      </c>
      <c r="V174" s="447"/>
      <c r="W174" s="446">
        <v>674</v>
      </c>
      <c r="X174" s="449">
        <v>283</v>
      </c>
      <c r="Y174" s="447"/>
      <c r="Z174" s="446">
        <v>1439</v>
      </c>
      <c r="AA174" s="445">
        <v>677</v>
      </c>
      <c r="AB174" s="447"/>
      <c r="AC174" s="446">
        <v>1070</v>
      </c>
      <c r="AD174" s="445">
        <v>455</v>
      </c>
      <c r="AE174" s="448"/>
      <c r="AF174" s="446">
        <v>3927</v>
      </c>
      <c r="AG174" s="445">
        <v>683</v>
      </c>
      <c r="AH174" s="447"/>
      <c r="AI174" s="446">
        <v>1097</v>
      </c>
      <c r="AJ174" s="445">
        <v>744</v>
      </c>
    </row>
    <row r="175" spans="1:60" x14ac:dyDescent="0.25">
      <c r="B175" s="377">
        <v>42731</v>
      </c>
      <c r="C175" s="377">
        <v>42737</v>
      </c>
      <c r="D175" s="409"/>
      <c r="E175" s="446">
        <v>3510</v>
      </c>
      <c r="F175" s="445">
        <v>9</v>
      </c>
      <c r="G175" s="448"/>
      <c r="H175" s="446">
        <v>5247</v>
      </c>
      <c r="I175" s="446">
        <v>1726</v>
      </c>
      <c r="J175" s="448"/>
      <c r="K175" s="446">
        <v>2594</v>
      </c>
      <c r="L175" s="446">
        <v>1337</v>
      </c>
      <c r="M175" s="448"/>
      <c r="N175" s="446">
        <v>2178</v>
      </c>
      <c r="O175" s="502">
        <v>564</v>
      </c>
      <c r="P175" s="448"/>
      <c r="Q175" s="446">
        <v>3911</v>
      </c>
      <c r="R175" s="446">
        <v>1279</v>
      </c>
      <c r="S175" s="448"/>
      <c r="T175" s="446">
        <v>1700</v>
      </c>
      <c r="U175" s="446">
        <v>846</v>
      </c>
      <c r="V175" s="447"/>
      <c r="W175" s="446">
        <v>856</v>
      </c>
      <c r="X175" s="449">
        <v>312</v>
      </c>
      <c r="Y175" s="447"/>
      <c r="Z175" s="446">
        <v>1802</v>
      </c>
      <c r="AA175" s="445">
        <v>994</v>
      </c>
      <c r="AB175" s="447"/>
      <c r="AC175" s="446">
        <v>1281</v>
      </c>
      <c r="AD175" s="445">
        <v>593</v>
      </c>
      <c r="AE175" s="448"/>
      <c r="AF175" s="446">
        <v>5496</v>
      </c>
      <c r="AG175" s="445">
        <v>997</v>
      </c>
      <c r="AH175" s="447"/>
      <c r="AI175" s="446">
        <v>1352</v>
      </c>
      <c r="AJ175" s="445">
        <v>1028</v>
      </c>
    </row>
    <row r="176" spans="1:60" s="497" customFormat="1" x14ac:dyDescent="0.25">
      <c r="A176" s="262"/>
      <c r="B176" s="377">
        <v>42738</v>
      </c>
      <c r="C176" s="377">
        <v>42744</v>
      </c>
      <c r="D176" s="409"/>
      <c r="E176" s="494">
        <v>3942</v>
      </c>
      <c r="F176" s="495">
        <v>12</v>
      </c>
      <c r="G176" s="492"/>
      <c r="H176" s="494">
        <v>5468</v>
      </c>
      <c r="I176" s="494">
        <v>1935</v>
      </c>
      <c r="J176" s="492"/>
      <c r="K176" s="494">
        <v>3939</v>
      </c>
      <c r="L176" s="494">
        <v>2295</v>
      </c>
      <c r="M176" s="492"/>
      <c r="N176" s="494">
        <v>2450</v>
      </c>
      <c r="O176" s="502">
        <v>614</v>
      </c>
      <c r="P176" s="492"/>
      <c r="Q176" s="494">
        <v>4576</v>
      </c>
      <c r="R176" s="494">
        <v>1501</v>
      </c>
      <c r="S176" s="492"/>
      <c r="T176" s="494">
        <v>2180</v>
      </c>
      <c r="U176" s="494">
        <v>1144</v>
      </c>
      <c r="V176" s="493"/>
      <c r="W176" s="494">
        <v>1061</v>
      </c>
      <c r="X176" s="496">
        <v>416</v>
      </c>
      <c r="Y176" s="493"/>
      <c r="Z176" s="494">
        <v>1988</v>
      </c>
      <c r="AA176" s="494">
        <v>1069</v>
      </c>
      <c r="AB176" s="493"/>
      <c r="AC176" s="494">
        <v>1360</v>
      </c>
      <c r="AD176" s="495">
        <v>703</v>
      </c>
      <c r="AE176" s="492"/>
      <c r="AF176" s="494">
        <v>6278</v>
      </c>
      <c r="AG176" s="494">
        <v>1085</v>
      </c>
      <c r="AH176" s="493"/>
      <c r="AI176" s="494">
        <v>1575</v>
      </c>
      <c r="AJ176" s="494">
        <v>1073</v>
      </c>
      <c r="AK176" s="262"/>
      <c r="AL176" s="262"/>
      <c r="AM176" s="262"/>
      <c r="AN176" s="262"/>
      <c r="AO176" s="262"/>
      <c r="AP176" s="262"/>
      <c r="AQ176" s="262"/>
      <c r="AR176" s="262"/>
      <c r="AS176" s="262"/>
      <c r="AT176" s="262"/>
      <c r="AU176" s="262"/>
      <c r="AV176" s="262"/>
      <c r="AW176" s="262"/>
      <c r="AX176" s="262"/>
      <c r="AY176" s="262"/>
      <c r="AZ176" s="262"/>
      <c r="BA176" s="262"/>
      <c r="BB176" s="262"/>
      <c r="BC176" s="262"/>
      <c r="BD176" s="262"/>
      <c r="BE176" s="262"/>
      <c r="BF176" s="262"/>
      <c r="BG176" s="262"/>
      <c r="BH176" s="262"/>
    </row>
    <row r="177" spans="1:60" s="497" customFormat="1" x14ac:dyDescent="0.25">
      <c r="A177" s="262"/>
      <c r="B177" s="377">
        <v>42745</v>
      </c>
      <c r="C177" s="377">
        <v>42751</v>
      </c>
      <c r="D177" s="409"/>
      <c r="E177" s="494">
        <v>3809</v>
      </c>
      <c r="F177" s="495">
        <v>9</v>
      </c>
      <c r="G177" s="492"/>
      <c r="H177" s="494">
        <v>4883</v>
      </c>
      <c r="I177" s="494">
        <v>1730</v>
      </c>
      <c r="J177" s="492"/>
      <c r="K177" s="494">
        <v>3123</v>
      </c>
      <c r="L177" s="494">
        <v>1555</v>
      </c>
      <c r="M177" s="492"/>
      <c r="N177" s="494">
        <v>2448</v>
      </c>
      <c r="O177" s="502">
        <v>665</v>
      </c>
      <c r="P177" s="492"/>
      <c r="Q177" s="494">
        <v>4258</v>
      </c>
      <c r="R177" s="494">
        <v>1334</v>
      </c>
      <c r="S177" s="492"/>
      <c r="T177" s="494">
        <v>2250</v>
      </c>
      <c r="U177" s="494">
        <v>1199</v>
      </c>
      <c r="V177" s="493"/>
      <c r="W177" s="494">
        <v>1062</v>
      </c>
      <c r="X177" s="496">
        <v>401</v>
      </c>
      <c r="Y177" s="493"/>
      <c r="Z177" s="494">
        <v>1958</v>
      </c>
      <c r="AA177" s="494">
        <v>1060</v>
      </c>
      <c r="AB177" s="493"/>
      <c r="AC177" s="494">
        <v>1395</v>
      </c>
      <c r="AD177" s="495">
        <v>731</v>
      </c>
      <c r="AE177" s="492"/>
      <c r="AF177" s="494">
        <v>6167</v>
      </c>
      <c r="AG177" s="494">
        <v>979</v>
      </c>
      <c r="AH177" s="493"/>
      <c r="AI177" s="494">
        <v>1514</v>
      </c>
      <c r="AJ177" s="494">
        <v>1037</v>
      </c>
      <c r="AK177" s="262"/>
      <c r="AL177" s="262"/>
      <c r="AM177" s="262"/>
      <c r="AN177" s="262"/>
      <c r="AO177" s="262"/>
      <c r="AP177" s="262"/>
      <c r="AQ177" s="262"/>
      <c r="AR177" s="262"/>
      <c r="AS177" s="262"/>
      <c r="AT177" s="262"/>
      <c r="AU177" s="262"/>
      <c r="AV177" s="262"/>
      <c r="AW177" s="262"/>
      <c r="AX177" s="262"/>
      <c r="AY177" s="262"/>
      <c r="AZ177" s="262"/>
      <c r="BA177" s="262"/>
      <c r="BB177" s="262"/>
      <c r="BC177" s="262"/>
      <c r="BD177" s="262"/>
      <c r="BE177" s="262"/>
      <c r="BF177" s="262"/>
      <c r="BG177" s="262"/>
      <c r="BH177" s="262"/>
    </row>
    <row r="178" spans="1:60" s="497" customFormat="1" x14ac:dyDescent="0.25">
      <c r="A178" s="262"/>
      <c r="B178" s="377">
        <v>42752</v>
      </c>
      <c r="C178" s="377">
        <v>42758</v>
      </c>
      <c r="D178" s="409"/>
      <c r="E178" s="494">
        <v>4337</v>
      </c>
      <c r="F178" s="495">
        <v>10</v>
      </c>
      <c r="G178" s="492"/>
      <c r="H178" s="494">
        <v>5833</v>
      </c>
      <c r="I178" s="494">
        <v>2049</v>
      </c>
      <c r="J178" s="492"/>
      <c r="K178" s="494">
        <v>3312</v>
      </c>
      <c r="L178" s="494">
        <v>1650</v>
      </c>
      <c r="M178" s="492"/>
      <c r="N178" s="494">
        <v>2700</v>
      </c>
      <c r="O178" s="502">
        <v>730</v>
      </c>
      <c r="P178" s="492"/>
      <c r="Q178" s="494">
        <v>5361</v>
      </c>
      <c r="R178" s="494">
        <v>1637</v>
      </c>
      <c r="S178" s="492"/>
      <c r="T178" s="494">
        <v>2300</v>
      </c>
      <c r="U178" s="494">
        <v>1342</v>
      </c>
      <c r="V178" s="493"/>
      <c r="W178" s="494">
        <v>1038</v>
      </c>
      <c r="X178" s="496">
        <v>400</v>
      </c>
      <c r="Y178" s="493"/>
      <c r="Z178" s="494">
        <v>2238</v>
      </c>
      <c r="AA178" s="494">
        <v>1250</v>
      </c>
      <c r="AB178" s="493"/>
      <c r="AC178" s="494">
        <v>1764</v>
      </c>
      <c r="AD178" s="495">
        <v>892</v>
      </c>
      <c r="AE178" s="492"/>
      <c r="AF178" s="494">
        <v>6951</v>
      </c>
      <c r="AG178" s="494">
        <v>1161</v>
      </c>
      <c r="AH178" s="493"/>
      <c r="AI178" s="494">
        <v>1731</v>
      </c>
      <c r="AJ178" s="494">
        <v>1232</v>
      </c>
      <c r="AK178" s="262"/>
      <c r="AL178" s="262"/>
      <c r="AM178" s="262"/>
      <c r="AN178" s="262"/>
      <c r="AO178" s="262"/>
      <c r="AP178" s="262"/>
      <c r="AQ178" s="262"/>
      <c r="AR178" s="262"/>
      <c r="AS178" s="262"/>
      <c r="AT178" s="262"/>
      <c r="AU178" s="262"/>
      <c r="AV178" s="262"/>
      <c r="AW178" s="262"/>
      <c r="AX178" s="262"/>
      <c r="AY178" s="262"/>
      <c r="AZ178" s="262"/>
      <c r="BA178" s="262"/>
      <c r="BB178" s="262"/>
      <c r="BC178" s="262"/>
      <c r="BD178" s="262"/>
      <c r="BE178" s="262"/>
      <c r="BF178" s="262"/>
      <c r="BG178" s="262"/>
      <c r="BH178" s="262"/>
    </row>
    <row r="179" spans="1:60" s="497" customFormat="1" x14ac:dyDescent="0.25">
      <c r="A179" s="262"/>
      <c r="B179" s="377">
        <v>42759</v>
      </c>
      <c r="C179" s="377">
        <v>42765</v>
      </c>
      <c r="D179" s="409"/>
      <c r="E179" s="494">
        <v>4531</v>
      </c>
      <c r="F179" s="495">
        <v>9</v>
      </c>
      <c r="G179" s="492"/>
      <c r="H179" s="494">
        <v>5928</v>
      </c>
      <c r="I179" s="494">
        <v>2173</v>
      </c>
      <c r="J179" s="492"/>
      <c r="K179" s="494">
        <v>3011</v>
      </c>
      <c r="L179" s="494">
        <v>1345</v>
      </c>
      <c r="M179" s="492"/>
      <c r="N179" s="494">
        <v>2676</v>
      </c>
      <c r="O179" s="502">
        <v>696</v>
      </c>
      <c r="P179" s="492"/>
      <c r="Q179" s="494">
        <v>5270</v>
      </c>
      <c r="R179" s="494">
        <v>1643</v>
      </c>
      <c r="S179" s="492"/>
      <c r="T179" s="494">
        <v>2493</v>
      </c>
      <c r="U179" s="494">
        <v>1296</v>
      </c>
      <c r="V179" s="493"/>
      <c r="W179" s="494">
        <v>1014</v>
      </c>
      <c r="X179" s="496">
        <v>396</v>
      </c>
      <c r="Y179" s="493"/>
      <c r="Z179" s="494">
        <v>2307</v>
      </c>
      <c r="AA179" s="494">
        <v>1134</v>
      </c>
      <c r="AB179" s="493"/>
      <c r="AC179" s="494">
        <v>1913</v>
      </c>
      <c r="AD179" s="495">
        <v>984</v>
      </c>
      <c r="AE179" s="492"/>
      <c r="AF179" s="494">
        <v>7302</v>
      </c>
      <c r="AG179" s="494">
        <v>1214</v>
      </c>
      <c r="AH179" s="493"/>
      <c r="AI179" s="494">
        <v>1725</v>
      </c>
      <c r="AJ179" s="494">
        <v>1185</v>
      </c>
      <c r="AK179" s="262"/>
      <c r="AL179" s="262"/>
      <c r="AM179" s="262"/>
      <c r="AN179" s="262"/>
      <c r="AO179" s="262"/>
      <c r="AP179" s="262"/>
      <c r="AQ179" s="262"/>
      <c r="AR179" s="262"/>
      <c r="AS179" s="262"/>
      <c r="AT179" s="262"/>
      <c r="AU179" s="262"/>
      <c r="AV179" s="262"/>
      <c r="AW179" s="262"/>
      <c r="AX179" s="262"/>
      <c r="AY179" s="262"/>
      <c r="AZ179" s="262"/>
      <c r="BA179" s="262"/>
      <c r="BB179" s="262"/>
      <c r="BC179" s="262"/>
      <c r="BD179" s="262"/>
      <c r="BE179" s="262"/>
      <c r="BF179" s="262"/>
      <c r="BG179" s="262"/>
      <c r="BH179" s="262"/>
    </row>
    <row r="180" spans="1:60" s="497" customFormat="1" x14ac:dyDescent="0.25">
      <c r="A180" s="262"/>
      <c r="B180" s="377">
        <v>42766</v>
      </c>
      <c r="C180" s="377">
        <v>42772</v>
      </c>
      <c r="D180" s="409"/>
      <c r="E180" s="494">
        <v>4640</v>
      </c>
      <c r="F180" s="495">
        <v>8</v>
      </c>
      <c r="G180" s="492"/>
      <c r="H180" s="494">
        <v>6340</v>
      </c>
      <c r="I180" s="494">
        <v>2426</v>
      </c>
      <c r="J180" s="492"/>
      <c r="K180" s="494">
        <v>14834</v>
      </c>
      <c r="L180" s="494">
        <v>3663</v>
      </c>
      <c r="M180" s="492"/>
      <c r="N180" s="494">
        <v>3173</v>
      </c>
      <c r="O180" s="502">
        <v>840</v>
      </c>
      <c r="P180" s="492"/>
      <c r="Q180" s="494">
        <v>5228</v>
      </c>
      <c r="R180" s="494">
        <v>1699</v>
      </c>
      <c r="S180" s="492"/>
      <c r="T180" s="494">
        <v>2459</v>
      </c>
      <c r="U180" s="494">
        <v>1350</v>
      </c>
      <c r="V180" s="493"/>
      <c r="W180" s="494">
        <v>1088</v>
      </c>
      <c r="X180" s="496">
        <v>449</v>
      </c>
      <c r="Y180" s="493"/>
      <c r="Z180" s="494">
        <v>2481</v>
      </c>
      <c r="AA180" s="494">
        <v>1366</v>
      </c>
      <c r="AB180" s="493"/>
      <c r="AC180" s="494">
        <v>1852</v>
      </c>
      <c r="AD180" s="494">
        <v>1018</v>
      </c>
      <c r="AE180" s="492"/>
      <c r="AF180" s="494">
        <v>7357</v>
      </c>
      <c r="AG180" s="494">
        <v>1312</v>
      </c>
      <c r="AH180" s="493"/>
      <c r="AI180" s="494">
        <v>1821</v>
      </c>
      <c r="AJ180" s="494">
        <v>1213</v>
      </c>
      <c r="AK180" s="262"/>
      <c r="AL180" s="262"/>
      <c r="AM180" s="262"/>
      <c r="AN180" s="262"/>
      <c r="AO180" s="262"/>
      <c r="AP180" s="262"/>
      <c r="AQ180" s="262"/>
      <c r="AR180" s="262"/>
      <c r="AS180" s="262"/>
      <c r="AT180" s="262"/>
      <c r="AU180" s="262"/>
      <c r="AV180" s="262"/>
      <c r="AW180" s="262"/>
      <c r="AX180" s="262"/>
      <c r="AY180" s="262"/>
      <c r="AZ180" s="262"/>
      <c r="BA180" s="262"/>
      <c r="BB180" s="262"/>
      <c r="BC180" s="262"/>
      <c r="BD180" s="262"/>
      <c r="BE180" s="262"/>
      <c r="BF180" s="262"/>
      <c r="BG180" s="262"/>
      <c r="BH180" s="262"/>
    </row>
    <row r="181" spans="1:60" s="497" customFormat="1" x14ac:dyDescent="0.25">
      <c r="A181" s="262"/>
      <c r="B181" s="377">
        <v>42773</v>
      </c>
      <c r="C181" s="377">
        <v>42779</v>
      </c>
      <c r="D181" s="409"/>
      <c r="E181" s="494">
        <v>4860</v>
      </c>
      <c r="F181" s="495">
        <v>11</v>
      </c>
      <c r="G181" s="492"/>
      <c r="H181" s="494">
        <v>6889</v>
      </c>
      <c r="I181" s="494">
        <v>2526</v>
      </c>
      <c r="J181" s="492"/>
      <c r="K181" s="494">
        <v>4412</v>
      </c>
      <c r="L181" s="494">
        <v>1668</v>
      </c>
      <c r="M181" s="492"/>
      <c r="N181" s="494">
        <v>3405</v>
      </c>
      <c r="O181" s="502">
        <v>927</v>
      </c>
      <c r="P181" s="492"/>
      <c r="Q181" s="494">
        <v>5465</v>
      </c>
      <c r="R181" s="494">
        <v>1650</v>
      </c>
      <c r="S181" s="492"/>
      <c r="T181" s="494">
        <v>2778</v>
      </c>
      <c r="U181" s="494">
        <v>1472</v>
      </c>
      <c r="V181" s="493"/>
      <c r="W181" s="494">
        <v>1232</v>
      </c>
      <c r="X181" s="496">
        <v>478</v>
      </c>
      <c r="Y181" s="493"/>
      <c r="Z181" s="494">
        <v>2549</v>
      </c>
      <c r="AA181" s="494">
        <v>1383</v>
      </c>
      <c r="AB181" s="493"/>
      <c r="AC181" s="494">
        <v>1974</v>
      </c>
      <c r="AD181" s="494">
        <v>1161</v>
      </c>
      <c r="AE181" s="492"/>
      <c r="AF181" s="494">
        <v>7501</v>
      </c>
      <c r="AG181" s="494">
        <v>1303</v>
      </c>
      <c r="AH181" s="493"/>
      <c r="AI181" s="494">
        <v>1825</v>
      </c>
      <c r="AJ181" s="494">
        <v>1292</v>
      </c>
      <c r="AK181" s="262"/>
      <c r="AL181" s="262"/>
      <c r="AM181" s="262"/>
      <c r="AN181" s="262"/>
      <c r="AO181" s="262"/>
      <c r="AP181" s="262"/>
      <c r="AQ181" s="262"/>
      <c r="AR181" s="262"/>
      <c r="AS181" s="262"/>
      <c r="AT181" s="262"/>
      <c r="AU181" s="262"/>
      <c r="AV181" s="262"/>
      <c r="AW181" s="262"/>
      <c r="AX181" s="262"/>
      <c r="AY181" s="262"/>
      <c r="AZ181" s="262"/>
      <c r="BA181" s="262"/>
      <c r="BB181" s="262"/>
      <c r="BC181" s="262"/>
      <c r="BD181" s="262"/>
      <c r="BE181" s="262"/>
      <c r="BF181" s="262"/>
      <c r="BG181" s="262"/>
      <c r="BH181" s="262"/>
    </row>
    <row r="182" spans="1:60" s="497" customFormat="1" x14ac:dyDescent="0.25">
      <c r="A182" s="262"/>
      <c r="B182" s="377">
        <v>42780</v>
      </c>
      <c r="C182" s="377">
        <v>42786</v>
      </c>
      <c r="D182" s="409"/>
      <c r="E182" s="494">
        <v>4603</v>
      </c>
      <c r="F182" s="495">
        <v>10</v>
      </c>
      <c r="G182" s="492"/>
      <c r="H182" s="494">
        <v>5998</v>
      </c>
      <c r="I182" s="494">
        <v>2056</v>
      </c>
      <c r="J182" s="492"/>
      <c r="K182" s="494">
        <v>2793</v>
      </c>
      <c r="L182" s="494">
        <v>1022</v>
      </c>
      <c r="M182" s="492"/>
      <c r="N182" s="494">
        <v>2751</v>
      </c>
      <c r="O182" s="502">
        <v>750</v>
      </c>
      <c r="P182" s="492"/>
      <c r="Q182" s="494">
        <v>5329</v>
      </c>
      <c r="R182" s="494">
        <v>1740</v>
      </c>
      <c r="S182" s="492"/>
      <c r="T182" s="494">
        <v>2527</v>
      </c>
      <c r="U182" s="494">
        <v>1466</v>
      </c>
      <c r="V182" s="493"/>
      <c r="W182" s="494">
        <v>1000</v>
      </c>
      <c r="X182" s="496">
        <v>381</v>
      </c>
      <c r="Y182" s="493"/>
      <c r="Z182" s="494">
        <v>2516</v>
      </c>
      <c r="AA182" s="494">
        <v>1377</v>
      </c>
      <c r="AB182" s="493"/>
      <c r="AC182" s="494">
        <v>1866</v>
      </c>
      <c r="AD182" s="494">
        <v>932</v>
      </c>
      <c r="AE182" s="492"/>
      <c r="AF182" s="494">
        <v>7157</v>
      </c>
      <c r="AG182" s="494">
        <v>1238</v>
      </c>
      <c r="AH182" s="493"/>
      <c r="AI182" s="494">
        <v>1568</v>
      </c>
      <c r="AJ182" s="494">
        <v>1050</v>
      </c>
      <c r="AK182" s="262"/>
      <c r="AL182" s="262"/>
      <c r="AM182" s="262"/>
      <c r="AN182" s="262"/>
      <c r="AO182" s="262"/>
      <c r="AP182" s="262"/>
      <c r="AQ182" s="262"/>
      <c r="AR182" s="262"/>
      <c r="AS182" s="262"/>
      <c r="AT182" s="262"/>
      <c r="AU182" s="262"/>
      <c r="AV182" s="262"/>
      <c r="AW182" s="262"/>
      <c r="AX182" s="262"/>
      <c r="AY182" s="262"/>
      <c r="AZ182" s="262"/>
      <c r="BA182" s="262"/>
      <c r="BB182" s="262"/>
      <c r="BC182" s="262"/>
      <c r="BD182" s="262"/>
      <c r="BE182" s="262"/>
      <c r="BF182" s="262"/>
      <c r="BG182" s="262"/>
      <c r="BH182" s="262"/>
    </row>
    <row r="183" spans="1:60" s="497" customFormat="1" x14ac:dyDescent="0.25">
      <c r="A183" s="262"/>
      <c r="B183" s="377">
        <v>42787</v>
      </c>
      <c r="C183" s="377">
        <v>42793</v>
      </c>
      <c r="D183" s="409"/>
      <c r="E183" s="494">
        <v>4861</v>
      </c>
      <c r="F183" s="495">
        <v>4</v>
      </c>
      <c r="G183" s="492"/>
      <c r="H183" s="494">
        <v>6346</v>
      </c>
      <c r="I183" s="494">
        <v>2349</v>
      </c>
      <c r="J183" s="492"/>
      <c r="K183" s="494">
        <v>3513</v>
      </c>
      <c r="L183" s="494">
        <v>1236</v>
      </c>
      <c r="M183" s="492"/>
      <c r="N183" s="494">
        <v>2869</v>
      </c>
      <c r="O183" s="502">
        <v>725</v>
      </c>
      <c r="P183" s="492"/>
      <c r="Q183" s="494">
        <v>6163</v>
      </c>
      <c r="R183" s="494">
        <v>2015</v>
      </c>
      <c r="S183" s="492"/>
      <c r="T183" s="494">
        <v>2852</v>
      </c>
      <c r="U183" s="494">
        <v>1594</v>
      </c>
      <c r="V183" s="493"/>
      <c r="W183" s="494">
        <v>1083</v>
      </c>
      <c r="X183" s="496">
        <v>393</v>
      </c>
      <c r="Y183" s="493"/>
      <c r="Z183" s="494">
        <v>2599</v>
      </c>
      <c r="AA183" s="494">
        <v>1395</v>
      </c>
      <c r="AB183" s="493"/>
      <c r="AC183" s="494">
        <v>2044</v>
      </c>
      <c r="AD183" s="494">
        <v>1175</v>
      </c>
      <c r="AE183" s="492"/>
      <c r="AF183" s="494">
        <v>7545</v>
      </c>
      <c r="AG183" s="494">
        <v>1248</v>
      </c>
      <c r="AH183" s="493"/>
      <c r="AI183" s="494">
        <v>1784</v>
      </c>
      <c r="AJ183" s="494">
        <v>1214</v>
      </c>
      <c r="AK183" s="262"/>
      <c r="AL183" s="262"/>
      <c r="AM183" s="262"/>
      <c r="AN183" s="262"/>
      <c r="AO183" s="262"/>
      <c r="AP183" s="262"/>
      <c r="AQ183" s="262"/>
      <c r="AR183" s="262"/>
      <c r="AS183" s="262"/>
      <c r="AT183" s="262"/>
      <c r="AU183" s="262"/>
      <c r="AV183" s="262"/>
      <c r="AW183" s="262"/>
      <c r="AX183" s="262"/>
      <c r="AY183" s="262"/>
      <c r="AZ183" s="262"/>
      <c r="BA183" s="262"/>
      <c r="BB183" s="262"/>
      <c r="BC183" s="262"/>
      <c r="BD183" s="262"/>
      <c r="BE183" s="262"/>
      <c r="BF183" s="262"/>
      <c r="BG183" s="262"/>
      <c r="BH183" s="262"/>
    </row>
    <row r="184" spans="1:60" s="497" customFormat="1" x14ac:dyDescent="0.25">
      <c r="A184" s="262"/>
      <c r="B184" s="377">
        <v>42794</v>
      </c>
      <c r="C184" s="377">
        <v>42800</v>
      </c>
      <c r="D184" s="409"/>
      <c r="E184" s="494">
        <v>4923</v>
      </c>
      <c r="F184" s="495">
        <v>15</v>
      </c>
      <c r="G184" s="492"/>
      <c r="H184" s="494">
        <v>6739</v>
      </c>
      <c r="I184" s="494">
        <v>2576</v>
      </c>
      <c r="J184" s="492"/>
      <c r="K184" s="494">
        <v>3532</v>
      </c>
      <c r="L184" s="494">
        <v>1232</v>
      </c>
      <c r="M184" s="492"/>
      <c r="N184" s="494">
        <v>15850</v>
      </c>
      <c r="O184" s="502">
        <v>3040</v>
      </c>
      <c r="P184" s="492"/>
      <c r="Q184" s="494">
        <v>6775</v>
      </c>
      <c r="R184" s="494">
        <v>2164</v>
      </c>
      <c r="S184" s="492"/>
      <c r="T184" s="494">
        <v>2923</v>
      </c>
      <c r="U184" s="494">
        <v>1576</v>
      </c>
      <c r="V184" s="493"/>
      <c r="W184" s="494">
        <v>1269</v>
      </c>
      <c r="X184" s="496">
        <v>445</v>
      </c>
      <c r="Y184" s="493"/>
      <c r="Z184" s="494">
        <v>2737</v>
      </c>
      <c r="AA184" s="494">
        <v>1466</v>
      </c>
      <c r="AB184" s="493"/>
      <c r="AC184" s="494">
        <v>2294</v>
      </c>
      <c r="AD184" s="494">
        <v>1163</v>
      </c>
      <c r="AE184" s="492"/>
      <c r="AF184" s="494">
        <v>7934</v>
      </c>
      <c r="AG184" s="494">
        <v>1306</v>
      </c>
      <c r="AH184" s="493"/>
      <c r="AI184" s="494">
        <v>1810</v>
      </c>
      <c r="AJ184" s="494">
        <v>1244</v>
      </c>
      <c r="AK184" s="262"/>
      <c r="AL184" s="262"/>
      <c r="AM184" s="262"/>
      <c r="AN184" s="262"/>
      <c r="AO184" s="262"/>
      <c r="AP184" s="262"/>
      <c r="AQ184" s="262"/>
      <c r="AR184" s="262"/>
      <c r="AS184" s="262"/>
      <c r="AT184" s="262"/>
      <c r="AU184" s="262"/>
      <c r="AV184" s="262"/>
      <c r="AW184" s="262"/>
      <c r="AX184" s="262"/>
      <c r="AY184" s="262"/>
      <c r="AZ184" s="262"/>
      <c r="BA184" s="262"/>
      <c r="BB184" s="262"/>
      <c r="BC184" s="262"/>
      <c r="BD184" s="262"/>
      <c r="BE184" s="262"/>
      <c r="BF184" s="262"/>
      <c r="BG184" s="262"/>
      <c r="BH184" s="262"/>
    </row>
    <row r="185" spans="1:60" s="497" customFormat="1" x14ac:dyDescent="0.25">
      <c r="A185" s="262"/>
      <c r="B185" s="377">
        <v>42801</v>
      </c>
      <c r="C185" s="377">
        <v>42807</v>
      </c>
      <c r="D185" s="409"/>
      <c r="E185" s="494">
        <v>4954</v>
      </c>
      <c r="F185" s="495">
        <v>8</v>
      </c>
      <c r="G185" s="492"/>
      <c r="H185" s="494">
        <v>6442</v>
      </c>
      <c r="I185" s="494">
        <v>2371</v>
      </c>
      <c r="J185" s="492"/>
      <c r="K185" s="494">
        <v>2894</v>
      </c>
      <c r="L185" s="494">
        <v>1087</v>
      </c>
      <c r="M185" s="492"/>
      <c r="N185" s="494">
        <v>3779</v>
      </c>
      <c r="O185" s="502">
        <v>932</v>
      </c>
      <c r="P185" s="492"/>
      <c r="Q185" s="494">
        <v>6519</v>
      </c>
      <c r="R185" s="494">
        <v>2310</v>
      </c>
      <c r="S185" s="492"/>
      <c r="T185" s="494">
        <v>2848</v>
      </c>
      <c r="U185" s="494">
        <v>1742</v>
      </c>
      <c r="V185" s="493"/>
      <c r="W185" s="494">
        <v>1168</v>
      </c>
      <c r="X185" s="496">
        <v>521</v>
      </c>
      <c r="Y185" s="493"/>
      <c r="Z185" s="494">
        <v>2802</v>
      </c>
      <c r="AA185" s="494">
        <v>1486</v>
      </c>
      <c r="AB185" s="493"/>
      <c r="AC185" s="494">
        <v>2124</v>
      </c>
      <c r="AD185" s="494">
        <v>1285</v>
      </c>
      <c r="AE185" s="492"/>
      <c r="AF185" s="494">
        <v>7847</v>
      </c>
      <c r="AG185" s="494">
        <v>1399</v>
      </c>
      <c r="AH185" s="493"/>
      <c r="AI185" s="494">
        <v>1850</v>
      </c>
      <c r="AJ185" s="494">
        <v>1329</v>
      </c>
      <c r="AK185" s="262"/>
      <c r="AL185" s="262"/>
      <c r="AM185" s="262"/>
      <c r="AN185" s="262"/>
      <c r="AO185" s="262"/>
      <c r="AP185" s="262"/>
      <c r="AQ185" s="262"/>
      <c r="AR185" s="262"/>
      <c r="AS185" s="262"/>
      <c r="AT185" s="262"/>
      <c r="AU185" s="262"/>
      <c r="AV185" s="262"/>
      <c r="AW185" s="262"/>
      <c r="AX185" s="262"/>
      <c r="AY185" s="262"/>
      <c r="AZ185" s="262"/>
      <c r="BA185" s="262"/>
      <c r="BB185" s="262"/>
      <c r="BC185" s="262"/>
      <c r="BD185" s="262"/>
      <c r="BE185" s="262"/>
      <c r="BF185" s="262"/>
      <c r="BG185" s="262"/>
      <c r="BH185" s="262"/>
    </row>
    <row r="186" spans="1:60" s="497" customFormat="1" x14ac:dyDescent="0.25">
      <c r="A186" s="262"/>
      <c r="B186" s="377">
        <v>42808</v>
      </c>
      <c r="C186" s="377">
        <v>42814</v>
      </c>
      <c r="D186" s="409"/>
      <c r="E186" s="494">
        <v>4982</v>
      </c>
      <c r="F186" s="495">
        <v>16</v>
      </c>
      <c r="G186" s="492"/>
      <c r="H186" s="494">
        <v>6198</v>
      </c>
      <c r="I186" s="494">
        <v>2197</v>
      </c>
      <c r="J186" s="492"/>
      <c r="K186" s="494">
        <v>2596</v>
      </c>
      <c r="L186" s="494">
        <v>849</v>
      </c>
      <c r="M186" s="492"/>
      <c r="N186" s="494">
        <v>3149</v>
      </c>
      <c r="O186" s="502">
        <v>831</v>
      </c>
      <c r="P186" s="492"/>
      <c r="Q186" s="494">
        <v>5956</v>
      </c>
      <c r="R186" s="494">
        <v>2081</v>
      </c>
      <c r="S186" s="492"/>
      <c r="T186" s="494">
        <v>2929</v>
      </c>
      <c r="U186" s="494">
        <v>1566</v>
      </c>
      <c r="V186" s="493"/>
      <c r="W186" s="494">
        <v>1117</v>
      </c>
      <c r="X186" s="496">
        <v>421</v>
      </c>
      <c r="Y186" s="493"/>
      <c r="Z186" s="494">
        <v>2523</v>
      </c>
      <c r="AA186" s="494">
        <v>930</v>
      </c>
      <c r="AB186" s="493"/>
      <c r="AC186" s="494">
        <v>2112</v>
      </c>
      <c r="AD186" s="494">
        <v>1126</v>
      </c>
      <c r="AE186" s="492"/>
      <c r="AF186" s="494">
        <v>7574</v>
      </c>
      <c r="AG186" s="494">
        <v>1303</v>
      </c>
      <c r="AH186" s="493"/>
      <c r="AI186" s="494">
        <v>1732</v>
      </c>
      <c r="AJ186" s="494">
        <v>1315</v>
      </c>
      <c r="AK186" s="262"/>
      <c r="AL186" s="262"/>
      <c r="AM186" s="262"/>
      <c r="AN186" s="262"/>
      <c r="AO186" s="262"/>
      <c r="AP186" s="262"/>
      <c r="AQ186" s="262"/>
      <c r="AR186" s="262"/>
      <c r="AS186" s="262"/>
      <c r="AT186" s="262"/>
      <c r="AU186" s="262"/>
      <c r="AV186" s="262"/>
      <c r="AW186" s="262"/>
      <c r="AX186" s="262"/>
      <c r="AY186" s="262"/>
      <c r="AZ186" s="262"/>
      <c r="BA186" s="262"/>
      <c r="BB186" s="262"/>
      <c r="BC186" s="262"/>
      <c r="BD186" s="262"/>
      <c r="BE186" s="262"/>
      <c r="BF186" s="262"/>
      <c r="BG186" s="262"/>
      <c r="BH186" s="262"/>
    </row>
    <row r="187" spans="1:60" s="497" customFormat="1" x14ac:dyDescent="0.25">
      <c r="A187" s="262"/>
      <c r="B187" s="377">
        <v>42815</v>
      </c>
      <c r="C187" s="377">
        <v>42821</v>
      </c>
      <c r="D187" s="409"/>
      <c r="E187" s="494">
        <v>5260</v>
      </c>
      <c r="F187" s="495">
        <v>50</v>
      </c>
      <c r="G187" s="492"/>
      <c r="H187" s="494">
        <v>6138</v>
      </c>
      <c r="I187" s="494">
        <v>2081</v>
      </c>
      <c r="J187" s="492"/>
      <c r="K187" s="494">
        <v>2513</v>
      </c>
      <c r="L187" s="494">
        <v>838</v>
      </c>
      <c r="M187" s="492"/>
      <c r="N187" s="494">
        <v>2835</v>
      </c>
      <c r="O187" s="502">
        <v>748</v>
      </c>
      <c r="P187" s="492"/>
      <c r="Q187" s="494">
        <v>6517</v>
      </c>
      <c r="R187" s="494">
        <v>2238</v>
      </c>
      <c r="S187" s="492"/>
      <c r="T187" s="494">
        <v>2988</v>
      </c>
      <c r="U187" s="494">
        <v>1624</v>
      </c>
      <c r="V187" s="493"/>
      <c r="W187" s="494">
        <v>1089</v>
      </c>
      <c r="X187" s="496">
        <v>362</v>
      </c>
      <c r="Y187" s="493"/>
      <c r="Z187" s="494">
        <v>2547</v>
      </c>
      <c r="AA187" s="494">
        <v>993</v>
      </c>
      <c r="AB187" s="493"/>
      <c r="AC187" s="494">
        <v>1988</v>
      </c>
      <c r="AD187" s="494">
        <v>1027</v>
      </c>
      <c r="AE187" s="492"/>
      <c r="AF187" s="494">
        <v>7827</v>
      </c>
      <c r="AG187" s="494">
        <v>1318</v>
      </c>
      <c r="AH187" s="493"/>
      <c r="AI187" s="494">
        <v>1604</v>
      </c>
      <c r="AJ187" s="494">
        <v>1232</v>
      </c>
      <c r="AK187" s="262"/>
      <c r="AL187" s="262"/>
      <c r="AM187" s="262"/>
      <c r="AN187" s="262"/>
      <c r="AO187" s="262"/>
      <c r="AP187" s="262"/>
      <c r="AQ187" s="262"/>
      <c r="AR187" s="262"/>
      <c r="AS187" s="262"/>
      <c r="AT187" s="262"/>
      <c r="AU187" s="262"/>
      <c r="AV187" s="262"/>
      <c r="AW187" s="262"/>
      <c r="AX187" s="262"/>
      <c r="AY187" s="262"/>
      <c r="AZ187" s="262"/>
      <c r="BA187" s="262"/>
      <c r="BB187" s="262"/>
      <c r="BC187" s="262"/>
      <c r="BD187" s="262"/>
      <c r="BE187" s="262"/>
      <c r="BF187" s="262"/>
      <c r="BG187" s="262"/>
      <c r="BH187" s="262"/>
    </row>
    <row r="188" spans="1:60" s="497" customFormat="1" x14ac:dyDescent="0.25">
      <c r="A188" s="262"/>
      <c r="B188" s="377">
        <v>42822</v>
      </c>
      <c r="C188" s="377">
        <v>42828</v>
      </c>
      <c r="D188" s="409"/>
      <c r="E188" s="494">
        <v>3465</v>
      </c>
      <c r="F188" s="495">
        <v>52</v>
      </c>
      <c r="G188" s="492"/>
      <c r="H188" s="494">
        <v>4011</v>
      </c>
      <c r="I188" s="494">
        <v>1400</v>
      </c>
      <c r="J188" s="492"/>
      <c r="K188" s="494">
        <v>2109</v>
      </c>
      <c r="L188" s="494">
        <v>653</v>
      </c>
      <c r="M188" s="492"/>
      <c r="N188" s="494">
        <v>1732</v>
      </c>
      <c r="O188" s="502">
        <v>419</v>
      </c>
      <c r="P188" s="492"/>
      <c r="Q188" s="494">
        <v>8822</v>
      </c>
      <c r="R188" s="494">
        <v>2444</v>
      </c>
      <c r="S188" s="492"/>
      <c r="T188" s="494">
        <v>2123</v>
      </c>
      <c r="U188" s="494">
        <v>1200</v>
      </c>
      <c r="V188" s="493"/>
      <c r="W188" s="494">
        <v>792</v>
      </c>
      <c r="X188" s="496">
        <v>283</v>
      </c>
      <c r="Y188" s="493"/>
      <c r="Z188" s="494">
        <v>1337</v>
      </c>
      <c r="AA188" s="494">
        <v>441</v>
      </c>
      <c r="AB188" s="493"/>
      <c r="AC188" s="494">
        <v>1282</v>
      </c>
      <c r="AD188" s="494">
        <v>719</v>
      </c>
      <c r="AE188" s="492"/>
      <c r="AF188" s="494">
        <v>5463</v>
      </c>
      <c r="AG188" s="494">
        <v>879</v>
      </c>
      <c r="AH188" s="493"/>
      <c r="AI188" s="494">
        <v>1335</v>
      </c>
      <c r="AJ188" s="494">
        <v>1021</v>
      </c>
      <c r="AK188" s="262"/>
      <c r="AL188" s="262"/>
      <c r="AM188" s="262"/>
      <c r="AN188" s="262"/>
      <c r="AO188" s="262"/>
      <c r="AP188" s="262"/>
      <c r="AQ188" s="262"/>
      <c r="AR188" s="262"/>
      <c r="AS188" s="262"/>
      <c r="AT188" s="262"/>
      <c r="AU188" s="262"/>
      <c r="AV188" s="262"/>
      <c r="AW188" s="262"/>
      <c r="AX188" s="262"/>
      <c r="AY188" s="262"/>
      <c r="AZ188" s="262"/>
      <c r="BA188" s="262"/>
      <c r="BB188" s="262"/>
      <c r="BC188" s="262"/>
      <c r="BD188" s="262"/>
      <c r="BE188" s="262"/>
      <c r="BF188" s="262"/>
      <c r="BG188" s="262"/>
      <c r="BH188" s="262"/>
    </row>
    <row r="189" spans="1:60" s="497" customFormat="1" x14ac:dyDescent="0.25">
      <c r="A189" s="262"/>
      <c r="B189" s="377">
        <v>42829</v>
      </c>
      <c r="C189" s="377">
        <v>42835</v>
      </c>
      <c r="D189" s="409"/>
      <c r="E189" s="494">
        <v>5211</v>
      </c>
      <c r="F189" s="495">
        <v>70</v>
      </c>
      <c r="G189" s="492"/>
      <c r="H189" s="494">
        <v>5929</v>
      </c>
      <c r="I189" s="494">
        <v>2081</v>
      </c>
      <c r="J189" s="492"/>
      <c r="K189" s="494">
        <v>2573</v>
      </c>
      <c r="L189" s="494">
        <v>692</v>
      </c>
      <c r="M189" s="492"/>
      <c r="N189" s="494">
        <v>2753</v>
      </c>
      <c r="O189" s="502">
        <v>792</v>
      </c>
      <c r="P189" s="492"/>
      <c r="Q189" s="494">
        <v>6451</v>
      </c>
      <c r="R189" s="494">
        <v>2082</v>
      </c>
      <c r="S189" s="492"/>
      <c r="T189" s="494">
        <v>2590</v>
      </c>
      <c r="U189" s="494">
        <v>1332</v>
      </c>
      <c r="V189" s="493"/>
      <c r="W189" s="494">
        <v>1320</v>
      </c>
      <c r="X189" s="496">
        <v>479</v>
      </c>
      <c r="Y189" s="493"/>
      <c r="Z189" s="494">
        <v>77734</v>
      </c>
      <c r="AA189" s="494">
        <v>10971</v>
      </c>
      <c r="AB189" s="493"/>
      <c r="AC189" s="494">
        <v>2161</v>
      </c>
      <c r="AD189" s="494">
        <v>1157</v>
      </c>
      <c r="AE189" s="492"/>
      <c r="AF189" s="494">
        <v>7791</v>
      </c>
      <c r="AG189" s="494">
        <v>1408</v>
      </c>
      <c r="AH189" s="493"/>
      <c r="AI189" s="494">
        <v>1452</v>
      </c>
      <c r="AJ189" s="494">
        <v>1044</v>
      </c>
      <c r="AK189" s="262"/>
      <c r="AL189" s="262"/>
      <c r="AM189" s="262"/>
      <c r="AN189" s="262"/>
      <c r="AO189" s="262"/>
      <c r="AP189" s="262"/>
      <c r="AQ189" s="262"/>
      <c r="AR189" s="262"/>
      <c r="AS189" s="262"/>
      <c r="AT189" s="262"/>
      <c r="AU189" s="262"/>
      <c r="AV189" s="262"/>
      <c r="AW189" s="262"/>
      <c r="AX189" s="262"/>
      <c r="AY189" s="262"/>
      <c r="AZ189" s="262"/>
      <c r="BA189" s="262"/>
      <c r="BB189" s="262"/>
      <c r="BC189" s="262"/>
      <c r="BD189" s="262"/>
      <c r="BE189" s="262"/>
      <c r="BF189" s="262"/>
      <c r="BG189" s="262"/>
      <c r="BH189" s="262"/>
    </row>
    <row r="190" spans="1:60" s="497" customFormat="1" x14ac:dyDescent="0.25">
      <c r="A190" s="262"/>
      <c r="B190" s="377">
        <v>42836</v>
      </c>
      <c r="C190" s="377">
        <v>42842</v>
      </c>
      <c r="D190" s="409"/>
      <c r="E190" s="494">
        <v>5410</v>
      </c>
      <c r="F190" s="495">
        <v>83</v>
      </c>
      <c r="G190" s="492"/>
      <c r="H190" s="494">
        <v>7041</v>
      </c>
      <c r="I190" s="494">
        <v>2330</v>
      </c>
      <c r="J190" s="492"/>
      <c r="K190" s="494">
        <v>2789</v>
      </c>
      <c r="L190" s="494">
        <v>716</v>
      </c>
      <c r="M190" s="492"/>
      <c r="N190" s="494">
        <v>3384</v>
      </c>
      <c r="O190" s="502">
        <v>918</v>
      </c>
      <c r="P190" s="492"/>
      <c r="Q190" s="494">
        <v>7004</v>
      </c>
      <c r="R190" s="494">
        <v>2313</v>
      </c>
      <c r="S190" s="492"/>
      <c r="T190" s="494">
        <v>2782</v>
      </c>
      <c r="U190" s="494">
        <v>1426</v>
      </c>
      <c r="V190" s="493"/>
      <c r="W190" s="494">
        <v>1300</v>
      </c>
      <c r="X190" s="496">
        <v>446</v>
      </c>
      <c r="Y190" s="493"/>
      <c r="Z190" s="494">
        <v>11122</v>
      </c>
      <c r="AA190" s="494">
        <v>1815</v>
      </c>
      <c r="AB190" s="493"/>
      <c r="AC190" s="494">
        <v>2454</v>
      </c>
      <c r="AD190" s="494">
        <v>1298</v>
      </c>
      <c r="AE190" s="492"/>
      <c r="AF190" s="494">
        <v>7364</v>
      </c>
      <c r="AG190" s="494">
        <v>1338</v>
      </c>
      <c r="AH190" s="493"/>
      <c r="AI190" s="494">
        <v>1669</v>
      </c>
      <c r="AJ190" s="494">
        <v>1168</v>
      </c>
      <c r="AK190" s="262"/>
      <c r="AL190" s="262"/>
      <c r="AM190" s="262"/>
      <c r="AN190" s="262"/>
      <c r="AO190" s="262"/>
      <c r="AP190" s="262"/>
      <c r="AQ190" s="262"/>
      <c r="AR190" s="262"/>
      <c r="AS190" s="262"/>
      <c r="AT190" s="262"/>
      <c r="AU190" s="262"/>
      <c r="AV190" s="262"/>
      <c r="AW190" s="262"/>
      <c r="AX190" s="262"/>
      <c r="AY190" s="262"/>
      <c r="AZ190" s="262"/>
      <c r="BA190" s="262"/>
      <c r="BB190" s="262"/>
      <c r="BC190" s="262"/>
      <c r="BD190" s="262"/>
      <c r="BE190" s="262"/>
      <c r="BF190" s="262"/>
      <c r="BG190" s="262"/>
      <c r="BH190" s="262"/>
    </row>
    <row r="191" spans="1:60" s="497" customFormat="1" x14ac:dyDescent="0.25">
      <c r="A191" s="262"/>
      <c r="B191" s="377">
        <v>42843</v>
      </c>
      <c r="C191" s="377">
        <v>42849</v>
      </c>
      <c r="D191" s="409"/>
      <c r="E191" s="494">
        <v>6073</v>
      </c>
      <c r="F191" s="495">
        <v>206</v>
      </c>
      <c r="G191" s="492"/>
      <c r="H191" s="494">
        <v>7227</v>
      </c>
      <c r="I191" s="494">
        <v>2548</v>
      </c>
      <c r="J191" s="492"/>
      <c r="K191" s="494">
        <v>2843</v>
      </c>
      <c r="L191" s="494">
        <v>734</v>
      </c>
      <c r="M191" s="492"/>
      <c r="N191" s="494">
        <v>3393</v>
      </c>
      <c r="O191" s="502">
        <v>881</v>
      </c>
      <c r="P191" s="492"/>
      <c r="Q191" s="494">
        <v>7942</v>
      </c>
      <c r="R191" s="494">
        <v>2841</v>
      </c>
      <c r="S191" s="492"/>
      <c r="T191" s="494">
        <v>2929</v>
      </c>
      <c r="U191" s="494">
        <v>1657</v>
      </c>
      <c r="V191" s="493"/>
      <c r="W191" s="494">
        <v>1247</v>
      </c>
      <c r="X191" s="496">
        <v>463</v>
      </c>
      <c r="Y191" s="493"/>
      <c r="Z191" s="494">
        <v>7111</v>
      </c>
      <c r="AA191" s="494">
        <v>1486</v>
      </c>
      <c r="AB191" s="493"/>
      <c r="AC191" s="494">
        <v>3051</v>
      </c>
      <c r="AD191" s="494">
        <v>1634</v>
      </c>
      <c r="AE191" s="492"/>
      <c r="AF191" s="494">
        <v>8173</v>
      </c>
      <c r="AG191" s="494">
        <v>1570</v>
      </c>
      <c r="AH191" s="493"/>
      <c r="AI191" s="494">
        <v>1912</v>
      </c>
      <c r="AJ191" s="494">
        <v>1297</v>
      </c>
      <c r="AK191" s="262"/>
      <c r="AL191" s="262"/>
      <c r="AM191" s="262"/>
      <c r="AN191" s="262"/>
      <c r="AO191" s="262"/>
      <c r="AP191" s="262"/>
      <c r="AQ191" s="262"/>
      <c r="AR191" s="262"/>
      <c r="AS191" s="262"/>
      <c r="AT191" s="262"/>
      <c r="AU191" s="262"/>
      <c r="AV191" s="262"/>
      <c r="AW191" s="262"/>
      <c r="AX191" s="262"/>
      <c r="AY191" s="262"/>
      <c r="AZ191" s="262"/>
      <c r="BA191" s="262"/>
      <c r="BB191" s="262"/>
      <c r="BC191" s="262"/>
      <c r="BD191" s="262"/>
      <c r="BE191" s="262"/>
      <c r="BF191" s="262"/>
      <c r="BG191" s="262"/>
      <c r="BH191" s="262"/>
    </row>
    <row r="192" spans="1:60" s="497" customFormat="1" x14ac:dyDescent="0.25">
      <c r="A192" s="262"/>
      <c r="B192" s="377">
        <v>42850</v>
      </c>
      <c r="C192" s="377">
        <v>42856</v>
      </c>
      <c r="D192" s="409"/>
      <c r="E192" s="494">
        <v>6121</v>
      </c>
      <c r="F192" s="495">
        <v>268</v>
      </c>
      <c r="G192" s="492"/>
      <c r="H192" s="494">
        <v>7011</v>
      </c>
      <c r="I192" s="494">
        <v>2519</v>
      </c>
      <c r="J192" s="492"/>
      <c r="K192" s="494">
        <v>2917</v>
      </c>
      <c r="L192" s="494">
        <v>745</v>
      </c>
      <c r="M192" s="492"/>
      <c r="N192" s="494">
        <v>3426</v>
      </c>
      <c r="O192" s="502">
        <v>955</v>
      </c>
      <c r="P192" s="492"/>
      <c r="Q192" s="494">
        <v>7606</v>
      </c>
      <c r="R192" s="494">
        <v>2630</v>
      </c>
      <c r="S192" s="492"/>
      <c r="T192" s="494">
        <v>2805</v>
      </c>
      <c r="U192" s="494">
        <v>1668</v>
      </c>
      <c r="V192" s="493"/>
      <c r="W192" s="494">
        <v>1287</v>
      </c>
      <c r="X192" s="496">
        <v>489</v>
      </c>
      <c r="Y192" s="493"/>
      <c r="Z192" s="494">
        <v>4953</v>
      </c>
      <c r="AA192" s="494">
        <v>1176</v>
      </c>
      <c r="AB192" s="493"/>
      <c r="AC192" s="494">
        <v>3405</v>
      </c>
      <c r="AD192" s="494">
        <v>1779</v>
      </c>
      <c r="AE192" s="492"/>
      <c r="AF192" s="494">
        <v>7945</v>
      </c>
      <c r="AG192" s="494">
        <v>1487</v>
      </c>
      <c r="AH192" s="493"/>
      <c r="AI192" s="494">
        <v>1916</v>
      </c>
      <c r="AJ192" s="494">
        <v>1397</v>
      </c>
      <c r="AK192" s="262"/>
      <c r="AL192" s="262"/>
      <c r="AM192" s="262"/>
      <c r="AN192" s="262"/>
      <c r="AO192" s="262"/>
      <c r="AP192" s="262"/>
      <c r="AQ192" s="262"/>
      <c r="AR192" s="262"/>
      <c r="AS192" s="262"/>
      <c r="AT192" s="262"/>
      <c r="AU192" s="262"/>
      <c r="AV192" s="262"/>
      <c r="AW192" s="262"/>
      <c r="AX192" s="262"/>
      <c r="AY192" s="262"/>
      <c r="AZ192" s="262"/>
      <c r="BA192" s="262"/>
      <c r="BB192" s="262"/>
      <c r="BC192" s="262"/>
      <c r="BD192" s="262"/>
      <c r="BE192" s="262"/>
      <c r="BF192" s="262"/>
      <c r="BG192" s="262"/>
      <c r="BH192" s="262"/>
    </row>
    <row r="193" spans="1:60" s="497" customFormat="1" x14ac:dyDescent="0.25">
      <c r="A193" s="262"/>
      <c r="B193" s="377">
        <v>42857</v>
      </c>
      <c r="C193" s="377">
        <v>42863</v>
      </c>
      <c r="D193" s="409"/>
      <c r="E193" s="494">
        <v>6095</v>
      </c>
      <c r="F193" s="495">
        <v>299</v>
      </c>
      <c r="G193" s="492"/>
      <c r="H193" s="494">
        <v>6699</v>
      </c>
      <c r="I193" s="494">
        <v>2298</v>
      </c>
      <c r="J193" s="492"/>
      <c r="K193" s="494">
        <v>2644</v>
      </c>
      <c r="L193" s="494">
        <v>620</v>
      </c>
      <c r="M193" s="492"/>
      <c r="N193" s="494">
        <v>3407</v>
      </c>
      <c r="O193" s="502">
        <v>892</v>
      </c>
      <c r="P193" s="492"/>
      <c r="Q193" s="494">
        <v>7892</v>
      </c>
      <c r="R193" s="494">
        <v>2699</v>
      </c>
      <c r="S193" s="492"/>
      <c r="T193" s="494">
        <v>2643</v>
      </c>
      <c r="U193" s="494">
        <v>1408</v>
      </c>
      <c r="V193" s="493"/>
      <c r="W193" s="494">
        <v>1148</v>
      </c>
      <c r="X193" s="496">
        <v>415</v>
      </c>
      <c r="Y193" s="493"/>
      <c r="Z193" s="494">
        <v>4193</v>
      </c>
      <c r="AA193" s="494">
        <v>1115</v>
      </c>
      <c r="AB193" s="493"/>
      <c r="AC193" s="494">
        <v>3228</v>
      </c>
      <c r="AD193" s="494">
        <v>1570</v>
      </c>
      <c r="AE193" s="492"/>
      <c r="AF193" s="494">
        <v>8034</v>
      </c>
      <c r="AG193" s="494">
        <v>1486</v>
      </c>
      <c r="AH193" s="493"/>
      <c r="AI193" s="494">
        <v>1947</v>
      </c>
      <c r="AJ193" s="494">
        <v>1303</v>
      </c>
      <c r="AK193" s="262"/>
      <c r="AL193" s="262"/>
      <c r="AM193" s="262"/>
      <c r="AN193" s="262"/>
      <c r="AO193" s="262"/>
      <c r="AP193" s="262"/>
      <c r="AQ193" s="262"/>
      <c r="AR193" s="262"/>
      <c r="AS193" s="262"/>
      <c r="AT193" s="262"/>
      <c r="AU193" s="262"/>
      <c r="AV193" s="262"/>
      <c r="AW193" s="262"/>
      <c r="AX193" s="262"/>
      <c r="AY193" s="262"/>
      <c r="AZ193" s="262"/>
      <c r="BA193" s="262"/>
      <c r="BB193" s="262"/>
      <c r="BC193" s="262"/>
      <c r="BD193" s="262"/>
      <c r="BE193" s="262"/>
      <c r="BF193" s="262"/>
      <c r="BG193" s="262"/>
      <c r="BH193" s="262"/>
    </row>
    <row r="194" spans="1:60" s="497" customFormat="1" x14ac:dyDescent="0.25">
      <c r="A194" s="262"/>
      <c r="B194" s="377">
        <v>42864</v>
      </c>
      <c r="C194" s="377">
        <v>42870</v>
      </c>
      <c r="D194" s="409"/>
      <c r="E194" s="494">
        <v>5714</v>
      </c>
      <c r="F194" s="495">
        <v>228</v>
      </c>
      <c r="G194" s="492"/>
      <c r="H194" s="494">
        <v>6421</v>
      </c>
      <c r="I194" s="494">
        <v>2190</v>
      </c>
      <c r="J194" s="492"/>
      <c r="K194" s="494">
        <v>2939</v>
      </c>
      <c r="L194" s="494">
        <v>689</v>
      </c>
      <c r="M194" s="492"/>
      <c r="N194" s="494">
        <v>3442</v>
      </c>
      <c r="O194" s="502">
        <v>904</v>
      </c>
      <c r="P194" s="492"/>
      <c r="Q194" s="494">
        <v>7057</v>
      </c>
      <c r="R194" s="494">
        <v>2443</v>
      </c>
      <c r="S194" s="492"/>
      <c r="T194" s="494">
        <v>2723</v>
      </c>
      <c r="U194" s="494">
        <v>1435</v>
      </c>
      <c r="V194" s="493"/>
      <c r="W194" s="494">
        <v>27213</v>
      </c>
      <c r="X194" s="494">
        <v>11744</v>
      </c>
      <c r="Y194" s="493"/>
      <c r="Z194" s="494">
        <v>3566</v>
      </c>
      <c r="AA194" s="494">
        <v>937</v>
      </c>
      <c r="AB194" s="493"/>
      <c r="AC194" s="494">
        <v>3015</v>
      </c>
      <c r="AD194" s="494">
        <v>1603</v>
      </c>
      <c r="AE194" s="492"/>
      <c r="AF194" s="494">
        <v>7770</v>
      </c>
      <c r="AG194" s="494">
        <v>1463</v>
      </c>
      <c r="AH194" s="493"/>
      <c r="AI194" s="494">
        <v>1734</v>
      </c>
      <c r="AJ194" s="494">
        <v>1089</v>
      </c>
      <c r="AK194" s="262"/>
      <c r="AL194" s="262"/>
      <c r="AM194" s="262"/>
      <c r="AN194" s="262"/>
      <c r="AO194" s="262"/>
      <c r="AP194" s="262"/>
      <c r="AQ194" s="262"/>
      <c r="AR194" s="262"/>
      <c r="AS194" s="262"/>
      <c r="AT194" s="262"/>
      <c r="AU194" s="262"/>
      <c r="AV194" s="262"/>
      <c r="AW194" s="262"/>
      <c r="AX194" s="262"/>
      <c r="AY194" s="262"/>
      <c r="AZ194" s="262"/>
      <c r="BA194" s="262"/>
      <c r="BB194" s="262"/>
      <c r="BC194" s="262"/>
      <c r="BD194" s="262"/>
      <c r="BE194" s="262"/>
      <c r="BF194" s="262"/>
      <c r="BG194" s="262"/>
      <c r="BH194" s="262"/>
    </row>
    <row r="195" spans="1:60" s="497" customFormat="1" x14ac:dyDescent="0.25">
      <c r="A195" s="262"/>
      <c r="B195" s="377">
        <v>42871</v>
      </c>
      <c r="C195" s="377">
        <v>42877</v>
      </c>
      <c r="D195" s="409"/>
      <c r="E195" s="494">
        <v>5773</v>
      </c>
      <c r="F195" s="495">
        <v>272</v>
      </c>
      <c r="G195" s="492"/>
      <c r="H195" s="494">
        <v>6538</v>
      </c>
      <c r="I195" s="494">
        <v>2404</v>
      </c>
      <c r="J195" s="492"/>
      <c r="K195" s="494">
        <v>3031</v>
      </c>
      <c r="L195" s="494">
        <v>691</v>
      </c>
      <c r="M195" s="492"/>
      <c r="N195" s="494">
        <v>3449</v>
      </c>
      <c r="O195" s="502">
        <v>924</v>
      </c>
      <c r="P195" s="492"/>
      <c r="Q195" s="494">
        <v>6721</v>
      </c>
      <c r="R195" s="494">
        <v>2389</v>
      </c>
      <c r="S195" s="492"/>
      <c r="T195" s="494">
        <v>2860</v>
      </c>
      <c r="U195" s="494">
        <v>1573</v>
      </c>
      <c r="V195" s="493"/>
      <c r="W195" s="494">
        <v>6946</v>
      </c>
      <c r="X195" s="494">
        <v>2979</v>
      </c>
      <c r="Y195" s="493"/>
      <c r="Z195" s="494">
        <v>3138</v>
      </c>
      <c r="AA195" s="494">
        <v>853</v>
      </c>
      <c r="AB195" s="493"/>
      <c r="AC195" s="494">
        <v>2561</v>
      </c>
      <c r="AD195" s="494">
        <v>1312</v>
      </c>
      <c r="AE195" s="492"/>
      <c r="AF195" s="494">
        <v>7940</v>
      </c>
      <c r="AG195" s="494">
        <v>1511</v>
      </c>
      <c r="AH195" s="493"/>
      <c r="AI195" s="494">
        <v>1724</v>
      </c>
      <c r="AJ195" s="494">
        <v>1146</v>
      </c>
      <c r="AK195" s="262"/>
      <c r="AL195" s="262"/>
      <c r="AM195" s="262"/>
      <c r="AN195" s="262"/>
      <c r="AO195" s="262"/>
      <c r="AP195" s="262"/>
      <c r="AQ195" s="262"/>
      <c r="AR195" s="262"/>
      <c r="AS195" s="262"/>
      <c r="AT195" s="262"/>
      <c r="AU195" s="262"/>
      <c r="AV195" s="262"/>
      <c r="AW195" s="262"/>
      <c r="AX195" s="262"/>
      <c r="AY195" s="262"/>
      <c r="AZ195" s="262"/>
      <c r="BA195" s="262"/>
      <c r="BB195" s="262"/>
      <c r="BC195" s="262"/>
      <c r="BD195" s="262"/>
      <c r="BE195" s="262"/>
      <c r="BF195" s="262"/>
      <c r="BG195" s="262"/>
      <c r="BH195" s="262"/>
    </row>
    <row r="196" spans="1:60" s="497" customFormat="1" x14ac:dyDescent="0.25">
      <c r="A196" s="262"/>
      <c r="B196" s="377">
        <v>42878</v>
      </c>
      <c r="C196" s="377">
        <v>42884</v>
      </c>
      <c r="D196" s="409"/>
      <c r="E196" s="494">
        <v>6144</v>
      </c>
      <c r="F196" s="495">
        <v>267</v>
      </c>
      <c r="G196" s="492"/>
      <c r="H196" s="494">
        <v>6946</v>
      </c>
      <c r="I196" s="494">
        <v>2314</v>
      </c>
      <c r="J196" s="492"/>
      <c r="K196" s="494">
        <v>2801</v>
      </c>
      <c r="L196" s="494">
        <v>647</v>
      </c>
      <c r="M196" s="492"/>
      <c r="N196" s="494">
        <v>3305</v>
      </c>
      <c r="O196" s="502">
        <v>881</v>
      </c>
      <c r="P196" s="492"/>
      <c r="Q196" s="494">
        <v>7458</v>
      </c>
      <c r="R196" s="494">
        <v>2659</v>
      </c>
      <c r="S196" s="492"/>
      <c r="T196" s="494">
        <v>2634</v>
      </c>
      <c r="U196" s="494">
        <v>1328</v>
      </c>
      <c r="V196" s="493"/>
      <c r="W196" s="494">
        <v>3033</v>
      </c>
      <c r="X196" s="494">
        <v>1288</v>
      </c>
      <c r="Y196" s="493"/>
      <c r="Z196" s="494">
        <v>56067</v>
      </c>
      <c r="AA196" s="494">
        <v>8381</v>
      </c>
      <c r="AB196" s="493"/>
      <c r="AC196" s="494">
        <v>3158</v>
      </c>
      <c r="AD196" s="494">
        <v>1540</v>
      </c>
      <c r="AE196" s="492"/>
      <c r="AF196" s="494">
        <v>8453</v>
      </c>
      <c r="AG196" s="494">
        <v>1517</v>
      </c>
      <c r="AH196" s="493"/>
      <c r="AI196" s="494">
        <v>1771</v>
      </c>
      <c r="AJ196" s="494">
        <v>1250</v>
      </c>
      <c r="AK196" s="262"/>
      <c r="AL196" s="262"/>
      <c r="AM196" s="262"/>
      <c r="AN196" s="262"/>
      <c r="AO196" s="262"/>
      <c r="AP196" s="262"/>
      <c r="AQ196" s="262"/>
      <c r="AR196" s="262"/>
      <c r="AS196" s="262"/>
      <c r="AT196" s="262"/>
      <c r="AU196" s="262"/>
      <c r="AV196" s="262"/>
      <c r="AW196" s="262"/>
      <c r="AX196" s="262"/>
      <c r="AY196" s="262"/>
      <c r="AZ196" s="262"/>
      <c r="BA196" s="262"/>
      <c r="BB196" s="262"/>
      <c r="BC196" s="262"/>
      <c r="BD196" s="262"/>
      <c r="BE196" s="262"/>
      <c r="BF196" s="262"/>
      <c r="BG196" s="262"/>
      <c r="BH196" s="262"/>
    </row>
    <row r="197" spans="1:60" s="497" customFormat="1" x14ac:dyDescent="0.25">
      <c r="A197" s="262"/>
      <c r="B197" s="377">
        <v>42885</v>
      </c>
      <c r="C197" s="377">
        <v>42891</v>
      </c>
      <c r="D197" s="409"/>
      <c r="E197" s="494">
        <v>6114</v>
      </c>
      <c r="F197" s="495">
        <v>317</v>
      </c>
      <c r="G197" s="492"/>
      <c r="H197" s="494">
        <v>6745</v>
      </c>
      <c r="I197" s="494">
        <v>2577</v>
      </c>
      <c r="J197" s="492"/>
      <c r="K197" s="494">
        <v>2974</v>
      </c>
      <c r="L197" s="494">
        <v>721</v>
      </c>
      <c r="M197" s="492"/>
      <c r="N197" s="494">
        <v>3635</v>
      </c>
      <c r="O197" s="502">
        <v>901</v>
      </c>
      <c r="P197" s="492"/>
      <c r="Q197" s="494">
        <v>7693</v>
      </c>
      <c r="R197" s="494">
        <v>2701</v>
      </c>
      <c r="S197" s="492"/>
      <c r="T197" s="494">
        <v>2588</v>
      </c>
      <c r="U197" s="494">
        <v>1374</v>
      </c>
      <c r="V197" s="493"/>
      <c r="W197" s="494">
        <v>1639</v>
      </c>
      <c r="X197" s="496">
        <v>605</v>
      </c>
      <c r="Y197" s="493"/>
      <c r="Z197" s="494">
        <v>7204</v>
      </c>
      <c r="AA197" s="494">
        <v>1496</v>
      </c>
      <c r="AB197" s="493"/>
      <c r="AC197" s="494">
        <v>3092</v>
      </c>
      <c r="AD197" s="494">
        <v>1642</v>
      </c>
      <c r="AE197" s="492"/>
      <c r="AF197" s="494">
        <v>8080</v>
      </c>
      <c r="AG197" s="494">
        <v>1513</v>
      </c>
      <c r="AH197" s="493"/>
      <c r="AI197" s="494">
        <v>1805</v>
      </c>
      <c r="AJ197" s="494">
        <v>1233</v>
      </c>
      <c r="AK197" s="262"/>
      <c r="AL197" s="262"/>
      <c r="AM197" s="262"/>
      <c r="AN197" s="262"/>
      <c r="AO197" s="262"/>
      <c r="AP197" s="262"/>
      <c r="AQ197" s="262"/>
      <c r="AR197" s="262"/>
      <c r="AS197" s="262"/>
      <c r="AT197" s="262"/>
      <c r="AU197" s="262"/>
      <c r="AV197" s="262"/>
      <c r="AW197" s="262"/>
      <c r="AX197" s="262"/>
      <c r="AY197" s="262"/>
      <c r="AZ197" s="262"/>
      <c r="BA197" s="262"/>
      <c r="BB197" s="262"/>
      <c r="BC197" s="262"/>
      <c r="BD197" s="262"/>
      <c r="BE197" s="262"/>
      <c r="BF197" s="262"/>
      <c r="BG197" s="262"/>
      <c r="BH197" s="262"/>
    </row>
    <row r="198" spans="1:60" s="497" customFormat="1" x14ac:dyDescent="0.25">
      <c r="A198" s="262"/>
      <c r="B198" s="377">
        <v>42892</v>
      </c>
      <c r="C198" s="377">
        <v>42898</v>
      </c>
      <c r="D198" s="409"/>
      <c r="E198" s="494">
        <v>6455</v>
      </c>
      <c r="F198" s="495">
        <v>316</v>
      </c>
      <c r="G198" s="492"/>
      <c r="H198" s="494">
        <v>40736</v>
      </c>
      <c r="I198" s="494">
        <v>16056</v>
      </c>
      <c r="J198" s="492"/>
      <c r="K198" s="494">
        <v>3325</v>
      </c>
      <c r="L198" s="494">
        <v>785</v>
      </c>
      <c r="M198" s="492"/>
      <c r="N198" s="494">
        <v>4110</v>
      </c>
      <c r="O198" s="495">
        <v>1181</v>
      </c>
      <c r="P198" s="492"/>
      <c r="Q198" s="494">
        <v>8301</v>
      </c>
      <c r="R198" s="494">
        <v>3035</v>
      </c>
      <c r="S198" s="492"/>
      <c r="T198" s="494">
        <v>2963</v>
      </c>
      <c r="U198" s="494">
        <v>1502</v>
      </c>
      <c r="V198" s="493"/>
      <c r="W198" s="494">
        <v>1821</v>
      </c>
      <c r="X198" s="496">
        <v>618</v>
      </c>
      <c r="Y198" s="493"/>
      <c r="Z198" s="494">
        <v>5181</v>
      </c>
      <c r="AA198" s="494">
        <v>1356</v>
      </c>
      <c r="AB198" s="493"/>
      <c r="AC198" s="494">
        <v>3618</v>
      </c>
      <c r="AD198" s="494">
        <v>1784</v>
      </c>
      <c r="AE198" s="492"/>
      <c r="AF198" s="494">
        <v>8769</v>
      </c>
      <c r="AG198" s="494">
        <v>1804</v>
      </c>
      <c r="AH198" s="493"/>
      <c r="AI198" s="494">
        <v>2265</v>
      </c>
      <c r="AJ198" s="494">
        <v>1405</v>
      </c>
      <c r="AK198" s="262"/>
      <c r="AL198" s="262"/>
      <c r="AM198" s="262"/>
      <c r="AN198" s="262"/>
      <c r="AO198" s="262"/>
      <c r="AP198" s="262"/>
      <c r="AQ198" s="262"/>
      <c r="AR198" s="262"/>
      <c r="AS198" s="262"/>
      <c r="AT198" s="262"/>
      <c r="AU198" s="262"/>
      <c r="AV198" s="262"/>
      <c r="AW198" s="262"/>
      <c r="AX198" s="262"/>
      <c r="AY198" s="262"/>
      <c r="AZ198" s="262"/>
      <c r="BA198" s="262"/>
      <c r="BB198" s="262"/>
      <c r="BC198" s="262"/>
      <c r="BD198" s="262"/>
      <c r="BE198" s="262"/>
      <c r="BF198" s="262"/>
      <c r="BG198" s="262"/>
      <c r="BH198" s="262"/>
    </row>
    <row r="199" spans="1:60" s="497" customFormat="1" x14ac:dyDescent="0.25">
      <c r="A199" s="262"/>
      <c r="B199" s="377">
        <v>42899</v>
      </c>
      <c r="C199" s="377">
        <v>42905</v>
      </c>
      <c r="D199" s="409"/>
      <c r="E199" s="494">
        <v>6322</v>
      </c>
      <c r="F199" s="495">
        <v>306</v>
      </c>
      <c r="G199" s="492"/>
      <c r="H199" s="494">
        <v>10759</v>
      </c>
      <c r="I199" s="494">
        <v>3749</v>
      </c>
      <c r="J199" s="492"/>
      <c r="K199" s="494">
        <v>3070</v>
      </c>
      <c r="L199" s="494">
        <v>730</v>
      </c>
      <c r="M199" s="492"/>
      <c r="N199" s="494">
        <v>3694</v>
      </c>
      <c r="O199" s="495">
        <v>1003</v>
      </c>
      <c r="P199" s="492"/>
      <c r="Q199" s="494">
        <v>7959</v>
      </c>
      <c r="R199" s="494">
        <v>2806</v>
      </c>
      <c r="S199" s="492"/>
      <c r="T199" s="494">
        <v>12058</v>
      </c>
      <c r="U199" s="494">
        <v>5268</v>
      </c>
      <c r="V199" s="493"/>
      <c r="W199" s="494">
        <v>1548</v>
      </c>
      <c r="X199" s="496">
        <v>567</v>
      </c>
      <c r="Y199" s="493"/>
      <c r="Z199" s="494">
        <v>4335</v>
      </c>
      <c r="AA199" s="494">
        <v>1138</v>
      </c>
      <c r="AB199" s="493"/>
      <c r="AC199" s="494">
        <v>3316</v>
      </c>
      <c r="AD199" s="494">
        <v>1619</v>
      </c>
      <c r="AE199" s="492"/>
      <c r="AF199" s="494">
        <v>8164</v>
      </c>
      <c r="AG199" s="494">
        <v>1581</v>
      </c>
      <c r="AH199" s="493"/>
      <c r="AI199" s="494">
        <v>2565</v>
      </c>
      <c r="AJ199" s="494">
        <v>1438</v>
      </c>
      <c r="AK199" s="262"/>
      <c r="AL199" s="262"/>
      <c r="AM199" s="262"/>
      <c r="AN199" s="262"/>
      <c r="AO199" s="262"/>
      <c r="AP199" s="262"/>
      <c r="AQ199" s="262"/>
      <c r="AR199" s="262"/>
      <c r="AS199" s="262"/>
      <c r="AT199" s="262"/>
      <c r="AU199" s="262"/>
      <c r="AV199" s="262"/>
      <c r="AW199" s="262"/>
      <c r="AX199" s="262"/>
      <c r="AY199" s="262"/>
      <c r="AZ199" s="262"/>
      <c r="BA199" s="262"/>
      <c r="BB199" s="262"/>
      <c r="BC199" s="262"/>
      <c r="BD199" s="262"/>
      <c r="BE199" s="262"/>
      <c r="BF199" s="262"/>
      <c r="BG199" s="262"/>
      <c r="BH199" s="262"/>
    </row>
    <row r="200" spans="1:60" s="497" customFormat="1" x14ac:dyDescent="0.25">
      <c r="A200" s="262"/>
      <c r="B200" s="377">
        <v>42906</v>
      </c>
      <c r="C200" s="377">
        <v>42912</v>
      </c>
      <c r="D200" s="409"/>
      <c r="E200" s="494">
        <v>7173</v>
      </c>
      <c r="F200" s="495">
        <v>311</v>
      </c>
      <c r="G200" s="492"/>
      <c r="H200" s="494">
        <v>12565</v>
      </c>
      <c r="I200" s="494">
        <v>4420</v>
      </c>
      <c r="J200" s="492"/>
      <c r="K200" s="494">
        <v>4270</v>
      </c>
      <c r="L200" s="494">
        <v>1041</v>
      </c>
      <c r="M200" s="492"/>
      <c r="N200" s="494">
        <v>4970</v>
      </c>
      <c r="O200" s="495">
        <v>1423</v>
      </c>
      <c r="P200" s="492"/>
      <c r="Q200" s="494">
        <v>10398</v>
      </c>
      <c r="R200" s="494">
        <v>3938</v>
      </c>
      <c r="S200" s="492"/>
      <c r="T200" s="494">
        <v>4385</v>
      </c>
      <c r="U200" s="494">
        <v>2118</v>
      </c>
      <c r="V200" s="493"/>
      <c r="W200" s="494">
        <v>1916</v>
      </c>
      <c r="X200" s="496">
        <v>683</v>
      </c>
      <c r="Y200" s="493"/>
      <c r="Z200" s="494">
        <v>5519</v>
      </c>
      <c r="AA200" s="494">
        <v>1498</v>
      </c>
      <c r="AB200" s="493"/>
      <c r="AC200" s="494">
        <v>34656</v>
      </c>
      <c r="AD200" s="494">
        <v>19035</v>
      </c>
      <c r="AE200" s="492"/>
      <c r="AF200" s="494">
        <v>9702</v>
      </c>
      <c r="AG200" s="494">
        <v>1904</v>
      </c>
      <c r="AH200" s="493"/>
      <c r="AI200" s="494">
        <v>6108</v>
      </c>
      <c r="AJ200" s="494">
        <v>2563</v>
      </c>
      <c r="AK200" s="262"/>
      <c r="AL200" s="262"/>
      <c r="AM200" s="262"/>
      <c r="AN200" s="262"/>
      <c r="AO200" s="262"/>
      <c r="AP200" s="262"/>
      <c r="AQ200" s="262"/>
      <c r="AR200" s="262"/>
      <c r="AS200" s="262"/>
      <c r="AT200" s="262"/>
      <c r="AU200" s="262"/>
      <c r="AV200" s="262"/>
      <c r="AW200" s="262"/>
      <c r="AX200" s="262"/>
      <c r="AY200" s="262"/>
      <c r="AZ200" s="262"/>
      <c r="BA200" s="262"/>
      <c r="BB200" s="262"/>
      <c r="BC200" s="262"/>
      <c r="BD200" s="262"/>
      <c r="BE200" s="262"/>
      <c r="BF200" s="262"/>
      <c r="BG200" s="262"/>
      <c r="BH200" s="262"/>
    </row>
    <row r="201" spans="1:60" s="497" customFormat="1" x14ac:dyDescent="0.25">
      <c r="A201" s="262"/>
      <c r="B201" s="377">
        <v>42913</v>
      </c>
      <c r="C201" s="377">
        <v>42919</v>
      </c>
      <c r="D201" s="409"/>
      <c r="E201" s="494">
        <v>9829</v>
      </c>
      <c r="F201" s="494">
        <v>403</v>
      </c>
      <c r="G201" s="492"/>
      <c r="H201" s="494">
        <v>13898</v>
      </c>
      <c r="I201" s="494">
        <v>4649</v>
      </c>
      <c r="J201" s="492"/>
      <c r="K201" s="494">
        <v>4613</v>
      </c>
      <c r="L201" s="494">
        <v>1101</v>
      </c>
      <c r="M201" s="492"/>
      <c r="N201" s="494">
        <v>7277</v>
      </c>
      <c r="O201" s="495">
        <v>1920</v>
      </c>
      <c r="P201" s="492"/>
      <c r="Q201" s="494">
        <v>29102</v>
      </c>
      <c r="R201" s="494">
        <v>9773</v>
      </c>
      <c r="S201" s="492"/>
      <c r="T201" s="494">
        <v>5416</v>
      </c>
      <c r="U201" s="494">
        <v>2525</v>
      </c>
      <c r="V201" s="493"/>
      <c r="W201" s="494">
        <v>2750</v>
      </c>
      <c r="X201" s="496">
        <v>934</v>
      </c>
      <c r="Y201" s="493"/>
      <c r="Z201" s="494">
        <v>7249</v>
      </c>
      <c r="AA201" s="494">
        <v>1669</v>
      </c>
      <c r="AB201" s="493"/>
      <c r="AC201" s="494">
        <v>9318</v>
      </c>
      <c r="AD201" s="494">
        <v>4367</v>
      </c>
      <c r="AE201" s="492"/>
      <c r="AF201" s="494">
        <v>11423</v>
      </c>
      <c r="AG201" s="494">
        <v>2222</v>
      </c>
      <c r="AH201" s="493"/>
      <c r="AI201" s="494">
        <v>2483</v>
      </c>
      <c r="AJ201" s="494">
        <v>1481</v>
      </c>
      <c r="AK201" s="262"/>
      <c r="AL201" s="262"/>
      <c r="AM201" s="262"/>
      <c r="AN201" s="262"/>
      <c r="AO201" s="262"/>
      <c r="AP201" s="262"/>
      <c r="AQ201" s="262"/>
      <c r="AR201" s="262"/>
      <c r="AS201" s="262"/>
      <c r="AT201" s="262"/>
      <c r="AU201" s="262"/>
      <c r="AV201" s="262"/>
      <c r="AW201" s="262"/>
      <c r="AX201" s="262"/>
      <c r="AY201" s="262"/>
      <c r="AZ201" s="262"/>
      <c r="BA201" s="262"/>
      <c r="BB201" s="262"/>
      <c r="BC201" s="262"/>
      <c r="BD201" s="262"/>
      <c r="BE201" s="262"/>
      <c r="BF201" s="262"/>
      <c r="BG201" s="262"/>
      <c r="BH201" s="262"/>
    </row>
    <row r="202" spans="1:60" s="497" customFormat="1" x14ac:dyDescent="0.25">
      <c r="A202" s="262"/>
      <c r="B202" s="377">
        <v>42920</v>
      </c>
      <c r="C202" s="377">
        <v>42926</v>
      </c>
      <c r="D202" s="409"/>
      <c r="E202" s="494">
        <v>8033</v>
      </c>
      <c r="F202" s="494">
        <v>345</v>
      </c>
      <c r="G202" s="492"/>
      <c r="H202" s="494">
        <v>11192</v>
      </c>
      <c r="I202" s="494">
        <v>4049</v>
      </c>
      <c r="J202" s="492"/>
      <c r="K202" s="494">
        <v>4289</v>
      </c>
      <c r="L202" s="494">
        <v>1044</v>
      </c>
      <c r="M202" s="492"/>
      <c r="N202" s="494">
        <v>6327</v>
      </c>
      <c r="O202" s="494">
        <v>1688</v>
      </c>
      <c r="P202" s="492"/>
      <c r="Q202" s="494">
        <v>11965</v>
      </c>
      <c r="R202" s="494">
        <v>4266</v>
      </c>
      <c r="S202" s="492"/>
      <c r="T202" s="494">
        <v>4364</v>
      </c>
      <c r="U202" s="494">
        <v>2145</v>
      </c>
      <c r="V202" s="493"/>
      <c r="W202" s="494">
        <v>2116</v>
      </c>
      <c r="X202" s="496">
        <v>746</v>
      </c>
      <c r="Y202" s="493"/>
      <c r="Z202" s="494">
        <v>6314</v>
      </c>
      <c r="AA202" s="494">
        <v>1510</v>
      </c>
      <c r="AB202" s="493"/>
      <c r="AC202" s="494">
        <v>6276</v>
      </c>
      <c r="AD202" s="494">
        <v>2776</v>
      </c>
      <c r="AE202" s="492"/>
      <c r="AF202" s="494">
        <v>9562</v>
      </c>
      <c r="AG202" s="494">
        <v>1886</v>
      </c>
      <c r="AH202" s="493"/>
      <c r="AI202" s="494">
        <v>2141</v>
      </c>
      <c r="AJ202" s="494">
        <v>1349</v>
      </c>
      <c r="AK202" s="262"/>
      <c r="AL202" s="262"/>
      <c r="AM202" s="262"/>
      <c r="AN202" s="262"/>
      <c r="AO202" s="262"/>
      <c r="AP202" s="262"/>
      <c r="AQ202" s="262"/>
      <c r="AR202" s="262"/>
      <c r="AS202" s="262"/>
      <c r="AT202" s="262"/>
      <c r="AU202" s="262"/>
      <c r="AV202" s="262"/>
      <c r="AW202" s="262"/>
      <c r="AX202" s="262"/>
      <c r="AY202" s="262"/>
      <c r="AZ202" s="262"/>
      <c r="BA202" s="262"/>
      <c r="BB202" s="262"/>
      <c r="BC202" s="262"/>
      <c r="BD202" s="262"/>
      <c r="BE202" s="262"/>
      <c r="BF202" s="262"/>
      <c r="BG202" s="262"/>
      <c r="BH202" s="262"/>
    </row>
    <row r="203" spans="1:60" s="497" customFormat="1" x14ac:dyDescent="0.25">
      <c r="A203" s="262"/>
      <c r="B203" s="511">
        <v>42927</v>
      </c>
      <c r="C203" s="511">
        <v>42933</v>
      </c>
      <c r="D203" s="409"/>
      <c r="E203" s="494">
        <v>22398</v>
      </c>
      <c r="F203" s="494">
        <v>888</v>
      </c>
      <c r="G203" s="492"/>
      <c r="H203" s="494">
        <v>11570</v>
      </c>
      <c r="I203" s="494">
        <v>3904</v>
      </c>
      <c r="J203" s="492"/>
      <c r="K203" s="494">
        <v>4989</v>
      </c>
      <c r="L203" s="494">
        <v>1196</v>
      </c>
      <c r="M203" s="492"/>
      <c r="N203" s="494">
        <v>6349</v>
      </c>
      <c r="O203" s="494">
        <v>1828</v>
      </c>
      <c r="P203" s="492"/>
      <c r="Q203" s="494">
        <v>11796</v>
      </c>
      <c r="R203" s="494">
        <v>4227</v>
      </c>
      <c r="S203" s="492"/>
      <c r="T203" s="494">
        <v>3471</v>
      </c>
      <c r="U203" s="494">
        <v>1657</v>
      </c>
      <c r="V203" s="493"/>
      <c r="W203" s="494">
        <v>2137</v>
      </c>
      <c r="X203" s="496">
        <v>792</v>
      </c>
      <c r="Y203" s="493"/>
      <c r="Z203" s="494">
        <v>5508</v>
      </c>
      <c r="AA203" s="494">
        <v>1390</v>
      </c>
      <c r="AB203" s="493"/>
      <c r="AC203" s="494">
        <v>6049</v>
      </c>
      <c r="AD203" s="494">
        <v>2812</v>
      </c>
      <c r="AE203" s="492"/>
      <c r="AF203" s="494">
        <v>43200</v>
      </c>
      <c r="AG203" s="494">
        <v>7517</v>
      </c>
      <c r="AH203" s="493"/>
      <c r="AI203" s="494">
        <v>2478</v>
      </c>
      <c r="AJ203" s="494">
        <v>1635</v>
      </c>
      <c r="AK203" s="262"/>
      <c r="AL203" s="262"/>
      <c r="AM203" s="262"/>
      <c r="AN203" s="262"/>
      <c r="AO203" s="262"/>
      <c r="AP203" s="262"/>
      <c r="AQ203" s="262"/>
      <c r="AR203" s="262"/>
      <c r="AS203" s="262"/>
      <c r="AT203" s="262"/>
      <c r="AU203" s="262"/>
      <c r="AV203" s="262"/>
      <c r="AW203" s="262"/>
      <c r="AX203" s="262"/>
      <c r="AY203" s="262"/>
      <c r="AZ203" s="262"/>
      <c r="BA203" s="262"/>
      <c r="BB203" s="262"/>
      <c r="BC203" s="262"/>
      <c r="BD203" s="262"/>
      <c r="BE203" s="262"/>
      <c r="BF203" s="262"/>
      <c r="BG203" s="262"/>
      <c r="BH203" s="262"/>
    </row>
    <row r="204" spans="1:60" s="497" customFormat="1" x14ac:dyDescent="0.25">
      <c r="A204" s="262"/>
      <c r="B204" s="511">
        <v>42934</v>
      </c>
      <c r="C204" s="511">
        <v>42940</v>
      </c>
      <c r="D204" s="409"/>
      <c r="E204" s="494">
        <v>9410</v>
      </c>
      <c r="F204" s="494">
        <v>400</v>
      </c>
      <c r="G204" s="492"/>
      <c r="H204" s="494">
        <v>10760</v>
      </c>
      <c r="I204" s="494">
        <v>3634</v>
      </c>
      <c r="J204" s="492"/>
      <c r="K204" s="494">
        <v>4924</v>
      </c>
      <c r="L204" s="494">
        <v>1258</v>
      </c>
      <c r="M204" s="492"/>
      <c r="N204" s="494">
        <v>11508</v>
      </c>
      <c r="O204" s="494">
        <v>2529</v>
      </c>
      <c r="P204" s="492"/>
      <c r="Q204" s="494">
        <v>10790</v>
      </c>
      <c r="R204" s="494">
        <v>3917</v>
      </c>
      <c r="S204" s="492"/>
      <c r="T204" s="494">
        <v>2925</v>
      </c>
      <c r="U204" s="494">
        <v>1416</v>
      </c>
      <c r="V204" s="493"/>
      <c r="W204" s="494">
        <v>1784</v>
      </c>
      <c r="X204" s="496">
        <v>658</v>
      </c>
      <c r="Y204" s="493"/>
      <c r="Z204" s="494">
        <v>5624</v>
      </c>
      <c r="AA204" s="494">
        <v>1443</v>
      </c>
      <c r="AB204" s="493"/>
      <c r="AC204" s="494">
        <v>5566</v>
      </c>
      <c r="AD204" s="494">
        <v>2442</v>
      </c>
      <c r="AE204" s="492"/>
      <c r="AF204" s="494">
        <v>12560</v>
      </c>
      <c r="AG204" s="494">
        <v>2335</v>
      </c>
      <c r="AH204" s="493"/>
      <c r="AI204" s="494">
        <v>2568</v>
      </c>
      <c r="AJ204" s="494">
        <v>1619</v>
      </c>
      <c r="AK204" s="262"/>
      <c r="AL204" s="262"/>
      <c r="AM204" s="262"/>
      <c r="AN204" s="262"/>
      <c r="AO204" s="262"/>
      <c r="AP204" s="262"/>
      <c r="AQ204" s="262"/>
      <c r="AR204" s="262"/>
      <c r="AS204" s="262"/>
      <c r="AT204" s="262"/>
      <c r="AU204" s="262"/>
      <c r="AV204" s="262"/>
      <c r="AW204" s="262"/>
      <c r="AX204" s="262"/>
      <c r="AY204" s="262"/>
      <c r="AZ204" s="262"/>
      <c r="BA204" s="262"/>
      <c r="BB204" s="262"/>
      <c r="BC204" s="262"/>
      <c r="BD204" s="262"/>
      <c r="BE204" s="262"/>
      <c r="BF204" s="262"/>
      <c r="BG204" s="262"/>
      <c r="BH204" s="262"/>
    </row>
    <row r="205" spans="1:60" s="497" customFormat="1" x14ac:dyDescent="0.25">
      <c r="A205" s="262"/>
      <c r="B205" s="511">
        <v>42941</v>
      </c>
      <c r="C205" s="511">
        <v>42947</v>
      </c>
      <c r="D205" s="409"/>
      <c r="E205" s="494">
        <v>8266</v>
      </c>
      <c r="F205" s="494">
        <v>395</v>
      </c>
      <c r="G205" s="492"/>
      <c r="H205" s="494">
        <v>10662</v>
      </c>
      <c r="I205" s="494">
        <v>3687</v>
      </c>
      <c r="J205" s="492"/>
      <c r="K205" s="494">
        <v>14813</v>
      </c>
      <c r="L205" s="494">
        <v>3777</v>
      </c>
      <c r="M205" s="492"/>
      <c r="N205" s="494">
        <v>6840</v>
      </c>
      <c r="O205" s="494">
        <v>1962</v>
      </c>
      <c r="P205" s="492"/>
      <c r="Q205" s="494">
        <v>11082</v>
      </c>
      <c r="R205" s="494">
        <v>4232</v>
      </c>
      <c r="S205" s="492"/>
      <c r="T205" s="494">
        <v>2748</v>
      </c>
      <c r="U205" s="494">
        <v>1406</v>
      </c>
      <c r="V205" s="493"/>
      <c r="W205" s="494">
        <v>1777</v>
      </c>
      <c r="X205" s="496">
        <v>614</v>
      </c>
      <c r="Y205" s="493"/>
      <c r="Z205" s="494">
        <v>5774</v>
      </c>
      <c r="AA205" s="494">
        <v>1382</v>
      </c>
      <c r="AB205" s="493"/>
      <c r="AC205" s="494">
        <v>5557</v>
      </c>
      <c r="AD205" s="494">
        <v>2342</v>
      </c>
      <c r="AE205" s="492"/>
      <c r="AF205" s="494">
        <v>11143</v>
      </c>
      <c r="AG205" s="494">
        <v>2109</v>
      </c>
      <c r="AH205" s="493"/>
      <c r="AI205" s="494">
        <v>2629</v>
      </c>
      <c r="AJ205" s="494">
        <v>1683</v>
      </c>
      <c r="AK205" s="262"/>
      <c r="AL205" s="262"/>
      <c r="AM205" s="262"/>
      <c r="AN205" s="262"/>
      <c r="AO205" s="262"/>
      <c r="AP205" s="262"/>
      <c r="AQ205" s="262"/>
      <c r="AR205" s="262"/>
      <c r="AS205" s="262"/>
      <c r="AT205" s="262"/>
      <c r="AU205" s="262"/>
      <c r="AV205" s="262"/>
      <c r="AW205" s="262"/>
      <c r="AX205" s="262"/>
      <c r="AY205" s="262"/>
      <c r="AZ205" s="262"/>
      <c r="BA205" s="262"/>
      <c r="BB205" s="262"/>
      <c r="BC205" s="262"/>
      <c r="BD205" s="262"/>
      <c r="BE205" s="262"/>
      <c r="BF205" s="262"/>
      <c r="BG205" s="262"/>
      <c r="BH205" s="262"/>
    </row>
    <row r="206" spans="1:60" s="497" customFormat="1" x14ac:dyDescent="0.25">
      <c r="A206" s="262"/>
      <c r="B206" s="511">
        <v>42948</v>
      </c>
      <c r="C206" s="511">
        <v>42954</v>
      </c>
      <c r="D206" s="409"/>
      <c r="E206" s="494">
        <v>7891</v>
      </c>
      <c r="F206" s="494">
        <v>349</v>
      </c>
      <c r="G206" s="492"/>
      <c r="H206" s="494">
        <v>11172</v>
      </c>
      <c r="I206" s="494">
        <v>4137</v>
      </c>
      <c r="J206" s="492"/>
      <c r="K206" s="494">
        <v>7058</v>
      </c>
      <c r="L206" s="494">
        <v>1613</v>
      </c>
      <c r="M206" s="492"/>
      <c r="N206" s="494">
        <v>6758</v>
      </c>
      <c r="O206" s="494">
        <v>1833</v>
      </c>
      <c r="P206" s="492"/>
      <c r="Q206" s="494">
        <v>11866</v>
      </c>
      <c r="R206" s="494">
        <v>4542</v>
      </c>
      <c r="S206" s="492"/>
      <c r="T206" s="494">
        <v>5280</v>
      </c>
      <c r="U206" s="494">
        <v>2483</v>
      </c>
      <c r="V206" s="493"/>
      <c r="W206" s="494">
        <v>3459</v>
      </c>
      <c r="X206" s="494">
        <v>1329</v>
      </c>
      <c r="Y206" s="493"/>
      <c r="Z206" s="494">
        <v>6046</v>
      </c>
      <c r="AA206" s="494">
        <v>1540</v>
      </c>
      <c r="AB206" s="493"/>
      <c r="AC206" s="494">
        <v>5750</v>
      </c>
      <c r="AD206" s="494">
        <v>2470</v>
      </c>
      <c r="AE206" s="492"/>
      <c r="AF206" s="494">
        <v>10538</v>
      </c>
      <c r="AG206" s="494">
        <v>2048</v>
      </c>
      <c r="AH206" s="493"/>
      <c r="AI206" s="494">
        <v>2460</v>
      </c>
      <c r="AJ206" s="494">
        <v>1574</v>
      </c>
      <c r="AK206" s="262"/>
      <c r="AL206" s="262"/>
      <c r="AM206" s="262"/>
      <c r="AN206" s="262"/>
      <c r="AO206" s="262"/>
      <c r="AP206" s="262"/>
      <c r="AQ206" s="262"/>
      <c r="AR206" s="262"/>
      <c r="AS206" s="262"/>
      <c r="AT206" s="262"/>
      <c r="AU206" s="262"/>
      <c r="AV206" s="262"/>
      <c r="AW206" s="262"/>
      <c r="AX206" s="262"/>
      <c r="AY206" s="262"/>
      <c r="AZ206" s="262"/>
      <c r="BA206" s="262"/>
      <c r="BB206" s="262"/>
      <c r="BC206" s="262"/>
      <c r="BD206" s="262"/>
      <c r="BE206" s="262"/>
      <c r="BF206" s="262"/>
      <c r="BG206" s="262"/>
      <c r="BH206" s="262"/>
    </row>
    <row r="207" spans="1:60" s="497" customFormat="1" x14ac:dyDescent="0.25">
      <c r="A207" s="262"/>
      <c r="B207" s="511">
        <v>42955</v>
      </c>
      <c r="C207" s="511">
        <v>42961</v>
      </c>
      <c r="D207" s="409"/>
      <c r="E207" s="494">
        <v>7219</v>
      </c>
      <c r="F207" s="494">
        <v>305</v>
      </c>
      <c r="G207" s="492"/>
      <c r="H207" s="494">
        <v>10339</v>
      </c>
      <c r="I207" s="494">
        <v>3819</v>
      </c>
      <c r="J207" s="492"/>
      <c r="K207" s="494">
        <v>5008</v>
      </c>
      <c r="L207" s="494">
        <v>1204</v>
      </c>
      <c r="M207" s="492"/>
      <c r="N207" s="494">
        <v>6675</v>
      </c>
      <c r="O207" s="494">
        <v>1935</v>
      </c>
      <c r="P207" s="492"/>
      <c r="Q207" s="494">
        <v>11018</v>
      </c>
      <c r="R207" s="494">
        <v>4188</v>
      </c>
      <c r="S207" s="492"/>
      <c r="T207" s="494">
        <v>3407</v>
      </c>
      <c r="U207" s="494">
        <v>1526</v>
      </c>
      <c r="V207" s="493"/>
      <c r="W207" s="494">
        <v>1917</v>
      </c>
      <c r="X207" s="494">
        <v>675</v>
      </c>
      <c r="Y207" s="493"/>
      <c r="Z207" s="494">
        <v>5628</v>
      </c>
      <c r="AA207" s="494">
        <v>1343</v>
      </c>
      <c r="AB207" s="493"/>
      <c r="AC207" s="494">
        <v>5153</v>
      </c>
      <c r="AD207" s="494">
        <v>2198</v>
      </c>
      <c r="AE207" s="492"/>
      <c r="AF207" s="494">
        <v>9578</v>
      </c>
      <c r="AG207" s="494">
        <v>1789</v>
      </c>
      <c r="AH207" s="493"/>
      <c r="AI207" s="494">
        <v>2561</v>
      </c>
      <c r="AJ207" s="494">
        <v>1583</v>
      </c>
      <c r="AK207" s="262"/>
      <c r="AL207" s="262"/>
      <c r="AM207" s="262"/>
      <c r="AN207" s="262"/>
      <c r="AO207" s="262"/>
      <c r="AP207" s="262"/>
      <c r="AQ207" s="262"/>
      <c r="AR207" s="262"/>
      <c r="AS207" s="262"/>
      <c r="AT207" s="262"/>
      <c r="AU207" s="262"/>
      <c r="AV207" s="262"/>
      <c r="AW207" s="262"/>
      <c r="AX207" s="262"/>
      <c r="AY207" s="262"/>
      <c r="AZ207" s="262"/>
      <c r="BA207" s="262"/>
      <c r="BB207" s="262"/>
      <c r="BC207" s="262"/>
      <c r="BD207" s="262"/>
      <c r="BE207" s="262"/>
      <c r="BF207" s="262"/>
      <c r="BG207" s="262"/>
      <c r="BH207" s="262"/>
    </row>
    <row r="208" spans="1:60" s="497" customFormat="1" x14ac:dyDescent="0.25">
      <c r="A208" s="262"/>
      <c r="B208" s="511">
        <v>42962</v>
      </c>
      <c r="C208" s="511">
        <v>42968</v>
      </c>
      <c r="D208" s="409"/>
      <c r="E208" s="494">
        <v>8677</v>
      </c>
      <c r="F208" s="494">
        <v>434</v>
      </c>
      <c r="G208" s="492"/>
      <c r="H208" s="494">
        <v>13000</v>
      </c>
      <c r="I208" s="494">
        <v>4803</v>
      </c>
      <c r="J208" s="492"/>
      <c r="K208" s="494">
        <v>5902</v>
      </c>
      <c r="L208" s="494">
        <v>1368</v>
      </c>
      <c r="M208" s="492"/>
      <c r="N208" s="494">
        <v>6949</v>
      </c>
      <c r="O208" s="494">
        <v>1980</v>
      </c>
      <c r="P208" s="492"/>
      <c r="Q208" s="494">
        <v>12380</v>
      </c>
      <c r="R208" s="494">
        <v>4787</v>
      </c>
      <c r="S208" s="492"/>
      <c r="T208" s="494">
        <v>3991</v>
      </c>
      <c r="U208" s="494">
        <v>1825</v>
      </c>
      <c r="V208" s="493"/>
      <c r="W208" s="494">
        <v>2610</v>
      </c>
      <c r="X208" s="494">
        <v>939</v>
      </c>
      <c r="Y208" s="493"/>
      <c r="Z208" s="494">
        <v>6139</v>
      </c>
      <c r="AA208" s="494">
        <v>1510</v>
      </c>
      <c r="AB208" s="493"/>
      <c r="AC208" s="494">
        <v>5963</v>
      </c>
      <c r="AD208" s="494">
        <v>2664</v>
      </c>
      <c r="AE208" s="492"/>
      <c r="AF208" s="494">
        <v>11064</v>
      </c>
      <c r="AG208" s="494">
        <v>2173</v>
      </c>
      <c r="AH208" s="493"/>
      <c r="AI208" s="494">
        <v>2912</v>
      </c>
      <c r="AJ208" s="494">
        <v>1706</v>
      </c>
      <c r="AK208" s="262"/>
      <c r="AL208" s="262"/>
      <c r="AM208" s="262"/>
      <c r="AN208" s="262"/>
      <c r="AO208" s="262"/>
      <c r="AP208" s="262"/>
      <c r="AQ208" s="262"/>
      <c r="AR208" s="262"/>
      <c r="AS208" s="262"/>
      <c r="AT208" s="262"/>
      <c r="AU208" s="262"/>
      <c r="AV208" s="262"/>
      <c r="AW208" s="262"/>
      <c r="AX208" s="262"/>
      <c r="AY208" s="262"/>
      <c r="AZ208" s="262"/>
      <c r="BA208" s="262"/>
      <c r="BB208" s="262"/>
      <c r="BC208" s="262"/>
      <c r="BD208" s="262"/>
      <c r="BE208" s="262"/>
      <c r="BF208" s="262"/>
      <c r="BG208" s="262"/>
      <c r="BH208" s="262"/>
    </row>
    <row r="209" spans="1:60" s="497" customFormat="1" x14ac:dyDescent="0.25">
      <c r="A209" s="262"/>
      <c r="B209" s="511">
        <v>42969</v>
      </c>
      <c r="C209" s="511">
        <v>42975</v>
      </c>
      <c r="D209" s="409"/>
      <c r="E209" s="494">
        <v>7634</v>
      </c>
      <c r="F209" s="494">
        <v>392</v>
      </c>
      <c r="G209" s="492"/>
      <c r="H209" s="494">
        <v>11923</v>
      </c>
      <c r="I209" s="494">
        <v>4353</v>
      </c>
      <c r="J209" s="492"/>
      <c r="K209" s="494">
        <v>5416</v>
      </c>
      <c r="L209" s="494">
        <v>1246</v>
      </c>
      <c r="M209" s="492"/>
      <c r="N209" s="494">
        <v>6641</v>
      </c>
      <c r="O209" s="494">
        <v>1776</v>
      </c>
      <c r="P209" s="492"/>
      <c r="Q209" s="494">
        <v>11209</v>
      </c>
      <c r="R209" s="494">
        <v>4238</v>
      </c>
      <c r="S209" s="492"/>
      <c r="T209" s="494">
        <v>3353</v>
      </c>
      <c r="U209" s="494">
        <v>1521</v>
      </c>
      <c r="V209" s="493"/>
      <c r="W209" s="494">
        <v>2090</v>
      </c>
      <c r="X209" s="494">
        <v>783</v>
      </c>
      <c r="Y209" s="493"/>
      <c r="Z209" s="494">
        <v>5576</v>
      </c>
      <c r="AA209" s="494">
        <v>1405</v>
      </c>
      <c r="AB209" s="493"/>
      <c r="AC209" s="494">
        <v>5359</v>
      </c>
      <c r="AD209" s="494">
        <v>2459</v>
      </c>
      <c r="AE209" s="492"/>
      <c r="AF209" s="494">
        <v>9825</v>
      </c>
      <c r="AG209" s="494">
        <v>1998</v>
      </c>
      <c r="AH209" s="493"/>
      <c r="AI209" s="494">
        <v>2731</v>
      </c>
      <c r="AJ209" s="494">
        <v>1747</v>
      </c>
      <c r="AK209" s="262"/>
      <c r="AL209" s="262"/>
      <c r="AM209" s="262"/>
      <c r="AN209" s="262"/>
      <c r="AO209" s="262"/>
      <c r="AP209" s="262"/>
      <c r="AQ209" s="262"/>
      <c r="AR209" s="262"/>
      <c r="AS209" s="262"/>
      <c r="AT209" s="262"/>
      <c r="AU209" s="262"/>
      <c r="AV209" s="262"/>
      <c r="AW209" s="262"/>
      <c r="AX209" s="262"/>
      <c r="AY209" s="262"/>
      <c r="AZ209" s="262"/>
      <c r="BA209" s="262"/>
      <c r="BB209" s="262"/>
      <c r="BC209" s="262"/>
      <c r="BD209" s="262"/>
      <c r="BE209" s="262"/>
      <c r="BF209" s="262"/>
      <c r="BG209" s="262"/>
      <c r="BH209" s="262"/>
    </row>
    <row r="210" spans="1:60" s="497" customFormat="1" x14ac:dyDescent="0.25">
      <c r="A210" s="262"/>
      <c r="B210" s="511">
        <v>42976</v>
      </c>
      <c r="C210" s="511">
        <v>42982</v>
      </c>
      <c r="D210" s="409"/>
      <c r="E210" s="494">
        <v>6045</v>
      </c>
      <c r="F210" s="494">
        <v>295</v>
      </c>
      <c r="G210" s="492"/>
      <c r="H210" s="494">
        <v>11316</v>
      </c>
      <c r="I210" s="494">
        <v>3997</v>
      </c>
      <c r="J210" s="492"/>
      <c r="K210" s="494">
        <v>5105</v>
      </c>
      <c r="L210" s="494">
        <v>1003</v>
      </c>
      <c r="M210" s="492"/>
      <c r="N210" s="494">
        <v>6165</v>
      </c>
      <c r="O210" s="494">
        <v>1731</v>
      </c>
      <c r="P210" s="492"/>
      <c r="Q210" s="494">
        <v>9746</v>
      </c>
      <c r="R210" s="494">
        <v>3724</v>
      </c>
      <c r="S210" s="492"/>
      <c r="T210" s="494">
        <v>2710</v>
      </c>
      <c r="U210" s="494">
        <v>1367</v>
      </c>
      <c r="V210" s="493"/>
      <c r="W210" s="494">
        <v>1539</v>
      </c>
      <c r="X210" s="494">
        <v>619</v>
      </c>
      <c r="Y210" s="493"/>
      <c r="Z210" s="494">
        <v>4881</v>
      </c>
      <c r="AA210" s="494">
        <v>1200</v>
      </c>
      <c r="AB210" s="493"/>
      <c r="AC210" s="494">
        <v>5038</v>
      </c>
      <c r="AD210" s="494">
        <v>2321</v>
      </c>
      <c r="AE210" s="492"/>
      <c r="AF210" s="494">
        <v>8186</v>
      </c>
      <c r="AG210" s="494">
        <v>1633</v>
      </c>
      <c r="AH210" s="493"/>
      <c r="AI210" s="494">
        <v>2534</v>
      </c>
      <c r="AJ210" s="494">
        <v>1734</v>
      </c>
      <c r="AK210" s="262"/>
      <c r="AL210" s="262"/>
      <c r="AM210" s="262"/>
      <c r="AN210" s="262"/>
      <c r="AO210" s="262"/>
      <c r="AP210" s="262"/>
      <c r="AQ210" s="262"/>
      <c r="AR210" s="262"/>
      <c r="AS210" s="262"/>
      <c r="AT210" s="262"/>
      <c r="AU210" s="262"/>
      <c r="AV210" s="262"/>
      <c r="AW210" s="262"/>
      <c r="AX210" s="262"/>
      <c r="AY210" s="262"/>
      <c r="AZ210" s="262"/>
      <c r="BA210" s="262"/>
      <c r="BB210" s="262"/>
      <c r="BC210" s="262"/>
      <c r="BD210" s="262"/>
      <c r="BE210" s="262"/>
      <c r="BF210" s="262"/>
      <c r="BG210" s="262"/>
      <c r="BH210" s="262"/>
    </row>
    <row r="211" spans="1:60" x14ac:dyDescent="0.25">
      <c r="A211" s="103"/>
      <c r="B211" s="107"/>
      <c r="C211" s="289"/>
      <c r="D211" s="410"/>
      <c r="E211" s="22"/>
      <c r="F211" s="22"/>
      <c r="G211" s="411"/>
      <c r="H211" s="22"/>
      <c r="I211" s="22"/>
      <c r="J211" s="411"/>
      <c r="K211" s="22"/>
      <c r="L211" s="22"/>
      <c r="M211" s="411"/>
      <c r="N211" s="22"/>
      <c r="O211" s="22"/>
      <c r="P211" s="411"/>
      <c r="Q211" s="22"/>
      <c r="R211" s="22"/>
      <c r="S211" s="411"/>
      <c r="T211" s="22"/>
      <c r="U211" s="22"/>
      <c r="V211" s="411"/>
      <c r="W211" s="22"/>
      <c r="X211" s="22"/>
      <c r="Y211" s="411"/>
      <c r="Z211" s="22"/>
      <c r="AA211" s="22"/>
      <c r="AB211" s="411"/>
      <c r="AC211" s="22"/>
      <c r="AD211" s="22"/>
      <c r="AE211" s="411"/>
      <c r="AF211" s="411"/>
      <c r="AG211" s="22"/>
      <c r="AH211" s="411"/>
      <c r="AI211" s="22"/>
      <c r="AJ211" s="22"/>
    </row>
    <row r="212" spans="1:60" x14ac:dyDescent="0.25">
      <c r="B212" s="521" t="s">
        <v>2</v>
      </c>
      <c r="C212" s="522"/>
      <c r="E212" s="4">
        <f>SUM(E3:E210)</f>
        <v>1008350</v>
      </c>
      <c r="F212" s="4">
        <f>SUM(F3:F210)</f>
        <v>166369</v>
      </c>
      <c r="G212" s="412"/>
      <c r="H212" s="4">
        <f>SUM(H3:H210)</f>
        <v>1746812</v>
      </c>
      <c r="I212" s="4">
        <f>SUM(I3:I210)</f>
        <v>456434</v>
      </c>
      <c r="J212" s="412"/>
      <c r="K212" s="4">
        <f>SUM(K3:K210)</f>
        <v>937791</v>
      </c>
      <c r="L212" s="4">
        <f>SUM(L3:L210)</f>
        <v>251120</v>
      </c>
      <c r="M212" s="412"/>
      <c r="N212" s="4">
        <f>SUM(N3:N210)</f>
        <v>705884</v>
      </c>
      <c r="O212" s="4">
        <f>SUM(O3:O210)</f>
        <v>158408</v>
      </c>
      <c r="P212" s="412"/>
      <c r="Q212" s="4">
        <f>SUM(Q3:Q210)</f>
        <v>1529929</v>
      </c>
      <c r="R212" s="4">
        <f>SUM(R3:R210)</f>
        <v>412696</v>
      </c>
      <c r="S212" s="412"/>
      <c r="T212" s="4">
        <f>SUM(T3:T210)</f>
        <v>600760</v>
      </c>
      <c r="U212" s="4">
        <f>SUM(U3:U210)</f>
        <v>209051</v>
      </c>
      <c r="V212" s="412"/>
      <c r="W212" s="4">
        <f>SUM(W3:W210)</f>
        <v>461024</v>
      </c>
      <c r="X212" s="4">
        <f>SUM(X3:X210)</f>
        <v>134204</v>
      </c>
      <c r="Y212" s="412"/>
      <c r="Z212" s="4">
        <f>SUM(Z3:Z210)</f>
        <v>690450</v>
      </c>
      <c r="AA212" s="4">
        <f>SUM(AA3:AA210)</f>
        <v>137819</v>
      </c>
      <c r="AB212" s="412"/>
      <c r="AC212" s="4">
        <f>SUM(AC3:AC210)</f>
        <v>619797</v>
      </c>
      <c r="AD212" s="4">
        <f>SUM(AD3:AD210)</f>
        <v>195037</v>
      </c>
      <c r="AE212" s="412"/>
      <c r="AF212" s="414">
        <f>SUM(AF3:AF210)</f>
        <v>868210</v>
      </c>
      <c r="AG212" s="414">
        <f>SUM(AG3:AG210)</f>
        <v>151623</v>
      </c>
      <c r="AH212" s="412"/>
      <c r="AI212" s="4">
        <f>SUM(AI3:AI210)</f>
        <v>553284</v>
      </c>
      <c r="AJ212" s="4">
        <f>SUM(AJ3:AJ210)</f>
        <v>215830</v>
      </c>
    </row>
    <row r="213" spans="1:60" x14ac:dyDescent="0.25">
      <c r="B213" s="290"/>
      <c r="C213" s="290"/>
      <c r="E213" s="22"/>
      <c r="F213" s="22"/>
      <c r="G213" s="411"/>
      <c r="H213" s="22"/>
      <c r="I213" s="22"/>
      <c r="J213" s="411"/>
      <c r="K213" s="22"/>
      <c r="L213" s="22"/>
      <c r="M213" s="411"/>
      <c r="N213" s="22"/>
      <c r="O213" s="22"/>
      <c r="P213" s="411"/>
      <c r="Q213" s="22"/>
      <c r="R213" s="22"/>
      <c r="S213" s="411"/>
      <c r="T213" s="22"/>
      <c r="U213" s="22"/>
      <c r="V213" s="411"/>
      <c r="W213" s="22"/>
      <c r="X213" s="22"/>
      <c r="Y213" s="411"/>
      <c r="Z213" s="22"/>
      <c r="AA213" s="22"/>
      <c r="AB213" s="411"/>
      <c r="AC213" s="22"/>
      <c r="AD213" s="22"/>
      <c r="AE213" s="411"/>
      <c r="AF213" s="411"/>
      <c r="AG213" s="22"/>
      <c r="AH213" s="411"/>
      <c r="AI213" s="22"/>
      <c r="AJ213" s="22"/>
    </row>
    <row r="214" spans="1:60" ht="18.75" customHeight="1" x14ac:dyDescent="0.25">
      <c r="A214" s="465"/>
      <c r="B214" s="525" t="s">
        <v>405</v>
      </c>
      <c r="C214" s="525"/>
      <c r="D214" s="525"/>
      <c r="E214" s="525"/>
      <c r="F214" s="525"/>
      <c r="G214" s="525"/>
      <c r="H214" s="525"/>
      <c r="I214" s="525"/>
      <c r="J214" s="525"/>
      <c r="K214" s="525"/>
      <c r="L214" s="525"/>
      <c r="M214" s="525"/>
      <c r="N214" s="525"/>
      <c r="O214" s="525"/>
      <c r="P214" s="525"/>
      <c r="Q214" s="525"/>
      <c r="R214" s="525"/>
      <c r="S214" s="525"/>
      <c r="T214" s="525"/>
      <c r="U214" s="525"/>
      <c r="V214" s="525"/>
      <c r="W214" s="525"/>
      <c r="X214" s="525"/>
      <c r="Y214" s="525"/>
      <c r="Z214" s="525"/>
      <c r="AA214" s="525"/>
      <c r="AB214" s="525"/>
      <c r="AC214" s="525"/>
      <c r="AD214" s="525"/>
      <c r="AE214" s="468"/>
      <c r="AF214" s="466"/>
      <c r="AG214" s="465"/>
      <c r="AH214" s="468"/>
      <c r="AI214" s="465"/>
      <c r="AJ214" s="465"/>
      <c r="AK214" s="465"/>
      <c r="AL214" s="465"/>
      <c r="AM214" s="465"/>
      <c r="AN214" s="465"/>
      <c r="AO214" s="465"/>
      <c r="AP214" s="465"/>
      <c r="AQ214" s="465"/>
      <c r="AR214" s="465"/>
      <c r="AS214" s="465"/>
      <c r="AT214" s="465"/>
      <c r="AU214" s="465"/>
      <c r="AV214" s="465"/>
      <c r="AW214" s="465"/>
      <c r="AX214" s="465"/>
      <c r="AY214" s="465"/>
      <c r="AZ214" s="465"/>
      <c r="BA214" s="465"/>
      <c r="BB214" s="465"/>
      <c r="BC214" s="465"/>
      <c r="BD214" s="465"/>
      <c r="BE214" s="465"/>
      <c r="BF214" s="465"/>
      <c r="BG214" s="465"/>
      <c r="BH214" s="465"/>
    </row>
    <row r="215" spans="1:60" ht="15" customHeight="1" x14ac:dyDescent="0.25">
      <c r="A215" s="465"/>
      <c r="B215" s="467"/>
      <c r="C215" s="465"/>
      <c r="D215" s="466"/>
      <c r="E215" s="520" t="s">
        <v>146</v>
      </c>
      <c r="F215" s="526"/>
      <c r="G215" s="466"/>
      <c r="H215" s="520" t="s">
        <v>6</v>
      </c>
      <c r="I215" s="520"/>
      <c r="K215" s="520" t="s">
        <v>7</v>
      </c>
      <c r="L215" s="520"/>
      <c r="N215" s="520" t="s">
        <v>75</v>
      </c>
      <c r="O215" s="520"/>
      <c r="Q215" s="520" t="s">
        <v>8</v>
      </c>
      <c r="R215" s="520"/>
      <c r="T215" s="520" t="s">
        <v>9</v>
      </c>
      <c r="U215" s="520"/>
      <c r="W215" s="520" t="s">
        <v>10</v>
      </c>
      <c r="X215" s="520"/>
      <c r="Z215" s="520" t="s">
        <v>11</v>
      </c>
      <c r="AA215" s="520"/>
      <c r="AC215" s="520" t="s">
        <v>12</v>
      </c>
      <c r="AD215" s="520"/>
      <c r="AF215" s="520" t="s">
        <v>147</v>
      </c>
      <c r="AG215" s="520"/>
      <c r="AI215" s="520" t="s">
        <v>190</v>
      </c>
      <c r="AJ215" s="520"/>
      <c r="AK215" s="465"/>
      <c r="AL215" s="465"/>
      <c r="AM215" s="465"/>
      <c r="AN215" s="465"/>
      <c r="AO215" s="465"/>
      <c r="AP215" s="465"/>
      <c r="AQ215" s="465"/>
      <c r="AR215" s="465"/>
      <c r="AS215" s="465"/>
      <c r="AT215" s="465"/>
      <c r="AU215" s="465"/>
      <c r="AV215" s="465"/>
      <c r="AW215" s="465"/>
      <c r="AX215" s="465"/>
      <c r="AY215" s="465"/>
      <c r="AZ215" s="465"/>
      <c r="BA215" s="465"/>
      <c r="BB215" s="465"/>
      <c r="BC215" s="465"/>
      <c r="BD215" s="465"/>
      <c r="BE215" s="465"/>
      <c r="BF215" s="465"/>
      <c r="BG215" s="465"/>
      <c r="BH215" s="465"/>
    </row>
    <row r="216" spans="1:60" x14ac:dyDescent="0.25">
      <c r="A216" s="465"/>
      <c r="B216" s="467"/>
      <c r="C216" s="465"/>
      <c r="D216" s="466"/>
      <c r="E216" s="3" t="s">
        <v>4</v>
      </c>
      <c r="F216" s="3" t="s">
        <v>15</v>
      </c>
      <c r="G216" s="466"/>
      <c r="H216" s="3" t="s">
        <v>4</v>
      </c>
      <c r="I216" s="3" t="s">
        <v>15</v>
      </c>
      <c r="J216" s="466"/>
      <c r="K216" s="3" t="s">
        <v>4</v>
      </c>
      <c r="L216" s="3" t="s">
        <v>15</v>
      </c>
      <c r="M216" s="466"/>
      <c r="N216" s="3" t="s">
        <v>4</v>
      </c>
      <c r="O216" s="3" t="s">
        <v>15</v>
      </c>
      <c r="P216" s="466"/>
      <c r="Q216" s="3" t="s">
        <v>4</v>
      </c>
      <c r="R216" s="3" t="s">
        <v>15</v>
      </c>
      <c r="S216" s="466"/>
      <c r="T216" s="3" t="s">
        <v>4</v>
      </c>
      <c r="U216" s="3" t="s">
        <v>15</v>
      </c>
      <c r="V216" s="466"/>
      <c r="W216" s="3" t="s">
        <v>4</v>
      </c>
      <c r="X216" s="3" t="s">
        <v>15</v>
      </c>
      <c r="Y216" s="466"/>
      <c r="Z216" s="3" t="s">
        <v>4</v>
      </c>
      <c r="AA216" s="3" t="s">
        <v>15</v>
      </c>
      <c r="AB216" s="466"/>
      <c r="AC216" s="3" t="s">
        <v>4</v>
      </c>
      <c r="AD216" s="3" t="s">
        <v>15</v>
      </c>
      <c r="AE216" s="466"/>
      <c r="AF216" s="3" t="s">
        <v>4</v>
      </c>
      <c r="AG216" s="3" t="s">
        <v>15</v>
      </c>
      <c r="AH216" s="466"/>
      <c r="AI216" s="3" t="s">
        <v>4</v>
      </c>
      <c r="AJ216" s="3" t="s">
        <v>15</v>
      </c>
      <c r="AK216" s="465"/>
      <c r="AL216" s="465"/>
      <c r="AM216" s="465"/>
      <c r="AN216" s="465"/>
      <c r="AO216" s="465"/>
      <c r="AP216" s="465"/>
      <c r="AQ216" s="465"/>
      <c r="AR216" s="465"/>
      <c r="AS216" s="465"/>
      <c r="AT216" s="465"/>
      <c r="AU216" s="465"/>
      <c r="AV216" s="465"/>
      <c r="AW216" s="465"/>
      <c r="AX216" s="465"/>
      <c r="AY216" s="465"/>
      <c r="AZ216" s="465"/>
      <c r="BA216" s="465"/>
      <c r="BB216" s="465"/>
      <c r="BC216" s="465"/>
      <c r="BD216" s="465"/>
      <c r="BE216" s="465"/>
      <c r="BF216" s="465"/>
      <c r="BG216" s="465"/>
      <c r="BH216" s="465"/>
    </row>
    <row r="217" spans="1:60" x14ac:dyDescent="0.25">
      <c r="A217" s="465"/>
      <c r="B217" s="370">
        <v>42705</v>
      </c>
      <c r="C217" s="370">
        <v>42711</v>
      </c>
      <c r="D217" s="409"/>
      <c r="E217" s="33">
        <v>246</v>
      </c>
      <c r="F217" s="33">
        <v>44</v>
      </c>
      <c r="G217" s="409"/>
      <c r="H217" s="33">
        <v>389</v>
      </c>
      <c r="I217" s="33">
        <v>123</v>
      </c>
      <c r="J217" s="409"/>
      <c r="K217" s="33">
        <v>293</v>
      </c>
      <c r="L217" s="33">
        <v>85</v>
      </c>
      <c r="N217" s="33">
        <v>169</v>
      </c>
      <c r="O217" s="33">
        <v>21</v>
      </c>
      <c r="P217" s="409"/>
      <c r="Q217" s="463">
        <v>330</v>
      </c>
      <c r="R217" s="463">
        <v>154</v>
      </c>
      <c r="S217" s="464"/>
      <c r="T217" s="463">
        <v>265</v>
      </c>
      <c r="U217" s="463">
        <v>101</v>
      </c>
      <c r="V217" s="464"/>
      <c r="W217" s="463">
        <v>198</v>
      </c>
      <c r="X217" s="463">
        <v>40</v>
      </c>
      <c r="Y217" s="464"/>
      <c r="Z217" s="463">
        <v>118</v>
      </c>
      <c r="AA217" s="463">
        <v>10</v>
      </c>
      <c r="AB217" s="464"/>
      <c r="AC217" s="463">
        <v>108</v>
      </c>
      <c r="AD217" s="463">
        <v>32</v>
      </c>
      <c r="AE217" s="409"/>
      <c r="AF217" s="413">
        <v>165</v>
      </c>
      <c r="AG217" s="33">
        <v>31</v>
      </c>
      <c r="AI217" s="33">
        <v>420</v>
      </c>
      <c r="AJ217" s="33">
        <v>307</v>
      </c>
      <c r="AL217" s="465"/>
      <c r="AM217" s="465"/>
      <c r="AN217" s="465"/>
      <c r="AO217" s="465"/>
      <c r="AP217" s="465"/>
      <c r="AQ217" s="465"/>
      <c r="AR217" s="465"/>
      <c r="AS217" s="465"/>
      <c r="AT217" s="465"/>
      <c r="AU217" s="465"/>
      <c r="AV217" s="465"/>
      <c r="AW217" s="465"/>
      <c r="AX217" s="465"/>
      <c r="AY217" s="465"/>
      <c r="AZ217" s="465"/>
      <c r="BA217" s="465"/>
      <c r="BB217" s="465"/>
      <c r="BC217" s="465"/>
      <c r="BD217" s="465"/>
      <c r="BE217" s="465"/>
      <c r="BF217" s="465"/>
      <c r="BG217" s="465"/>
      <c r="BH217" s="465"/>
    </row>
    <row r="218" spans="1:60" x14ac:dyDescent="0.25">
      <c r="B218" s="370">
        <v>42712</v>
      </c>
      <c r="C218" s="370">
        <v>42718</v>
      </c>
      <c r="D218" s="409"/>
      <c r="E218" s="33">
        <v>448</v>
      </c>
      <c r="F218" s="33">
        <v>117</v>
      </c>
      <c r="G218" s="409"/>
      <c r="H218" s="33">
        <v>932</v>
      </c>
      <c r="I218" s="33">
        <v>226</v>
      </c>
      <c r="J218" s="409"/>
      <c r="K218" s="33">
        <v>1112</v>
      </c>
      <c r="L218" s="33">
        <v>340</v>
      </c>
      <c r="M218" s="409"/>
      <c r="N218" s="33">
        <v>765</v>
      </c>
      <c r="O218" s="33">
        <v>179</v>
      </c>
      <c r="P218" s="409"/>
      <c r="Q218" s="463">
        <v>983</v>
      </c>
      <c r="R218" s="463">
        <v>358</v>
      </c>
      <c r="S218" s="464"/>
      <c r="T218" s="463">
        <v>611</v>
      </c>
      <c r="U218" s="463">
        <v>223</v>
      </c>
      <c r="V218" s="464"/>
      <c r="W218" s="463">
        <v>262</v>
      </c>
      <c r="X218" s="463">
        <v>58</v>
      </c>
      <c r="Y218" s="464"/>
      <c r="Z218" s="463">
        <v>201</v>
      </c>
      <c r="AA218" s="463">
        <v>34</v>
      </c>
      <c r="AB218" s="464"/>
      <c r="AC218" s="463">
        <v>211</v>
      </c>
      <c r="AD218" s="463">
        <v>132</v>
      </c>
      <c r="AE218" s="409"/>
      <c r="AF218" s="413">
        <v>415</v>
      </c>
      <c r="AG218" s="33">
        <v>151</v>
      </c>
      <c r="AH218" s="409"/>
      <c r="AI218" s="33">
        <v>807</v>
      </c>
      <c r="AJ218" s="33">
        <v>688</v>
      </c>
    </row>
    <row r="219" spans="1:60" x14ac:dyDescent="0.25">
      <c r="B219" s="370">
        <v>42719</v>
      </c>
      <c r="C219" s="370">
        <v>42725</v>
      </c>
      <c r="D219" s="461"/>
      <c r="E219" s="33">
        <v>422</v>
      </c>
      <c r="F219" s="33">
        <v>113</v>
      </c>
      <c r="G219" s="461"/>
      <c r="H219" s="33">
        <v>500</v>
      </c>
      <c r="I219" s="33">
        <v>206</v>
      </c>
      <c r="J219" s="409"/>
      <c r="K219" s="33">
        <v>923</v>
      </c>
      <c r="L219" s="33">
        <v>289</v>
      </c>
      <c r="M219" s="409"/>
      <c r="N219" s="33">
        <v>18442</v>
      </c>
      <c r="O219" s="33">
        <v>5661</v>
      </c>
      <c r="P219" s="409"/>
      <c r="Q219" s="463">
        <v>894</v>
      </c>
      <c r="R219" s="463">
        <v>277</v>
      </c>
      <c r="S219" s="464"/>
      <c r="T219" s="463">
        <v>666</v>
      </c>
      <c r="U219" s="463">
        <v>267</v>
      </c>
      <c r="V219" s="464"/>
      <c r="W219" s="463">
        <v>276</v>
      </c>
      <c r="X219" s="463">
        <v>69</v>
      </c>
      <c r="Y219" s="464"/>
      <c r="Z219" s="463">
        <v>173</v>
      </c>
      <c r="AA219" s="463">
        <v>26</v>
      </c>
      <c r="AB219" s="464"/>
      <c r="AC219" s="463">
        <v>195</v>
      </c>
      <c r="AD219" s="463">
        <v>101</v>
      </c>
      <c r="AE219" s="409"/>
      <c r="AF219" s="413">
        <v>347</v>
      </c>
      <c r="AG219" s="33">
        <v>78</v>
      </c>
      <c r="AI219" s="33">
        <v>725</v>
      </c>
      <c r="AJ219" s="33">
        <v>615</v>
      </c>
    </row>
    <row r="220" spans="1:60" x14ac:dyDescent="0.25">
      <c r="B220" s="370">
        <v>42726</v>
      </c>
      <c r="C220" s="370">
        <v>42732</v>
      </c>
      <c r="D220" s="461"/>
      <c r="E220" s="33">
        <v>445</v>
      </c>
      <c r="F220" s="33">
        <v>89</v>
      </c>
      <c r="G220" s="461"/>
      <c r="H220" s="33">
        <v>594</v>
      </c>
      <c r="I220" s="33">
        <v>126</v>
      </c>
      <c r="J220" s="409"/>
      <c r="K220" s="33">
        <v>587</v>
      </c>
      <c r="L220" s="33">
        <v>124</v>
      </c>
      <c r="M220" s="409"/>
      <c r="N220" s="33">
        <v>2699</v>
      </c>
      <c r="O220" s="33">
        <v>720</v>
      </c>
      <c r="P220" s="409"/>
      <c r="Q220" s="463">
        <v>641</v>
      </c>
      <c r="R220" s="463">
        <v>169</v>
      </c>
      <c r="S220" s="464"/>
      <c r="T220" s="463">
        <v>717</v>
      </c>
      <c r="U220" s="463">
        <v>273</v>
      </c>
      <c r="V220" s="464"/>
      <c r="W220" s="463">
        <v>243</v>
      </c>
      <c r="X220" s="463">
        <v>53</v>
      </c>
      <c r="Y220" s="464"/>
      <c r="Z220" s="463">
        <v>161</v>
      </c>
      <c r="AA220" s="463">
        <v>16</v>
      </c>
      <c r="AB220" s="464"/>
      <c r="AC220" s="463">
        <v>179</v>
      </c>
      <c r="AD220" s="463">
        <v>71</v>
      </c>
      <c r="AE220" s="409"/>
      <c r="AF220" s="413">
        <v>218</v>
      </c>
      <c r="AG220" s="33">
        <v>37</v>
      </c>
      <c r="AI220" s="33">
        <v>535</v>
      </c>
      <c r="AJ220" s="33">
        <v>477</v>
      </c>
    </row>
    <row r="221" spans="1:60" x14ac:dyDescent="0.25">
      <c r="B221" s="370">
        <v>42733</v>
      </c>
      <c r="C221" s="372">
        <v>42373</v>
      </c>
      <c r="D221" s="461"/>
      <c r="E221" s="457">
        <v>648</v>
      </c>
      <c r="F221" s="457">
        <v>166</v>
      </c>
      <c r="G221" s="460"/>
      <c r="H221" s="457">
        <v>779</v>
      </c>
      <c r="I221" s="457">
        <v>210</v>
      </c>
      <c r="J221" s="448"/>
      <c r="K221" s="457">
        <v>909</v>
      </c>
      <c r="L221" s="457">
        <v>243</v>
      </c>
      <c r="M221" s="448"/>
      <c r="N221" s="459">
        <v>1410</v>
      </c>
      <c r="O221" s="457">
        <v>370</v>
      </c>
      <c r="P221" s="448"/>
      <c r="Q221" s="450">
        <v>858</v>
      </c>
      <c r="R221" s="450">
        <v>258</v>
      </c>
      <c r="S221" s="448"/>
      <c r="T221" s="451">
        <v>1143</v>
      </c>
      <c r="U221" s="450">
        <v>464</v>
      </c>
      <c r="V221" s="447"/>
      <c r="W221" s="450">
        <v>379</v>
      </c>
      <c r="X221" s="450">
        <v>90</v>
      </c>
      <c r="Y221" s="462"/>
      <c r="Z221" s="450">
        <v>218</v>
      </c>
      <c r="AA221" s="450">
        <v>21</v>
      </c>
      <c r="AB221" s="447"/>
      <c r="AC221" s="450">
        <v>315</v>
      </c>
      <c r="AD221" s="450">
        <v>142</v>
      </c>
      <c r="AE221" s="448"/>
      <c r="AF221" s="458">
        <v>249</v>
      </c>
      <c r="AG221" s="457">
        <v>45</v>
      </c>
      <c r="AH221" s="447"/>
      <c r="AI221" s="457">
        <v>700</v>
      </c>
      <c r="AJ221" s="457">
        <v>661</v>
      </c>
    </row>
    <row r="222" spans="1:60" x14ac:dyDescent="0.25">
      <c r="B222" s="370">
        <v>42374</v>
      </c>
      <c r="C222" s="372">
        <v>42380</v>
      </c>
      <c r="D222" s="461"/>
      <c r="E222" s="457">
        <v>694</v>
      </c>
      <c r="F222" s="457">
        <v>127</v>
      </c>
      <c r="G222" s="460"/>
      <c r="H222" s="457">
        <v>919</v>
      </c>
      <c r="I222" s="457">
        <v>226</v>
      </c>
      <c r="J222" s="448"/>
      <c r="K222" s="459">
        <v>1292</v>
      </c>
      <c r="L222" s="457">
        <v>397</v>
      </c>
      <c r="M222" s="448"/>
      <c r="N222" s="459">
        <v>1343</v>
      </c>
      <c r="O222" s="457">
        <v>294</v>
      </c>
      <c r="P222" s="448"/>
      <c r="Q222" s="451">
        <v>1136</v>
      </c>
      <c r="R222" s="450">
        <v>357</v>
      </c>
      <c r="S222" s="448"/>
      <c r="T222" s="451">
        <v>1149</v>
      </c>
      <c r="U222" s="450">
        <v>399</v>
      </c>
      <c r="V222" s="447"/>
      <c r="W222" s="450">
        <v>402</v>
      </c>
      <c r="X222" s="450">
        <v>90</v>
      </c>
      <c r="Y222" s="447"/>
      <c r="Z222" s="450">
        <v>289</v>
      </c>
      <c r="AA222" s="450">
        <v>37</v>
      </c>
      <c r="AB222" s="447"/>
      <c r="AC222" s="450">
        <v>326</v>
      </c>
      <c r="AD222" s="450">
        <v>119</v>
      </c>
      <c r="AE222" s="448"/>
      <c r="AF222" s="458">
        <v>422</v>
      </c>
      <c r="AG222" s="457">
        <v>72</v>
      </c>
      <c r="AH222" s="447"/>
      <c r="AI222" s="457">
        <v>778</v>
      </c>
      <c r="AJ222" s="457">
        <v>648</v>
      </c>
      <c r="AK222" s="32"/>
    </row>
    <row r="223" spans="1:60" x14ac:dyDescent="0.25">
      <c r="B223" s="370">
        <v>42381</v>
      </c>
      <c r="C223" s="372">
        <v>42387</v>
      </c>
      <c r="D223" s="409"/>
      <c r="E223" s="457">
        <v>692</v>
      </c>
      <c r="F223" s="457">
        <v>143</v>
      </c>
      <c r="G223" s="448"/>
      <c r="H223" s="457">
        <v>835</v>
      </c>
      <c r="I223" s="457">
        <v>189</v>
      </c>
      <c r="J223" s="448"/>
      <c r="K223" s="459">
        <v>1093</v>
      </c>
      <c r="L223" s="457">
        <v>264</v>
      </c>
      <c r="M223" s="448"/>
      <c r="N223" s="457">
        <v>976</v>
      </c>
      <c r="O223" s="457">
        <v>237</v>
      </c>
      <c r="P223" s="448"/>
      <c r="Q223" s="451">
        <v>1172</v>
      </c>
      <c r="R223" s="450">
        <v>349</v>
      </c>
      <c r="S223" s="448"/>
      <c r="T223" s="451">
        <v>1142</v>
      </c>
      <c r="U223" s="450">
        <v>384</v>
      </c>
      <c r="V223" s="447"/>
      <c r="W223" s="450">
        <v>440</v>
      </c>
      <c r="X223" s="450">
        <v>86</v>
      </c>
      <c r="Y223" s="447"/>
      <c r="Z223" s="450">
        <v>303</v>
      </c>
      <c r="AA223" s="450">
        <v>32</v>
      </c>
      <c r="AB223" s="447"/>
      <c r="AC223" s="450">
        <v>331</v>
      </c>
      <c r="AD223" s="450">
        <v>141</v>
      </c>
      <c r="AE223" s="448"/>
      <c r="AF223" s="458">
        <v>372</v>
      </c>
      <c r="AG223" s="457">
        <v>60</v>
      </c>
      <c r="AH223" s="447"/>
      <c r="AI223" s="457">
        <v>716</v>
      </c>
      <c r="AJ223" s="457">
        <v>574</v>
      </c>
    </row>
    <row r="224" spans="1:60" x14ac:dyDescent="0.25">
      <c r="B224" s="370">
        <v>42388</v>
      </c>
      <c r="C224" s="372">
        <v>42394</v>
      </c>
      <c r="D224" s="409"/>
      <c r="E224" s="457">
        <v>670</v>
      </c>
      <c r="F224" s="457">
        <v>145</v>
      </c>
      <c r="G224" s="448"/>
      <c r="H224" s="457">
        <v>895</v>
      </c>
      <c r="I224" s="457">
        <v>238</v>
      </c>
      <c r="J224" s="448"/>
      <c r="K224" s="459">
        <v>1199</v>
      </c>
      <c r="L224" s="457">
        <v>333</v>
      </c>
      <c r="M224" s="448"/>
      <c r="N224" s="457">
        <v>923</v>
      </c>
      <c r="O224" s="457">
        <v>220</v>
      </c>
      <c r="P224" s="448"/>
      <c r="Q224" s="451">
        <v>1178</v>
      </c>
      <c r="R224" s="450">
        <v>406</v>
      </c>
      <c r="S224" s="448"/>
      <c r="T224" s="451">
        <v>1161</v>
      </c>
      <c r="U224" s="450">
        <v>528</v>
      </c>
      <c r="V224" s="448"/>
      <c r="W224" s="450">
        <v>405</v>
      </c>
      <c r="X224" s="450">
        <v>105</v>
      </c>
      <c r="Y224" s="447"/>
      <c r="Z224" s="450">
        <v>260</v>
      </c>
      <c r="AA224" s="450">
        <v>38</v>
      </c>
      <c r="AB224" s="448"/>
      <c r="AC224" s="450">
        <v>305</v>
      </c>
      <c r="AD224" s="450">
        <v>129</v>
      </c>
      <c r="AE224" s="448"/>
      <c r="AF224" s="458">
        <v>386</v>
      </c>
      <c r="AG224" s="457">
        <v>80</v>
      </c>
      <c r="AH224" s="447"/>
      <c r="AI224" s="457">
        <v>853</v>
      </c>
      <c r="AJ224" s="457">
        <v>774</v>
      </c>
    </row>
    <row r="225" spans="2:36" x14ac:dyDescent="0.25">
      <c r="B225" s="370">
        <v>42395</v>
      </c>
      <c r="C225" s="372">
        <v>42401</v>
      </c>
      <c r="D225" s="409"/>
      <c r="E225" s="450">
        <v>600</v>
      </c>
      <c r="F225" s="450">
        <v>145</v>
      </c>
      <c r="G225" s="448"/>
      <c r="H225" s="451">
        <v>1408</v>
      </c>
      <c r="I225" s="450">
        <v>367</v>
      </c>
      <c r="J225" s="448"/>
      <c r="K225" s="451">
        <v>1671</v>
      </c>
      <c r="L225" s="450">
        <v>409</v>
      </c>
      <c r="M225" s="448"/>
      <c r="N225" s="450">
        <v>796</v>
      </c>
      <c r="O225" s="450">
        <v>186</v>
      </c>
      <c r="P225" s="448"/>
      <c r="Q225" s="451">
        <v>1130</v>
      </c>
      <c r="R225" s="450">
        <v>452</v>
      </c>
      <c r="S225" s="448"/>
      <c r="T225" s="451">
        <v>1007</v>
      </c>
      <c r="U225" s="450">
        <v>402</v>
      </c>
      <c r="V225" s="447"/>
      <c r="W225" s="450">
        <v>417</v>
      </c>
      <c r="X225" s="450">
        <v>112</v>
      </c>
      <c r="Y225" s="447"/>
      <c r="Z225" s="450">
        <v>242</v>
      </c>
      <c r="AA225" s="450">
        <v>32</v>
      </c>
      <c r="AB225" s="448"/>
      <c r="AC225" s="450">
        <v>363</v>
      </c>
      <c r="AD225" s="450">
        <v>160</v>
      </c>
      <c r="AE225" s="448"/>
      <c r="AF225" s="456">
        <v>405</v>
      </c>
      <c r="AG225" s="450">
        <v>76</v>
      </c>
      <c r="AH225" s="447"/>
      <c r="AI225" s="450">
        <v>783</v>
      </c>
      <c r="AJ225" s="450">
        <v>722</v>
      </c>
    </row>
    <row r="226" spans="2:36" x14ac:dyDescent="0.25">
      <c r="B226" s="370">
        <v>42402</v>
      </c>
      <c r="C226" s="372">
        <v>42408</v>
      </c>
      <c r="D226" s="409"/>
      <c r="E226" s="450">
        <v>526</v>
      </c>
      <c r="F226" s="450">
        <v>105</v>
      </c>
      <c r="G226" s="448"/>
      <c r="H226" s="451">
        <v>1302</v>
      </c>
      <c r="I226" s="450">
        <v>337</v>
      </c>
      <c r="J226" s="448"/>
      <c r="K226" s="451">
        <v>1596</v>
      </c>
      <c r="L226" s="450">
        <v>453</v>
      </c>
      <c r="M226" s="448"/>
      <c r="N226" s="450">
        <v>599</v>
      </c>
      <c r="O226" s="450">
        <v>49</v>
      </c>
      <c r="P226" s="448"/>
      <c r="Q226" s="451">
        <v>1040</v>
      </c>
      <c r="R226" s="450">
        <v>338</v>
      </c>
      <c r="S226" s="448"/>
      <c r="T226" s="451">
        <v>981</v>
      </c>
      <c r="U226" s="450">
        <v>365</v>
      </c>
      <c r="V226" s="447"/>
      <c r="W226" s="450">
        <v>336</v>
      </c>
      <c r="X226" s="450">
        <v>87</v>
      </c>
      <c r="Y226" s="447"/>
      <c r="Z226" s="450">
        <v>231</v>
      </c>
      <c r="AA226" s="450">
        <v>48</v>
      </c>
      <c r="AB226" s="447"/>
      <c r="AC226" s="450">
        <v>413</v>
      </c>
      <c r="AD226" s="450">
        <v>184</v>
      </c>
      <c r="AE226" s="448"/>
      <c r="AF226" s="456">
        <v>359</v>
      </c>
      <c r="AG226" s="450">
        <v>48</v>
      </c>
      <c r="AH226" s="447"/>
      <c r="AI226" s="450">
        <v>804</v>
      </c>
      <c r="AJ226" s="450">
        <v>663</v>
      </c>
    </row>
    <row r="227" spans="2:36" x14ac:dyDescent="0.25">
      <c r="B227" s="370">
        <v>42409</v>
      </c>
      <c r="C227" s="372">
        <v>42415</v>
      </c>
      <c r="D227" s="409"/>
      <c r="E227" s="450">
        <v>586</v>
      </c>
      <c r="F227" s="450">
        <v>152</v>
      </c>
      <c r="G227" s="448"/>
      <c r="H227" s="451">
        <v>1252</v>
      </c>
      <c r="I227" s="450">
        <v>323</v>
      </c>
      <c r="J227" s="448"/>
      <c r="K227" s="451">
        <v>1462</v>
      </c>
      <c r="L227" s="450">
        <v>388</v>
      </c>
      <c r="M227" s="448"/>
      <c r="N227" s="450">
        <v>694</v>
      </c>
      <c r="O227" s="450">
        <v>148</v>
      </c>
      <c r="P227" s="448"/>
      <c r="Q227" s="451">
        <v>1024</v>
      </c>
      <c r="R227" s="450">
        <v>316</v>
      </c>
      <c r="S227" s="448"/>
      <c r="T227" s="451">
        <v>957</v>
      </c>
      <c r="U227" s="450">
        <v>405</v>
      </c>
      <c r="V227" s="447"/>
      <c r="W227" s="450">
        <v>337</v>
      </c>
      <c r="X227" s="450">
        <v>88</v>
      </c>
      <c r="Y227" s="447"/>
      <c r="Z227" s="450">
        <v>234</v>
      </c>
      <c r="AA227" s="450">
        <v>30</v>
      </c>
      <c r="AB227" s="447"/>
      <c r="AC227" s="450">
        <v>460</v>
      </c>
      <c r="AD227" s="450">
        <v>211</v>
      </c>
      <c r="AE227" s="448"/>
      <c r="AF227" s="456">
        <v>393</v>
      </c>
      <c r="AG227" s="450">
        <v>67</v>
      </c>
      <c r="AH227" s="447"/>
      <c r="AI227" s="450">
        <v>728</v>
      </c>
      <c r="AJ227" s="450">
        <v>684</v>
      </c>
    </row>
    <row r="228" spans="2:36" x14ac:dyDescent="0.25">
      <c r="B228" s="370">
        <v>42416</v>
      </c>
      <c r="C228" s="372">
        <v>42422</v>
      </c>
      <c r="D228" s="409"/>
      <c r="E228" s="450">
        <v>503</v>
      </c>
      <c r="F228" s="450">
        <v>96</v>
      </c>
      <c r="G228" s="448"/>
      <c r="H228" s="451">
        <v>1403</v>
      </c>
      <c r="I228" s="450">
        <v>388</v>
      </c>
      <c r="J228" s="448"/>
      <c r="K228" s="451">
        <v>1673</v>
      </c>
      <c r="L228" s="450">
        <v>457</v>
      </c>
      <c r="M228" s="448"/>
      <c r="N228" s="451">
        <v>1128</v>
      </c>
      <c r="O228" s="450">
        <v>303</v>
      </c>
      <c r="P228" s="448"/>
      <c r="Q228" s="451">
        <v>1032</v>
      </c>
      <c r="R228" s="450">
        <v>313</v>
      </c>
      <c r="S228" s="448"/>
      <c r="T228" s="451">
        <v>993</v>
      </c>
      <c r="U228" s="450">
        <v>464</v>
      </c>
      <c r="V228" s="447"/>
      <c r="W228" s="450">
        <v>345</v>
      </c>
      <c r="X228" s="450">
        <v>106</v>
      </c>
      <c r="Y228" s="447"/>
      <c r="Z228" s="450">
        <v>267</v>
      </c>
      <c r="AA228" s="450">
        <v>41</v>
      </c>
      <c r="AB228" s="447"/>
      <c r="AC228" s="450">
        <v>278</v>
      </c>
      <c r="AD228" s="450">
        <v>132</v>
      </c>
      <c r="AE228" s="448"/>
      <c r="AF228" s="456">
        <v>375</v>
      </c>
      <c r="AG228" s="450">
        <v>69</v>
      </c>
      <c r="AH228" s="447"/>
      <c r="AI228" s="450">
        <v>773</v>
      </c>
      <c r="AJ228" s="450">
        <v>716</v>
      </c>
    </row>
    <row r="229" spans="2:36" x14ac:dyDescent="0.25">
      <c r="B229" s="370">
        <v>42423</v>
      </c>
      <c r="C229" s="372">
        <v>42429</v>
      </c>
      <c r="D229" s="409"/>
      <c r="E229" s="450">
        <v>574</v>
      </c>
      <c r="F229" s="450">
        <v>103</v>
      </c>
      <c r="G229" s="448"/>
      <c r="H229" s="451">
        <v>1298</v>
      </c>
      <c r="I229" s="450">
        <v>327</v>
      </c>
      <c r="J229" s="448"/>
      <c r="K229" s="451">
        <v>1592</v>
      </c>
      <c r="L229" s="450">
        <v>447</v>
      </c>
      <c r="M229" s="448"/>
      <c r="N229" s="451">
        <v>1109</v>
      </c>
      <c r="O229" s="450">
        <v>256</v>
      </c>
      <c r="P229" s="448"/>
      <c r="Q229" s="451">
        <v>1339</v>
      </c>
      <c r="R229" s="450">
        <v>431</v>
      </c>
      <c r="S229" s="448"/>
      <c r="T229" s="451">
        <v>988</v>
      </c>
      <c r="U229" s="450">
        <v>444</v>
      </c>
      <c r="V229" s="447"/>
      <c r="W229" s="450">
        <v>378</v>
      </c>
      <c r="X229" s="450">
        <v>108</v>
      </c>
      <c r="Y229" s="447"/>
      <c r="Z229" s="450">
        <v>426</v>
      </c>
      <c r="AA229" s="450">
        <v>65</v>
      </c>
      <c r="AB229" s="447"/>
      <c r="AC229" s="450">
        <v>305</v>
      </c>
      <c r="AD229" s="450">
        <v>130</v>
      </c>
      <c r="AE229" s="448"/>
      <c r="AF229" s="456">
        <v>423</v>
      </c>
      <c r="AG229" s="450">
        <v>81</v>
      </c>
      <c r="AH229" s="447"/>
      <c r="AI229" s="450">
        <v>773</v>
      </c>
      <c r="AJ229" s="450">
        <v>703</v>
      </c>
    </row>
    <row r="230" spans="2:36" x14ac:dyDescent="0.25">
      <c r="B230" s="370">
        <v>42430</v>
      </c>
      <c r="C230" s="372">
        <v>42436</v>
      </c>
      <c r="D230" s="409"/>
      <c r="E230" s="451">
        <v>558</v>
      </c>
      <c r="F230" s="450">
        <v>123</v>
      </c>
      <c r="G230" s="448"/>
      <c r="H230" s="451">
        <v>1367</v>
      </c>
      <c r="I230" s="451">
        <v>350</v>
      </c>
      <c r="J230" s="448"/>
      <c r="K230" s="451">
        <v>1622</v>
      </c>
      <c r="L230" s="451">
        <v>447</v>
      </c>
      <c r="M230" s="448"/>
      <c r="N230" s="451">
        <v>1339</v>
      </c>
      <c r="O230" s="450">
        <v>360</v>
      </c>
      <c r="P230" s="448"/>
      <c r="Q230" s="451">
        <v>947</v>
      </c>
      <c r="R230" s="451">
        <v>436</v>
      </c>
      <c r="S230" s="448"/>
      <c r="T230" s="451">
        <v>1177</v>
      </c>
      <c r="U230" s="450">
        <v>508</v>
      </c>
      <c r="V230" s="447"/>
      <c r="W230" s="450">
        <v>436</v>
      </c>
      <c r="X230" s="450">
        <v>104</v>
      </c>
      <c r="Y230" s="447"/>
      <c r="Z230" s="451">
        <v>43238</v>
      </c>
      <c r="AA230" s="451">
        <v>4762</v>
      </c>
      <c r="AB230" s="447"/>
      <c r="AC230" s="450">
        <v>296</v>
      </c>
      <c r="AD230" s="450">
        <v>137</v>
      </c>
      <c r="AE230" s="448"/>
      <c r="AF230" s="452">
        <v>546</v>
      </c>
      <c r="AG230" s="450">
        <v>98</v>
      </c>
      <c r="AH230" s="447"/>
      <c r="AI230" s="450">
        <v>791</v>
      </c>
      <c r="AJ230" s="450">
        <v>664</v>
      </c>
    </row>
    <row r="231" spans="2:36" x14ac:dyDescent="0.25">
      <c r="B231" s="370">
        <v>42437</v>
      </c>
      <c r="C231" s="372">
        <v>42443</v>
      </c>
      <c r="D231" s="409"/>
      <c r="E231" s="451">
        <v>533</v>
      </c>
      <c r="F231" s="450">
        <v>96</v>
      </c>
      <c r="G231" s="448"/>
      <c r="H231" s="451">
        <v>1355</v>
      </c>
      <c r="I231" s="451">
        <v>343</v>
      </c>
      <c r="J231" s="448"/>
      <c r="K231" s="451">
        <v>1496</v>
      </c>
      <c r="L231" s="451">
        <v>438</v>
      </c>
      <c r="M231" s="448"/>
      <c r="N231" s="451">
        <v>1377</v>
      </c>
      <c r="O231" s="450">
        <v>308</v>
      </c>
      <c r="P231" s="448"/>
      <c r="Q231" s="451">
        <v>1458</v>
      </c>
      <c r="R231" s="451">
        <v>487</v>
      </c>
      <c r="S231" s="448"/>
      <c r="T231" s="451">
        <v>1045</v>
      </c>
      <c r="U231" s="451">
        <v>388</v>
      </c>
      <c r="V231" s="447"/>
      <c r="W231" s="451">
        <v>423</v>
      </c>
      <c r="X231" s="450">
        <v>105</v>
      </c>
      <c r="Y231" s="447"/>
      <c r="Z231" s="451">
        <v>2870</v>
      </c>
      <c r="AA231" s="450">
        <v>290</v>
      </c>
      <c r="AB231" s="447"/>
      <c r="AC231" s="451">
        <v>245</v>
      </c>
      <c r="AD231" s="450">
        <v>107</v>
      </c>
      <c r="AE231" s="448"/>
      <c r="AF231" s="452">
        <v>402</v>
      </c>
      <c r="AG231" s="450">
        <v>60</v>
      </c>
      <c r="AH231" s="447"/>
      <c r="AI231" s="450">
        <v>808</v>
      </c>
      <c r="AJ231" s="450">
        <v>722</v>
      </c>
    </row>
    <row r="232" spans="2:36" x14ac:dyDescent="0.25">
      <c r="B232" s="370">
        <v>42444</v>
      </c>
      <c r="C232" s="372">
        <v>42450</v>
      </c>
      <c r="D232" s="409"/>
      <c r="E232" s="451">
        <v>504</v>
      </c>
      <c r="F232" s="450">
        <v>96</v>
      </c>
      <c r="G232" s="448"/>
      <c r="H232" s="451">
        <v>1451</v>
      </c>
      <c r="I232" s="451">
        <v>385</v>
      </c>
      <c r="J232" s="448"/>
      <c r="K232" s="451">
        <v>1440</v>
      </c>
      <c r="L232" s="451">
        <v>393</v>
      </c>
      <c r="M232" s="448"/>
      <c r="N232" s="451">
        <v>1332</v>
      </c>
      <c r="O232" s="450">
        <v>324</v>
      </c>
      <c r="P232" s="448"/>
      <c r="Q232" s="451">
        <v>1344</v>
      </c>
      <c r="R232" s="451">
        <v>443</v>
      </c>
      <c r="S232" s="448"/>
      <c r="T232" s="451">
        <v>999</v>
      </c>
      <c r="U232" s="451">
        <v>407</v>
      </c>
      <c r="V232" s="447"/>
      <c r="W232" s="451">
        <v>385</v>
      </c>
      <c r="X232" s="450">
        <v>95</v>
      </c>
      <c r="Y232" s="447"/>
      <c r="Z232" s="451">
        <v>1623</v>
      </c>
      <c r="AA232" s="450">
        <v>162</v>
      </c>
      <c r="AB232" s="447"/>
      <c r="AC232" s="451">
        <v>278</v>
      </c>
      <c r="AD232" s="450">
        <v>122</v>
      </c>
      <c r="AE232" s="448"/>
      <c r="AF232" s="452">
        <v>454</v>
      </c>
      <c r="AG232" s="450">
        <v>76</v>
      </c>
      <c r="AH232" s="447"/>
      <c r="AI232" s="450">
        <v>750</v>
      </c>
      <c r="AJ232" s="450">
        <v>648</v>
      </c>
    </row>
    <row r="233" spans="2:36" x14ac:dyDescent="0.25">
      <c r="B233" s="370">
        <v>42451</v>
      </c>
      <c r="C233" s="372">
        <v>42457</v>
      </c>
      <c r="D233" s="409"/>
      <c r="E233" s="451">
        <v>509</v>
      </c>
      <c r="F233" s="450">
        <v>118</v>
      </c>
      <c r="G233" s="448"/>
      <c r="H233" s="451">
        <v>3195</v>
      </c>
      <c r="I233" s="451">
        <v>711</v>
      </c>
      <c r="J233" s="448"/>
      <c r="K233" s="451">
        <v>1450</v>
      </c>
      <c r="L233" s="451">
        <v>480</v>
      </c>
      <c r="M233" s="448"/>
      <c r="N233" s="451">
        <v>1323</v>
      </c>
      <c r="O233" s="450">
        <v>323</v>
      </c>
      <c r="P233" s="448"/>
      <c r="Q233" s="451">
        <v>1951</v>
      </c>
      <c r="R233" s="451">
        <v>597</v>
      </c>
      <c r="S233" s="448"/>
      <c r="T233" s="451">
        <v>1110</v>
      </c>
      <c r="U233" s="451">
        <v>434</v>
      </c>
      <c r="V233" s="447"/>
      <c r="W233" s="451">
        <v>404</v>
      </c>
      <c r="X233" s="450">
        <v>133</v>
      </c>
      <c r="Y233" s="447"/>
      <c r="Z233" s="451">
        <v>1945</v>
      </c>
      <c r="AA233" s="450">
        <v>159</v>
      </c>
      <c r="AB233" s="447"/>
      <c r="AC233" s="451">
        <v>347</v>
      </c>
      <c r="AD233" s="450">
        <v>142</v>
      </c>
      <c r="AE233" s="448"/>
      <c r="AF233" s="452">
        <v>497</v>
      </c>
      <c r="AG233" s="450">
        <v>70</v>
      </c>
      <c r="AH233" s="447"/>
      <c r="AI233" s="450">
        <v>764</v>
      </c>
      <c r="AJ233" s="450">
        <v>680</v>
      </c>
    </row>
    <row r="234" spans="2:36" x14ac:dyDescent="0.25">
      <c r="B234" s="370">
        <v>42458</v>
      </c>
      <c r="C234" s="372">
        <v>42464</v>
      </c>
      <c r="D234" s="409"/>
      <c r="E234" s="451">
        <v>561</v>
      </c>
      <c r="F234" s="450">
        <v>109</v>
      </c>
      <c r="G234" s="448"/>
      <c r="H234" s="451">
        <v>2106</v>
      </c>
      <c r="I234" s="451">
        <v>503</v>
      </c>
      <c r="J234" s="448"/>
      <c r="K234" s="451">
        <v>1579</v>
      </c>
      <c r="L234" s="451">
        <v>470</v>
      </c>
      <c r="M234" s="448"/>
      <c r="N234" s="451">
        <v>1429</v>
      </c>
      <c r="O234" s="450">
        <v>332</v>
      </c>
      <c r="P234" s="448"/>
      <c r="Q234" s="451">
        <v>1629</v>
      </c>
      <c r="R234" s="451">
        <v>486</v>
      </c>
      <c r="S234" s="448"/>
      <c r="T234" s="451">
        <v>1261</v>
      </c>
      <c r="U234" s="451">
        <v>535</v>
      </c>
      <c r="V234" s="447"/>
      <c r="W234" s="451">
        <v>392</v>
      </c>
      <c r="X234" s="450">
        <v>118</v>
      </c>
      <c r="Y234" s="447"/>
      <c r="Z234" s="451">
        <v>876</v>
      </c>
      <c r="AA234" s="450">
        <v>85</v>
      </c>
      <c r="AB234" s="447"/>
      <c r="AC234" s="451">
        <v>325</v>
      </c>
      <c r="AD234" s="450">
        <v>158</v>
      </c>
      <c r="AE234" s="448"/>
      <c r="AF234" s="452">
        <v>567</v>
      </c>
      <c r="AG234" s="450">
        <v>70</v>
      </c>
      <c r="AH234" s="447"/>
      <c r="AI234" s="450">
        <v>757</v>
      </c>
      <c r="AJ234" s="450">
        <v>632</v>
      </c>
    </row>
    <row r="235" spans="2:36" x14ac:dyDescent="0.25">
      <c r="B235" s="370">
        <v>42465</v>
      </c>
      <c r="C235" s="372">
        <v>42471</v>
      </c>
      <c r="D235" s="409"/>
      <c r="E235" s="451">
        <v>1450</v>
      </c>
      <c r="F235" s="450">
        <v>212</v>
      </c>
      <c r="G235" s="448"/>
      <c r="H235" s="451">
        <v>2073</v>
      </c>
      <c r="I235" s="451">
        <v>426</v>
      </c>
      <c r="J235" s="448"/>
      <c r="K235" s="451">
        <v>1612</v>
      </c>
      <c r="L235" s="451">
        <v>468</v>
      </c>
      <c r="M235" s="448"/>
      <c r="N235" s="451">
        <v>1432</v>
      </c>
      <c r="O235" s="450">
        <v>334</v>
      </c>
      <c r="P235" s="448"/>
      <c r="Q235" s="451">
        <v>1695</v>
      </c>
      <c r="R235" s="451">
        <v>452</v>
      </c>
      <c r="S235" s="448"/>
      <c r="T235" s="451">
        <v>1224</v>
      </c>
      <c r="U235" s="451">
        <v>491</v>
      </c>
      <c r="V235" s="447"/>
      <c r="W235" s="451">
        <v>397</v>
      </c>
      <c r="X235" s="450">
        <v>110</v>
      </c>
      <c r="Y235" s="447"/>
      <c r="Z235" s="451">
        <v>707</v>
      </c>
      <c r="AA235" s="450">
        <v>61</v>
      </c>
      <c r="AB235" s="447"/>
      <c r="AC235" s="451">
        <v>311</v>
      </c>
      <c r="AD235" s="450">
        <v>139</v>
      </c>
      <c r="AE235" s="448"/>
      <c r="AF235" s="452">
        <v>607</v>
      </c>
      <c r="AG235" s="450">
        <v>101</v>
      </c>
      <c r="AH235" s="447"/>
      <c r="AI235" s="450">
        <v>826</v>
      </c>
      <c r="AJ235" s="450">
        <v>698</v>
      </c>
    </row>
    <row r="236" spans="2:36" x14ac:dyDescent="0.25">
      <c r="B236" s="370">
        <v>42472</v>
      </c>
      <c r="C236" s="372">
        <v>42478</v>
      </c>
      <c r="D236" s="409"/>
      <c r="E236" s="451">
        <v>623</v>
      </c>
      <c r="F236" s="450">
        <v>125</v>
      </c>
      <c r="G236" s="448"/>
      <c r="H236" s="451">
        <v>1914</v>
      </c>
      <c r="I236" s="451">
        <v>390</v>
      </c>
      <c r="J236" s="448"/>
      <c r="K236" s="451">
        <v>1565</v>
      </c>
      <c r="L236" s="451">
        <v>481</v>
      </c>
      <c r="M236" s="448"/>
      <c r="N236" s="451">
        <v>1364</v>
      </c>
      <c r="O236" s="450">
        <v>384</v>
      </c>
      <c r="P236" s="448"/>
      <c r="Q236" s="451">
        <v>1531</v>
      </c>
      <c r="R236" s="451">
        <v>474</v>
      </c>
      <c r="S236" s="448"/>
      <c r="T236" s="451">
        <v>1228</v>
      </c>
      <c r="U236" s="451">
        <v>486</v>
      </c>
      <c r="V236" s="447"/>
      <c r="W236" s="451">
        <v>374</v>
      </c>
      <c r="X236" s="450">
        <v>93</v>
      </c>
      <c r="Y236" s="447"/>
      <c r="Z236" s="451">
        <v>618</v>
      </c>
      <c r="AA236" s="450">
        <v>64</v>
      </c>
      <c r="AB236" s="447"/>
      <c r="AC236" s="451">
        <v>318</v>
      </c>
      <c r="AD236" s="450">
        <v>163</v>
      </c>
      <c r="AE236" s="448"/>
      <c r="AF236" s="452">
        <v>605</v>
      </c>
      <c r="AG236" s="450">
        <v>83</v>
      </c>
      <c r="AH236" s="447"/>
      <c r="AI236" s="450">
        <v>819</v>
      </c>
      <c r="AJ236" s="450">
        <v>660</v>
      </c>
    </row>
    <row r="237" spans="2:36" x14ac:dyDescent="0.25">
      <c r="B237" s="370">
        <v>42479</v>
      </c>
      <c r="C237" s="372">
        <v>42485</v>
      </c>
      <c r="D237" s="409"/>
      <c r="E237" s="451">
        <v>556</v>
      </c>
      <c r="F237" s="450">
        <v>115</v>
      </c>
      <c r="G237" s="448"/>
      <c r="H237" s="451">
        <v>2044</v>
      </c>
      <c r="I237" s="451">
        <v>481</v>
      </c>
      <c r="J237" s="448"/>
      <c r="K237" s="451">
        <v>1583</v>
      </c>
      <c r="L237" s="451">
        <v>463</v>
      </c>
      <c r="M237" s="448"/>
      <c r="N237" s="451">
        <v>1396</v>
      </c>
      <c r="O237" s="450">
        <v>436</v>
      </c>
      <c r="P237" s="448"/>
      <c r="Q237" s="451">
        <v>1522</v>
      </c>
      <c r="R237" s="451">
        <v>554</v>
      </c>
      <c r="S237" s="448"/>
      <c r="T237" s="451">
        <v>1538</v>
      </c>
      <c r="U237" s="451">
        <v>578</v>
      </c>
      <c r="V237" s="447"/>
      <c r="W237" s="451">
        <v>394</v>
      </c>
      <c r="X237" s="450">
        <v>125</v>
      </c>
      <c r="Y237" s="447"/>
      <c r="Z237" s="451">
        <v>542</v>
      </c>
      <c r="AA237" s="450">
        <v>69</v>
      </c>
      <c r="AB237" s="447"/>
      <c r="AC237" s="451">
        <v>356</v>
      </c>
      <c r="AD237" s="450">
        <v>122</v>
      </c>
      <c r="AE237" s="448"/>
      <c r="AF237" s="452">
        <v>627</v>
      </c>
      <c r="AG237" s="450">
        <v>87</v>
      </c>
      <c r="AH237" s="447"/>
      <c r="AI237" s="450">
        <v>1060</v>
      </c>
      <c r="AJ237" s="450">
        <v>675</v>
      </c>
    </row>
    <row r="238" spans="2:36" x14ac:dyDescent="0.25">
      <c r="B238" s="370">
        <v>42486</v>
      </c>
      <c r="C238" s="372">
        <v>42492</v>
      </c>
      <c r="D238" s="409"/>
      <c r="E238" s="451">
        <v>571</v>
      </c>
      <c r="F238" s="450">
        <v>106</v>
      </c>
      <c r="G238" s="448"/>
      <c r="H238" s="451">
        <v>2007</v>
      </c>
      <c r="I238" s="451">
        <v>419</v>
      </c>
      <c r="J238" s="448"/>
      <c r="K238" s="451">
        <v>1584</v>
      </c>
      <c r="L238" s="451">
        <v>475</v>
      </c>
      <c r="M238" s="448"/>
      <c r="N238" s="451">
        <v>1316</v>
      </c>
      <c r="O238" s="450">
        <v>350</v>
      </c>
      <c r="P238" s="448"/>
      <c r="Q238" s="451">
        <v>1470</v>
      </c>
      <c r="R238" s="451">
        <v>435</v>
      </c>
      <c r="S238" s="448"/>
      <c r="T238" s="451">
        <v>22331</v>
      </c>
      <c r="U238" s="451">
        <v>9286</v>
      </c>
      <c r="V238" s="447"/>
      <c r="W238" s="451">
        <v>361</v>
      </c>
      <c r="X238" s="450">
        <v>113</v>
      </c>
      <c r="Y238" s="447"/>
      <c r="Z238" s="451">
        <v>541</v>
      </c>
      <c r="AA238" s="450">
        <v>55</v>
      </c>
      <c r="AB238" s="447"/>
      <c r="AC238" s="451">
        <v>300</v>
      </c>
      <c r="AD238" s="450">
        <v>114</v>
      </c>
      <c r="AE238" s="448"/>
      <c r="AF238" s="452">
        <v>564</v>
      </c>
      <c r="AG238" s="450">
        <v>66</v>
      </c>
      <c r="AH238" s="447"/>
      <c r="AI238" s="450">
        <v>792</v>
      </c>
      <c r="AJ238" s="450">
        <v>613</v>
      </c>
    </row>
    <row r="239" spans="2:36" x14ac:dyDescent="0.25">
      <c r="B239" s="370">
        <v>42493</v>
      </c>
      <c r="C239" s="372">
        <v>42499</v>
      </c>
      <c r="D239" s="409"/>
      <c r="E239" s="451">
        <v>566</v>
      </c>
      <c r="F239" s="450">
        <v>114</v>
      </c>
      <c r="G239" s="448"/>
      <c r="H239" s="451">
        <v>2057</v>
      </c>
      <c r="I239" s="451">
        <v>452</v>
      </c>
      <c r="J239" s="448"/>
      <c r="K239" s="451">
        <v>1640</v>
      </c>
      <c r="L239" s="451">
        <v>487</v>
      </c>
      <c r="M239" s="448"/>
      <c r="N239" s="451">
        <v>1322</v>
      </c>
      <c r="O239" s="450">
        <v>413</v>
      </c>
      <c r="P239" s="448"/>
      <c r="Q239" s="451">
        <v>1520</v>
      </c>
      <c r="R239" s="451">
        <v>583</v>
      </c>
      <c r="S239" s="448"/>
      <c r="T239" s="451">
        <v>2693</v>
      </c>
      <c r="U239" s="451">
        <v>1064</v>
      </c>
      <c r="V239" s="447"/>
      <c r="W239" s="451">
        <v>370</v>
      </c>
      <c r="X239" s="450">
        <v>107</v>
      </c>
      <c r="Y239" s="447"/>
      <c r="Z239" s="451">
        <v>451</v>
      </c>
      <c r="AA239" s="450">
        <v>39</v>
      </c>
      <c r="AB239" s="447"/>
      <c r="AC239" s="451">
        <v>281</v>
      </c>
      <c r="AD239" s="450">
        <v>128</v>
      </c>
      <c r="AE239" s="448"/>
      <c r="AF239" s="452">
        <v>609</v>
      </c>
      <c r="AG239" s="450">
        <v>89</v>
      </c>
      <c r="AH239" s="447"/>
      <c r="AI239" s="450">
        <v>747</v>
      </c>
      <c r="AJ239" s="450">
        <v>575</v>
      </c>
    </row>
    <row r="240" spans="2:36" x14ac:dyDescent="0.25">
      <c r="B240" s="370">
        <v>42500</v>
      </c>
      <c r="C240" s="372">
        <v>42506</v>
      </c>
      <c r="D240" s="409"/>
      <c r="E240" s="451">
        <v>575</v>
      </c>
      <c r="F240" s="450">
        <v>117</v>
      </c>
      <c r="G240" s="448"/>
      <c r="H240" s="451">
        <v>2046</v>
      </c>
      <c r="I240" s="451">
        <v>459</v>
      </c>
      <c r="J240" s="448"/>
      <c r="K240" s="451">
        <v>1636</v>
      </c>
      <c r="L240" s="451">
        <v>534</v>
      </c>
      <c r="M240" s="448"/>
      <c r="N240" s="451">
        <v>1435</v>
      </c>
      <c r="O240" s="450">
        <v>403</v>
      </c>
      <c r="P240" s="448"/>
      <c r="Q240" s="451">
        <v>1713</v>
      </c>
      <c r="R240" s="451">
        <v>532</v>
      </c>
      <c r="S240" s="448"/>
      <c r="T240" s="451">
        <v>2004</v>
      </c>
      <c r="U240" s="451">
        <v>838</v>
      </c>
      <c r="V240" s="447"/>
      <c r="W240" s="451">
        <v>1035</v>
      </c>
      <c r="X240" s="450">
        <v>286</v>
      </c>
      <c r="Y240" s="447"/>
      <c r="Z240" s="451">
        <v>484</v>
      </c>
      <c r="AA240" s="450">
        <v>57</v>
      </c>
      <c r="AB240" s="447"/>
      <c r="AC240" s="451">
        <v>300</v>
      </c>
      <c r="AD240" s="450">
        <v>149</v>
      </c>
      <c r="AE240" s="448"/>
      <c r="AF240" s="452">
        <v>644</v>
      </c>
      <c r="AG240" s="450">
        <v>62</v>
      </c>
      <c r="AH240" s="447"/>
      <c r="AI240" s="450">
        <v>849</v>
      </c>
      <c r="AJ240" s="450">
        <v>687</v>
      </c>
    </row>
    <row r="241" spans="2:36" x14ac:dyDescent="0.25">
      <c r="B241" s="370">
        <v>42507</v>
      </c>
      <c r="C241" s="372">
        <v>42513</v>
      </c>
      <c r="D241" s="409"/>
      <c r="E241" s="451">
        <v>620</v>
      </c>
      <c r="F241" s="450">
        <v>162</v>
      </c>
      <c r="G241" s="448"/>
      <c r="H241" s="451">
        <v>2102</v>
      </c>
      <c r="I241" s="451">
        <v>394</v>
      </c>
      <c r="J241" s="448"/>
      <c r="K241" s="451">
        <v>1586</v>
      </c>
      <c r="L241" s="451">
        <v>484</v>
      </c>
      <c r="M241" s="448"/>
      <c r="N241" s="451">
        <v>1315</v>
      </c>
      <c r="O241" s="450">
        <v>403</v>
      </c>
      <c r="P241" s="448"/>
      <c r="Q241" s="451">
        <v>1573</v>
      </c>
      <c r="R241" s="451">
        <v>460</v>
      </c>
      <c r="S241" s="448"/>
      <c r="T241" s="451">
        <v>1604</v>
      </c>
      <c r="U241" s="451">
        <v>666</v>
      </c>
      <c r="V241" s="447"/>
      <c r="W241" s="451">
        <v>38576</v>
      </c>
      <c r="X241" s="451">
        <v>11452</v>
      </c>
      <c r="Y241" s="447"/>
      <c r="Z241" s="451">
        <v>566</v>
      </c>
      <c r="AA241" s="450">
        <v>57</v>
      </c>
      <c r="AB241" s="447"/>
      <c r="AC241" s="451">
        <v>351</v>
      </c>
      <c r="AD241" s="450">
        <v>141</v>
      </c>
      <c r="AE241" s="448"/>
      <c r="AF241" s="452">
        <v>681</v>
      </c>
      <c r="AG241" s="450">
        <v>102</v>
      </c>
      <c r="AH241" s="447"/>
      <c r="AI241" s="450">
        <v>792</v>
      </c>
      <c r="AJ241" s="450">
        <v>632</v>
      </c>
    </row>
    <row r="242" spans="2:36" x14ac:dyDescent="0.25">
      <c r="B242" s="370">
        <v>42514</v>
      </c>
      <c r="C242" s="372">
        <v>42520</v>
      </c>
      <c r="D242" s="409"/>
      <c r="E242" s="451">
        <v>519</v>
      </c>
      <c r="F242" s="450">
        <v>90</v>
      </c>
      <c r="G242" s="448"/>
      <c r="H242" s="451">
        <v>1978</v>
      </c>
      <c r="I242" s="451">
        <v>393</v>
      </c>
      <c r="J242" s="448"/>
      <c r="K242" s="451">
        <v>1538</v>
      </c>
      <c r="L242" s="451">
        <v>441</v>
      </c>
      <c r="M242" s="448"/>
      <c r="N242" s="451">
        <v>1325</v>
      </c>
      <c r="O242" s="450">
        <v>403</v>
      </c>
      <c r="P242" s="448"/>
      <c r="Q242" s="451">
        <v>1211</v>
      </c>
      <c r="R242" s="451">
        <v>428</v>
      </c>
      <c r="S242" s="448"/>
      <c r="T242" s="451">
        <v>1366</v>
      </c>
      <c r="U242" s="451">
        <v>485</v>
      </c>
      <c r="V242" s="447"/>
      <c r="W242" s="451">
        <v>2228</v>
      </c>
      <c r="X242" s="450">
        <v>620</v>
      </c>
      <c r="Y242" s="447"/>
      <c r="Z242" s="451">
        <v>488</v>
      </c>
      <c r="AA242" s="450">
        <v>37</v>
      </c>
      <c r="AB242" s="447"/>
      <c r="AC242" s="451">
        <v>283</v>
      </c>
      <c r="AD242" s="450">
        <v>100</v>
      </c>
      <c r="AE242" s="448"/>
      <c r="AF242" s="452">
        <v>558</v>
      </c>
      <c r="AG242" s="450">
        <v>69</v>
      </c>
      <c r="AH242" s="447"/>
      <c r="AI242" s="450">
        <v>718</v>
      </c>
      <c r="AJ242" s="450">
        <v>560</v>
      </c>
    </row>
    <row r="243" spans="2:36" x14ac:dyDescent="0.25">
      <c r="B243" s="370">
        <v>42521</v>
      </c>
      <c r="C243" s="372">
        <v>42527</v>
      </c>
      <c r="D243" s="409"/>
      <c r="E243" s="451">
        <v>528</v>
      </c>
      <c r="F243" s="450">
        <v>102</v>
      </c>
      <c r="G243" s="448"/>
      <c r="H243" s="451">
        <v>2144</v>
      </c>
      <c r="I243" s="451">
        <v>380</v>
      </c>
      <c r="J243" s="448"/>
      <c r="K243" s="451">
        <v>2924</v>
      </c>
      <c r="L243" s="451">
        <v>539</v>
      </c>
      <c r="M243" s="448"/>
      <c r="N243" s="451">
        <v>1423</v>
      </c>
      <c r="O243" s="450">
        <v>457</v>
      </c>
      <c r="P243" s="448"/>
      <c r="Q243" s="451">
        <v>1530</v>
      </c>
      <c r="R243" s="451">
        <v>538</v>
      </c>
      <c r="S243" s="448"/>
      <c r="T243" s="451">
        <v>1417</v>
      </c>
      <c r="U243" s="451">
        <v>560</v>
      </c>
      <c r="V243" s="447"/>
      <c r="W243" s="451">
        <v>1322</v>
      </c>
      <c r="X243" s="450">
        <v>349</v>
      </c>
      <c r="Y243" s="447"/>
      <c r="Z243" s="451">
        <v>459</v>
      </c>
      <c r="AA243" s="450">
        <v>50</v>
      </c>
      <c r="AB243" s="447"/>
      <c r="AC243" s="451">
        <v>336</v>
      </c>
      <c r="AD243" s="450">
        <v>118</v>
      </c>
      <c r="AE243" s="448"/>
      <c r="AF243" s="452">
        <v>621</v>
      </c>
      <c r="AG243" s="450">
        <v>76</v>
      </c>
      <c r="AH243" s="447"/>
      <c r="AI243" s="450">
        <v>734</v>
      </c>
      <c r="AJ243" s="450">
        <v>600</v>
      </c>
    </row>
    <row r="244" spans="2:36" x14ac:dyDescent="0.25">
      <c r="B244" s="370">
        <v>42528</v>
      </c>
      <c r="C244" s="372">
        <v>42534</v>
      </c>
      <c r="D244" s="409"/>
      <c r="E244" s="451">
        <v>702</v>
      </c>
      <c r="F244" s="450">
        <v>129</v>
      </c>
      <c r="G244" s="448"/>
      <c r="H244" s="451">
        <v>2222</v>
      </c>
      <c r="I244" s="451">
        <v>394</v>
      </c>
      <c r="J244" s="448"/>
      <c r="K244" s="451">
        <v>1969</v>
      </c>
      <c r="L244" s="451">
        <v>548</v>
      </c>
      <c r="M244" s="448"/>
      <c r="N244" s="451">
        <v>1357</v>
      </c>
      <c r="O244" s="450">
        <v>432</v>
      </c>
      <c r="P244" s="448"/>
      <c r="Q244" s="451">
        <v>1397</v>
      </c>
      <c r="R244" s="451">
        <v>511</v>
      </c>
      <c r="S244" s="448"/>
      <c r="T244" s="451">
        <v>1262</v>
      </c>
      <c r="U244" s="451">
        <v>507</v>
      </c>
      <c r="V244" s="447"/>
      <c r="W244" s="451">
        <v>965</v>
      </c>
      <c r="X244" s="450">
        <v>219</v>
      </c>
      <c r="Y244" s="447"/>
      <c r="Z244" s="451">
        <v>438</v>
      </c>
      <c r="AA244" s="450">
        <v>38</v>
      </c>
      <c r="AB244" s="447"/>
      <c r="AC244" s="451">
        <v>325</v>
      </c>
      <c r="AD244" s="450">
        <v>144</v>
      </c>
      <c r="AE244" s="448"/>
      <c r="AF244" s="452">
        <v>628</v>
      </c>
      <c r="AG244" s="450">
        <v>81</v>
      </c>
      <c r="AH244" s="447"/>
      <c r="AI244" s="450">
        <v>793</v>
      </c>
      <c r="AJ244" s="450">
        <v>594</v>
      </c>
    </row>
    <row r="245" spans="2:36" x14ac:dyDescent="0.25">
      <c r="B245" s="370">
        <v>42535</v>
      </c>
      <c r="C245" s="372">
        <v>42541</v>
      </c>
      <c r="D245" s="409"/>
      <c r="E245" s="451">
        <v>597</v>
      </c>
      <c r="F245" s="450">
        <v>131</v>
      </c>
      <c r="G245" s="448"/>
      <c r="H245" s="451">
        <v>2211</v>
      </c>
      <c r="I245" s="451">
        <v>423</v>
      </c>
      <c r="J245" s="448"/>
      <c r="K245" s="451">
        <v>11406</v>
      </c>
      <c r="L245" s="451">
        <v>2806</v>
      </c>
      <c r="M245" s="448"/>
      <c r="N245" s="451">
        <v>1443</v>
      </c>
      <c r="O245" s="450">
        <v>454</v>
      </c>
      <c r="P245" s="448"/>
      <c r="Q245" s="451">
        <v>1436</v>
      </c>
      <c r="R245" s="451">
        <v>497</v>
      </c>
      <c r="S245" s="448"/>
      <c r="T245" s="451">
        <v>1201</v>
      </c>
      <c r="U245" s="451">
        <v>489</v>
      </c>
      <c r="V245" s="447"/>
      <c r="W245" s="451">
        <v>669</v>
      </c>
      <c r="X245" s="451">
        <v>164</v>
      </c>
      <c r="Y245" s="447"/>
      <c r="Z245" s="451">
        <v>457</v>
      </c>
      <c r="AA245" s="450">
        <v>49</v>
      </c>
      <c r="AB245" s="447"/>
      <c r="AC245" s="451">
        <v>372</v>
      </c>
      <c r="AD245" s="450">
        <v>145</v>
      </c>
      <c r="AE245" s="448"/>
      <c r="AF245" s="452">
        <v>634</v>
      </c>
      <c r="AG245" s="450">
        <v>88</v>
      </c>
      <c r="AH245" s="447"/>
      <c r="AI245" s="450">
        <v>695</v>
      </c>
      <c r="AJ245" s="450">
        <v>567</v>
      </c>
    </row>
    <row r="246" spans="2:36" x14ac:dyDescent="0.25">
      <c r="B246" s="370">
        <v>42542</v>
      </c>
      <c r="C246" s="372">
        <v>42548</v>
      </c>
      <c r="D246" s="409"/>
      <c r="E246" s="451">
        <v>527</v>
      </c>
      <c r="F246" s="450">
        <v>102</v>
      </c>
      <c r="G246" s="448"/>
      <c r="H246" s="451">
        <v>2102</v>
      </c>
      <c r="I246" s="451">
        <v>377</v>
      </c>
      <c r="J246" s="448"/>
      <c r="K246" s="451">
        <v>2408</v>
      </c>
      <c r="L246" s="451">
        <v>637</v>
      </c>
      <c r="M246" s="448"/>
      <c r="N246" s="451">
        <v>1486</v>
      </c>
      <c r="O246" s="450">
        <v>486</v>
      </c>
      <c r="P246" s="448"/>
      <c r="Q246" s="451">
        <v>1507</v>
      </c>
      <c r="R246" s="451">
        <v>571</v>
      </c>
      <c r="S246" s="448"/>
      <c r="T246" s="451">
        <v>1169</v>
      </c>
      <c r="U246" s="451">
        <v>461</v>
      </c>
      <c r="V246" s="447"/>
      <c r="W246" s="451">
        <v>697</v>
      </c>
      <c r="X246" s="450">
        <v>167</v>
      </c>
      <c r="Y246" s="447"/>
      <c r="Z246" s="451">
        <v>411</v>
      </c>
      <c r="AA246" s="450">
        <v>32</v>
      </c>
      <c r="AB246" s="447"/>
      <c r="AC246" s="451">
        <v>320</v>
      </c>
      <c r="AD246" s="450">
        <v>159</v>
      </c>
      <c r="AE246" s="448"/>
      <c r="AF246" s="452">
        <v>659</v>
      </c>
      <c r="AG246" s="450">
        <v>89</v>
      </c>
      <c r="AH246" s="447"/>
      <c r="AI246" s="450">
        <v>1350</v>
      </c>
      <c r="AJ246" s="450">
        <v>704</v>
      </c>
    </row>
    <row r="247" spans="2:36" x14ac:dyDescent="0.25">
      <c r="B247" s="370">
        <v>42549</v>
      </c>
      <c r="C247" s="372">
        <v>42555</v>
      </c>
      <c r="D247" s="409"/>
      <c r="E247" s="451">
        <v>557</v>
      </c>
      <c r="F247" s="450">
        <v>98</v>
      </c>
      <c r="G247" s="448"/>
      <c r="H247" s="451">
        <v>2118</v>
      </c>
      <c r="I247" s="451">
        <v>335</v>
      </c>
      <c r="J247" s="448"/>
      <c r="K247" s="451">
        <v>1889</v>
      </c>
      <c r="L247" s="451">
        <v>487</v>
      </c>
      <c r="M247" s="448"/>
      <c r="N247" s="451">
        <v>1322</v>
      </c>
      <c r="O247" s="450">
        <v>451</v>
      </c>
      <c r="P247" s="448"/>
      <c r="Q247" s="451">
        <v>1326</v>
      </c>
      <c r="R247" s="451">
        <v>418</v>
      </c>
      <c r="S247" s="448"/>
      <c r="T247" s="451">
        <v>956</v>
      </c>
      <c r="U247" s="451">
        <v>380</v>
      </c>
      <c r="V247" s="447"/>
      <c r="W247" s="451">
        <v>385</v>
      </c>
      <c r="X247" s="450">
        <v>109</v>
      </c>
      <c r="Y247" s="447"/>
      <c r="Z247" s="451">
        <v>381</v>
      </c>
      <c r="AA247" s="450">
        <v>28</v>
      </c>
      <c r="AB247" s="447"/>
      <c r="AC247" s="451">
        <v>340</v>
      </c>
      <c r="AD247" s="450">
        <v>104</v>
      </c>
      <c r="AE247" s="448"/>
      <c r="AF247" s="452">
        <v>557</v>
      </c>
      <c r="AG247" s="450">
        <v>84</v>
      </c>
      <c r="AH247" s="447"/>
      <c r="AI247" s="450">
        <v>838</v>
      </c>
      <c r="AJ247" s="450">
        <v>541</v>
      </c>
    </row>
    <row r="248" spans="2:36" x14ac:dyDescent="0.25">
      <c r="B248" s="370">
        <v>42556</v>
      </c>
      <c r="C248" s="372">
        <v>42562</v>
      </c>
      <c r="D248" s="409"/>
      <c r="E248" s="451">
        <v>546</v>
      </c>
      <c r="F248" s="450">
        <v>110</v>
      </c>
      <c r="G248" s="448"/>
      <c r="H248" s="451">
        <v>2219</v>
      </c>
      <c r="I248" s="451">
        <v>431</v>
      </c>
      <c r="J248" s="448"/>
      <c r="K248" s="451">
        <v>1967</v>
      </c>
      <c r="L248" s="451">
        <v>641</v>
      </c>
      <c r="M248" s="448"/>
      <c r="N248" s="451">
        <v>1462</v>
      </c>
      <c r="O248" s="450">
        <v>475</v>
      </c>
      <c r="P248" s="448"/>
      <c r="Q248" s="451">
        <v>2420</v>
      </c>
      <c r="R248" s="451">
        <v>755</v>
      </c>
      <c r="S248" s="448"/>
      <c r="T248" s="451">
        <v>1160</v>
      </c>
      <c r="U248" s="451">
        <v>428</v>
      </c>
      <c r="V248" s="447"/>
      <c r="W248" s="451">
        <v>319</v>
      </c>
      <c r="X248" s="450">
        <v>76</v>
      </c>
      <c r="Y248" s="447"/>
      <c r="Z248" s="451">
        <v>398</v>
      </c>
      <c r="AA248" s="450">
        <v>52</v>
      </c>
      <c r="AB248" s="447"/>
      <c r="AC248" s="451">
        <v>377</v>
      </c>
      <c r="AD248" s="450">
        <v>138</v>
      </c>
      <c r="AE248" s="448"/>
      <c r="AF248" s="452">
        <v>675</v>
      </c>
      <c r="AG248" s="450">
        <v>78</v>
      </c>
      <c r="AH248" s="447"/>
      <c r="AI248" s="450">
        <v>888</v>
      </c>
      <c r="AJ248" s="450">
        <v>715</v>
      </c>
    </row>
    <row r="249" spans="2:36" x14ac:dyDescent="0.25">
      <c r="B249" s="370">
        <v>42563</v>
      </c>
      <c r="C249" s="372">
        <v>42569</v>
      </c>
      <c r="D249" s="409"/>
      <c r="E249" s="451">
        <v>596</v>
      </c>
      <c r="F249" s="450">
        <v>149</v>
      </c>
      <c r="G249" s="448"/>
      <c r="H249" s="451">
        <v>2206</v>
      </c>
      <c r="I249" s="451">
        <v>442</v>
      </c>
      <c r="J249" s="448"/>
      <c r="K249" s="451">
        <v>2041</v>
      </c>
      <c r="L249" s="451">
        <v>624</v>
      </c>
      <c r="M249" s="448"/>
      <c r="N249" s="451">
        <v>1320</v>
      </c>
      <c r="O249" s="450">
        <v>474</v>
      </c>
      <c r="P249" s="448"/>
      <c r="Q249" s="451">
        <v>1812</v>
      </c>
      <c r="R249" s="451">
        <v>413</v>
      </c>
      <c r="S249" s="448"/>
      <c r="T249" s="451">
        <v>1116</v>
      </c>
      <c r="U249" s="451">
        <v>432</v>
      </c>
      <c r="V249" s="447"/>
      <c r="W249" s="451">
        <v>437</v>
      </c>
      <c r="X249" s="451">
        <v>124</v>
      </c>
      <c r="Y249" s="447"/>
      <c r="Z249" s="451">
        <v>357</v>
      </c>
      <c r="AA249" s="450">
        <v>37</v>
      </c>
      <c r="AB249" s="447"/>
      <c r="AC249" s="451">
        <v>349</v>
      </c>
      <c r="AD249" s="450">
        <v>161</v>
      </c>
      <c r="AE249" s="448"/>
      <c r="AF249" s="452">
        <v>765</v>
      </c>
      <c r="AG249" s="450">
        <v>99</v>
      </c>
      <c r="AH249" s="447"/>
      <c r="AI249" s="450">
        <v>750</v>
      </c>
      <c r="AJ249" s="450">
        <v>639</v>
      </c>
    </row>
    <row r="250" spans="2:36" x14ac:dyDescent="0.25">
      <c r="B250" s="370">
        <v>42570</v>
      </c>
      <c r="C250" s="372">
        <v>42576</v>
      </c>
      <c r="D250" s="409"/>
      <c r="E250" s="451">
        <v>585</v>
      </c>
      <c r="F250" s="450">
        <v>95</v>
      </c>
      <c r="G250" s="448"/>
      <c r="H250" s="451">
        <v>2253</v>
      </c>
      <c r="I250" s="451">
        <v>423</v>
      </c>
      <c r="J250" s="448"/>
      <c r="K250" s="451">
        <v>2124</v>
      </c>
      <c r="L250" s="451">
        <v>732</v>
      </c>
      <c r="M250" s="448"/>
      <c r="N250" s="451">
        <v>1396</v>
      </c>
      <c r="O250" s="450">
        <v>472</v>
      </c>
      <c r="P250" s="448"/>
      <c r="Q250" s="451">
        <v>14916</v>
      </c>
      <c r="R250" s="451">
        <v>3678</v>
      </c>
      <c r="S250" s="448"/>
      <c r="T250" s="451">
        <v>1172</v>
      </c>
      <c r="U250" s="451">
        <v>458</v>
      </c>
      <c r="V250" s="447"/>
      <c r="W250" s="451">
        <v>458</v>
      </c>
      <c r="X250" s="450">
        <v>113</v>
      </c>
      <c r="Y250" s="447"/>
      <c r="Z250" s="451">
        <v>403</v>
      </c>
      <c r="AA250" s="450">
        <v>42</v>
      </c>
      <c r="AB250" s="447"/>
      <c r="AC250" s="451">
        <v>401</v>
      </c>
      <c r="AD250" s="450">
        <v>192</v>
      </c>
      <c r="AE250" s="448"/>
      <c r="AF250" s="452">
        <v>824</v>
      </c>
      <c r="AG250" s="450">
        <v>84</v>
      </c>
      <c r="AH250" s="447"/>
      <c r="AI250" s="450">
        <v>793</v>
      </c>
      <c r="AJ250" s="450">
        <v>637</v>
      </c>
    </row>
    <row r="251" spans="2:36" x14ac:dyDescent="0.25">
      <c r="B251" s="370">
        <v>42577</v>
      </c>
      <c r="C251" s="372">
        <v>42583</v>
      </c>
      <c r="D251" s="409"/>
      <c r="E251" s="451">
        <v>651</v>
      </c>
      <c r="F251" s="450">
        <v>116</v>
      </c>
      <c r="G251" s="448"/>
      <c r="H251" s="451">
        <v>2224</v>
      </c>
      <c r="I251" s="451">
        <v>420</v>
      </c>
      <c r="J251" s="448"/>
      <c r="K251" s="451">
        <v>2206</v>
      </c>
      <c r="L251" s="451">
        <v>698</v>
      </c>
      <c r="M251" s="448"/>
      <c r="N251" s="451">
        <v>1547</v>
      </c>
      <c r="O251" s="450">
        <v>516</v>
      </c>
      <c r="P251" s="448"/>
      <c r="Q251" s="451">
        <v>3193</v>
      </c>
      <c r="R251" s="451">
        <v>699</v>
      </c>
      <c r="S251" s="448"/>
      <c r="T251" s="451">
        <v>1089</v>
      </c>
      <c r="U251" s="451">
        <v>459</v>
      </c>
      <c r="V251" s="447"/>
      <c r="W251" s="451">
        <v>446</v>
      </c>
      <c r="X251" s="450">
        <v>114</v>
      </c>
      <c r="Y251" s="447"/>
      <c r="Z251" s="451">
        <v>327</v>
      </c>
      <c r="AA251" s="450">
        <v>39</v>
      </c>
      <c r="AB251" s="447"/>
      <c r="AC251" s="451">
        <v>404</v>
      </c>
      <c r="AD251" s="450">
        <v>186</v>
      </c>
      <c r="AE251" s="448"/>
      <c r="AF251" s="452">
        <v>863</v>
      </c>
      <c r="AG251" s="450">
        <v>86</v>
      </c>
      <c r="AH251" s="447"/>
      <c r="AI251" s="450">
        <v>978</v>
      </c>
      <c r="AJ251" s="450">
        <v>588</v>
      </c>
    </row>
    <row r="252" spans="2:36" x14ac:dyDescent="0.25">
      <c r="B252" s="370">
        <v>42584</v>
      </c>
      <c r="C252" s="372">
        <v>42590</v>
      </c>
      <c r="D252" s="409"/>
      <c r="E252" s="451">
        <v>621</v>
      </c>
      <c r="F252" s="450">
        <v>109</v>
      </c>
      <c r="G252" s="448"/>
      <c r="H252" s="451">
        <v>2033</v>
      </c>
      <c r="I252" s="451">
        <v>397</v>
      </c>
      <c r="J252" s="448"/>
      <c r="K252" s="451">
        <v>2322</v>
      </c>
      <c r="L252" s="451">
        <v>688</v>
      </c>
      <c r="M252" s="448"/>
      <c r="N252" s="451">
        <v>1343</v>
      </c>
      <c r="O252" s="450">
        <v>396</v>
      </c>
      <c r="P252" s="448"/>
      <c r="Q252" s="451">
        <v>2349</v>
      </c>
      <c r="R252" s="451">
        <v>560</v>
      </c>
      <c r="S252" s="448"/>
      <c r="T252" s="451">
        <v>1039</v>
      </c>
      <c r="U252" s="451">
        <v>398</v>
      </c>
      <c r="V252" s="447"/>
      <c r="W252" s="451">
        <v>427</v>
      </c>
      <c r="X252" s="453">
        <v>117</v>
      </c>
      <c r="Y252" s="447"/>
      <c r="Z252" s="451">
        <v>315</v>
      </c>
      <c r="AA252" s="450">
        <v>25</v>
      </c>
      <c r="AB252" s="447"/>
      <c r="AC252" s="451">
        <v>385</v>
      </c>
      <c r="AD252" s="450">
        <v>140</v>
      </c>
      <c r="AE252" s="448"/>
      <c r="AF252" s="452">
        <v>844</v>
      </c>
      <c r="AG252" s="450">
        <v>75</v>
      </c>
      <c r="AH252" s="447"/>
      <c r="AI252" s="450">
        <v>746</v>
      </c>
      <c r="AJ252" s="450">
        <v>570</v>
      </c>
    </row>
    <row r="253" spans="2:36" x14ac:dyDescent="0.25">
      <c r="B253" s="370">
        <v>42591</v>
      </c>
      <c r="C253" s="372">
        <v>42597</v>
      </c>
      <c r="D253" s="409"/>
      <c r="E253" s="451">
        <v>684</v>
      </c>
      <c r="F253" s="450">
        <v>131</v>
      </c>
      <c r="G253" s="448"/>
      <c r="H253" s="451">
        <v>2094</v>
      </c>
      <c r="I253" s="451">
        <v>419</v>
      </c>
      <c r="J253" s="448"/>
      <c r="K253" s="451">
        <v>2605</v>
      </c>
      <c r="L253" s="451">
        <v>817</v>
      </c>
      <c r="M253" s="448"/>
      <c r="N253" s="451">
        <v>1388</v>
      </c>
      <c r="O253" s="450">
        <v>429</v>
      </c>
      <c r="P253" s="448"/>
      <c r="Q253" s="451">
        <v>2133</v>
      </c>
      <c r="R253" s="451">
        <v>458</v>
      </c>
      <c r="S253" s="448"/>
      <c r="T253" s="451">
        <v>1095</v>
      </c>
      <c r="U253" s="451">
        <v>452</v>
      </c>
      <c r="V253" s="447"/>
      <c r="W253" s="451">
        <v>427</v>
      </c>
      <c r="X253" s="453">
        <v>116</v>
      </c>
      <c r="Y253" s="447"/>
      <c r="Z253" s="451">
        <v>378</v>
      </c>
      <c r="AA253" s="450">
        <v>33</v>
      </c>
      <c r="AB253" s="447"/>
      <c r="AC253" s="451">
        <v>402</v>
      </c>
      <c r="AD253" s="450">
        <v>166</v>
      </c>
      <c r="AE253" s="448"/>
      <c r="AF253" s="452">
        <v>855</v>
      </c>
      <c r="AG253" s="450">
        <v>62</v>
      </c>
      <c r="AH253" s="447"/>
      <c r="AI253" s="451">
        <v>771</v>
      </c>
      <c r="AJ253" s="450">
        <v>571</v>
      </c>
    </row>
    <row r="254" spans="2:36" x14ac:dyDescent="0.25">
      <c r="B254" s="370">
        <v>42598</v>
      </c>
      <c r="C254" s="372">
        <v>42604</v>
      </c>
      <c r="D254" s="409"/>
      <c r="E254" s="451">
        <v>613</v>
      </c>
      <c r="F254" s="450">
        <v>99</v>
      </c>
      <c r="G254" s="448"/>
      <c r="H254" s="451">
        <v>1879</v>
      </c>
      <c r="I254" s="451">
        <v>419</v>
      </c>
      <c r="J254" s="448"/>
      <c r="K254" s="451">
        <v>2302</v>
      </c>
      <c r="L254" s="451">
        <v>702</v>
      </c>
      <c r="M254" s="448"/>
      <c r="N254" s="451">
        <v>1228</v>
      </c>
      <c r="O254" s="450">
        <v>384</v>
      </c>
      <c r="P254" s="448"/>
      <c r="Q254" s="451">
        <v>1866</v>
      </c>
      <c r="R254" s="451">
        <v>402</v>
      </c>
      <c r="S254" s="448"/>
      <c r="T254" s="451">
        <v>895</v>
      </c>
      <c r="U254" s="451">
        <v>346</v>
      </c>
      <c r="V254" s="447"/>
      <c r="W254" s="451">
        <v>394</v>
      </c>
      <c r="X254" s="453">
        <v>113</v>
      </c>
      <c r="Y254" s="447"/>
      <c r="Z254" s="451">
        <v>302</v>
      </c>
      <c r="AA254" s="450">
        <v>42</v>
      </c>
      <c r="AB254" s="447"/>
      <c r="AC254" s="451">
        <v>347</v>
      </c>
      <c r="AD254" s="450">
        <v>135</v>
      </c>
      <c r="AE254" s="448"/>
      <c r="AF254" s="452">
        <v>1060</v>
      </c>
      <c r="AG254" s="450">
        <v>119</v>
      </c>
      <c r="AH254" s="447"/>
      <c r="AI254" s="450">
        <v>775</v>
      </c>
      <c r="AJ254" s="450">
        <v>663</v>
      </c>
    </row>
    <row r="255" spans="2:36" x14ac:dyDescent="0.25">
      <c r="B255" s="370">
        <v>42605</v>
      </c>
      <c r="C255" s="372">
        <v>42611</v>
      </c>
      <c r="D255" s="409"/>
      <c r="E255" s="451">
        <v>678</v>
      </c>
      <c r="F255" s="450">
        <v>169</v>
      </c>
      <c r="G255" s="448"/>
      <c r="H255" s="451">
        <v>2189</v>
      </c>
      <c r="I255" s="451">
        <v>499</v>
      </c>
      <c r="J255" s="448"/>
      <c r="K255" s="451">
        <v>2514</v>
      </c>
      <c r="L255" s="451">
        <v>714</v>
      </c>
      <c r="M255" s="448"/>
      <c r="N255" s="451">
        <v>1304</v>
      </c>
      <c r="O255" s="450">
        <v>414</v>
      </c>
      <c r="P255" s="448"/>
      <c r="Q255" s="451">
        <v>1828</v>
      </c>
      <c r="R255" s="451">
        <v>346</v>
      </c>
      <c r="S255" s="448"/>
      <c r="T255" s="451">
        <v>1042</v>
      </c>
      <c r="U255" s="451">
        <v>434</v>
      </c>
      <c r="V255" s="447"/>
      <c r="W255" s="451">
        <v>399</v>
      </c>
      <c r="X255" s="453">
        <v>104</v>
      </c>
      <c r="Y255" s="447"/>
      <c r="Z255" s="451">
        <v>350</v>
      </c>
      <c r="AA255" s="450">
        <v>48</v>
      </c>
      <c r="AB255" s="447"/>
      <c r="AC255" s="451">
        <v>383</v>
      </c>
      <c r="AD255" s="450">
        <v>177</v>
      </c>
      <c r="AE255" s="448"/>
      <c r="AF255" s="452">
        <v>958</v>
      </c>
      <c r="AG255" s="450">
        <v>136</v>
      </c>
      <c r="AH255" s="447"/>
      <c r="AI255" s="450">
        <v>847</v>
      </c>
      <c r="AJ255" s="450">
        <v>681</v>
      </c>
    </row>
    <row r="256" spans="2:36" x14ac:dyDescent="0.25">
      <c r="B256" s="370">
        <v>42612</v>
      </c>
      <c r="C256" s="372">
        <v>42618</v>
      </c>
      <c r="D256" s="409"/>
      <c r="E256" s="451">
        <v>770</v>
      </c>
      <c r="F256" s="450">
        <v>154</v>
      </c>
      <c r="G256" s="448"/>
      <c r="H256" s="451">
        <v>2214</v>
      </c>
      <c r="I256" s="451">
        <v>421</v>
      </c>
      <c r="J256" s="448"/>
      <c r="K256" s="451">
        <v>2222</v>
      </c>
      <c r="L256" s="451">
        <v>553</v>
      </c>
      <c r="M256" s="448"/>
      <c r="N256" s="451">
        <v>1279</v>
      </c>
      <c r="O256" s="450">
        <v>381</v>
      </c>
      <c r="P256" s="448"/>
      <c r="Q256" s="451">
        <v>11659</v>
      </c>
      <c r="R256" s="451">
        <v>2290</v>
      </c>
      <c r="S256" s="448"/>
      <c r="T256" s="451">
        <v>1032</v>
      </c>
      <c r="U256" s="451">
        <v>341</v>
      </c>
      <c r="V256" s="447"/>
      <c r="W256" s="451">
        <v>422</v>
      </c>
      <c r="X256" s="453">
        <v>117</v>
      </c>
      <c r="Y256" s="447"/>
      <c r="Z256" s="451">
        <v>337</v>
      </c>
      <c r="AA256" s="450">
        <v>36</v>
      </c>
      <c r="AB256" s="447"/>
      <c r="AC256" s="451">
        <v>449</v>
      </c>
      <c r="AD256" s="450">
        <v>172</v>
      </c>
      <c r="AE256" s="448"/>
      <c r="AF256" s="452">
        <v>904</v>
      </c>
      <c r="AG256" s="450">
        <v>85</v>
      </c>
      <c r="AH256" s="447"/>
      <c r="AI256" s="451">
        <v>649</v>
      </c>
      <c r="AJ256" s="450">
        <v>505</v>
      </c>
    </row>
    <row r="257" spans="2:36" x14ac:dyDescent="0.25">
      <c r="B257" s="370">
        <v>42619</v>
      </c>
      <c r="C257" s="372">
        <v>42625</v>
      </c>
      <c r="D257" s="409"/>
      <c r="E257" s="451">
        <v>1050</v>
      </c>
      <c r="F257" s="450">
        <v>211</v>
      </c>
      <c r="G257" s="448"/>
      <c r="H257" s="451">
        <v>3450</v>
      </c>
      <c r="I257" s="451">
        <v>673</v>
      </c>
      <c r="J257" s="448"/>
      <c r="K257" s="451">
        <v>3129</v>
      </c>
      <c r="L257" s="451">
        <v>826</v>
      </c>
      <c r="M257" s="448"/>
      <c r="N257" s="451">
        <v>2034</v>
      </c>
      <c r="O257" s="450">
        <v>668</v>
      </c>
      <c r="P257" s="448"/>
      <c r="Q257" s="451">
        <v>3295</v>
      </c>
      <c r="R257" s="451">
        <v>716</v>
      </c>
      <c r="S257" s="448"/>
      <c r="T257" s="451">
        <v>1329</v>
      </c>
      <c r="U257" s="451">
        <v>456</v>
      </c>
      <c r="V257" s="447"/>
      <c r="W257" s="451">
        <v>488</v>
      </c>
      <c r="X257" s="453">
        <v>145</v>
      </c>
      <c r="Y257" s="447"/>
      <c r="Z257" s="451">
        <v>626</v>
      </c>
      <c r="AA257" s="450">
        <v>62</v>
      </c>
      <c r="AB257" s="447"/>
      <c r="AC257" s="451">
        <v>748</v>
      </c>
      <c r="AD257" s="450">
        <v>297</v>
      </c>
      <c r="AE257" s="448"/>
      <c r="AF257" s="452">
        <v>1315</v>
      </c>
      <c r="AG257" s="450">
        <v>139</v>
      </c>
      <c r="AH257" s="447"/>
      <c r="AI257" s="451">
        <v>669</v>
      </c>
      <c r="AJ257" s="450">
        <v>537</v>
      </c>
    </row>
    <row r="258" spans="2:36" x14ac:dyDescent="0.25">
      <c r="B258" s="370">
        <v>42626</v>
      </c>
      <c r="C258" s="372">
        <v>42632</v>
      </c>
      <c r="D258" s="409"/>
      <c r="E258" s="451">
        <v>805</v>
      </c>
      <c r="F258" s="450">
        <v>146</v>
      </c>
      <c r="G258" s="448"/>
      <c r="H258" s="451">
        <v>2286</v>
      </c>
      <c r="I258" s="451">
        <v>438</v>
      </c>
      <c r="J258" s="448"/>
      <c r="K258" s="451">
        <v>2676</v>
      </c>
      <c r="L258" s="451">
        <v>743</v>
      </c>
      <c r="M258" s="448"/>
      <c r="N258" s="451">
        <v>1454</v>
      </c>
      <c r="O258" s="450">
        <v>451</v>
      </c>
      <c r="P258" s="448"/>
      <c r="Q258" s="451">
        <v>2550</v>
      </c>
      <c r="R258" s="451">
        <v>526</v>
      </c>
      <c r="S258" s="448"/>
      <c r="T258" s="451">
        <v>988</v>
      </c>
      <c r="U258" s="451">
        <v>366</v>
      </c>
      <c r="V258" s="447"/>
      <c r="W258" s="451">
        <v>412</v>
      </c>
      <c r="X258" s="453">
        <v>109</v>
      </c>
      <c r="Y258" s="447"/>
      <c r="Z258" s="451">
        <v>372</v>
      </c>
      <c r="AA258" s="450">
        <v>33</v>
      </c>
      <c r="AB258" s="447"/>
      <c r="AC258" s="451">
        <v>477</v>
      </c>
      <c r="AD258" s="450">
        <v>197</v>
      </c>
      <c r="AE258" s="448"/>
      <c r="AF258" s="452">
        <v>1365</v>
      </c>
      <c r="AG258" s="450">
        <v>163</v>
      </c>
      <c r="AH258" s="447"/>
      <c r="AI258" s="450">
        <v>627</v>
      </c>
      <c r="AJ258" s="450">
        <v>498</v>
      </c>
    </row>
    <row r="259" spans="2:36" x14ac:dyDescent="0.25">
      <c r="B259" s="371">
        <v>42633</v>
      </c>
      <c r="C259" s="371">
        <v>42639</v>
      </c>
      <c r="D259" s="409"/>
      <c r="E259" s="455">
        <v>808</v>
      </c>
      <c r="F259" s="454">
        <v>120</v>
      </c>
      <c r="G259" s="448"/>
      <c r="H259" s="454">
        <v>2351</v>
      </c>
      <c r="I259" s="454">
        <v>347</v>
      </c>
      <c r="J259" s="448"/>
      <c r="K259" s="451">
        <v>2764</v>
      </c>
      <c r="L259" s="451">
        <v>569</v>
      </c>
      <c r="M259" s="448"/>
      <c r="N259" s="451">
        <v>1634</v>
      </c>
      <c r="O259" s="450">
        <v>471</v>
      </c>
      <c r="P259" s="448"/>
      <c r="Q259" s="454">
        <v>2705</v>
      </c>
      <c r="R259" s="454">
        <v>497</v>
      </c>
      <c r="S259" s="448"/>
      <c r="T259" s="451">
        <v>839</v>
      </c>
      <c r="U259" s="451">
        <v>249</v>
      </c>
      <c r="V259" s="447"/>
      <c r="W259" s="454">
        <v>402</v>
      </c>
      <c r="X259" s="454">
        <v>99</v>
      </c>
      <c r="Y259" s="447"/>
      <c r="Z259" s="451">
        <v>364</v>
      </c>
      <c r="AA259" s="450">
        <v>37</v>
      </c>
      <c r="AB259" s="447"/>
      <c r="AC259" s="451">
        <v>480</v>
      </c>
      <c r="AD259" s="450">
        <v>130</v>
      </c>
      <c r="AE259" s="448"/>
      <c r="AF259" s="452">
        <v>1343</v>
      </c>
      <c r="AG259" s="450">
        <v>132</v>
      </c>
      <c r="AH259" s="447"/>
      <c r="AI259" s="450">
        <v>1099</v>
      </c>
      <c r="AJ259" s="450">
        <v>658</v>
      </c>
    </row>
    <row r="260" spans="2:36" x14ac:dyDescent="0.25">
      <c r="B260" s="370">
        <v>42640</v>
      </c>
      <c r="C260" s="372">
        <v>42646</v>
      </c>
      <c r="D260" s="409"/>
      <c r="E260" s="451">
        <v>494</v>
      </c>
      <c r="F260" s="450">
        <v>73</v>
      </c>
      <c r="G260" s="448"/>
      <c r="H260" s="451">
        <v>965</v>
      </c>
      <c r="I260" s="451">
        <v>162</v>
      </c>
      <c r="J260" s="448"/>
      <c r="K260" s="451">
        <v>1624</v>
      </c>
      <c r="L260" s="451">
        <v>445</v>
      </c>
      <c r="M260" s="448"/>
      <c r="N260" s="451">
        <v>665</v>
      </c>
      <c r="O260" s="450">
        <v>179</v>
      </c>
      <c r="P260" s="448"/>
      <c r="Q260" s="451">
        <v>1413</v>
      </c>
      <c r="R260" s="451">
        <v>248</v>
      </c>
      <c r="S260" s="448"/>
      <c r="T260" s="451">
        <v>752</v>
      </c>
      <c r="U260" s="451">
        <v>273</v>
      </c>
      <c r="V260" s="447"/>
      <c r="W260" s="451">
        <v>283</v>
      </c>
      <c r="X260" s="453">
        <v>74</v>
      </c>
      <c r="Y260" s="447"/>
      <c r="Z260" s="451">
        <v>198</v>
      </c>
      <c r="AA260" s="450">
        <v>22</v>
      </c>
      <c r="AB260" s="447"/>
      <c r="AC260" s="451">
        <v>242</v>
      </c>
      <c r="AD260" s="450">
        <v>87</v>
      </c>
      <c r="AE260" s="448"/>
      <c r="AF260" s="452">
        <v>1108</v>
      </c>
      <c r="AG260" s="450">
        <v>99</v>
      </c>
      <c r="AH260" s="447"/>
      <c r="AI260" s="451">
        <v>1067</v>
      </c>
      <c r="AJ260" s="450">
        <v>570</v>
      </c>
    </row>
    <row r="261" spans="2:36" x14ac:dyDescent="0.25">
      <c r="B261" s="370">
        <v>42647</v>
      </c>
      <c r="C261" s="372">
        <v>42653</v>
      </c>
      <c r="D261" s="409"/>
      <c r="E261" s="451">
        <v>436</v>
      </c>
      <c r="F261" s="450">
        <v>55</v>
      </c>
      <c r="G261" s="448"/>
      <c r="H261" s="451">
        <v>535</v>
      </c>
      <c r="I261" s="451">
        <v>82</v>
      </c>
      <c r="J261" s="448"/>
      <c r="K261" s="451">
        <v>983</v>
      </c>
      <c r="L261" s="451">
        <v>291</v>
      </c>
      <c r="M261" s="448"/>
      <c r="N261" s="451">
        <v>294</v>
      </c>
      <c r="O261" s="450">
        <v>50</v>
      </c>
      <c r="P261" s="448"/>
      <c r="Q261" s="451">
        <v>903</v>
      </c>
      <c r="R261" s="451">
        <v>134</v>
      </c>
      <c r="S261" s="448"/>
      <c r="T261" s="451">
        <v>616</v>
      </c>
      <c r="U261" s="451">
        <v>227</v>
      </c>
      <c r="V261" s="447"/>
      <c r="W261" s="451">
        <v>204</v>
      </c>
      <c r="X261" s="453">
        <v>53</v>
      </c>
      <c r="Y261" s="447"/>
      <c r="Z261" s="451">
        <v>185</v>
      </c>
      <c r="AA261" s="450">
        <v>16</v>
      </c>
      <c r="AB261" s="447"/>
      <c r="AC261" s="451">
        <v>180</v>
      </c>
      <c r="AD261" s="450">
        <v>77</v>
      </c>
      <c r="AE261" s="448"/>
      <c r="AF261" s="452">
        <v>1257</v>
      </c>
      <c r="AG261" s="450">
        <v>121</v>
      </c>
      <c r="AH261" s="447"/>
      <c r="AI261" s="451">
        <v>1012</v>
      </c>
      <c r="AJ261" s="450">
        <v>499</v>
      </c>
    </row>
    <row r="262" spans="2:36" x14ac:dyDescent="0.25">
      <c r="B262" s="370">
        <v>42654</v>
      </c>
      <c r="C262" s="372">
        <v>42660</v>
      </c>
      <c r="D262" s="409"/>
      <c r="E262" s="451">
        <v>522</v>
      </c>
      <c r="F262" s="450">
        <v>84</v>
      </c>
      <c r="G262" s="448"/>
      <c r="H262" s="451">
        <v>627</v>
      </c>
      <c r="I262" s="451">
        <v>151</v>
      </c>
      <c r="J262" s="448"/>
      <c r="K262" s="451">
        <v>1070</v>
      </c>
      <c r="L262" s="451">
        <v>341</v>
      </c>
      <c r="M262" s="448"/>
      <c r="N262" s="451">
        <v>303</v>
      </c>
      <c r="O262" s="450">
        <v>73</v>
      </c>
      <c r="P262" s="448"/>
      <c r="Q262" s="451">
        <v>935</v>
      </c>
      <c r="R262" s="451">
        <v>168</v>
      </c>
      <c r="S262" s="448"/>
      <c r="T262" s="451">
        <v>648</v>
      </c>
      <c r="U262" s="451">
        <v>249</v>
      </c>
      <c r="V262" s="447"/>
      <c r="W262" s="451">
        <v>232</v>
      </c>
      <c r="X262" s="453">
        <v>58</v>
      </c>
      <c r="Y262" s="447"/>
      <c r="Z262" s="451">
        <v>146</v>
      </c>
      <c r="AA262" s="450">
        <v>9</v>
      </c>
      <c r="AB262" s="447"/>
      <c r="AC262" s="451">
        <v>195</v>
      </c>
      <c r="AD262" s="450">
        <v>94</v>
      </c>
      <c r="AE262" s="448"/>
      <c r="AF262" s="452">
        <v>1715</v>
      </c>
      <c r="AG262" s="450">
        <v>164</v>
      </c>
      <c r="AH262" s="447"/>
      <c r="AI262" s="451">
        <v>1031</v>
      </c>
      <c r="AJ262" s="450">
        <v>550</v>
      </c>
    </row>
    <row r="263" spans="2:36" x14ac:dyDescent="0.25">
      <c r="B263" s="370">
        <v>42661</v>
      </c>
      <c r="C263" s="372">
        <v>42667</v>
      </c>
      <c r="D263" s="409"/>
      <c r="E263" s="451">
        <v>618</v>
      </c>
      <c r="F263" s="450">
        <v>102</v>
      </c>
      <c r="G263" s="448"/>
      <c r="H263" s="451">
        <v>724</v>
      </c>
      <c r="I263" s="451">
        <v>115</v>
      </c>
      <c r="J263" s="448"/>
      <c r="K263" s="451">
        <v>1065</v>
      </c>
      <c r="L263" s="451">
        <v>327</v>
      </c>
      <c r="M263" s="448"/>
      <c r="N263" s="451">
        <v>330</v>
      </c>
      <c r="O263" s="450">
        <v>76</v>
      </c>
      <c r="P263" s="448"/>
      <c r="Q263" s="451">
        <v>925</v>
      </c>
      <c r="R263" s="451">
        <v>161</v>
      </c>
      <c r="S263" s="448"/>
      <c r="T263" s="451">
        <v>641</v>
      </c>
      <c r="U263" s="451">
        <v>229</v>
      </c>
      <c r="V263" s="447"/>
      <c r="W263" s="451">
        <v>240</v>
      </c>
      <c r="X263" s="453">
        <v>67</v>
      </c>
      <c r="Y263" s="447"/>
      <c r="Z263" s="451">
        <v>165</v>
      </c>
      <c r="AA263" s="450">
        <v>15</v>
      </c>
      <c r="AB263" s="447"/>
      <c r="AC263" s="451">
        <v>193</v>
      </c>
      <c r="AD263" s="450">
        <v>88</v>
      </c>
      <c r="AE263" s="448"/>
      <c r="AF263" s="452">
        <v>1735</v>
      </c>
      <c r="AG263" s="450">
        <v>170</v>
      </c>
      <c r="AH263" s="447"/>
      <c r="AI263" s="451">
        <v>1035</v>
      </c>
      <c r="AJ263" s="450">
        <v>543</v>
      </c>
    </row>
    <row r="264" spans="2:36" x14ac:dyDescent="0.25">
      <c r="B264" s="370">
        <v>42668</v>
      </c>
      <c r="C264" s="372">
        <v>42674</v>
      </c>
      <c r="D264" s="409"/>
      <c r="E264" s="451">
        <v>647</v>
      </c>
      <c r="F264" s="450">
        <v>101</v>
      </c>
      <c r="G264" s="448"/>
      <c r="H264" s="451">
        <v>622</v>
      </c>
      <c r="I264" s="451">
        <v>108</v>
      </c>
      <c r="J264" s="448"/>
      <c r="K264" s="451">
        <v>956</v>
      </c>
      <c r="L264" s="451">
        <v>302</v>
      </c>
      <c r="M264" s="448"/>
      <c r="N264" s="451">
        <v>280</v>
      </c>
      <c r="O264" s="450">
        <v>57</v>
      </c>
      <c r="P264" s="448"/>
      <c r="Q264" s="451">
        <v>893</v>
      </c>
      <c r="R264" s="451">
        <v>159</v>
      </c>
      <c r="S264" s="448"/>
      <c r="T264" s="451">
        <v>603</v>
      </c>
      <c r="U264" s="451">
        <v>212</v>
      </c>
      <c r="V264" s="447"/>
      <c r="W264" s="451">
        <v>233</v>
      </c>
      <c r="X264" s="453">
        <v>64</v>
      </c>
      <c r="Y264" s="447"/>
      <c r="Z264" s="451">
        <v>136</v>
      </c>
      <c r="AA264" s="450">
        <v>20</v>
      </c>
      <c r="AB264" s="447"/>
      <c r="AC264" s="451">
        <v>183</v>
      </c>
      <c r="AD264" s="450">
        <v>89</v>
      </c>
      <c r="AE264" s="448"/>
      <c r="AF264" s="452">
        <v>1827</v>
      </c>
      <c r="AG264" s="450">
        <v>154</v>
      </c>
      <c r="AH264" s="447"/>
      <c r="AI264" s="451">
        <v>951</v>
      </c>
      <c r="AJ264" s="450">
        <v>552</v>
      </c>
    </row>
    <row r="265" spans="2:36" x14ac:dyDescent="0.25">
      <c r="B265" s="370">
        <v>42675</v>
      </c>
      <c r="C265" s="372">
        <v>42681</v>
      </c>
      <c r="D265" s="409"/>
      <c r="E265" s="451">
        <v>673</v>
      </c>
      <c r="F265" s="450">
        <v>105</v>
      </c>
      <c r="G265" s="448"/>
      <c r="H265" s="451">
        <v>587</v>
      </c>
      <c r="I265" s="451">
        <v>104</v>
      </c>
      <c r="J265" s="448"/>
      <c r="K265" s="451">
        <v>982</v>
      </c>
      <c r="L265" s="451">
        <v>333</v>
      </c>
      <c r="M265" s="448"/>
      <c r="N265" s="451">
        <v>335</v>
      </c>
      <c r="O265" s="450">
        <v>63</v>
      </c>
      <c r="P265" s="448"/>
      <c r="Q265" s="451">
        <v>970</v>
      </c>
      <c r="R265" s="451">
        <v>176</v>
      </c>
      <c r="S265" s="448"/>
      <c r="T265" s="451">
        <v>692</v>
      </c>
      <c r="U265" s="451">
        <v>270</v>
      </c>
      <c r="V265" s="447"/>
      <c r="W265" s="451">
        <v>237</v>
      </c>
      <c r="X265" s="453">
        <v>61</v>
      </c>
      <c r="Y265" s="447"/>
      <c r="Z265" s="451">
        <v>161</v>
      </c>
      <c r="AA265" s="450">
        <v>21</v>
      </c>
      <c r="AB265" s="447"/>
      <c r="AC265" s="451">
        <v>251</v>
      </c>
      <c r="AD265" s="450">
        <v>95</v>
      </c>
      <c r="AE265" s="448"/>
      <c r="AF265" s="452">
        <v>1937</v>
      </c>
      <c r="AG265" s="450">
        <v>148</v>
      </c>
      <c r="AH265" s="447"/>
      <c r="AI265" s="451">
        <v>928</v>
      </c>
      <c r="AJ265" s="450">
        <v>502</v>
      </c>
    </row>
    <row r="266" spans="2:36" x14ac:dyDescent="0.25">
      <c r="B266" s="370">
        <v>42682</v>
      </c>
      <c r="C266" s="372">
        <v>42688</v>
      </c>
      <c r="D266" s="409"/>
      <c r="E266" s="451">
        <v>7184</v>
      </c>
      <c r="F266" s="450">
        <v>914</v>
      </c>
      <c r="G266" s="448"/>
      <c r="H266" s="451">
        <v>2737</v>
      </c>
      <c r="I266" s="451">
        <v>307</v>
      </c>
      <c r="J266" s="448"/>
      <c r="K266" s="451">
        <v>2908</v>
      </c>
      <c r="L266" s="451">
        <v>588</v>
      </c>
      <c r="M266" s="448"/>
      <c r="N266" s="451">
        <v>3003</v>
      </c>
      <c r="O266" s="450">
        <v>740</v>
      </c>
      <c r="P266" s="448"/>
      <c r="Q266" s="451">
        <v>3776</v>
      </c>
      <c r="R266" s="451">
        <v>726</v>
      </c>
      <c r="S266" s="448"/>
      <c r="T266" s="451">
        <v>2778</v>
      </c>
      <c r="U266" s="451">
        <v>729</v>
      </c>
      <c r="V266" s="447"/>
      <c r="W266" s="451">
        <v>4738</v>
      </c>
      <c r="X266" s="453">
        <v>980</v>
      </c>
      <c r="Y266" s="447"/>
      <c r="Z266" s="451">
        <v>4668</v>
      </c>
      <c r="AA266" s="450">
        <v>413</v>
      </c>
      <c r="AB266" s="447"/>
      <c r="AC266" s="451">
        <v>4512</v>
      </c>
      <c r="AD266" s="450">
        <v>920</v>
      </c>
      <c r="AE266" s="448"/>
      <c r="AF266" s="452">
        <v>2264</v>
      </c>
      <c r="AG266" s="450">
        <v>173</v>
      </c>
      <c r="AH266" s="447"/>
      <c r="AI266" s="451">
        <v>904</v>
      </c>
      <c r="AJ266" s="450">
        <v>509</v>
      </c>
    </row>
    <row r="267" spans="2:36" x14ac:dyDescent="0.25">
      <c r="B267" s="370">
        <v>42689</v>
      </c>
      <c r="C267" s="372">
        <v>42695</v>
      </c>
      <c r="D267" s="409"/>
      <c r="E267" s="451">
        <v>2038</v>
      </c>
      <c r="F267" s="450">
        <v>349</v>
      </c>
      <c r="G267" s="448"/>
      <c r="H267" s="451">
        <v>2270</v>
      </c>
      <c r="I267" s="451">
        <v>319</v>
      </c>
      <c r="J267" s="448"/>
      <c r="K267" s="451">
        <v>1354</v>
      </c>
      <c r="L267" s="451">
        <v>328</v>
      </c>
      <c r="M267" s="448"/>
      <c r="N267" s="451">
        <v>1888</v>
      </c>
      <c r="O267" s="450">
        <v>480</v>
      </c>
      <c r="P267" s="448"/>
      <c r="Q267" s="451">
        <v>1412</v>
      </c>
      <c r="R267" s="451">
        <v>221</v>
      </c>
      <c r="S267" s="448"/>
      <c r="T267" s="451">
        <v>921</v>
      </c>
      <c r="U267" s="451">
        <v>284</v>
      </c>
      <c r="V267" s="447"/>
      <c r="W267" s="451">
        <v>555</v>
      </c>
      <c r="X267" s="453">
        <v>114</v>
      </c>
      <c r="Y267" s="447"/>
      <c r="Z267" s="451">
        <v>739</v>
      </c>
      <c r="AA267" s="450">
        <v>54</v>
      </c>
      <c r="AB267" s="447"/>
      <c r="AC267" s="451">
        <v>765</v>
      </c>
      <c r="AD267" s="450">
        <v>202</v>
      </c>
      <c r="AE267" s="448"/>
      <c r="AF267" s="452">
        <v>2042</v>
      </c>
      <c r="AG267" s="450">
        <v>177</v>
      </c>
      <c r="AH267" s="447"/>
      <c r="AI267" s="451">
        <v>1191</v>
      </c>
      <c r="AJ267" s="450">
        <v>645</v>
      </c>
    </row>
    <row r="268" spans="2:36" x14ac:dyDescent="0.25">
      <c r="B268" s="370">
        <v>42696</v>
      </c>
      <c r="C268" s="372">
        <v>42702</v>
      </c>
      <c r="D268" s="409"/>
      <c r="E268" s="451">
        <v>1554</v>
      </c>
      <c r="F268" s="450">
        <v>293</v>
      </c>
      <c r="G268" s="448"/>
      <c r="H268" s="451">
        <v>1867</v>
      </c>
      <c r="I268" s="451">
        <v>272</v>
      </c>
      <c r="J268" s="448"/>
      <c r="K268" s="451">
        <v>863</v>
      </c>
      <c r="L268" s="451">
        <v>233</v>
      </c>
      <c r="M268" s="448"/>
      <c r="N268" s="451">
        <v>1487</v>
      </c>
      <c r="O268" s="450">
        <v>450</v>
      </c>
      <c r="P268" s="448"/>
      <c r="Q268" s="451">
        <v>1053</v>
      </c>
      <c r="R268" s="451">
        <v>156</v>
      </c>
      <c r="S268" s="448"/>
      <c r="T268" s="451">
        <v>667</v>
      </c>
      <c r="U268" s="451">
        <v>227</v>
      </c>
      <c r="V268" s="447"/>
      <c r="W268" s="451">
        <v>321</v>
      </c>
      <c r="X268" s="453">
        <v>120</v>
      </c>
      <c r="Y268" s="447"/>
      <c r="Z268" s="451">
        <v>669</v>
      </c>
      <c r="AA268" s="450">
        <v>94</v>
      </c>
      <c r="AB268" s="447"/>
      <c r="AC268" s="451">
        <v>468</v>
      </c>
      <c r="AD268" s="450">
        <v>114</v>
      </c>
      <c r="AE268" s="448"/>
      <c r="AF268" s="452">
        <v>1634</v>
      </c>
      <c r="AG268" s="450">
        <v>146</v>
      </c>
      <c r="AH268" s="447"/>
      <c r="AI268" s="451">
        <v>1019</v>
      </c>
      <c r="AJ268" s="450">
        <v>609</v>
      </c>
    </row>
    <row r="269" spans="2:36" x14ac:dyDescent="0.25">
      <c r="B269" s="377">
        <v>42703</v>
      </c>
      <c r="C269" s="377">
        <v>42709</v>
      </c>
      <c r="D269" s="409"/>
      <c r="E269" s="446">
        <v>1211</v>
      </c>
      <c r="F269" s="445">
        <v>238</v>
      </c>
      <c r="G269" s="448"/>
      <c r="H269" s="446">
        <v>1476</v>
      </c>
      <c r="I269" s="446">
        <v>272</v>
      </c>
      <c r="J269" s="448"/>
      <c r="K269" s="446">
        <v>933</v>
      </c>
      <c r="L269" s="446">
        <v>224</v>
      </c>
      <c r="M269" s="448"/>
      <c r="N269" s="446">
        <v>993</v>
      </c>
      <c r="O269" s="445">
        <v>242</v>
      </c>
      <c r="P269" s="448"/>
      <c r="Q269" s="446">
        <v>1032</v>
      </c>
      <c r="R269" s="446">
        <v>242</v>
      </c>
      <c r="S269" s="448"/>
      <c r="T269" s="446">
        <v>602</v>
      </c>
      <c r="U269" s="446">
        <v>234</v>
      </c>
      <c r="V269" s="447"/>
      <c r="W269" s="446">
        <v>269</v>
      </c>
      <c r="X269" s="449">
        <v>96</v>
      </c>
      <c r="Y269" s="447"/>
      <c r="Z269" s="446">
        <v>565</v>
      </c>
      <c r="AA269" s="445">
        <v>223</v>
      </c>
      <c r="AB269" s="447"/>
      <c r="AC269" s="446">
        <v>446</v>
      </c>
      <c r="AD269" s="445">
        <v>136</v>
      </c>
      <c r="AE269" s="448"/>
      <c r="AF269" s="446">
        <v>1821</v>
      </c>
      <c r="AG269" s="445">
        <v>216</v>
      </c>
      <c r="AH269" s="447"/>
      <c r="AI269" s="446">
        <v>1131</v>
      </c>
      <c r="AJ269" s="445">
        <v>507</v>
      </c>
    </row>
    <row r="270" spans="2:36" x14ac:dyDescent="0.25">
      <c r="B270" s="377">
        <v>42710</v>
      </c>
      <c r="C270" s="377">
        <v>42716</v>
      </c>
      <c r="D270" s="409"/>
      <c r="E270" s="446">
        <v>1837</v>
      </c>
      <c r="F270" s="445">
        <v>345</v>
      </c>
      <c r="G270" s="448"/>
      <c r="H270" s="446">
        <v>2356</v>
      </c>
      <c r="I270" s="446">
        <v>417</v>
      </c>
      <c r="J270" s="448"/>
      <c r="K270" s="446">
        <v>1146</v>
      </c>
      <c r="L270" s="446">
        <v>398</v>
      </c>
      <c r="M270" s="448"/>
      <c r="N270" s="446">
        <v>1768</v>
      </c>
      <c r="O270" s="445">
        <v>473</v>
      </c>
      <c r="P270" s="448"/>
      <c r="Q270" s="446">
        <v>1316</v>
      </c>
      <c r="R270" s="446">
        <v>310</v>
      </c>
      <c r="S270" s="448"/>
      <c r="T270" s="446">
        <v>739</v>
      </c>
      <c r="U270" s="446">
        <v>264</v>
      </c>
      <c r="V270" s="447"/>
      <c r="W270" s="446">
        <v>302</v>
      </c>
      <c r="X270" s="449">
        <v>89</v>
      </c>
      <c r="Y270" s="447"/>
      <c r="Z270" s="446">
        <v>913</v>
      </c>
      <c r="AA270" s="445">
        <v>361</v>
      </c>
      <c r="AB270" s="447"/>
      <c r="AC270" s="446">
        <v>652</v>
      </c>
      <c r="AD270" s="445">
        <v>181</v>
      </c>
      <c r="AE270" s="448"/>
      <c r="AF270" s="446">
        <v>1960</v>
      </c>
      <c r="AG270" s="445">
        <v>228</v>
      </c>
      <c r="AH270" s="447"/>
      <c r="AI270" s="446">
        <v>1328</v>
      </c>
      <c r="AJ270" s="445">
        <v>583</v>
      </c>
    </row>
    <row r="271" spans="2:36" x14ac:dyDescent="0.25">
      <c r="B271" s="377">
        <v>42717</v>
      </c>
      <c r="C271" s="377">
        <v>42723</v>
      </c>
      <c r="D271" s="409"/>
      <c r="E271" s="446">
        <v>1775</v>
      </c>
      <c r="F271" s="445">
        <v>334</v>
      </c>
      <c r="G271" s="448"/>
      <c r="H271" s="446">
        <v>2297</v>
      </c>
      <c r="I271" s="446">
        <v>427</v>
      </c>
      <c r="J271" s="448"/>
      <c r="K271" s="446">
        <v>962</v>
      </c>
      <c r="L271" s="446">
        <v>341</v>
      </c>
      <c r="M271" s="448"/>
      <c r="N271" s="446">
        <v>1511</v>
      </c>
      <c r="O271" s="445">
        <v>369</v>
      </c>
      <c r="P271" s="448"/>
      <c r="Q271" s="446">
        <v>1352</v>
      </c>
      <c r="R271" s="446">
        <v>357</v>
      </c>
      <c r="S271" s="448"/>
      <c r="T271" s="446">
        <v>625</v>
      </c>
      <c r="U271" s="446">
        <v>208</v>
      </c>
      <c r="V271" s="447"/>
      <c r="W271" s="446">
        <v>320</v>
      </c>
      <c r="X271" s="449">
        <v>118</v>
      </c>
      <c r="Y271" s="447"/>
      <c r="Z271" s="446">
        <v>1097</v>
      </c>
      <c r="AA271" s="445">
        <v>456</v>
      </c>
      <c r="AB271" s="447"/>
      <c r="AC271" s="446">
        <v>664</v>
      </c>
      <c r="AD271" s="445">
        <v>187</v>
      </c>
      <c r="AE271" s="448"/>
      <c r="AF271" s="446">
        <v>1814</v>
      </c>
      <c r="AG271" s="445">
        <v>200</v>
      </c>
      <c r="AH271" s="447"/>
      <c r="AI271" s="446">
        <v>1146</v>
      </c>
      <c r="AJ271" s="445">
        <v>508</v>
      </c>
    </row>
    <row r="272" spans="2:36" x14ac:dyDescent="0.25">
      <c r="B272" s="377">
        <v>42724</v>
      </c>
      <c r="C272" s="377">
        <v>42730</v>
      </c>
      <c r="D272" s="409"/>
      <c r="E272" s="446">
        <v>1552</v>
      </c>
      <c r="F272" s="445">
        <v>282</v>
      </c>
      <c r="G272" s="448"/>
      <c r="H272" s="446">
        <v>2293</v>
      </c>
      <c r="I272" s="446">
        <v>352</v>
      </c>
      <c r="J272" s="448"/>
      <c r="K272" s="446">
        <v>730</v>
      </c>
      <c r="L272" s="446">
        <v>224</v>
      </c>
      <c r="M272" s="448"/>
      <c r="N272" s="446">
        <v>1406</v>
      </c>
      <c r="O272" s="445">
        <v>353</v>
      </c>
      <c r="P272" s="448"/>
      <c r="Q272" s="446">
        <v>1262</v>
      </c>
      <c r="R272" s="446">
        <v>333</v>
      </c>
      <c r="S272" s="448"/>
      <c r="T272" s="446">
        <v>620</v>
      </c>
      <c r="U272" s="446">
        <v>230</v>
      </c>
      <c r="V272" s="447"/>
      <c r="W272" s="446">
        <v>280</v>
      </c>
      <c r="X272" s="449">
        <v>104</v>
      </c>
      <c r="Y272" s="447"/>
      <c r="Z272" s="446">
        <v>1068</v>
      </c>
      <c r="AA272" s="445">
        <v>401</v>
      </c>
      <c r="AB272" s="447"/>
      <c r="AC272" s="446">
        <v>606</v>
      </c>
      <c r="AD272" s="445">
        <v>148</v>
      </c>
      <c r="AE272" s="448"/>
      <c r="AF272" s="446">
        <v>1428</v>
      </c>
      <c r="AG272" s="445">
        <v>156</v>
      </c>
      <c r="AH272" s="447"/>
      <c r="AI272" s="446">
        <v>969</v>
      </c>
      <c r="AJ272" s="445">
        <v>461</v>
      </c>
    </row>
    <row r="273" spans="1:60" x14ac:dyDescent="0.25">
      <c r="B273" s="377">
        <v>42731</v>
      </c>
      <c r="C273" s="377">
        <v>42737</v>
      </c>
      <c r="D273" s="409"/>
      <c r="E273" s="446">
        <v>2104</v>
      </c>
      <c r="F273" s="445">
        <v>401</v>
      </c>
      <c r="G273" s="448"/>
      <c r="H273" s="446">
        <v>2356</v>
      </c>
      <c r="I273" s="446">
        <v>435</v>
      </c>
      <c r="J273" s="448"/>
      <c r="K273" s="446">
        <v>868</v>
      </c>
      <c r="L273" s="446">
        <v>246</v>
      </c>
      <c r="M273" s="448"/>
      <c r="N273" s="446">
        <v>1518</v>
      </c>
      <c r="O273" s="445">
        <v>397</v>
      </c>
      <c r="P273" s="448"/>
      <c r="Q273" s="446">
        <v>1452</v>
      </c>
      <c r="R273" s="446">
        <v>391</v>
      </c>
      <c r="S273" s="448"/>
      <c r="T273" s="446">
        <v>761</v>
      </c>
      <c r="U273" s="446">
        <v>320</v>
      </c>
      <c r="V273" s="447"/>
      <c r="W273" s="446">
        <v>303</v>
      </c>
      <c r="X273" s="449">
        <v>106</v>
      </c>
      <c r="Y273" s="447"/>
      <c r="Z273" s="446">
        <v>1240</v>
      </c>
      <c r="AA273" s="445">
        <v>531</v>
      </c>
      <c r="AB273" s="447"/>
      <c r="AC273" s="446">
        <v>636</v>
      </c>
      <c r="AD273" s="445">
        <v>174</v>
      </c>
      <c r="AE273" s="448"/>
      <c r="AF273" s="446">
        <v>1982</v>
      </c>
      <c r="AG273" s="445">
        <v>243</v>
      </c>
      <c r="AH273" s="447"/>
      <c r="AI273" s="446">
        <v>1225</v>
      </c>
      <c r="AJ273" s="445">
        <v>625</v>
      </c>
    </row>
    <row r="274" spans="1:60" x14ac:dyDescent="0.25">
      <c r="B274" s="377">
        <v>42738</v>
      </c>
      <c r="C274" s="377">
        <v>42744</v>
      </c>
      <c r="D274" s="409"/>
      <c r="E274" s="446">
        <v>2332</v>
      </c>
      <c r="F274" s="445">
        <v>458</v>
      </c>
      <c r="G274" s="448"/>
      <c r="H274" s="446">
        <v>2494</v>
      </c>
      <c r="I274" s="446">
        <v>527</v>
      </c>
      <c r="J274" s="448"/>
      <c r="K274" s="446">
        <v>1413</v>
      </c>
      <c r="L274" s="446">
        <v>422</v>
      </c>
      <c r="M274" s="448"/>
      <c r="N274" s="446">
        <v>1739</v>
      </c>
      <c r="O274" s="445">
        <v>458</v>
      </c>
      <c r="P274" s="448"/>
      <c r="Q274" s="446">
        <v>1810</v>
      </c>
      <c r="R274" s="446">
        <v>476</v>
      </c>
      <c r="S274" s="448"/>
      <c r="T274" s="446">
        <v>1100</v>
      </c>
      <c r="U274" s="446">
        <v>417</v>
      </c>
      <c r="V274" s="447"/>
      <c r="W274" s="446">
        <v>456</v>
      </c>
      <c r="X274" s="449">
        <v>161</v>
      </c>
      <c r="Y274" s="447"/>
      <c r="Z274" s="446">
        <v>1283</v>
      </c>
      <c r="AA274" s="445">
        <v>554</v>
      </c>
      <c r="AB274" s="447"/>
      <c r="AC274" s="446">
        <v>676</v>
      </c>
      <c r="AD274" s="445">
        <v>229</v>
      </c>
      <c r="AE274" s="448"/>
      <c r="AF274" s="446">
        <v>2325</v>
      </c>
      <c r="AG274" s="445">
        <v>258</v>
      </c>
      <c r="AH274" s="447"/>
      <c r="AI274" s="446">
        <v>1400</v>
      </c>
      <c r="AJ274" s="445">
        <v>664</v>
      </c>
    </row>
    <row r="275" spans="1:60" x14ac:dyDescent="0.25">
      <c r="B275" s="377">
        <v>42745</v>
      </c>
      <c r="C275" s="377">
        <v>42751</v>
      </c>
      <c r="D275" s="409"/>
      <c r="E275" s="446">
        <v>2280</v>
      </c>
      <c r="F275" s="445">
        <v>427</v>
      </c>
      <c r="G275" s="448"/>
      <c r="H275" s="446">
        <v>2249</v>
      </c>
      <c r="I275" s="446">
        <v>454</v>
      </c>
      <c r="J275" s="448"/>
      <c r="K275" s="446">
        <v>1211</v>
      </c>
      <c r="L275" s="446">
        <v>352</v>
      </c>
      <c r="M275" s="448"/>
      <c r="N275" s="446">
        <v>1722</v>
      </c>
      <c r="O275" s="445">
        <v>480</v>
      </c>
      <c r="P275" s="448"/>
      <c r="Q275" s="446">
        <v>1646</v>
      </c>
      <c r="R275" s="446">
        <v>404</v>
      </c>
      <c r="S275" s="448"/>
      <c r="T275" s="446">
        <v>1205</v>
      </c>
      <c r="U275" s="446">
        <v>492</v>
      </c>
      <c r="V275" s="447"/>
      <c r="W275" s="446">
        <v>487</v>
      </c>
      <c r="X275" s="449">
        <v>168</v>
      </c>
      <c r="Y275" s="447"/>
      <c r="Z275" s="446">
        <v>1448</v>
      </c>
      <c r="AA275" s="445">
        <v>619</v>
      </c>
      <c r="AB275" s="447"/>
      <c r="AC275" s="446">
        <v>809</v>
      </c>
      <c r="AD275" s="445">
        <v>270</v>
      </c>
      <c r="AE275" s="448"/>
      <c r="AF275" s="446">
        <v>2401</v>
      </c>
      <c r="AG275" s="445">
        <v>269</v>
      </c>
      <c r="AH275" s="447"/>
      <c r="AI275" s="446">
        <v>1369</v>
      </c>
      <c r="AJ275" s="445">
        <v>645</v>
      </c>
    </row>
    <row r="276" spans="1:60" x14ac:dyDescent="0.25">
      <c r="B276" s="377">
        <v>42752</v>
      </c>
      <c r="C276" s="377">
        <v>42758</v>
      </c>
      <c r="D276" s="409"/>
      <c r="E276" s="446">
        <v>2612</v>
      </c>
      <c r="F276" s="445">
        <v>501</v>
      </c>
      <c r="G276" s="448"/>
      <c r="H276" s="446">
        <v>2673</v>
      </c>
      <c r="I276" s="446">
        <v>596</v>
      </c>
      <c r="J276" s="448"/>
      <c r="K276" s="446">
        <v>1187</v>
      </c>
      <c r="L276" s="446">
        <v>344</v>
      </c>
      <c r="M276" s="448"/>
      <c r="N276" s="446">
        <v>1888</v>
      </c>
      <c r="O276" s="445">
        <v>506</v>
      </c>
      <c r="P276" s="448"/>
      <c r="Q276" s="446">
        <v>2051</v>
      </c>
      <c r="R276" s="446">
        <v>514</v>
      </c>
      <c r="S276" s="448"/>
      <c r="T276" s="446">
        <v>1088</v>
      </c>
      <c r="U276" s="446">
        <v>479</v>
      </c>
      <c r="V276" s="447"/>
      <c r="W276" s="446">
        <v>413</v>
      </c>
      <c r="X276" s="449">
        <v>142</v>
      </c>
      <c r="Y276" s="447"/>
      <c r="Z276" s="446">
        <v>1640</v>
      </c>
      <c r="AA276" s="445">
        <v>713</v>
      </c>
      <c r="AB276" s="447"/>
      <c r="AC276" s="446">
        <v>1056</v>
      </c>
      <c r="AD276" s="445">
        <v>345</v>
      </c>
      <c r="AE276" s="448"/>
      <c r="AF276" s="446">
        <v>2547</v>
      </c>
      <c r="AG276" s="445">
        <v>275</v>
      </c>
      <c r="AH276" s="447"/>
      <c r="AI276" s="446">
        <v>1558</v>
      </c>
      <c r="AJ276" s="445">
        <v>782</v>
      </c>
    </row>
    <row r="277" spans="1:60" x14ac:dyDescent="0.25">
      <c r="B277" s="377">
        <v>42759</v>
      </c>
      <c r="C277" s="377">
        <v>42765</v>
      </c>
      <c r="D277" s="409"/>
      <c r="E277" s="446">
        <v>2728</v>
      </c>
      <c r="F277" s="445">
        <v>524</v>
      </c>
      <c r="G277" s="448"/>
      <c r="H277" s="446">
        <v>2903</v>
      </c>
      <c r="I277" s="446">
        <v>646</v>
      </c>
      <c r="J277" s="448"/>
      <c r="K277" s="446">
        <v>1116</v>
      </c>
      <c r="L277" s="446">
        <v>322</v>
      </c>
      <c r="M277" s="448"/>
      <c r="N277" s="446">
        <v>1858</v>
      </c>
      <c r="O277" s="445">
        <v>482</v>
      </c>
      <c r="P277" s="448"/>
      <c r="Q277" s="446">
        <v>2125</v>
      </c>
      <c r="R277" s="446">
        <v>549</v>
      </c>
      <c r="S277" s="448"/>
      <c r="T277" s="446">
        <v>1243</v>
      </c>
      <c r="U277" s="446">
        <v>531</v>
      </c>
      <c r="V277" s="447"/>
      <c r="W277" s="446">
        <v>387</v>
      </c>
      <c r="X277" s="449">
        <v>145</v>
      </c>
      <c r="Y277" s="447"/>
      <c r="Z277" s="446">
        <v>1759</v>
      </c>
      <c r="AA277" s="445">
        <v>693</v>
      </c>
      <c r="AB277" s="447"/>
      <c r="AC277" s="446">
        <v>1166</v>
      </c>
      <c r="AD277" s="445">
        <v>396</v>
      </c>
      <c r="AE277" s="448"/>
      <c r="AF277" s="446">
        <v>2737</v>
      </c>
      <c r="AG277" s="445">
        <v>297</v>
      </c>
      <c r="AH277" s="447"/>
      <c r="AI277" s="446">
        <v>1544</v>
      </c>
      <c r="AJ277" s="445">
        <v>753</v>
      </c>
    </row>
    <row r="278" spans="1:60" x14ac:dyDescent="0.25">
      <c r="B278" s="377">
        <v>42766</v>
      </c>
      <c r="C278" s="377">
        <v>42772</v>
      </c>
      <c r="D278" s="409"/>
      <c r="E278" s="446">
        <v>2808</v>
      </c>
      <c r="F278" s="445">
        <v>531</v>
      </c>
      <c r="G278" s="448"/>
      <c r="H278" s="446">
        <v>2933</v>
      </c>
      <c r="I278" s="446">
        <v>717</v>
      </c>
      <c r="J278" s="448"/>
      <c r="K278" s="446">
        <v>11935</v>
      </c>
      <c r="L278" s="446">
        <v>2716</v>
      </c>
      <c r="M278" s="448"/>
      <c r="N278" s="446">
        <v>2240</v>
      </c>
      <c r="O278" s="445">
        <v>587</v>
      </c>
      <c r="P278" s="448"/>
      <c r="Q278" s="446">
        <v>2124</v>
      </c>
      <c r="R278" s="446">
        <v>546</v>
      </c>
      <c r="S278" s="448"/>
      <c r="T278" s="446">
        <v>1157</v>
      </c>
      <c r="U278" s="446">
        <v>498</v>
      </c>
      <c r="V278" s="447"/>
      <c r="W278" s="446">
        <v>401</v>
      </c>
      <c r="X278" s="449">
        <v>149</v>
      </c>
      <c r="Y278" s="447"/>
      <c r="Z278" s="446">
        <v>1851</v>
      </c>
      <c r="AA278" s="445">
        <v>784</v>
      </c>
      <c r="AB278" s="447"/>
      <c r="AC278" s="446">
        <v>1056</v>
      </c>
      <c r="AD278" s="445">
        <v>383</v>
      </c>
      <c r="AE278" s="448"/>
      <c r="AF278" s="446">
        <v>2534</v>
      </c>
      <c r="AG278" s="445">
        <v>289</v>
      </c>
      <c r="AH278" s="447"/>
      <c r="AI278" s="446">
        <v>1628</v>
      </c>
      <c r="AJ278" s="445">
        <v>758</v>
      </c>
    </row>
    <row r="279" spans="1:60" x14ac:dyDescent="0.25">
      <c r="B279" s="377">
        <v>42773</v>
      </c>
      <c r="C279" s="377">
        <v>42779</v>
      </c>
      <c r="D279" s="409"/>
      <c r="E279" s="446">
        <v>2858</v>
      </c>
      <c r="F279" s="445">
        <v>554</v>
      </c>
      <c r="G279" s="448"/>
      <c r="H279" s="446">
        <v>3070</v>
      </c>
      <c r="I279" s="446">
        <v>726</v>
      </c>
      <c r="J279" s="448"/>
      <c r="K279" s="446">
        <v>1798</v>
      </c>
      <c r="L279" s="446">
        <v>425</v>
      </c>
      <c r="M279" s="448"/>
      <c r="N279" s="446">
        <v>1982</v>
      </c>
      <c r="O279" s="445">
        <v>487</v>
      </c>
      <c r="P279" s="448"/>
      <c r="Q279" s="446">
        <v>2331</v>
      </c>
      <c r="R279" s="446">
        <v>597</v>
      </c>
      <c r="S279" s="448"/>
      <c r="T279" s="446">
        <v>1259</v>
      </c>
      <c r="U279" s="446">
        <v>496</v>
      </c>
      <c r="V279" s="447"/>
      <c r="W279" s="446">
        <v>413</v>
      </c>
      <c r="X279" s="449">
        <v>131</v>
      </c>
      <c r="Y279" s="447"/>
      <c r="Z279" s="446">
        <v>1857</v>
      </c>
      <c r="AA279" s="445">
        <v>768</v>
      </c>
      <c r="AB279" s="447"/>
      <c r="AC279" s="446">
        <v>1079</v>
      </c>
      <c r="AD279" s="445">
        <v>384</v>
      </c>
      <c r="AE279" s="448"/>
      <c r="AF279" s="446">
        <v>2599</v>
      </c>
      <c r="AG279" s="445">
        <v>302</v>
      </c>
      <c r="AH279" s="447"/>
      <c r="AI279" s="446">
        <v>1581</v>
      </c>
      <c r="AJ279" s="445">
        <v>757</v>
      </c>
    </row>
    <row r="280" spans="1:60" x14ac:dyDescent="0.25">
      <c r="B280" s="377">
        <v>42780</v>
      </c>
      <c r="C280" s="377">
        <v>42786</v>
      </c>
      <c r="D280" s="409"/>
      <c r="E280" s="446">
        <v>2901</v>
      </c>
      <c r="F280" s="445">
        <v>586</v>
      </c>
      <c r="G280" s="448"/>
      <c r="H280" s="446">
        <v>2970</v>
      </c>
      <c r="I280" s="446">
        <v>661</v>
      </c>
      <c r="J280" s="448"/>
      <c r="K280" s="446">
        <v>1170</v>
      </c>
      <c r="L280" s="446">
        <v>302</v>
      </c>
      <c r="M280" s="448"/>
      <c r="N280" s="446">
        <v>1931</v>
      </c>
      <c r="O280" s="445">
        <v>519</v>
      </c>
      <c r="P280" s="448"/>
      <c r="Q280" s="446">
        <v>2419</v>
      </c>
      <c r="R280" s="446">
        <v>622</v>
      </c>
      <c r="S280" s="448"/>
      <c r="T280" s="446">
        <v>1242</v>
      </c>
      <c r="U280" s="446">
        <v>546</v>
      </c>
      <c r="V280" s="447"/>
      <c r="W280" s="446">
        <v>396</v>
      </c>
      <c r="X280" s="449">
        <v>131</v>
      </c>
      <c r="Y280" s="447"/>
      <c r="Z280" s="446">
        <v>1909</v>
      </c>
      <c r="AA280" s="445">
        <v>791</v>
      </c>
      <c r="AB280" s="447"/>
      <c r="AC280" s="446">
        <v>1164</v>
      </c>
      <c r="AD280" s="445">
        <v>397</v>
      </c>
      <c r="AE280" s="448"/>
      <c r="AF280" s="446">
        <v>2459</v>
      </c>
      <c r="AG280" s="445">
        <v>253</v>
      </c>
      <c r="AH280" s="447"/>
      <c r="AI280" s="446">
        <v>1400</v>
      </c>
      <c r="AJ280" s="445">
        <v>688</v>
      </c>
    </row>
    <row r="281" spans="1:60" x14ac:dyDescent="0.25">
      <c r="B281" s="377">
        <v>42787</v>
      </c>
      <c r="C281" s="377">
        <v>42793</v>
      </c>
      <c r="D281" s="409"/>
      <c r="E281" s="446">
        <v>2961</v>
      </c>
      <c r="F281" s="445">
        <v>566</v>
      </c>
      <c r="G281" s="448"/>
      <c r="H281" s="446">
        <v>2938</v>
      </c>
      <c r="I281" s="446">
        <v>685</v>
      </c>
      <c r="J281" s="448"/>
      <c r="K281" s="446">
        <v>1587</v>
      </c>
      <c r="L281" s="446">
        <v>362</v>
      </c>
      <c r="M281" s="448"/>
      <c r="N281" s="446">
        <v>2024</v>
      </c>
      <c r="O281" s="445">
        <v>537</v>
      </c>
      <c r="P281" s="448"/>
      <c r="Q281" s="446">
        <v>2757</v>
      </c>
      <c r="R281" s="446">
        <v>765</v>
      </c>
      <c r="S281" s="448"/>
      <c r="T281" s="446">
        <v>1494</v>
      </c>
      <c r="U281" s="446">
        <v>619</v>
      </c>
      <c r="V281" s="447"/>
      <c r="W281" s="446">
        <v>403</v>
      </c>
      <c r="X281" s="449">
        <v>136</v>
      </c>
      <c r="Y281" s="447"/>
      <c r="Z281" s="446">
        <v>1898</v>
      </c>
      <c r="AA281" s="445">
        <v>801</v>
      </c>
      <c r="AB281" s="447"/>
      <c r="AC281" s="446">
        <v>1250</v>
      </c>
      <c r="AD281" s="445">
        <v>466</v>
      </c>
      <c r="AE281" s="448"/>
      <c r="AF281" s="446">
        <v>2684</v>
      </c>
      <c r="AG281" s="445">
        <v>331</v>
      </c>
      <c r="AH281" s="447"/>
      <c r="AI281" s="446">
        <v>1617</v>
      </c>
      <c r="AJ281" s="445">
        <v>767</v>
      </c>
    </row>
    <row r="282" spans="1:60" x14ac:dyDescent="0.25">
      <c r="B282" s="377">
        <v>42794</v>
      </c>
      <c r="C282" s="377">
        <v>42800</v>
      </c>
      <c r="D282" s="409"/>
      <c r="E282" s="446">
        <v>2844</v>
      </c>
      <c r="F282" s="445">
        <v>552</v>
      </c>
      <c r="G282" s="448"/>
      <c r="H282" s="446">
        <v>2941</v>
      </c>
      <c r="I282" s="446">
        <v>648</v>
      </c>
      <c r="J282" s="448"/>
      <c r="K282" s="446">
        <v>1233</v>
      </c>
      <c r="L282" s="446">
        <v>295</v>
      </c>
      <c r="M282" s="448"/>
      <c r="N282" s="446">
        <v>14178</v>
      </c>
      <c r="O282" s="445">
        <v>2534</v>
      </c>
      <c r="P282" s="448"/>
      <c r="Q282" s="446">
        <v>3026</v>
      </c>
      <c r="R282" s="446">
        <v>744</v>
      </c>
      <c r="S282" s="448"/>
      <c r="T282" s="446">
        <v>1404</v>
      </c>
      <c r="U282" s="446">
        <v>570</v>
      </c>
      <c r="V282" s="447"/>
      <c r="W282" s="446">
        <v>418</v>
      </c>
      <c r="X282" s="449">
        <v>147</v>
      </c>
      <c r="Y282" s="447"/>
      <c r="Z282" s="446">
        <v>1937</v>
      </c>
      <c r="AA282" s="445">
        <v>794</v>
      </c>
      <c r="AB282" s="447"/>
      <c r="AC282" s="446">
        <v>1362</v>
      </c>
      <c r="AD282" s="445">
        <v>451</v>
      </c>
      <c r="AE282" s="448"/>
      <c r="AF282" s="446">
        <v>2712</v>
      </c>
      <c r="AG282" s="445">
        <v>288</v>
      </c>
      <c r="AH282" s="447"/>
      <c r="AI282" s="446">
        <v>1625</v>
      </c>
      <c r="AJ282" s="445">
        <v>780</v>
      </c>
    </row>
    <row r="283" spans="1:60" s="497" customFormat="1" x14ac:dyDescent="0.25">
      <c r="A283" s="262"/>
      <c r="B283" s="377">
        <v>42801</v>
      </c>
      <c r="C283" s="377">
        <v>42807</v>
      </c>
      <c r="D283" s="409"/>
      <c r="E283" s="494">
        <v>3101</v>
      </c>
      <c r="F283" s="495">
        <v>577</v>
      </c>
      <c r="G283" s="492"/>
      <c r="H283" s="494">
        <v>3000</v>
      </c>
      <c r="I283" s="494">
        <v>706</v>
      </c>
      <c r="J283" s="492"/>
      <c r="K283" s="494">
        <v>1134</v>
      </c>
      <c r="L283" s="494">
        <v>302</v>
      </c>
      <c r="M283" s="492"/>
      <c r="N283" s="494">
        <v>2834</v>
      </c>
      <c r="O283" s="495">
        <v>674</v>
      </c>
      <c r="P283" s="492"/>
      <c r="Q283" s="494">
        <v>3063</v>
      </c>
      <c r="R283" s="494">
        <v>843</v>
      </c>
      <c r="S283" s="492"/>
      <c r="T283" s="494">
        <v>1552</v>
      </c>
      <c r="U283" s="494">
        <v>686</v>
      </c>
      <c r="V283" s="493"/>
      <c r="W283" s="494">
        <v>453</v>
      </c>
      <c r="X283" s="496">
        <v>161</v>
      </c>
      <c r="Y283" s="493"/>
      <c r="Z283" s="494">
        <v>1922</v>
      </c>
      <c r="AA283" s="494">
        <v>791</v>
      </c>
      <c r="AB283" s="493"/>
      <c r="AC283" s="494">
        <v>1314</v>
      </c>
      <c r="AD283" s="494">
        <v>499</v>
      </c>
      <c r="AE283" s="492"/>
      <c r="AF283" s="494">
        <v>2695</v>
      </c>
      <c r="AG283" s="494">
        <v>285</v>
      </c>
      <c r="AH283" s="493"/>
      <c r="AI283" s="494">
        <v>1655</v>
      </c>
      <c r="AJ283" s="494">
        <v>831</v>
      </c>
      <c r="AK283" s="262"/>
      <c r="AL283" s="262"/>
      <c r="AM283" s="262"/>
      <c r="AN283" s="262"/>
      <c r="AO283" s="262"/>
      <c r="AP283" s="262"/>
      <c r="AQ283" s="262"/>
      <c r="AR283" s="262"/>
      <c r="AS283" s="262"/>
      <c r="AT283" s="262"/>
      <c r="AU283" s="262"/>
      <c r="AV283" s="262"/>
      <c r="AW283" s="262"/>
      <c r="AX283" s="262"/>
      <c r="AY283" s="262"/>
      <c r="AZ283" s="262"/>
      <c r="BA283" s="262"/>
      <c r="BB283" s="262"/>
      <c r="BC283" s="262"/>
      <c r="BD283" s="262"/>
      <c r="BE283" s="262"/>
      <c r="BF283" s="262"/>
      <c r="BG283" s="262"/>
      <c r="BH283" s="262"/>
    </row>
    <row r="284" spans="1:60" s="497" customFormat="1" x14ac:dyDescent="0.25">
      <c r="A284" s="262"/>
      <c r="B284" s="377">
        <v>42808</v>
      </c>
      <c r="C284" s="377">
        <v>42814</v>
      </c>
      <c r="D284" s="409"/>
      <c r="E284" s="494">
        <v>3062</v>
      </c>
      <c r="F284" s="495">
        <v>575</v>
      </c>
      <c r="G284" s="492"/>
      <c r="H284" s="494">
        <v>2879</v>
      </c>
      <c r="I284" s="494">
        <v>597</v>
      </c>
      <c r="J284" s="492"/>
      <c r="K284" s="494">
        <v>989</v>
      </c>
      <c r="L284" s="494">
        <v>260</v>
      </c>
      <c r="M284" s="492"/>
      <c r="N284" s="494">
        <v>2290</v>
      </c>
      <c r="O284" s="495">
        <v>607</v>
      </c>
      <c r="P284" s="492"/>
      <c r="Q284" s="494">
        <v>2715</v>
      </c>
      <c r="R284" s="494">
        <v>738</v>
      </c>
      <c r="S284" s="492"/>
      <c r="T284" s="494">
        <v>1561</v>
      </c>
      <c r="U284" s="494">
        <v>635</v>
      </c>
      <c r="V284" s="493"/>
      <c r="W284" s="494">
        <v>422</v>
      </c>
      <c r="X284" s="496">
        <v>144</v>
      </c>
      <c r="Y284" s="493"/>
      <c r="Z284" s="494">
        <v>1845</v>
      </c>
      <c r="AA284" s="494">
        <v>578</v>
      </c>
      <c r="AB284" s="493"/>
      <c r="AC284" s="494">
        <v>1317</v>
      </c>
      <c r="AD284" s="494">
        <v>484</v>
      </c>
      <c r="AE284" s="492"/>
      <c r="AF284" s="494">
        <v>2612</v>
      </c>
      <c r="AG284" s="494">
        <v>282</v>
      </c>
      <c r="AH284" s="493"/>
      <c r="AI284" s="494">
        <v>1554</v>
      </c>
      <c r="AJ284" s="494">
        <v>765</v>
      </c>
      <c r="AK284" s="262"/>
      <c r="AL284" s="262"/>
      <c r="AM284" s="262"/>
      <c r="AN284" s="262"/>
      <c r="AO284" s="262"/>
      <c r="AP284" s="262"/>
      <c r="AQ284" s="262"/>
      <c r="AR284" s="262"/>
      <c r="AS284" s="262"/>
      <c r="AT284" s="262"/>
      <c r="AU284" s="262"/>
      <c r="AV284" s="262"/>
      <c r="AW284" s="262"/>
      <c r="AX284" s="262"/>
      <c r="AY284" s="262"/>
      <c r="AZ284" s="262"/>
      <c r="BA284" s="262"/>
      <c r="BB284" s="262"/>
      <c r="BC284" s="262"/>
      <c r="BD284" s="262"/>
      <c r="BE284" s="262"/>
      <c r="BF284" s="262"/>
      <c r="BG284" s="262"/>
      <c r="BH284" s="262"/>
    </row>
    <row r="285" spans="1:60" s="497" customFormat="1" x14ac:dyDescent="0.25">
      <c r="A285" s="262"/>
      <c r="B285" s="377">
        <v>42815</v>
      </c>
      <c r="C285" s="377">
        <v>42821</v>
      </c>
      <c r="D285" s="409"/>
      <c r="E285" s="494">
        <v>3239</v>
      </c>
      <c r="F285" s="495">
        <v>633</v>
      </c>
      <c r="G285" s="492"/>
      <c r="H285" s="494">
        <v>2825</v>
      </c>
      <c r="I285" s="494">
        <v>553</v>
      </c>
      <c r="J285" s="492"/>
      <c r="K285" s="494">
        <v>987</v>
      </c>
      <c r="L285" s="494">
        <v>243</v>
      </c>
      <c r="M285" s="492"/>
      <c r="N285" s="494">
        <v>2042</v>
      </c>
      <c r="O285" s="495">
        <v>533</v>
      </c>
      <c r="P285" s="492"/>
      <c r="Q285" s="494">
        <v>2910</v>
      </c>
      <c r="R285" s="494">
        <v>801</v>
      </c>
      <c r="S285" s="492"/>
      <c r="T285" s="494">
        <v>1709</v>
      </c>
      <c r="U285" s="494">
        <v>711</v>
      </c>
      <c r="V285" s="493"/>
      <c r="W285" s="494">
        <v>405</v>
      </c>
      <c r="X285" s="496">
        <v>127</v>
      </c>
      <c r="Y285" s="493"/>
      <c r="Z285" s="494">
        <v>1890</v>
      </c>
      <c r="AA285" s="494">
        <v>614</v>
      </c>
      <c r="AB285" s="493"/>
      <c r="AC285" s="494">
        <v>1209</v>
      </c>
      <c r="AD285" s="494">
        <v>399</v>
      </c>
      <c r="AE285" s="492"/>
      <c r="AF285" s="494">
        <v>2919</v>
      </c>
      <c r="AG285" s="494">
        <v>303</v>
      </c>
      <c r="AH285" s="493"/>
      <c r="AI285" s="494">
        <v>1448</v>
      </c>
      <c r="AJ285" s="494">
        <v>702</v>
      </c>
      <c r="AK285" s="262"/>
      <c r="AL285" s="262"/>
      <c r="AM285" s="262"/>
      <c r="AN285" s="262"/>
      <c r="AO285" s="262"/>
      <c r="AP285" s="262"/>
      <c r="AQ285" s="262"/>
      <c r="AR285" s="262"/>
      <c r="AS285" s="262"/>
      <c r="AT285" s="262"/>
      <c r="AU285" s="262"/>
      <c r="AV285" s="262"/>
      <c r="AW285" s="262"/>
      <c r="AX285" s="262"/>
      <c r="AY285" s="262"/>
      <c r="AZ285" s="262"/>
      <c r="BA285" s="262"/>
      <c r="BB285" s="262"/>
      <c r="BC285" s="262"/>
      <c r="BD285" s="262"/>
      <c r="BE285" s="262"/>
      <c r="BF285" s="262"/>
      <c r="BG285" s="262"/>
      <c r="BH285" s="262"/>
    </row>
    <row r="286" spans="1:60" s="497" customFormat="1" x14ac:dyDescent="0.25">
      <c r="A286" s="262"/>
      <c r="B286" s="377">
        <v>42822</v>
      </c>
      <c r="C286" s="377">
        <v>42828</v>
      </c>
      <c r="D286" s="409"/>
      <c r="E286" s="506">
        <v>2013</v>
      </c>
      <c r="F286" s="507">
        <v>368</v>
      </c>
      <c r="G286" s="492"/>
      <c r="H286" s="506">
        <v>1597</v>
      </c>
      <c r="I286" s="506">
        <v>329</v>
      </c>
      <c r="J286" s="492"/>
      <c r="K286" s="506">
        <v>896</v>
      </c>
      <c r="L286" s="506">
        <v>237</v>
      </c>
      <c r="M286" s="492"/>
      <c r="N286" s="506">
        <v>1140</v>
      </c>
      <c r="O286" s="507">
        <v>277</v>
      </c>
      <c r="P286" s="492"/>
      <c r="Q286" s="506">
        <v>5888</v>
      </c>
      <c r="R286" s="506">
        <v>1464</v>
      </c>
      <c r="S286" s="492"/>
      <c r="T286" s="506">
        <v>1142</v>
      </c>
      <c r="U286" s="506">
        <v>472</v>
      </c>
      <c r="V286" s="493"/>
      <c r="W286" s="506">
        <v>327</v>
      </c>
      <c r="X286" s="508">
        <v>112</v>
      </c>
      <c r="Y286" s="493"/>
      <c r="Z286" s="506">
        <v>903</v>
      </c>
      <c r="AA286" s="506">
        <v>233</v>
      </c>
      <c r="AB286" s="493"/>
      <c r="AC286" s="506">
        <v>731</v>
      </c>
      <c r="AD286" s="506">
        <v>272</v>
      </c>
      <c r="AE286" s="492"/>
      <c r="AF286" s="506">
        <v>2337</v>
      </c>
      <c r="AG286" s="506">
        <v>269</v>
      </c>
      <c r="AH286" s="493"/>
      <c r="AI286" s="506">
        <v>1195</v>
      </c>
      <c r="AJ286" s="506">
        <v>594</v>
      </c>
      <c r="AK286" s="262"/>
      <c r="AL286" s="262"/>
      <c r="AM286" s="262"/>
      <c r="AN286" s="262"/>
      <c r="AO286" s="262"/>
      <c r="AP286" s="262"/>
      <c r="AQ286" s="262"/>
      <c r="AR286" s="262"/>
      <c r="AS286" s="262"/>
      <c r="AT286" s="262"/>
      <c r="AU286" s="262"/>
      <c r="AV286" s="262"/>
      <c r="AW286" s="262"/>
      <c r="AX286" s="262"/>
      <c r="AY286" s="262"/>
      <c r="AZ286" s="262"/>
      <c r="BA286" s="262"/>
      <c r="BB286" s="262"/>
      <c r="BC286" s="262"/>
      <c r="BD286" s="262"/>
      <c r="BE286" s="262"/>
      <c r="BF286" s="262"/>
      <c r="BG286" s="262"/>
      <c r="BH286" s="262"/>
    </row>
    <row r="287" spans="1:60" s="497" customFormat="1" x14ac:dyDescent="0.25">
      <c r="A287" s="262"/>
      <c r="B287" s="377">
        <v>42829</v>
      </c>
      <c r="C287" s="377">
        <v>42835</v>
      </c>
      <c r="D287" s="409"/>
      <c r="E287" s="494">
        <v>3174</v>
      </c>
      <c r="F287" s="495">
        <v>572</v>
      </c>
      <c r="G287" s="492"/>
      <c r="H287" s="494">
        <v>2683</v>
      </c>
      <c r="I287" s="494">
        <v>606</v>
      </c>
      <c r="J287" s="492"/>
      <c r="K287" s="494">
        <v>1071</v>
      </c>
      <c r="L287" s="494">
        <v>255</v>
      </c>
      <c r="M287" s="492"/>
      <c r="N287" s="494">
        <v>1894</v>
      </c>
      <c r="O287" s="495">
        <v>554</v>
      </c>
      <c r="P287" s="492"/>
      <c r="Q287" s="494">
        <v>3107</v>
      </c>
      <c r="R287" s="494">
        <v>892</v>
      </c>
      <c r="S287" s="492"/>
      <c r="T287" s="494">
        <v>1227</v>
      </c>
      <c r="U287" s="494">
        <v>507</v>
      </c>
      <c r="V287" s="493"/>
      <c r="W287" s="494">
        <v>430</v>
      </c>
      <c r="X287" s="496">
        <v>142</v>
      </c>
      <c r="Y287" s="493"/>
      <c r="Z287" s="494">
        <v>76942</v>
      </c>
      <c r="AA287" s="494">
        <v>9167</v>
      </c>
      <c r="AB287" s="493"/>
      <c r="AC287" s="494">
        <v>1328</v>
      </c>
      <c r="AD287" s="494">
        <v>479</v>
      </c>
      <c r="AE287" s="492"/>
      <c r="AF287" s="494">
        <v>2473</v>
      </c>
      <c r="AG287" s="494">
        <v>282</v>
      </c>
      <c r="AH287" s="493"/>
      <c r="AI287" s="494">
        <v>1263</v>
      </c>
      <c r="AJ287" s="494">
        <v>609</v>
      </c>
      <c r="AK287" s="262"/>
      <c r="AL287" s="262"/>
      <c r="AM287" s="262"/>
      <c r="AN287" s="262"/>
      <c r="AO287" s="262"/>
      <c r="AP287" s="262"/>
      <c r="AQ287" s="262"/>
      <c r="AR287" s="262"/>
      <c r="AS287" s="262"/>
      <c r="AT287" s="262"/>
      <c r="AU287" s="262"/>
      <c r="AV287" s="262"/>
      <c r="AW287" s="262"/>
      <c r="AX287" s="262"/>
      <c r="AY287" s="262"/>
      <c r="AZ287" s="262"/>
      <c r="BA287" s="262"/>
      <c r="BB287" s="262"/>
      <c r="BC287" s="262"/>
      <c r="BD287" s="262"/>
      <c r="BE287" s="262"/>
      <c r="BF287" s="262"/>
      <c r="BG287" s="262"/>
      <c r="BH287" s="262"/>
    </row>
    <row r="288" spans="1:60" s="497" customFormat="1" x14ac:dyDescent="0.25">
      <c r="A288" s="262"/>
      <c r="B288" s="377">
        <v>42836</v>
      </c>
      <c r="C288" s="377">
        <v>42842</v>
      </c>
      <c r="D288" s="409"/>
      <c r="E288" s="494">
        <v>3412</v>
      </c>
      <c r="F288" s="495">
        <v>645</v>
      </c>
      <c r="G288" s="492"/>
      <c r="H288" s="494">
        <v>3523</v>
      </c>
      <c r="I288" s="494">
        <v>755</v>
      </c>
      <c r="J288" s="492"/>
      <c r="K288" s="494">
        <v>1241</v>
      </c>
      <c r="L288" s="494">
        <v>276</v>
      </c>
      <c r="M288" s="492"/>
      <c r="N288" s="494">
        <v>2448</v>
      </c>
      <c r="O288" s="495">
        <v>679</v>
      </c>
      <c r="P288" s="492"/>
      <c r="Q288" s="494">
        <v>3643</v>
      </c>
      <c r="R288" s="494">
        <v>1058</v>
      </c>
      <c r="S288" s="492"/>
      <c r="T288" s="494">
        <v>1289</v>
      </c>
      <c r="U288" s="494">
        <v>539</v>
      </c>
      <c r="V288" s="493"/>
      <c r="W288" s="494">
        <v>415</v>
      </c>
      <c r="X288" s="496">
        <v>123</v>
      </c>
      <c r="Y288" s="493"/>
      <c r="Z288" s="494">
        <v>9228</v>
      </c>
      <c r="AA288" s="494">
        <v>1213</v>
      </c>
      <c r="AB288" s="493"/>
      <c r="AC288" s="494">
        <v>1660</v>
      </c>
      <c r="AD288" s="494">
        <v>605</v>
      </c>
      <c r="AE288" s="492"/>
      <c r="AF288" s="494">
        <v>2521</v>
      </c>
      <c r="AG288" s="494">
        <v>264</v>
      </c>
      <c r="AH288" s="493"/>
      <c r="AI288" s="494">
        <v>1478</v>
      </c>
      <c r="AJ288" s="494">
        <v>691</v>
      </c>
      <c r="AK288" s="262"/>
      <c r="AL288" s="262"/>
      <c r="AM288" s="262"/>
      <c r="AN288" s="262"/>
      <c r="AO288" s="262"/>
      <c r="AP288" s="262"/>
      <c r="AQ288" s="262"/>
      <c r="AR288" s="262"/>
      <c r="AS288" s="262"/>
      <c r="AT288" s="262"/>
      <c r="AU288" s="262"/>
      <c r="AV288" s="262"/>
      <c r="AW288" s="262"/>
      <c r="AX288" s="262"/>
      <c r="AY288" s="262"/>
      <c r="AZ288" s="262"/>
      <c r="BA288" s="262"/>
      <c r="BB288" s="262"/>
      <c r="BC288" s="262"/>
      <c r="BD288" s="262"/>
      <c r="BE288" s="262"/>
      <c r="BF288" s="262"/>
      <c r="BG288" s="262"/>
      <c r="BH288" s="262"/>
    </row>
    <row r="289" spans="1:60" s="497" customFormat="1" x14ac:dyDescent="0.25">
      <c r="A289" s="262"/>
      <c r="B289" s="377">
        <v>42843</v>
      </c>
      <c r="C289" s="377">
        <v>42849</v>
      </c>
      <c r="D289" s="409"/>
      <c r="E289" s="494">
        <v>3997</v>
      </c>
      <c r="F289" s="495">
        <v>814</v>
      </c>
      <c r="G289" s="492"/>
      <c r="H289" s="494">
        <v>3790</v>
      </c>
      <c r="I289" s="494">
        <v>823</v>
      </c>
      <c r="J289" s="492"/>
      <c r="K289" s="494">
        <v>1239</v>
      </c>
      <c r="L289" s="494">
        <v>285</v>
      </c>
      <c r="M289" s="492"/>
      <c r="N289" s="494">
        <v>2507</v>
      </c>
      <c r="O289" s="495">
        <v>655</v>
      </c>
      <c r="P289" s="492"/>
      <c r="Q289" s="494">
        <v>4024</v>
      </c>
      <c r="R289" s="494">
        <v>1279</v>
      </c>
      <c r="S289" s="492"/>
      <c r="T289" s="494">
        <v>1441</v>
      </c>
      <c r="U289" s="494">
        <v>656</v>
      </c>
      <c r="V289" s="493"/>
      <c r="W289" s="494">
        <v>476</v>
      </c>
      <c r="X289" s="496">
        <v>157</v>
      </c>
      <c r="Y289" s="493"/>
      <c r="Z289" s="494">
        <v>6204</v>
      </c>
      <c r="AA289" s="494">
        <v>1063</v>
      </c>
      <c r="AB289" s="493"/>
      <c r="AC289" s="494">
        <v>2213</v>
      </c>
      <c r="AD289" s="494">
        <v>813</v>
      </c>
      <c r="AE289" s="492"/>
      <c r="AF289" s="494">
        <v>2770</v>
      </c>
      <c r="AG289" s="494">
        <v>306</v>
      </c>
      <c r="AH289" s="493"/>
      <c r="AI289" s="494">
        <v>1693</v>
      </c>
      <c r="AJ289" s="494">
        <v>789</v>
      </c>
      <c r="AK289" s="262"/>
      <c r="AL289" s="262"/>
      <c r="AM289" s="262"/>
      <c r="AN289" s="262"/>
      <c r="AO289" s="262"/>
      <c r="AP289" s="262"/>
      <c r="AQ289" s="262"/>
      <c r="AR289" s="262"/>
      <c r="AS289" s="262"/>
      <c r="AT289" s="262"/>
      <c r="AU289" s="262"/>
      <c r="AV289" s="262"/>
      <c r="AW289" s="262"/>
      <c r="AX289" s="262"/>
      <c r="AY289" s="262"/>
      <c r="AZ289" s="262"/>
      <c r="BA289" s="262"/>
      <c r="BB289" s="262"/>
      <c r="BC289" s="262"/>
      <c r="BD289" s="262"/>
      <c r="BE289" s="262"/>
      <c r="BF289" s="262"/>
      <c r="BG289" s="262"/>
      <c r="BH289" s="262"/>
    </row>
    <row r="290" spans="1:60" s="497" customFormat="1" x14ac:dyDescent="0.25">
      <c r="A290" s="262"/>
      <c r="B290" s="377">
        <v>42850</v>
      </c>
      <c r="C290" s="377">
        <v>42856</v>
      </c>
      <c r="D290" s="409"/>
      <c r="E290" s="494">
        <v>4043</v>
      </c>
      <c r="F290" s="495">
        <v>824</v>
      </c>
      <c r="G290" s="492"/>
      <c r="H290" s="494">
        <v>3489</v>
      </c>
      <c r="I290" s="494">
        <v>809</v>
      </c>
      <c r="J290" s="492"/>
      <c r="K290" s="494">
        <v>1276</v>
      </c>
      <c r="L290" s="494">
        <v>289</v>
      </c>
      <c r="M290" s="492"/>
      <c r="N290" s="494">
        <v>2564</v>
      </c>
      <c r="O290" s="495">
        <v>724</v>
      </c>
      <c r="P290" s="492"/>
      <c r="Q290" s="494">
        <v>3769</v>
      </c>
      <c r="R290" s="494">
        <v>1185</v>
      </c>
      <c r="S290" s="492"/>
      <c r="T290" s="494">
        <v>1384</v>
      </c>
      <c r="U290" s="494">
        <v>582</v>
      </c>
      <c r="V290" s="493"/>
      <c r="W290" s="494">
        <v>451</v>
      </c>
      <c r="X290" s="496">
        <v>162</v>
      </c>
      <c r="Y290" s="493"/>
      <c r="Z290" s="494">
        <v>4179</v>
      </c>
      <c r="AA290" s="494">
        <v>800</v>
      </c>
      <c r="AB290" s="493"/>
      <c r="AC290" s="494">
        <v>2573</v>
      </c>
      <c r="AD290" s="494">
        <v>938</v>
      </c>
      <c r="AE290" s="492"/>
      <c r="AF290" s="494">
        <v>2710</v>
      </c>
      <c r="AG290" s="494">
        <v>302</v>
      </c>
      <c r="AH290" s="493"/>
      <c r="AI290" s="494">
        <v>1700</v>
      </c>
      <c r="AJ290" s="494">
        <v>800</v>
      </c>
      <c r="AK290" s="262"/>
      <c r="AL290" s="262"/>
      <c r="AM290" s="262"/>
      <c r="AN290" s="262"/>
      <c r="AO290" s="262"/>
      <c r="AP290" s="262"/>
      <c r="AQ290" s="262"/>
      <c r="AR290" s="262"/>
      <c r="AS290" s="262"/>
      <c r="AT290" s="262"/>
      <c r="AU290" s="262"/>
      <c r="AV290" s="262"/>
      <c r="AW290" s="262"/>
      <c r="AX290" s="262"/>
      <c r="AY290" s="262"/>
      <c r="AZ290" s="262"/>
      <c r="BA290" s="262"/>
      <c r="BB290" s="262"/>
      <c r="BC290" s="262"/>
      <c r="BD290" s="262"/>
      <c r="BE290" s="262"/>
      <c r="BF290" s="262"/>
      <c r="BG290" s="262"/>
      <c r="BH290" s="262"/>
    </row>
    <row r="291" spans="1:60" s="497" customFormat="1" x14ac:dyDescent="0.25">
      <c r="A291" s="262"/>
      <c r="B291" s="377">
        <v>42857</v>
      </c>
      <c r="C291" s="377">
        <v>42863</v>
      </c>
      <c r="D291" s="409"/>
      <c r="E291" s="494">
        <v>4061</v>
      </c>
      <c r="F291" s="495">
        <v>860</v>
      </c>
      <c r="G291" s="492"/>
      <c r="H291" s="494">
        <v>3486</v>
      </c>
      <c r="I291" s="494">
        <v>810</v>
      </c>
      <c r="J291" s="492"/>
      <c r="K291" s="494">
        <v>1217</v>
      </c>
      <c r="L291" s="494">
        <v>258</v>
      </c>
      <c r="M291" s="492"/>
      <c r="N291" s="494">
        <v>2547</v>
      </c>
      <c r="O291" s="495">
        <v>692</v>
      </c>
      <c r="P291" s="492"/>
      <c r="Q291" s="494">
        <v>4011</v>
      </c>
      <c r="R291" s="494">
        <v>1250</v>
      </c>
      <c r="S291" s="492"/>
      <c r="T291" s="494">
        <v>1313</v>
      </c>
      <c r="U291" s="494">
        <v>549</v>
      </c>
      <c r="V291" s="493"/>
      <c r="W291" s="494">
        <v>440</v>
      </c>
      <c r="X291" s="496">
        <v>163</v>
      </c>
      <c r="Y291" s="493"/>
      <c r="Z291" s="494">
        <v>3334</v>
      </c>
      <c r="AA291" s="494">
        <v>675</v>
      </c>
      <c r="AB291" s="493"/>
      <c r="AC291" s="494">
        <v>2431</v>
      </c>
      <c r="AD291" s="494">
        <v>851</v>
      </c>
      <c r="AE291" s="492"/>
      <c r="AF291" s="494">
        <v>2867</v>
      </c>
      <c r="AG291" s="494">
        <v>296</v>
      </c>
      <c r="AH291" s="493"/>
      <c r="AI291" s="494">
        <v>1732</v>
      </c>
      <c r="AJ291" s="494">
        <v>822</v>
      </c>
      <c r="AK291" s="262"/>
      <c r="AL291" s="262"/>
      <c r="AM291" s="262"/>
      <c r="AN291" s="262"/>
      <c r="AO291" s="262"/>
      <c r="AP291" s="262"/>
      <c r="AQ291" s="262"/>
      <c r="AR291" s="262"/>
      <c r="AS291" s="262"/>
      <c r="AT291" s="262"/>
      <c r="AU291" s="262"/>
      <c r="AV291" s="262"/>
      <c r="AW291" s="262"/>
      <c r="AX291" s="262"/>
      <c r="AY291" s="262"/>
      <c r="AZ291" s="262"/>
      <c r="BA291" s="262"/>
      <c r="BB291" s="262"/>
      <c r="BC291" s="262"/>
      <c r="BD291" s="262"/>
      <c r="BE291" s="262"/>
      <c r="BF291" s="262"/>
      <c r="BG291" s="262"/>
      <c r="BH291" s="262"/>
    </row>
    <row r="292" spans="1:60" s="497" customFormat="1" x14ac:dyDescent="0.25">
      <c r="A292" s="262"/>
      <c r="B292" s="377">
        <v>42864</v>
      </c>
      <c r="C292" s="377">
        <v>42870</v>
      </c>
      <c r="D292" s="409"/>
      <c r="E292" s="494">
        <v>3767</v>
      </c>
      <c r="F292" s="495">
        <v>783</v>
      </c>
      <c r="G292" s="492"/>
      <c r="H292" s="494">
        <v>3221</v>
      </c>
      <c r="I292" s="494">
        <v>723</v>
      </c>
      <c r="J292" s="492"/>
      <c r="K292" s="494">
        <v>1386</v>
      </c>
      <c r="L292" s="494">
        <v>285</v>
      </c>
      <c r="M292" s="492"/>
      <c r="N292" s="494">
        <v>2544</v>
      </c>
      <c r="O292" s="495">
        <v>699</v>
      </c>
      <c r="P292" s="492"/>
      <c r="Q292" s="494">
        <v>3514</v>
      </c>
      <c r="R292" s="494">
        <v>1144</v>
      </c>
      <c r="S292" s="492"/>
      <c r="T292" s="494">
        <v>1333</v>
      </c>
      <c r="U292" s="494">
        <v>543</v>
      </c>
      <c r="V292" s="493"/>
      <c r="W292" s="494">
        <v>26558</v>
      </c>
      <c r="X292" s="494">
        <v>10249</v>
      </c>
      <c r="Y292" s="493"/>
      <c r="Z292" s="494">
        <v>2825</v>
      </c>
      <c r="AA292" s="494">
        <v>614</v>
      </c>
      <c r="AB292" s="493"/>
      <c r="AC292" s="494">
        <v>2201</v>
      </c>
      <c r="AD292" s="494">
        <v>811</v>
      </c>
      <c r="AE292" s="492"/>
      <c r="AF292" s="494">
        <v>2757</v>
      </c>
      <c r="AG292" s="494">
        <v>278</v>
      </c>
      <c r="AH292" s="493"/>
      <c r="AI292" s="494">
        <v>1538</v>
      </c>
      <c r="AJ292" s="494">
        <v>700</v>
      </c>
      <c r="AK292" s="262"/>
      <c r="AL292" s="262"/>
      <c r="AM292" s="262"/>
      <c r="AN292" s="262"/>
      <c r="AO292" s="262"/>
      <c r="AP292" s="262"/>
      <c r="AQ292" s="262"/>
      <c r="AR292" s="262"/>
      <c r="AS292" s="262"/>
      <c r="AT292" s="262"/>
      <c r="AU292" s="262"/>
      <c r="AV292" s="262"/>
      <c r="AW292" s="262"/>
      <c r="AX292" s="262"/>
      <c r="AY292" s="262"/>
      <c r="AZ292" s="262"/>
      <c r="BA292" s="262"/>
      <c r="BB292" s="262"/>
      <c r="BC292" s="262"/>
      <c r="BD292" s="262"/>
      <c r="BE292" s="262"/>
      <c r="BF292" s="262"/>
      <c r="BG292" s="262"/>
      <c r="BH292" s="262"/>
    </row>
    <row r="293" spans="1:60" s="497" customFormat="1" x14ac:dyDescent="0.25">
      <c r="A293" s="262"/>
      <c r="B293" s="377">
        <v>42871</v>
      </c>
      <c r="C293" s="377">
        <v>42877</v>
      </c>
      <c r="D293" s="409"/>
      <c r="E293" s="494">
        <v>3755</v>
      </c>
      <c r="F293" s="495">
        <v>830</v>
      </c>
      <c r="G293" s="492"/>
      <c r="H293" s="494">
        <v>3039</v>
      </c>
      <c r="I293" s="494">
        <v>674</v>
      </c>
      <c r="J293" s="492"/>
      <c r="K293" s="494">
        <v>1496</v>
      </c>
      <c r="L293" s="494">
        <v>284</v>
      </c>
      <c r="M293" s="492"/>
      <c r="N293" s="494">
        <v>2516</v>
      </c>
      <c r="O293" s="495">
        <v>685</v>
      </c>
      <c r="P293" s="492"/>
      <c r="Q293" s="494">
        <v>3202</v>
      </c>
      <c r="R293" s="494">
        <v>1010</v>
      </c>
      <c r="S293" s="492"/>
      <c r="T293" s="494">
        <v>1295</v>
      </c>
      <c r="U293" s="494">
        <v>532</v>
      </c>
      <c r="V293" s="493"/>
      <c r="W293" s="494">
        <v>4632</v>
      </c>
      <c r="X293" s="496">
        <v>1653</v>
      </c>
      <c r="Y293" s="493"/>
      <c r="Z293" s="494">
        <v>2352</v>
      </c>
      <c r="AA293" s="494">
        <v>508</v>
      </c>
      <c r="AB293" s="493"/>
      <c r="AC293" s="494">
        <v>1684</v>
      </c>
      <c r="AD293" s="494">
        <v>585</v>
      </c>
      <c r="AE293" s="492"/>
      <c r="AF293" s="494">
        <v>2840</v>
      </c>
      <c r="AG293" s="494">
        <v>351</v>
      </c>
      <c r="AH293" s="493"/>
      <c r="AI293" s="494">
        <v>1507</v>
      </c>
      <c r="AJ293" s="494">
        <v>679</v>
      </c>
      <c r="AK293" s="262"/>
      <c r="AL293" s="262"/>
      <c r="AM293" s="262"/>
      <c r="AN293" s="262"/>
      <c r="AO293" s="262"/>
      <c r="AP293" s="262"/>
      <c r="AQ293" s="262"/>
      <c r="AR293" s="262"/>
      <c r="AS293" s="262"/>
      <c r="AT293" s="262"/>
      <c r="AU293" s="262"/>
      <c r="AV293" s="262"/>
      <c r="AW293" s="262"/>
      <c r="AX293" s="262"/>
      <c r="AY293" s="262"/>
      <c r="AZ293" s="262"/>
      <c r="BA293" s="262"/>
      <c r="BB293" s="262"/>
      <c r="BC293" s="262"/>
      <c r="BD293" s="262"/>
      <c r="BE293" s="262"/>
      <c r="BF293" s="262"/>
      <c r="BG293" s="262"/>
      <c r="BH293" s="262"/>
    </row>
    <row r="294" spans="1:60" s="497" customFormat="1" x14ac:dyDescent="0.25">
      <c r="A294" s="262"/>
      <c r="B294" s="377">
        <v>42878</v>
      </c>
      <c r="C294" s="377">
        <v>42884</v>
      </c>
      <c r="D294" s="409"/>
      <c r="E294" s="494">
        <v>4015</v>
      </c>
      <c r="F294" s="495">
        <v>863</v>
      </c>
      <c r="G294" s="492"/>
      <c r="H294" s="494">
        <v>3485</v>
      </c>
      <c r="I294" s="494">
        <v>762</v>
      </c>
      <c r="J294" s="492"/>
      <c r="K294" s="494">
        <v>1334</v>
      </c>
      <c r="L294" s="494">
        <v>263</v>
      </c>
      <c r="M294" s="492"/>
      <c r="N294" s="494">
        <v>2443</v>
      </c>
      <c r="O294" s="495">
        <v>664</v>
      </c>
      <c r="P294" s="492"/>
      <c r="Q294" s="494">
        <v>3666</v>
      </c>
      <c r="R294" s="494">
        <v>1243</v>
      </c>
      <c r="S294" s="492"/>
      <c r="T294" s="494">
        <v>1176</v>
      </c>
      <c r="U294" s="494">
        <v>477</v>
      </c>
      <c r="V294" s="493"/>
      <c r="W294" s="494">
        <v>1613</v>
      </c>
      <c r="X294" s="496">
        <v>574</v>
      </c>
      <c r="Y294" s="493"/>
      <c r="Z294" s="494">
        <v>55109</v>
      </c>
      <c r="AA294" s="494">
        <v>7191</v>
      </c>
      <c r="AB294" s="493"/>
      <c r="AC294" s="494">
        <v>2248</v>
      </c>
      <c r="AD294" s="494">
        <v>783</v>
      </c>
      <c r="AE294" s="492"/>
      <c r="AF294" s="494">
        <v>2704</v>
      </c>
      <c r="AG294" s="494">
        <v>269</v>
      </c>
      <c r="AH294" s="493"/>
      <c r="AI294" s="494">
        <v>1554</v>
      </c>
      <c r="AJ294" s="494">
        <v>739</v>
      </c>
      <c r="AK294" s="262"/>
      <c r="AL294" s="262"/>
      <c r="AM294" s="262"/>
      <c r="AN294" s="262"/>
      <c r="AO294" s="262"/>
      <c r="AP294" s="262"/>
      <c r="AQ294" s="262"/>
      <c r="AR294" s="262"/>
      <c r="AS294" s="262"/>
      <c r="AT294" s="262"/>
      <c r="AU294" s="262"/>
      <c r="AV294" s="262"/>
      <c r="AW294" s="262"/>
      <c r="AX294" s="262"/>
      <c r="AY294" s="262"/>
      <c r="AZ294" s="262"/>
      <c r="BA294" s="262"/>
      <c r="BB294" s="262"/>
      <c r="BC294" s="262"/>
      <c r="BD294" s="262"/>
      <c r="BE294" s="262"/>
      <c r="BF294" s="262"/>
      <c r="BG294" s="262"/>
      <c r="BH294" s="262"/>
    </row>
    <row r="295" spans="1:60" s="497" customFormat="1" x14ac:dyDescent="0.25">
      <c r="A295" s="262"/>
      <c r="B295" s="377">
        <v>42885</v>
      </c>
      <c r="C295" s="377">
        <v>42891</v>
      </c>
      <c r="D295" s="409"/>
      <c r="E295" s="494">
        <v>4116</v>
      </c>
      <c r="F295" s="495">
        <v>905</v>
      </c>
      <c r="G295" s="492"/>
      <c r="H295" s="494">
        <v>3315</v>
      </c>
      <c r="I295" s="494">
        <v>907</v>
      </c>
      <c r="J295" s="492"/>
      <c r="K295" s="494">
        <v>1359</v>
      </c>
      <c r="L295" s="494">
        <v>275</v>
      </c>
      <c r="M295" s="492"/>
      <c r="N295" s="494">
        <v>2683</v>
      </c>
      <c r="O295" s="495">
        <v>691</v>
      </c>
      <c r="P295" s="492"/>
      <c r="Q295" s="494">
        <v>4015</v>
      </c>
      <c r="R295" s="494">
        <v>1265</v>
      </c>
      <c r="S295" s="492"/>
      <c r="T295" s="494">
        <v>1242</v>
      </c>
      <c r="U295" s="494">
        <v>502</v>
      </c>
      <c r="V295" s="493"/>
      <c r="W295" s="494">
        <v>863</v>
      </c>
      <c r="X295" s="496">
        <v>286</v>
      </c>
      <c r="Y295" s="493"/>
      <c r="Z295" s="494">
        <v>6414</v>
      </c>
      <c r="AA295" s="494">
        <v>1104</v>
      </c>
      <c r="AB295" s="493"/>
      <c r="AC295" s="494">
        <v>2227</v>
      </c>
      <c r="AD295" s="494">
        <v>784</v>
      </c>
      <c r="AE295" s="492"/>
      <c r="AF295" s="494">
        <v>2787</v>
      </c>
      <c r="AG295" s="494">
        <v>313</v>
      </c>
      <c r="AH295" s="493"/>
      <c r="AI295" s="494">
        <v>1623</v>
      </c>
      <c r="AJ295" s="494">
        <v>766</v>
      </c>
      <c r="AK295" s="262"/>
      <c r="AL295" s="262"/>
      <c r="AM295" s="262"/>
      <c r="AN295" s="262"/>
      <c r="AO295" s="262"/>
      <c r="AP295" s="262"/>
      <c r="AQ295" s="262"/>
      <c r="AR295" s="262"/>
      <c r="AS295" s="262"/>
      <c r="AT295" s="262"/>
      <c r="AU295" s="262"/>
      <c r="AV295" s="262"/>
      <c r="AW295" s="262"/>
      <c r="AX295" s="262"/>
      <c r="AY295" s="262"/>
      <c r="AZ295" s="262"/>
      <c r="BA295" s="262"/>
      <c r="BB295" s="262"/>
      <c r="BC295" s="262"/>
      <c r="BD295" s="262"/>
      <c r="BE295" s="262"/>
      <c r="BF295" s="262"/>
      <c r="BG295" s="262"/>
      <c r="BH295" s="262"/>
    </row>
    <row r="296" spans="1:60" s="497" customFormat="1" x14ac:dyDescent="0.25">
      <c r="A296" s="262"/>
      <c r="B296" s="377">
        <v>42892</v>
      </c>
      <c r="C296" s="377">
        <v>42898</v>
      </c>
      <c r="D296" s="409"/>
      <c r="E296" s="494">
        <v>4239</v>
      </c>
      <c r="F296" s="495">
        <v>904</v>
      </c>
      <c r="G296" s="492"/>
      <c r="H296" s="494">
        <v>34622</v>
      </c>
      <c r="I296" s="494">
        <v>11627</v>
      </c>
      <c r="J296" s="492"/>
      <c r="K296" s="494">
        <v>1526</v>
      </c>
      <c r="L296" s="494">
        <v>304</v>
      </c>
      <c r="M296" s="492"/>
      <c r="N296" s="494">
        <v>3053</v>
      </c>
      <c r="O296" s="495">
        <v>861</v>
      </c>
      <c r="P296" s="492"/>
      <c r="Q296" s="494">
        <v>4224</v>
      </c>
      <c r="R296" s="494">
        <v>1366</v>
      </c>
      <c r="S296" s="492"/>
      <c r="T296" s="494">
        <v>1296</v>
      </c>
      <c r="U296" s="494">
        <v>489</v>
      </c>
      <c r="V296" s="493"/>
      <c r="W296" s="494">
        <v>908</v>
      </c>
      <c r="X296" s="496">
        <v>272</v>
      </c>
      <c r="Y296" s="493"/>
      <c r="Z296" s="494">
        <v>4305</v>
      </c>
      <c r="AA296" s="494">
        <v>859</v>
      </c>
      <c r="AB296" s="493"/>
      <c r="AC296" s="494">
        <v>2645</v>
      </c>
      <c r="AD296" s="494">
        <v>913</v>
      </c>
      <c r="AE296" s="492"/>
      <c r="AF296" s="494">
        <v>2782</v>
      </c>
      <c r="AG296" s="494">
        <v>285</v>
      </c>
      <c r="AH296" s="493"/>
      <c r="AI296" s="494">
        <v>2014</v>
      </c>
      <c r="AJ296" s="494">
        <v>907</v>
      </c>
      <c r="AK296" s="262"/>
      <c r="AL296" s="262"/>
      <c r="AM296" s="262"/>
      <c r="AN296" s="262"/>
      <c r="AO296" s="262"/>
      <c r="AP296" s="262"/>
      <c r="AQ296" s="262"/>
      <c r="AR296" s="262"/>
      <c r="AS296" s="262"/>
      <c r="AT296" s="262"/>
      <c r="AU296" s="262"/>
      <c r="AV296" s="262"/>
      <c r="AW296" s="262"/>
      <c r="AX296" s="262"/>
      <c r="AY296" s="262"/>
      <c r="AZ296" s="262"/>
      <c r="BA296" s="262"/>
      <c r="BB296" s="262"/>
      <c r="BC296" s="262"/>
      <c r="BD296" s="262"/>
      <c r="BE296" s="262"/>
      <c r="BF296" s="262"/>
      <c r="BG296" s="262"/>
      <c r="BH296" s="262"/>
    </row>
    <row r="297" spans="1:60" s="497" customFormat="1" x14ac:dyDescent="0.25">
      <c r="A297" s="262"/>
      <c r="B297" s="377">
        <v>42899</v>
      </c>
      <c r="C297" s="377">
        <v>42905</v>
      </c>
      <c r="D297" s="409"/>
      <c r="E297" s="494">
        <v>4195</v>
      </c>
      <c r="F297" s="495">
        <v>909</v>
      </c>
      <c r="G297" s="492"/>
      <c r="H297" s="494">
        <v>6716</v>
      </c>
      <c r="I297" s="494">
        <v>1795</v>
      </c>
      <c r="J297" s="492"/>
      <c r="K297" s="494">
        <v>1467</v>
      </c>
      <c r="L297" s="494">
        <v>284</v>
      </c>
      <c r="M297" s="492"/>
      <c r="N297" s="494">
        <v>2719</v>
      </c>
      <c r="O297" s="495">
        <v>740</v>
      </c>
      <c r="P297" s="492"/>
      <c r="Q297" s="494">
        <v>3973</v>
      </c>
      <c r="R297" s="494">
        <v>1290</v>
      </c>
      <c r="S297" s="492"/>
      <c r="T297" s="494">
        <v>10094</v>
      </c>
      <c r="U297" s="494">
        <v>3443</v>
      </c>
      <c r="V297" s="493"/>
      <c r="W297" s="494">
        <v>682</v>
      </c>
      <c r="X297" s="496">
        <v>235</v>
      </c>
      <c r="Y297" s="493"/>
      <c r="Z297" s="494">
        <v>3549</v>
      </c>
      <c r="AA297" s="494">
        <v>758</v>
      </c>
      <c r="AB297" s="493"/>
      <c r="AC297" s="494">
        <v>2450</v>
      </c>
      <c r="AD297" s="494">
        <v>887</v>
      </c>
      <c r="AE297" s="492"/>
      <c r="AF297" s="494">
        <v>2670</v>
      </c>
      <c r="AG297" s="494">
        <v>287</v>
      </c>
      <c r="AH297" s="493"/>
      <c r="AI297" s="494">
        <v>2357</v>
      </c>
      <c r="AJ297" s="494">
        <v>955</v>
      </c>
      <c r="AK297" s="262"/>
      <c r="AL297" s="262"/>
      <c r="AM297" s="262"/>
      <c r="AN297" s="262"/>
      <c r="AO297" s="262"/>
      <c r="AP297" s="262"/>
      <c r="AQ297" s="262"/>
      <c r="AR297" s="262"/>
      <c r="AS297" s="262"/>
      <c r="AT297" s="262"/>
      <c r="AU297" s="262"/>
      <c r="AV297" s="262"/>
      <c r="AW297" s="262"/>
      <c r="AX297" s="262"/>
      <c r="AY297" s="262"/>
      <c r="AZ297" s="262"/>
      <c r="BA297" s="262"/>
      <c r="BB297" s="262"/>
      <c r="BC297" s="262"/>
      <c r="BD297" s="262"/>
      <c r="BE297" s="262"/>
      <c r="BF297" s="262"/>
      <c r="BG297" s="262"/>
      <c r="BH297" s="262"/>
    </row>
    <row r="298" spans="1:60" s="497" customFormat="1" x14ac:dyDescent="0.25">
      <c r="A298" s="262"/>
      <c r="B298" s="377">
        <v>42906</v>
      </c>
      <c r="C298" s="377">
        <v>42912</v>
      </c>
      <c r="D298" s="409"/>
      <c r="E298" s="494">
        <v>4565</v>
      </c>
      <c r="F298" s="495">
        <v>978</v>
      </c>
      <c r="G298" s="492"/>
      <c r="H298" s="494">
        <v>7082</v>
      </c>
      <c r="I298" s="494">
        <v>1751</v>
      </c>
      <c r="J298" s="492"/>
      <c r="K298" s="494">
        <v>2076</v>
      </c>
      <c r="L298" s="494">
        <v>478</v>
      </c>
      <c r="M298" s="492"/>
      <c r="N298" s="494">
        <v>3623</v>
      </c>
      <c r="O298" s="494">
        <v>1077</v>
      </c>
      <c r="P298" s="492"/>
      <c r="Q298" s="494">
        <v>5094</v>
      </c>
      <c r="R298" s="494">
        <v>1767</v>
      </c>
      <c r="S298" s="492"/>
      <c r="T298" s="494">
        <v>2268</v>
      </c>
      <c r="U298" s="494">
        <v>822</v>
      </c>
      <c r="V298" s="493"/>
      <c r="W298" s="494">
        <v>733</v>
      </c>
      <c r="X298" s="496">
        <v>261</v>
      </c>
      <c r="Y298" s="493"/>
      <c r="Z298" s="494">
        <v>4441</v>
      </c>
      <c r="AA298" s="494">
        <v>1047</v>
      </c>
      <c r="AB298" s="493"/>
      <c r="AC298" s="494">
        <v>33488</v>
      </c>
      <c r="AD298" s="494">
        <v>13095</v>
      </c>
      <c r="AE298" s="492"/>
      <c r="AF298" s="494">
        <v>3068</v>
      </c>
      <c r="AG298" s="494">
        <v>321</v>
      </c>
      <c r="AH298" s="493"/>
      <c r="AI298" s="494">
        <v>5659</v>
      </c>
      <c r="AJ298" s="494">
        <v>1770</v>
      </c>
      <c r="AK298" s="262"/>
      <c r="AL298" s="262"/>
      <c r="AM298" s="262"/>
      <c r="AN298" s="262"/>
      <c r="AO298" s="262"/>
      <c r="AP298" s="262"/>
      <c r="AQ298" s="262"/>
      <c r="AR298" s="262"/>
      <c r="AS298" s="262"/>
      <c r="AT298" s="262"/>
      <c r="AU298" s="262"/>
      <c r="AV298" s="262"/>
      <c r="AW298" s="262"/>
      <c r="AX298" s="262"/>
      <c r="AY298" s="262"/>
      <c r="AZ298" s="262"/>
      <c r="BA298" s="262"/>
      <c r="BB298" s="262"/>
      <c r="BC298" s="262"/>
      <c r="BD298" s="262"/>
      <c r="BE298" s="262"/>
      <c r="BF298" s="262"/>
      <c r="BG298" s="262"/>
      <c r="BH298" s="262"/>
    </row>
    <row r="299" spans="1:60" s="497" customFormat="1" x14ac:dyDescent="0.25">
      <c r="A299" s="262"/>
      <c r="B299" s="377">
        <v>42913</v>
      </c>
      <c r="C299" s="377">
        <v>42919</v>
      </c>
      <c r="D299" s="409"/>
      <c r="E299" s="494">
        <v>6999</v>
      </c>
      <c r="F299" s="494">
        <v>1327</v>
      </c>
      <c r="G299" s="492"/>
      <c r="H299" s="494">
        <v>7547</v>
      </c>
      <c r="I299" s="494">
        <v>1730</v>
      </c>
      <c r="J299" s="492"/>
      <c r="K299" s="494">
        <v>2335</v>
      </c>
      <c r="L299" s="494">
        <v>517</v>
      </c>
      <c r="M299" s="492"/>
      <c r="N299" s="494">
        <v>5172</v>
      </c>
      <c r="O299" s="494">
        <v>1417</v>
      </c>
      <c r="P299" s="492"/>
      <c r="Q299" s="494">
        <v>21287</v>
      </c>
      <c r="R299" s="494">
        <v>6982</v>
      </c>
      <c r="S299" s="492"/>
      <c r="T299" s="494">
        <v>2837</v>
      </c>
      <c r="U299" s="494">
        <v>956</v>
      </c>
      <c r="V299" s="493"/>
      <c r="W299" s="494">
        <v>1204</v>
      </c>
      <c r="X299" s="496">
        <v>285</v>
      </c>
      <c r="Y299" s="493"/>
      <c r="Z299" s="494">
        <v>5897</v>
      </c>
      <c r="AA299" s="494">
        <v>1196</v>
      </c>
      <c r="AB299" s="493"/>
      <c r="AC299" s="494">
        <v>7946</v>
      </c>
      <c r="AD299" s="494">
        <v>2630</v>
      </c>
      <c r="AE299" s="492"/>
      <c r="AF299" s="494">
        <v>2887</v>
      </c>
      <c r="AG299" s="494">
        <v>316</v>
      </c>
      <c r="AH299" s="493"/>
      <c r="AI299" s="494">
        <v>2189</v>
      </c>
      <c r="AJ299" s="494">
        <v>976</v>
      </c>
      <c r="AK299" s="262"/>
      <c r="AL299" s="262"/>
      <c r="AM299" s="262"/>
      <c r="AN299" s="262"/>
      <c r="AO299" s="262"/>
      <c r="AP299" s="262"/>
      <c r="AQ299" s="262"/>
      <c r="AR299" s="262"/>
      <c r="AS299" s="262"/>
      <c r="AT299" s="262"/>
      <c r="AU299" s="262"/>
      <c r="AV299" s="262"/>
      <c r="AW299" s="262"/>
      <c r="AX299" s="262"/>
      <c r="AY299" s="262"/>
      <c r="AZ299" s="262"/>
      <c r="BA299" s="262"/>
      <c r="BB299" s="262"/>
      <c r="BC299" s="262"/>
      <c r="BD299" s="262"/>
      <c r="BE299" s="262"/>
      <c r="BF299" s="262"/>
      <c r="BG299" s="262"/>
      <c r="BH299" s="262"/>
    </row>
    <row r="300" spans="1:60" s="497" customFormat="1" x14ac:dyDescent="0.25">
      <c r="A300" s="262"/>
      <c r="B300" s="377">
        <v>42920</v>
      </c>
      <c r="C300" s="377">
        <v>42926</v>
      </c>
      <c r="D300" s="409"/>
      <c r="E300" s="494">
        <v>5682</v>
      </c>
      <c r="F300" s="494">
        <v>1147</v>
      </c>
      <c r="G300" s="492"/>
      <c r="H300" s="494">
        <v>6413</v>
      </c>
      <c r="I300" s="494">
        <v>1622</v>
      </c>
      <c r="J300" s="492"/>
      <c r="K300" s="494">
        <v>2272</v>
      </c>
      <c r="L300" s="494">
        <v>526</v>
      </c>
      <c r="M300" s="492"/>
      <c r="N300" s="494">
        <v>4655</v>
      </c>
      <c r="O300" s="494">
        <v>1235</v>
      </c>
      <c r="P300" s="492"/>
      <c r="Q300" s="494">
        <v>6836</v>
      </c>
      <c r="R300" s="494">
        <v>2159</v>
      </c>
      <c r="S300" s="492"/>
      <c r="T300" s="494">
        <v>2039</v>
      </c>
      <c r="U300" s="494">
        <v>772</v>
      </c>
      <c r="V300" s="493"/>
      <c r="W300" s="494">
        <v>981</v>
      </c>
      <c r="X300" s="496">
        <v>271</v>
      </c>
      <c r="Y300" s="493"/>
      <c r="Z300" s="494">
        <v>5235</v>
      </c>
      <c r="AA300" s="494">
        <v>1175</v>
      </c>
      <c r="AB300" s="493"/>
      <c r="AC300" s="494">
        <v>5202</v>
      </c>
      <c r="AD300" s="494">
        <v>1648</v>
      </c>
      <c r="AE300" s="492"/>
      <c r="AF300" s="494">
        <v>2843</v>
      </c>
      <c r="AG300" s="494">
        <v>288</v>
      </c>
      <c r="AH300" s="493"/>
      <c r="AI300" s="494">
        <v>1839</v>
      </c>
      <c r="AJ300" s="494">
        <v>895</v>
      </c>
      <c r="AK300" s="262"/>
      <c r="AL300" s="262"/>
      <c r="AM300" s="262"/>
      <c r="AN300" s="262"/>
      <c r="AO300" s="262"/>
      <c r="AP300" s="262"/>
      <c r="AQ300" s="262"/>
      <c r="AR300" s="262"/>
      <c r="AS300" s="262"/>
      <c r="AT300" s="262"/>
      <c r="AU300" s="262"/>
      <c r="AV300" s="262"/>
      <c r="AW300" s="262"/>
      <c r="AX300" s="262"/>
      <c r="AY300" s="262"/>
      <c r="AZ300" s="262"/>
      <c r="BA300" s="262"/>
      <c r="BB300" s="262"/>
      <c r="BC300" s="262"/>
      <c r="BD300" s="262"/>
      <c r="BE300" s="262"/>
      <c r="BF300" s="262"/>
      <c r="BG300" s="262"/>
      <c r="BH300" s="262"/>
    </row>
    <row r="301" spans="1:60" s="497" customFormat="1" x14ac:dyDescent="0.25">
      <c r="A301" s="262"/>
      <c r="B301" s="511">
        <v>42927</v>
      </c>
      <c r="C301" s="511">
        <v>42933</v>
      </c>
      <c r="D301" s="409"/>
      <c r="E301" s="494">
        <v>18809</v>
      </c>
      <c r="F301" s="494">
        <v>3167</v>
      </c>
      <c r="G301" s="492"/>
      <c r="H301" s="494">
        <v>6527</v>
      </c>
      <c r="I301" s="494">
        <v>1604</v>
      </c>
      <c r="J301" s="492"/>
      <c r="K301" s="494">
        <v>2504</v>
      </c>
      <c r="L301" s="494">
        <v>556</v>
      </c>
      <c r="M301" s="492"/>
      <c r="N301" s="494">
        <v>4617</v>
      </c>
      <c r="O301" s="494">
        <v>1342</v>
      </c>
      <c r="P301" s="492"/>
      <c r="Q301" s="494">
        <v>6329</v>
      </c>
      <c r="R301" s="494">
        <v>2002</v>
      </c>
      <c r="S301" s="492"/>
      <c r="T301" s="494">
        <v>1406</v>
      </c>
      <c r="U301" s="494">
        <v>520</v>
      </c>
      <c r="V301" s="493"/>
      <c r="W301" s="494">
        <v>857</v>
      </c>
      <c r="X301" s="496">
        <v>290</v>
      </c>
      <c r="Y301" s="493"/>
      <c r="Z301" s="494">
        <v>4543</v>
      </c>
      <c r="AA301" s="494">
        <v>1080</v>
      </c>
      <c r="AB301" s="493"/>
      <c r="AC301" s="494">
        <v>4892</v>
      </c>
      <c r="AD301" s="494">
        <v>1669</v>
      </c>
      <c r="AE301" s="492"/>
      <c r="AF301" s="494">
        <v>24299</v>
      </c>
      <c r="AG301" s="494">
        <v>4169</v>
      </c>
      <c r="AH301" s="493"/>
      <c r="AI301" s="494">
        <v>2144</v>
      </c>
      <c r="AJ301" s="494">
        <v>1040</v>
      </c>
      <c r="AK301" s="262"/>
      <c r="AL301" s="262"/>
      <c r="AM301" s="262"/>
      <c r="AN301" s="262"/>
      <c r="AO301" s="262"/>
      <c r="AP301" s="262"/>
      <c r="AQ301" s="262"/>
      <c r="AR301" s="262"/>
      <c r="AS301" s="262"/>
      <c r="AT301" s="262"/>
      <c r="AU301" s="262"/>
      <c r="AV301" s="262"/>
      <c r="AW301" s="262"/>
      <c r="AX301" s="262"/>
      <c r="AY301" s="262"/>
      <c r="AZ301" s="262"/>
      <c r="BA301" s="262"/>
      <c r="BB301" s="262"/>
      <c r="BC301" s="262"/>
      <c r="BD301" s="262"/>
      <c r="BE301" s="262"/>
      <c r="BF301" s="262"/>
      <c r="BG301" s="262"/>
      <c r="BH301" s="262"/>
    </row>
    <row r="302" spans="1:60" s="497" customFormat="1" x14ac:dyDescent="0.25">
      <c r="A302" s="262"/>
      <c r="B302" s="511">
        <v>42934</v>
      </c>
      <c r="C302" s="511">
        <v>42940</v>
      </c>
      <c r="D302" s="409"/>
      <c r="E302" s="494">
        <v>6990</v>
      </c>
      <c r="F302" s="494">
        <v>1317</v>
      </c>
      <c r="G302" s="492"/>
      <c r="H302" s="494">
        <v>6494</v>
      </c>
      <c r="I302" s="494">
        <v>1553</v>
      </c>
      <c r="J302" s="492"/>
      <c r="K302" s="494">
        <v>2670</v>
      </c>
      <c r="L302" s="494">
        <v>645</v>
      </c>
      <c r="M302" s="492"/>
      <c r="N302" s="494">
        <v>9836</v>
      </c>
      <c r="O302" s="494">
        <v>2129</v>
      </c>
      <c r="P302" s="492"/>
      <c r="Q302" s="494">
        <v>6033</v>
      </c>
      <c r="R302" s="494">
        <v>1988</v>
      </c>
      <c r="S302" s="492"/>
      <c r="T302" s="494">
        <v>1228</v>
      </c>
      <c r="U302" s="494">
        <v>421</v>
      </c>
      <c r="V302" s="493"/>
      <c r="W302" s="494">
        <v>870</v>
      </c>
      <c r="X302" s="496">
        <v>298</v>
      </c>
      <c r="Y302" s="493"/>
      <c r="Z302" s="494">
        <v>4807</v>
      </c>
      <c r="AA302" s="494">
        <v>1196</v>
      </c>
      <c r="AB302" s="493"/>
      <c r="AC302" s="494">
        <v>4642</v>
      </c>
      <c r="AD302" s="494">
        <v>1556</v>
      </c>
      <c r="AE302" s="492"/>
      <c r="AF302" s="494">
        <v>4941</v>
      </c>
      <c r="AG302" s="494">
        <v>622</v>
      </c>
      <c r="AH302" s="493"/>
      <c r="AI302" s="494">
        <v>2290</v>
      </c>
      <c r="AJ302" s="494">
        <v>1091</v>
      </c>
      <c r="AK302" s="262"/>
      <c r="AL302" s="262"/>
      <c r="AM302" s="262"/>
      <c r="AN302" s="262"/>
      <c r="AO302" s="262"/>
      <c r="AP302" s="262"/>
      <c r="AQ302" s="262"/>
      <c r="AR302" s="262"/>
      <c r="AS302" s="262"/>
      <c r="AT302" s="262"/>
      <c r="AU302" s="262"/>
      <c r="AV302" s="262"/>
      <c r="AW302" s="262"/>
      <c r="AX302" s="262"/>
      <c r="AY302" s="262"/>
      <c r="AZ302" s="262"/>
      <c r="BA302" s="262"/>
      <c r="BB302" s="262"/>
      <c r="BC302" s="262"/>
      <c r="BD302" s="262"/>
      <c r="BE302" s="262"/>
      <c r="BF302" s="262"/>
      <c r="BG302" s="262"/>
      <c r="BH302" s="262"/>
    </row>
    <row r="303" spans="1:60" s="497" customFormat="1" x14ac:dyDescent="0.25">
      <c r="A303" s="262"/>
      <c r="B303" s="511">
        <v>42941</v>
      </c>
      <c r="C303" s="511">
        <v>42947</v>
      </c>
      <c r="D303" s="409"/>
      <c r="E303" s="494">
        <v>5783</v>
      </c>
      <c r="F303" s="494">
        <v>1130</v>
      </c>
      <c r="G303" s="492"/>
      <c r="H303" s="494">
        <v>6321</v>
      </c>
      <c r="I303" s="494">
        <v>1598</v>
      </c>
      <c r="J303" s="492"/>
      <c r="K303" s="494">
        <v>11597</v>
      </c>
      <c r="L303" s="494">
        <v>3036</v>
      </c>
      <c r="M303" s="492"/>
      <c r="N303" s="494">
        <v>5189</v>
      </c>
      <c r="O303" s="494">
        <v>1502</v>
      </c>
      <c r="P303" s="492"/>
      <c r="Q303" s="494">
        <v>6409</v>
      </c>
      <c r="R303" s="494">
        <v>2228</v>
      </c>
      <c r="S303" s="492"/>
      <c r="T303" s="494">
        <v>1126</v>
      </c>
      <c r="U303" s="494">
        <v>452</v>
      </c>
      <c r="V303" s="493"/>
      <c r="W303" s="494">
        <v>864</v>
      </c>
      <c r="X303" s="496">
        <v>285</v>
      </c>
      <c r="Y303" s="493"/>
      <c r="Z303" s="494">
        <v>4957</v>
      </c>
      <c r="AA303" s="494">
        <v>1195</v>
      </c>
      <c r="AB303" s="493"/>
      <c r="AC303" s="494">
        <v>4535</v>
      </c>
      <c r="AD303" s="494">
        <v>1467</v>
      </c>
      <c r="AE303" s="492"/>
      <c r="AF303" s="494">
        <v>4016</v>
      </c>
      <c r="AG303" s="494">
        <v>496</v>
      </c>
      <c r="AH303" s="493"/>
      <c r="AI303" s="494">
        <v>2357</v>
      </c>
      <c r="AJ303" s="494">
        <v>1148</v>
      </c>
      <c r="AK303" s="262"/>
      <c r="AL303" s="262"/>
      <c r="AM303" s="262"/>
      <c r="AN303" s="262"/>
      <c r="AO303" s="262"/>
      <c r="AP303" s="262"/>
      <c r="AQ303" s="262"/>
      <c r="AR303" s="262"/>
      <c r="AS303" s="262"/>
      <c r="AT303" s="262"/>
      <c r="AU303" s="262"/>
      <c r="AV303" s="262"/>
      <c r="AW303" s="262"/>
      <c r="AX303" s="262"/>
      <c r="AY303" s="262"/>
      <c r="AZ303" s="262"/>
      <c r="BA303" s="262"/>
      <c r="BB303" s="262"/>
      <c r="BC303" s="262"/>
      <c r="BD303" s="262"/>
      <c r="BE303" s="262"/>
      <c r="BF303" s="262"/>
      <c r="BG303" s="262"/>
      <c r="BH303" s="262"/>
    </row>
    <row r="304" spans="1:60" s="497" customFormat="1" x14ac:dyDescent="0.25">
      <c r="A304" s="262"/>
      <c r="B304" s="511">
        <v>42948</v>
      </c>
      <c r="C304" s="511">
        <v>42954</v>
      </c>
      <c r="D304" s="409"/>
      <c r="E304" s="494">
        <v>5029</v>
      </c>
      <c r="F304" s="494">
        <v>1048</v>
      </c>
      <c r="G304" s="492"/>
      <c r="H304" s="494">
        <v>6088</v>
      </c>
      <c r="I304" s="494">
        <v>1578</v>
      </c>
      <c r="J304" s="492"/>
      <c r="K304" s="494">
        <v>4286</v>
      </c>
      <c r="L304" s="494">
        <v>878</v>
      </c>
      <c r="M304" s="492"/>
      <c r="N304" s="494">
        <v>5054</v>
      </c>
      <c r="O304" s="494">
        <v>1397</v>
      </c>
      <c r="P304" s="492"/>
      <c r="Q304" s="494">
        <v>6332</v>
      </c>
      <c r="R304" s="494">
        <v>2229</v>
      </c>
      <c r="S304" s="492"/>
      <c r="T304" s="494">
        <v>3085</v>
      </c>
      <c r="U304" s="494">
        <v>1108</v>
      </c>
      <c r="V304" s="493"/>
      <c r="W304" s="494">
        <v>2230</v>
      </c>
      <c r="X304" s="496">
        <v>807</v>
      </c>
      <c r="Y304" s="493"/>
      <c r="Z304" s="494">
        <v>4917</v>
      </c>
      <c r="AA304" s="494">
        <v>1252</v>
      </c>
      <c r="AB304" s="493"/>
      <c r="AC304" s="494">
        <v>4460</v>
      </c>
      <c r="AD304" s="494">
        <v>1471</v>
      </c>
      <c r="AE304" s="492"/>
      <c r="AF304" s="494">
        <v>3720</v>
      </c>
      <c r="AG304" s="494">
        <v>476</v>
      </c>
      <c r="AH304" s="493"/>
      <c r="AI304" s="494">
        <v>2174</v>
      </c>
      <c r="AJ304" s="494">
        <v>1038</v>
      </c>
      <c r="AK304" s="262"/>
      <c r="AL304" s="262"/>
      <c r="AM304" s="262"/>
      <c r="AN304" s="262"/>
      <c r="AO304" s="262"/>
      <c r="AP304" s="262"/>
      <c r="AQ304" s="262"/>
      <c r="AR304" s="262"/>
      <c r="AS304" s="262"/>
      <c r="AT304" s="262"/>
      <c r="AU304" s="262"/>
      <c r="AV304" s="262"/>
      <c r="AW304" s="262"/>
      <c r="AX304" s="262"/>
      <c r="AY304" s="262"/>
      <c r="AZ304" s="262"/>
      <c r="BA304" s="262"/>
      <c r="BB304" s="262"/>
      <c r="BC304" s="262"/>
      <c r="BD304" s="262"/>
      <c r="BE304" s="262"/>
      <c r="BF304" s="262"/>
      <c r="BG304" s="262"/>
      <c r="BH304" s="262"/>
    </row>
    <row r="305" spans="1:60" s="497" customFormat="1" x14ac:dyDescent="0.25">
      <c r="A305" s="262"/>
      <c r="B305" s="511">
        <v>42955</v>
      </c>
      <c r="C305" s="511">
        <v>42961</v>
      </c>
      <c r="D305" s="409"/>
      <c r="E305" s="494">
        <v>4860</v>
      </c>
      <c r="F305" s="494">
        <v>950</v>
      </c>
      <c r="G305" s="492"/>
      <c r="H305" s="494">
        <v>6110</v>
      </c>
      <c r="I305" s="494">
        <v>1601</v>
      </c>
      <c r="J305" s="492"/>
      <c r="K305" s="494">
        <v>2663</v>
      </c>
      <c r="L305" s="494">
        <v>561</v>
      </c>
      <c r="M305" s="492"/>
      <c r="N305" s="494">
        <v>5236</v>
      </c>
      <c r="O305" s="494">
        <v>1492</v>
      </c>
      <c r="P305" s="492"/>
      <c r="Q305" s="494">
        <v>6258</v>
      </c>
      <c r="R305" s="494">
        <v>2212</v>
      </c>
      <c r="S305" s="492"/>
      <c r="T305" s="494">
        <v>1734</v>
      </c>
      <c r="U305" s="494">
        <v>562</v>
      </c>
      <c r="V305" s="493"/>
      <c r="W305" s="494">
        <v>976</v>
      </c>
      <c r="X305" s="496">
        <v>306</v>
      </c>
      <c r="Y305" s="493"/>
      <c r="Z305" s="494">
        <v>4790</v>
      </c>
      <c r="AA305" s="494">
        <v>1175</v>
      </c>
      <c r="AB305" s="493"/>
      <c r="AC305" s="494">
        <v>4172</v>
      </c>
      <c r="AD305" s="494">
        <v>1344</v>
      </c>
      <c r="AE305" s="492"/>
      <c r="AF305" s="494">
        <v>3469</v>
      </c>
      <c r="AG305" s="494">
        <v>371</v>
      </c>
      <c r="AH305" s="493"/>
      <c r="AI305" s="494">
        <v>2273</v>
      </c>
      <c r="AJ305" s="494">
        <v>1049</v>
      </c>
      <c r="AK305" s="262"/>
      <c r="AL305" s="262"/>
      <c r="AM305" s="262"/>
      <c r="AN305" s="262"/>
      <c r="AO305" s="262"/>
      <c r="AP305" s="262"/>
      <c r="AQ305" s="262"/>
      <c r="AR305" s="262"/>
      <c r="AS305" s="262"/>
      <c r="AT305" s="262"/>
      <c r="AU305" s="262"/>
      <c r="AV305" s="262"/>
      <c r="AW305" s="262"/>
      <c r="AX305" s="262"/>
      <c r="AY305" s="262"/>
      <c r="AZ305" s="262"/>
      <c r="BA305" s="262"/>
      <c r="BB305" s="262"/>
      <c r="BC305" s="262"/>
      <c r="BD305" s="262"/>
      <c r="BE305" s="262"/>
      <c r="BF305" s="262"/>
      <c r="BG305" s="262"/>
      <c r="BH305" s="262"/>
    </row>
    <row r="306" spans="1:60" s="497" customFormat="1" x14ac:dyDescent="0.25">
      <c r="A306" s="262"/>
      <c r="B306" s="511">
        <v>42962</v>
      </c>
      <c r="C306" s="511">
        <v>42968</v>
      </c>
      <c r="D306" s="409"/>
      <c r="E306" s="494">
        <v>4957</v>
      </c>
      <c r="F306" s="494">
        <v>991</v>
      </c>
      <c r="G306" s="492"/>
      <c r="H306" s="494">
        <v>6077</v>
      </c>
      <c r="I306" s="494">
        <v>1466</v>
      </c>
      <c r="J306" s="492"/>
      <c r="K306" s="494">
        <v>2624</v>
      </c>
      <c r="L306" s="494">
        <v>549</v>
      </c>
      <c r="M306" s="492"/>
      <c r="N306" s="494">
        <v>4974</v>
      </c>
      <c r="O306" s="494">
        <v>1439</v>
      </c>
      <c r="P306" s="492"/>
      <c r="Q306" s="494">
        <v>5770</v>
      </c>
      <c r="R306" s="494">
        <v>2041</v>
      </c>
      <c r="S306" s="492"/>
      <c r="T306" s="494">
        <v>1332</v>
      </c>
      <c r="U306" s="494">
        <v>452</v>
      </c>
      <c r="V306" s="493"/>
      <c r="W306" s="494">
        <v>872</v>
      </c>
      <c r="X306" s="496">
        <v>281</v>
      </c>
      <c r="Y306" s="493"/>
      <c r="Z306" s="494">
        <v>4596</v>
      </c>
      <c r="AA306" s="494">
        <v>1128</v>
      </c>
      <c r="AB306" s="493"/>
      <c r="AC306" s="494">
        <v>4245</v>
      </c>
      <c r="AD306" s="494">
        <v>1387</v>
      </c>
      <c r="AE306" s="492"/>
      <c r="AF306" s="494">
        <v>3445</v>
      </c>
      <c r="AG306" s="494">
        <v>410</v>
      </c>
      <c r="AH306" s="493"/>
      <c r="AI306" s="494">
        <v>2568</v>
      </c>
      <c r="AJ306" s="494">
        <v>1143</v>
      </c>
      <c r="AK306" s="262"/>
      <c r="AL306" s="262"/>
      <c r="AM306" s="262"/>
      <c r="AN306" s="262"/>
      <c r="AO306" s="262"/>
      <c r="AP306" s="262"/>
      <c r="AQ306" s="262"/>
      <c r="AR306" s="262"/>
      <c r="AS306" s="262"/>
      <c r="AT306" s="262"/>
      <c r="AU306" s="262"/>
      <c r="AV306" s="262"/>
      <c r="AW306" s="262"/>
      <c r="AX306" s="262"/>
      <c r="AY306" s="262"/>
      <c r="AZ306" s="262"/>
      <c r="BA306" s="262"/>
      <c r="BB306" s="262"/>
      <c r="BC306" s="262"/>
      <c r="BD306" s="262"/>
      <c r="BE306" s="262"/>
      <c r="BF306" s="262"/>
      <c r="BG306" s="262"/>
      <c r="BH306" s="262"/>
    </row>
    <row r="307" spans="1:60" s="497" customFormat="1" x14ac:dyDescent="0.25">
      <c r="A307" s="262"/>
      <c r="B307" s="511">
        <v>42969</v>
      </c>
      <c r="C307" s="511">
        <v>42975</v>
      </c>
      <c r="D307" s="409"/>
      <c r="E307" s="494">
        <v>4607</v>
      </c>
      <c r="F307" s="494">
        <v>1000</v>
      </c>
      <c r="G307" s="492"/>
      <c r="H307" s="494">
        <v>6518</v>
      </c>
      <c r="I307" s="494">
        <v>1702</v>
      </c>
      <c r="J307" s="492"/>
      <c r="K307" s="494">
        <v>2630</v>
      </c>
      <c r="L307" s="494">
        <v>509</v>
      </c>
      <c r="M307" s="492"/>
      <c r="N307" s="494">
        <v>4951</v>
      </c>
      <c r="O307" s="494">
        <v>1329</v>
      </c>
      <c r="P307" s="492"/>
      <c r="Q307" s="494">
        <v>5762</v>
      </c>
      <c r="R307" s="494">
        <v>2013</v>
      </c>
      <c r="S307" s="492"/>
      <c r="T307" s="494">
        <v>1241</v>
      </c>
      <c r="U307" s="494">
        <v>445</v>
      </c>
      <c r="V307" s="493"/>
      <c r="W307" s="494">
        <v>871</v>
      </c>
      <c r="X307" s="496">
        <v>284</v>
      </c>
      <c r="Y307" s="493"/>
      <c r="Z307" s="494">
        <v>4482</v>
      </c>
      <c r="AA307" s="494">
        <v>1112</v>
      </c>
      <c r="AB307" s="493"/>
      <c r="AC307" s="494">
        <v>4116</v>
      </c>
      <c r="AD307" s="494">
        <v>1397</v>
      </c>
      <c r="AE307" s="492"/>
      <c r="AF307" s="494">
        <v>3140</v>
      </c>
      <c r="AG307" s="494">
        <v>356</v>
      </c>
      <c r="AH307" s="493"/>
      <c r="AI307" s="494">
        <v>2398</v>
      </c>
      <c r="AJ307" s="494">
        <v>1148</v>
      </c>
      <c r="AK307" s="262"/>
      <c r="AL307" s="262"/>
      <c r="AM307" s="262"/>
      <c r="AN307" s="262"/>
      <c r="AO307" s="262"/>
      <c r="AP307" s="262"/>
      <c r="AQ307" s="262"/>
      <c r="AR307" s="262"/>
      <c r="AS307" s="262"/>
      <c r="AT307" s="262"/>
      <c r="AU307" s="262"/>
      <c r="AV307" s="262"/>
      <c r="AW307" s="262"/>
      <c r="AX307" s="262"/>
      <c r="AY307" s="262"/>
      <c r="AZ307" s="262"/>
      <c r="BA307" s="262"/>
      <c r="BB307" s="262"/>
      <c r="BC307" s="262"/>
      <c r="BD307" s="262"/>
      <c r="BE307" s="262"/>
      <c r="BF307" s="262"/>
      <c r="BG307" s="262"/>
      <c r="BH307" s="262"/>
    </row>
    <row r="308" spans="1:60" s="497" customFormat="1" x14ac:dyDescent="0.25">
      <c r="A308" s="262"/>
      <c r="B308" s="511">
        <v>42976</v>
      </c>
      <c r="C308" s="511">
        <v>42982</v>
      </c>
      <c r="D308" s="409"/>
      <c r="E308" s="494">
        <v>3908</v>
      </c>
      <c r="F308" s="494">
        <v>814</v>
      </c>
      <c r="G308" s="492"/>
      <c r="H308" s="494">
        <v>6997</v>
      </c>
      <c r="I308" s="494">
        <v>1738</v>
      </c>
      <c r="J308" s="492"/>
      <c r="K308" s="494">
        <v>2796</v>
      </c>
      <c r="L308" s="494">
        <v>433</v>
      </c>
      <c r="M308" s="492"/>
      <c r="N308" s="494">
        <v>4785</v>
      </c>
      <c r="O308" s="494">
        <v>1331</v>
      </c>
      <c r="P308" s="492"/>
      <c r="Q308" s="494">
        <v>5457</v>
      </c>
      <c r="R308" s="494">
        <v>1953</v>
      </c>
      <c r="S308" s="492"/>
      <c r="T308" s="494">
        <v>1229</v>
      </c>
      <c r="U308" s="494">
        <v>439</v>
      </c>
      <c r="V308" s="493"/>
      <c r="W308" s="494">
        <v>788</v>
      </c>
      <c r="X308" s="496">
        <v>261</v>
      </c>
      <c r="Y308" s="493"/>
      <c r="Z308" s="494">
        <v>4064</v>
      </c>
      <c r="AA308" s="494">
        <v>944</v>
      </c>
      <c r="AB308" s="493"/>
      <c r="AC308" s="494">
        <v>4054</v>
      </c>
      <c r="AD308" s="494">
        <v>1342</v>
      </c>
      <c r="AE308" s="492"/>
      <c r="AF308" s="494">
        <v>2914</v>
      </c>
      <c r="AG308" s="494">
        <v>315</v>
      </c>
      <c r="AH308" s="493"/>
      <c r="AI308" s="494">
        <v>2255</v>
      </c>
      <c r="AJ308" s="494">
        <v>1131</v>
      </c>
      <c r="AK308" s="262"/>
      <c r="AL308" s="262"/>
      <c r="AM308" s="262"/>
      <c r="AN308" s="262"/>
      <c r="AO308" s="262"/>
      <c r="AP308" s="262"/>
      <c r="AQ308" s="262"/>
      <c r="AR308" s="262"/>
      <c r="AS308" s="262"/>
      <c r="AT308" s="262"/>
      <c r="AU308" s="262"/>
      <c r="AV308" s="262"/>
      <c r="AW308" s="262"/>
      <c r="AX308" s="262"/>
      <c r="AY308" s="262"/>
      <c r="AZ308" s="262"/>
      <c r="BA308" s="262"/>
      <c r="BB308" s="262"/>
      <c r="BC308" s="262"/>
      <c r="BD308" s="262"/>
      <c r="BE308" s="262"/>
      <c r="BF308" s="262"/>
      <c r="BG308" s="262"/>
      <c r="BH308" s="262"/>
    </row>
    <row r="309" spans="1:60" x14ac:dyDescent="0.25">
      <c r="B309" s="107"/>
      <c r="C309" s="289"/>
      <c r="D309" s="410"/>
      <c r="E309" s="22"/>
      <c r="F309" s="22"/>
      <c r="G309" s="411"/>
      <c r="H309" s="22"/>
      <c r="I309" s="22"/>
      <c r="J309" s="411"/>
      <c r="K309" s="22"/>
      <c r="L309" s="22"/>
      <c r="M309" s="411"/>
      <c r="N309" s="22"/>
      <c r="O309" s="22"/>
      <c r="P309" s="411"/>
      <c r="Q309" s="22"/>
      <c r="R309" s="22"/>
      <c r="S309" s="411"/>
      <c r="T309" s="22"/>
      <c r="U309" s="22"/>
      <c r="V309" s="411"/>
      <c r="W309" s="22"/>
      <c r="X309" s="22"/>
      <c r="Y309" s="411"/>
      <c r="Z309" s="22"/>
      <c r="AA309" s="22"/>
      <c r="AB309" s="411"/>
      <c r="AC309" s="22"/>
      <c r="AD309" s="22"/>
      <c r="AE309" s="411"/>
      <c r="AF309" s="411"/>
      <c r="AG309" s="22"/>
      <c r="AH309" s="411"/>
      <c r="AI309" s="22"/>
      <c r="AJ309" s="22"/>
    </row>
    <row r="310" spans="1:60" x14ac:dyDescent="0.25">
      <c r="B310" s="521" t="s">
        <v>2</v>
      </c>
      <c r="C310" s="522"/>
      <c r="E310" s="4">
        <f>SUM(E217:E308)</f>
        <v>199864</v>
      </c>
      <c r="F310" s="4">
        <f>SUM(F217:F308)</f>
        <v>38605</v>
      </c>
      <c r="G310" s="412"/>
      <c r="H310" s="4">
        <f>SUM(H217:H308)</f>
        <v>277123</v>
      </c>
      <c r="I310" s="4">
        <f>SUM(I217:I308)</f>
        <v>65832</v>
      </c>
      <c r="J310" s="412"/>
      <c r="K310" s="4">
        <f>SUM(K217:K308)</f>
        <v>181366</v>
      </c>
      <c r="L310" s="4">
        <f>SUM(L217:L308)</f>
        <v>46563</v>
      </c>
      <c r="M310" s="412"/>
      <c r="N310" s="50">
        <f>SUM(N217:N308)</f>
        <v>212837</v>
      </c>
      <c r="O310" s="50">
        <f>SUM(O217:O308)</f>
        <v>57245</v>
      </c>
      <c r="P310" s="412"/>
      <c r="Q310" s="4">
        <f>SUM(Q217:Q308)</f>
        <v>266517</v>
      </c>
      <c r="R310" s="4">
        <f>SUM(R217:R308)</f>
        <v>77821</v>
      </c>
      <c r="S310" s="412"/>
      <c r="T310" s="4">
        <f>SUM(T217:T308)</f>
        <v>141597</v>
      </c>
      <c r="U310" s="4">
        <f>SUM(U217:U308)</f>
        <v>54977</v>
      </c>
      <c r="V310" s="412"/>
      <c r="W310" s="4">
        <f>SUM(W217:W308)</f>
        <v>121874</v>
      </c>
      <c r="X310" s="4">
        <f>SUM(X217:X308)</f>
        <v>38511</v>
      </c>
      <c r="Y310" s="412"/>
      <c r="Z310" s="4">
        <f>SUM(Z217:Z308)</f>
        <v>326009</v>
      </c>
      <c r="AA310" s="4">
        <f>SUM(AA217:AA308)</f>
        <v>54831</v>
      </c>
      <c r="AB310" s="412"/>
      <c r="AC310" s="4">
        <f>SUM(AC217:AC308)</f>
        <v>144269</v>
      </c>
      <c r="AD310" s="4">
        <f>SUM(AD217:AD308)</f>
        <v>51189</v>
      </c>
      <c r="AE310" s="412"/>
      <c r="AF310" s="414">
        <f>SUM(AF217:AF308)</f>
        <v>173468</v>
      </c>
      <c r="AG310" s="414">
        <f>SUM(AG217:AG308)</f>
        <v>21073</v>
      </c>
      <c r="AH310" s="412"/>
      <c r="AI310" s="4">
        <f>SUM(AI217:AI308)</f>
        <v>114986</v>
      </c>
      <c r="AJ310" s="4">
        <f>SUM(AJ217:AJ308)</f>
        <v>64981</v>
      </c>
    </row>
    <row r="312" spans="1:60" x14ac:dyDescent="0.25">
      <c r="AL312" s="444"/>
    </row>
    <row r="314" spans="1:60" ht="15.75" customHeight="1" x14ac:dyDescent="0.25">
      <c r="B314" s="523" t="s">
        <v>413</v>
      </c>
      <c r="C314" s="523"/>
      <c r="D314" s="523"/>
      <c r="E314" s="523"/>
      <c r="F314" s="523"/>
      <c r="G314" s="523"/>
      <c r="H314" s="523"/>
      <c r="I314" s="523"/>
      <c r="J314" s="523"/>
      <c r="K314" s="523"/>
      <c r="L314" s="523"/>
      <c r="M314" s="523"/>
      <c r="N314" s="523"/>
      <c r="O314" s="523"/>
      <c r="P314" s="523"/>
      <c r="Q314" s="523"/>
      <c r="R314" s="523"/>
    </row>
    <row r="315" spans="1:60" ht="15.75" customHeight="1" x14ac:dyDescent="0.25">
      <c r="B315" s="524" t="s">
        <v>393</v>
      </c>
      <c r="C315" s="524"/>
      <c r="D315" s="524"/>
      <c r="E315" s="524"/>
      <c r="F315" s="524"/>
      <c r="G315" s="524"/>
      <c r="H315" s="524"/>
      <c r="I315" s="524"/>
      <c r="J315" s="524"/>
      <c r="K315" s="524"/>
      <c r="L315" s="524"/>
      <c r="M315" s="524"/>
      <c r="N315" s="524"/>
      <c r="O315" s="524"/>
      <c r="P315" s="524"/>
      <c r="Q315" s="524"/>
      <c r="R315" s="524"/>
    </row>
    <row r="316" spans="1:60" ht="15.75" customHeight="1" x14ac:dyDescent="0.25">
      <c r="B316" s="519" t="s">
        <v>412</v>
      </c>
      <c r="C316" s="519"/>
      <c r="D316" s="519"/>
      <c r="E316" s="519"/>
      <c r="F316" s="519"/>
      <c r="G316" s="519"/>
      <c r="H316" s="519"/>
      <c r="I316" s="519"/>
      <c r="J316" s="519"/>
      <c r="K316" s="519"/>
      <c r="L316" s="519"/>
      <c r="M316" s="519"/>
      <c r="N316" s="519"/>
      <c r="O316" s="519"/>
      <c r="P316" s="519"/>
      <c r="Q316" s="519"/>
      <c r="R316" s="519"/>
    </row>
  </sheetData>
  <mergeCells count="28">
    <mergeCell ref="AF215:AG215"/>
    <mergeCell ref="AI215:AJ215"/>
    <mergeCell ref="AF1:AG1"/>
    <mergeCell ref="AI1:AJ1"/>
    <mergeCell ref="B212:C212"/>
    <mergeCell ref="B214:AD214"/>
    <mergeCell ref="E215:F215"/>
    <mergeCell ref="H215:I215"/>
    <mergeCell ref="K215:L215"/>
    <mergeCell ref="AC215:AD215"/>
    <mergeCell ref="E1:F1"/>
    <mergeCell ref="H1:I1"/>
    <mergeCell ref="Z1:AA1"/>
    <mergeCell ref="AC1:AD1"/>
    <mergeCell ref="K1:L1"/>
    <mergeCell ref="N1:O1"/>
    <mergeCell ref="Q1:R1"/>
    <mergeCell ref="T1:U1"/>
    <mergeCell ref="W1:X1"/>
    <mergeCell ref="B314:R314"/>
    <mergeCell ref="B315:R315"/>
    <mergeCell ref="B316:R316"/>
    <mergeCell ref="W215:X215"/>
    <mergeCell ref="Z215:AA215"/>
    <mergeCell ref="N215:O215"/>
    <mergeCell ref="Q215:R215"/>
    <mergeCell ref="T215:U215"/>
    <mergeCell ref="B310:C3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652"/>
  <sheetViews>
    <sheetView tabSelected="1" topLeftCell="A624" zoomScaleNormal="100" workbookViewId="0">
      <selection activeCell="B638" sqref="B638"/>
    </sheetView>
  </sheetViews>
  <sheetFormatPr defaultColWidth="8.85546875" defaultRowHeight="12.75" x14ac:dyDescent="0.2"/>
  <cols>
    <col min="1" max="1" width="8.85546875" style="230"/>
    <col min="2" max="2" width="51.7109375" style="230" customWidth="1"/>
    <col min="3" max="3" width="27.28515625" style="230" customWidth="1"/>
    <col min="4" max="4" width="40.7109375" style="230" customWidth="1"/>
    <col min="5" max="5" width="12.42578125" style="230" bestFit="1" customWidth="1"/>
    <col min="6" max="6" width="12.7109375" style="230" bestFit="1" customWidth="1"/>
    <col min="7" max="7" width="16.7109375" style="230" bestFit="1" customWidth="1"/>
    <col min="8" max="8" width="14.85546875" style="230" bestFit="1" customWidth="1"/>
    <col min="9" max="9" width="18.85546875" style="230" customWidth="1"/>
    <col min="10" max="10" width="21.140625" style="230" customWidth="1"/>
    <col min="11" max="11" width="20.85546875" style="230" customWidth="1"/>
    <col min="12" max="12" width="23.28515625" style="230" customWidth="1"/>
    <col min="13" max="13" width="12.140625" style="230" customWidth="1"/>
    <col min="14" max="14" width="12.7109375" style="230" customWidth="1"/>
    <col min="15" max="15" width="13.42578125" style="230" customWidth="1"/>
    <col min="16" max="16" width="13.85546875" style="230" customWidth="1"/>
    <col min="17" max="17" width="16.42578125" style="230" customWidth="1"/>
    <col min="18" max="18" width="16.7109375" style="230" hidden="1" customWidth="1"/>
    <col min="19" max="19" width="16.42578125" style="230" hidden="1" customWidth="1"/>
    <col min="20" max="16384" width="8.85546875" style="230"/>
  </cols>
  <sheetData>
    <row r="1" spans="1:26" s="294" customFormat="1" x14ac:dyDescent="0.2"/>
    <row r="2" spans="1:26" s="294" customFormat="1" x14ac:dyDescent="0.2"/>
    <row r="3" spans="1:26" s="359" customFormat="1" ht="20.25" x14ac:dyDescent="0.3">
      <c r="B3" s="389" t="s">
        <v>403</v>
      </c>
    </row>
    <row r="4" spans="1:26" s="359" customFormat="1" ht="20.25" x14ac:dyDescent="0.3">
      <c r="B4" s="389"/>
    </row>
    <row r="5" spans="1:26" s="359" customFormat="1" ht="25.5" x14ac:dyDescent="0.2">
      <c r="B5" s="480" t="s">
        <v>428</v>
      </c>
      <c r="C5" s="480" t="s">
        <v>42</v>
      </c>
      <c r="D5" s="209" t="s">
        <v>36</v>
      </c>
      <c r="E5" s="480" t="s">
        <v>136</v>
      </c>
      <c r="F5" s="480" t="s">
        <v>38</v>
      </c>
      <c r="G5" s="480" t="s">
        <v>39</v>
      </c>
      <c r="H5" s="479"/>
      <c r="I5" s="480" t="s">
        <v>40</v>
      </c>
      <c r="J5" s="480" t="s">
        <v>41</v>
      </c>
    </row>
    <row r="6" spans="1:26" s="359" customFormat="1" x14ac:dyDescent="0.2">
      <c r="B6" s="479"/>
      <c r="C6" s="479"/>
      <c r="D6" s="479"/>
      <c r="E6" s="479"/>
      <c r="F6" s="479"/>
      <c r="G6" s="479"/>
      <c r="H6" s="479"/>
      <c r="I6" s="479"/>
      <c r="J6" s="479"/>
    </row>
    <row r="7" spans="1:26" s="359" customFormat="1" x14ac:dyDescent="0.2">
      <c r="B7" s="205">
        <v>2</v>
      </c>
      <c r="C7" s="153" t="s">
        <v>270</v>
      </c>
      <c r="D7" s="152" t="s">
        <v>430</v>
      </c>
      <c r="E7" s="151">
        <v>580687</v>
      </c>
      <c r="F7" s="151">
        <v>127913</v>
      </c>
      <c r="G7" s="151">
        <v>6055</v>
      </c>
      <c r="H7" s="154"/>
      <c r="I7" s="350">
        <f>F7/E7</f>
        <v>0.22027873880420951</v>
      </c>
      <c r="J7" s="148">
        <f>G7/F7</f>
        <v>4.7336861773236497E-2</v>
      </c>
    </row>
    <row r="8" spans="1:26" s="359" customFormat="1" x14ac:dyDescent="0.2">
      <c r="B8" s="205">
        <v>2</v>
      </c>
      <c r="C8" s="153" t="s">
        <v>270</v>
      </c>
      <c r="D8" s="152" t="s">
        <v>429</v>
      </c>
      <c r="E8" s="151">
        <v>584868</v>
      </c>
      <c r="F8" s="151">
        <v>137398</v>
      </c>
      <c r="G8" s="151">
        <v>5891</v>
      </c>
      <c r="H8" s="154"/>
      <c r="I8" s="349">
        <f>F8/E8</f>
        <v>0.23492138397040016</v>
      </c>
      <c r="J8" s="351">
        <f>G8/F8</f>
        <v>4.2875442146173892E-2</v>
      </c>
    </row>
    <row r="9" spans="1:26" s="359" customFormat="1" x14ac:dyDescent="0.2"/>
    <row r="10" spans="1:26" s="294" customFormat="1" ht="25.5" x14ac:dyDescent="0.2">
      <c r="B10" s="293" t="s">
        <v>392</v>
      </c>
      <c r="C10" s="293" t="s">
        <v>42</v>
      </c>
      <c r="D10" s="209" t="s">
        <v>36</v>
      </c>
      <c r="E10" s="293" t="s">
        <v>136</v>
      </c>
      <c r="F10" s="293" t="s">
        <v>38</v>
      </c>
      <c r="G10" s="293" t="s">
        <v>39</v>
      </c>
      <c r="H10" s="292"/>
      <c r="I10" s="293" t="s">
        <v>40</v>
      </c>
      <c r="J10" s="293" t="s">
        <v>41</v>
      </c>
    </row>
    <row r="11" spans="1:26" s="294" customFormat="1" x14ac:dyDescent="0.2">
      <c r="B11" s="292"/>
      <c r="C11" s="292"/>
      <c r="D11" s="292"/>
      <c r="E11" s="292"/>
      <c r="F11" s="292"/>
      <c r="G11" s="292"/>
      <c r="H11" s="292"/>
      <c r="I11" s="292"/>
      <c r="J11" s="292"/>
    </row>
    <row r="12" spans="1:26" s="294" customFormat="1" x14ac:dyDescent="0.2">
      <c r="B12" s="205">
        <v>1</v>
      </c>
      <c r="C12" s="153" t="s">
        <v>270</v>
      </c>
      <c r="D12" s="152" t="s">
        <v>371</v>
      </c>
      <c r="E12" s="151">
        <v>585161</v>
      </c>
      <c r="F12" s="151">
        <v>149028</v>
      </c>
      <c r="G12" s="151">
        <v>34470</v>
      </c>
      <c r="H12" s="154"/>
      <c r="I12" s="350">
        <f>F12/E12</f>
        <v>0.25467862690780829</v>
      </c>
      <c r="J12" s="148">
        <f>G12/F12</f>
        <v>0.23129881632981722</v>
      </c>
    </row>
    <row r="13" spans="1:26" x14ac:dyDescent="0.2">
      <c r="A13" s="228"/>
      <c r="B13" s="205">
        <v>1</v>
      </c>
      <c r="C13" s="153" t="s">
        <v>270</v>
      </c>
      <c r="D13" s="152" t="s">
        <v>372</v>
      </c>
      <c r="E13" s="151">
        <v>585242</v>
      </c>
      <c r="F13" s="151">
        <v>150730</v>
      </c>
      <c r="G13" s="151">
        <v>31364</v>
      </c>
      <c r="H13" s="154"/>
      <c r="I13" s="349">
        <f>F13/E13</f>
        <v>0.2575515769544906</v>
      </c>
      <c r="J13" s="351">
        <f>G13/F13</f>
        <v>0.20808067405294234</v>
      </c>
      <c r="K13" s="228"/>
      <c r="L13" s="228"/>
      <c r="M13" s="228"/>
      <c r="N13" s="228"/>
      <c r="O13" s="228"/>
      <c r="P13" s="228"/>
      <c r="Q13" s="228"/>
      <c r="R13" s="228"/>
      <c r="S13" s="228"/>
      <c r="T13" s="228"/>
      <c r="U13" s="228"/>
      <c r="V13" s="228"/>
      <c r="W13" s="228"/>
      <c r="X13" s="228"/>
      <c r="Y13" s="228"/>
      <c r="Z13" s="228"/>
    </row>
    <row r="14" spans="1:26" s="294" customFormat="1" ht="25.5" customHeight="1" x14ac:dyDescent="0.2">
      <c r="A14" s="292"/>
      <c r="B14" s="527" t="s">
        <v>370</v>
      </c>
      <c r="C14" s="527"/>
      <c r="D14" s="527"/>
      <c r="E14" s="527"/>
      <c r="F14" s="527"/>
      <c r="G14" s="527"/>
      <c r="H14" s="154"/>
      <c r="I14" s="298"/>
      <c r="J14" s="299"/>
      <c r="K14" s="292"/>
      <c r="L14" s="292"/>
      <c r="M14" s="292"/>
      <c r="N14" s="292"/>
      <c r="O14" s="292"/>
      <c r="P14" s="292"/>
      <c r="Q14" s="292"/>
      <c r="R14" s="292"/>
      <c r="S14" s="292"/>
      <c r="T14" s="292"/>
      <c r="U14" s="292"/>
      <c r="V14" s="292"/>
      <c r="W14" s="292"/>
      <c r="X14" s="292"/>
      <c r="Y14" s="292"/>
      <c r="Z14" s="292"/>
    </row>
    <row r="15" spans="1:26" s="359" customFormat="1" ht="9.75" customHeight="1" x14ac:dyDescent="0.2">
      <c r="A15" s="437"/>
      <c r="B15" s="438"/>
      <c r="C15" s="438"/>
      <c r="D15" s="438"/>
      <c r="E15" s="438"/>
      <c r="F15" s="438"/>
      <c r="G15" s="438"/>
      <c r="H15" s="439"/>
      <c r="I15" s="440"/>
      <c r="J15" s="441"/>
      <c r="K15" s="437"/>
      <c r="L15" s="437"/>
      <c r="M15" s="437"/>
      <c r="N15" s="437"/>
      <c r="O15" s="437"/>
      <c r="P15" s="437"/>
      <c r="Q15" s="437"/>
      <c r="R15" s="358"/>
      <c r="S15" s="358"/>
      <c r="T15" s="358"/>
      <c r="U15" s="358"/>
      <c r="V15" s="358"/>
      <c r="W15" s="358"/>
      <c r="X15" s="358"/>
      <c r="Y15" s="358"/>
      <c r="Z15" s="358"/>
    </row>
    <row r="16" spans="1:26" s="359" customFormat="1" ht="25.5" customHeight="1" x14ac:dyDescent="0.3">
      <c r="A16" s="358"/>
      <c r="B16" s="389" t="s">
        <v>404</v>
      </c>
      <c r="C16" s="390"/>
      <c r="D16" s="390"/>
      <c r="E16" s="390"/>
      <c r="F16" s="390"/>
      <c r="G16" s="390"/>
      <c r="H16" s="154"/>
      <c r="I16" s="298"/>
      <c r="J16" s="299"/>
      <c r="K16" s="358"/>
      <c r="L16" s="358"/>
      <c r="M16" s="358"/>
      <c r="N16" s="358"/>
      <c r="O16" s="358"/>
      <c r="P16" s="358"/>
      <c r="Q16" s="358"/>
      <c r="R16" s="358"/>
      <c r="S16" s="358"/>
      <c r="T16" s="358"/>
      <c r="U16" s="358"/>
      <c r="V16" s="358"/>
      <c r="W16" s="358"/>
      <c r="X16" s="358"/>
      <c r="Y16" s="358"/>
      <c r="Z16" s="358"/>
    </row>
    <row r="17" spans="1:26" s="294" customFormat="1" x14ac:dyDescent="0.2">
      <c r="A17" s="292"/>
      <c r="B17" s="292"/>
      <c r="C17" s="292"/>
      <c r="D17" s="292"/>
      <c r="E17" s="292"/>
      <c r="F17" s="292"/>
      <c r="G17" s="292"/>
      <c r="H17" s="292"/>
      <c r="I17" s="292"/>
      <c r="J17" s="292"/>
      <c r="K17" s="292"/>
      <c r="L17" s="292"/>
      <c r="M17" s="292"/>
      <c r="N17" s="292"/>
      <c r="O17" s="292"/>
      <c r="P17" s="292"/>
      <c r="Q17" s="292"/>
      <c r="R17" s="292"/>
      <c r="S17" s="292"/>
      <c r="T17" s="292"/>
      <c r="U17" s="292"/>
      <c r="V17" s="292"/>
      <c r="W17" s="292"/>
      <c r="X17" s="292"/>
      <c r="Y17" s="292"/>
      <c r="Z17" s="292"/>
    </row>
    <row r="18" spans="1:26" ht="25.5" x14ac:dyDescent="0.2">
      <c r="A18" s="228"/>
      <c r="B18" s="229" t="s">
        <v>35</v>
      </c>
      <c r="C18" s="229" t="s">
        <v>42</v>
      </c>
      <c r="D18" s="209" t="s">
        <v>36</v>
      </c>
      <c r="E18" s="229" t="s">
        <v>37</v>
      </c>
      <c r="F18" s="229" t="s">
        <v>38</v>
      </c>
      <c r="G18" s="229" t="s">
        <v>39</v>
      </c>
      <c r="H18" s="228"/>
      <c r="I18" s="229" t="s">
        <v>40</v>
      </c>
      <c r="J18" s="229" t="s">
        <v>41</v>
      </c>
      <c r="K18" s="228"/>
      <c r="L18" s="228"/>
      <c r="M18" s="228"/>
      <c r="N18" s="228"/>
      <c r="O18" s="228"/>
      <c r="P18" s="228"/>
      <c r="Q18" s="228"/>
      <c r="R18" s="228"/>
      <c r="S18" s="228"/>
      <c r="T18" s="228"/>
      <c r="U18" s="228"/>
      <c r="V18" s="228"/>
      <c r="W18" s="228"/>
      <c r="X18" s="228"/>
      <c r="Y18" s="228"/>
      <c r="Z18" s="228"/>
    </row>
    <row r="19" spans="1:26" x14ac:dyDescent="0.2">
      <c r="A19" s="228"/>
      <c r="B19" s="228"/>
      <c r="C19" s="228"/>
      <c r="D19" s="228"/>
      <c r="E19" s="228"/>
      <c r="F19" s="228"/>
      <c r="G19" s="228"/>
      <c r="H19" s="228"/>
      <c r="I19" s="228"/>
      <c r="J19" s="228"/>
      <c r="K19" s="228"/>
      <c r="L19" s="228"/>
      <c r="M19" s="228"/>
      <c r="N19" s="228"/>
      <c r="O19" s="228"/>
      <c r="P19" s="228"/>
      <c r="Q19" s="228"/>
      <c r="R19" s="228"/>
      <c r="S19" s="228"/>
      <c r="T19" s="228"/>
      <c r="U19" s="228"/>
      <c r="V19" s="228"/>
      <c r="W19" s="228"/>
      <c r="X19" s="228"/>
      <c r="Y19" s="228"/>
      <c r="Z19" s="228"/>
    </row>
    <row r="20" spans="1:26" s="155" customFormat="1" x14ac:dyDescent="0.2">
      <c r="A20" s="154"/>
      <c r="B20" s="205">
        <v>1</v>
      </c>
      <c r="C20" s="153" t="s">
        <v>43</v>
      </c>
      <c r="D20" s="152" t="s">
        <v>47</v>
      </c>
      <c r="E20" s="151">
        <v>23103</v>
      </c>
      <c r="F20" s="151">
        <v>6872</v>
      </c>
      <c r="G20" s="151">
        <v>2062</v>
      </c>
      <c r="H20" s="154"/>
      <c r="I20" s="150">
        <v>0.29745054754793748</v>
      </c>
      <c r="J20" s="149">
        <v>0.30005820721769499</v>
      </c>
      <c r="K20" s="154"/>
      <c r="L20" s="154"/>
      <c r="M20" s="154"/>
      <c r="N20" s="154"/>
      <c r="O20" s="154"/>
      <c r="P20" s="154"/>
      <c r="Q20" s="154"/>
      <c r="R20" s="154"/>
      <c r="S20" s="154"/>
      <c r="T20" s="154"/>
      <c r="U20" s="154"/>
      <c r="V20" s="154"/>
      <c r="W20" s="154"/>
      <c r="X20" s="154"/>
      <c r="Y20" s="154"/>
      <c r="Z20" s="154"/>
    </row>
    <row r="21" spans="1:26" s="155" customFormat="1" x14ac:dyDescent="0.2">
      <c r="A21" s="154"/>
      <c r="B21" s="205">
        <v>1</v>
      </c>
      <c r="C21" s="153" t="s">
        <v>43</v>
      </c>
      <c r="D21" s="152" t="s">
        <v>48</v>
      </c>
      <c r="E21" s="151">
        <v>23062</v>
      </c>
      <c r="F21" s="151">
        <v>5916</v>
      </c>
      <c r="G21" s="151">
        <v>2294</v>
      </c>
      <c r="H21" s="154"/>
      <c r="I21" s="149">
        <v>0.25652588674009191</v>
      </c>
      <c r="J21" s="150">
        <v>0.38776200135226502</v>
      </c>
      <c r="K21" s="154"/>
      <c r="L21" s="154"/>
      <c r="M21" s="154"/>
      <c r="N21" s="154"/>
      <c r="O21" s="154"/>
      <c r="P21" s="154"/>
      <c r="Q21" s="154"/>
      <c r="R21" s="154"/>
      <c r="S21" s="154"/>
      <c r="T21" s="154"/>
      <c r="U21" s="154"/>
      <c r="V21" s="154"/>
      <c r="W21" s="154"/>
      <c r="X21" s="154"/>
      <c r="Y21" s="154"/>
      <c r="Z21" s="154"/>
    </row>
    <row r="22" spans="1:26" ht="25.5" x14ac:dyDescent="0.2">
      <c r="A22" s="228"/>
      <c r="B22" s="205">
        <v>1</v>
      </c>
      <c r="C22" s="205" t="s">
        <v>43</v>
      </c>
      <c r="D22" s="221" t="s">
        <v>47</v>
      </c>
      <c r="E22" s="220">
        <v>198466</v>
      </c>
      <c r="F22" s="220">
        <v>51082</v>
      </c>
      <c r="G22" s="220">
        <v>15842</v>
      </c>
      <c r="H22" s="228"/>
      <c r="I22" s="219">
        <v>0.25738413632561746</v>
      </c>
      <c r="J22" s="219">
        <v>0.31012881249755297</v>
      </c>
      <c r="K22" s="228"/>
      <c r="L22" s="228"/>
      <c r="M22" s="228"/>
      <c r="N22" s="228"/>
      <c r="O22" s="228"/>
      <c r="P22" s="228"/>
      <c r="Q22" s="228"/>
      <c r="R22" s="228"/>
      <c r="S22" s="228"/>
      <c r="T22" s="228"/>
      <c r="U22" s="228"/>
      <c r="V22" s="228"/>
      <c r="W22" s="228"/>
      <c r="X22" s="228"/>
      <c r="Y22" s="228"/>
      <c r="Z22" s="228"/>
    </row>
    <row r="23" spans="1:26" x14ac:dyDescent="0.2">
      <c r="A23" s="228"/>
      <c r="B23" s="228"/>
      <c r="C23" s="228"/>
      <c r="D23" s="228"/>
      <c r="E23" s="228"/>
      <c r="F23" s="228"/>
      <c r="G23" s="228"/>
      <c r="H23" s="228"/>
      <c r="I23" s="228"/>
      <c r="J23" s="228"/>
      <c r="K23" s="228"/>
      <c r="L23" s="228"/>
      <c r="M23" s="228"/>
      <c r="N23" s="228"/>
      <c r="O23" s="228"/>
      <c r="P23" s="228"/>
      <c r="Q23" s="228"/>
      <c r="R23" s="228"/>
      <c r="S23" s="228"/>
      <c r="T23" s="228"/>
      <c r="U23" s="228"/>
      <c r="V23" s="228"/>
      <c r="W23" s="228"/>
      <c r="X23" s="228"/>
      <c r="Y23" s="228"/>
      <c r="Z23" s="228"/>
    </row>
    <row r="24" spans="1:26" s="155" customFormat="1" x14ac:dyDescent="0.2">
      <c r="A24" s="154"/>
      <c r="B24" s="205">
        <v>2</v>
      </c>
      <c r="C24" s="153" t="s">
        <v>44</v>
      </c>
      <c r="D24" s="152" t="s">
        <v>45</v>
      </c>
      <c r="E24" s="151">
        <v>28120</v>
      </c>
      <c r="F24" s="151">
        <v>12403</v>
      </c>
      <c r="G24" s="151">
        <v>2633</v>
      </c>
      <c r="H24" s="154"/>
      <c r="I24" s="148">
        <v>0.44107396870554766</v>
      </c>
      <c r="J24" s="148">
        <v>0.21228734983471742</v>
      </c>
      <c r="K24" s="154"/>
      <c r="L24" s="154"/>
      <c r="M24" s="154"/>
      <c r="N24" s="154"/>
      <c r="O24" s="154"/>
      <c r="P24" s="154"/>
      <c r="Q24" s="154"/>
      <c r="R24" s="154"/>
      <c r="S24" s="154"/>
      <c r="T24" s="154"/>
      <c r="U24" s="154"/>
      <c r="V24" s="154"/>
      <c r="W24" s="154"/>
      <c r="X24" s="154"/>
      <c r="Y24" s="154"/>
      <c r="Z24" s="154"/>
    </row>
    <row r="25" spans="1:26" x14ac:dyDescent="0.2">
      <c r="A25" s="228"/>
      <c r="B25" s="205">
        <v>2</v>
      </c>
      <c r="C25" s="205" t="s">
        <v>44</v>
      </c>
      <c r="D25" s="221" t="s">
        <v>46</v>
      </c>
      <c r="E25" s="220">
        <v>26324</v>
      </c>
      <c r="F25" s="220">
        <v>9901</v>
      </c>
      <c r="G25" s="220">
        <v>1553</v>
      </c>
      <c r="H25" s="228"/>
      <c r="I25" s="219">
        <v>0.37612065035708858</v>
      </c>
      <c r="J25" s="219">
        <v>0.15685284314715686</v>
      </c>
      <c r="K25" s="228"/>
      <c r="L25" s="228"/>
      <c r="M25" s="228"/>
      <c r="N25" s="228"/>
      <c r="O25" s="228"/>
      <c r="P25" s="228"/>
      <c r="Q25" s="228"/>
      <c r="R25" s="228"/>
      <c r="S25" s="228"/>
      <c r="T25" s="228"/>
      <c r="U25" s="228"/>
      <c r="V25" s="228"/>
      <c r="W25" s="228"/>
      <c r="X25" s="228"/>
      <c r="Y25" s="228"/>
      <c r="Z25" s="228"/>
    </row>
    <row r="26" spans="1:26" x14ac:dyDescent="0.2">
      <c r="A26" s="228"/>
      <c r="B26" s="228"/>
      <c r="C26" s="228"/>
      <c r="D26" s="228"/>
      <c r="E26" s="228"/>
      <c r="F26" s="228"/>
      <c r="G26" s="228"/>
      <c r="H26" s="228"/>
      <c r="I26" s="228"/>
      <c r="J26" s="228"/>
      <c r="K26" s="228"/>
      <c r="L26" s="228"/>
      <c r="M26" s="228"/>
      <c r="N26" s="228"/>
      <c r="O26" s="228"/>
      <c r="P26" s="228"/>
      <c r="Q26" s="228"/>
      <c r="R26" s="228"/>
      <c r="S26" s="228"/>
      <c r="T26" s="228"/>
      <c r="U26" s="228"/>
      <c r="V26" s="228"/>
      <c r="W26" s="228"/>
      <c r="X26" s="228"/>
      <c r="Y26" s="228"/>
      <c r="Z26" s="228"/>
    </row>
    <row r="27" spans="1:26" s="155" customFormat="1" x14ac:dyDescent="0.2">
      <c r="A27" s="154"/>
      <c r="B27" s="205">
        <v>2</v>
      </c>
      <c r="C27" s="153" t="s">
        <v>43</v>
      </c>
      <c r="D27" s="152" t="s">
        <v>45</v>
      </c>
      <c r="E27" s="151">
        <v>129512</v>
      </c>
      <c r="F27" s="151">
        <v>25572</v>
      </c>
      <c r="G27" s="151">
        <v>3253</v>
      </c>
      <c r="H27" s="154"/>
      <c r="I27" s="148">
        <v>0.1974488850454012</v>
      </c>
      <c r="J27" s="148">
        <v>0.12720944783356797</v>
      </c>
      <c r="K27" s="154"/>
      <c r="L27" s="154"/>
      <c r="M27" s="154"/>
      <c r="N27" s="154"/>
      <c r="O27" s="154"/>
      <c r="P27" s="154"/>
      <c r="Q27" s="154"/>
      <c r="R27" s="154"/>
      <c r="S27" s="154"/>
      <c r="T27" s="154"/>
      <c r="U27" s="154"/>
      <c r="V27" s="154"/>
      <c r="W27" s="154"/>
      <c r="X27" s="154"/>
      <c r="Y27" s="154"/>
      <c r="Z27" s="154"/>
    </row>
    <row r="28" spans="1:26" x14ac:dyDescent="0.2">
      <c r="A28" s="228"/>
      <c r="B28" s="205">
        <v>2</v>
      </c>
      <c r="C28" s="205" t="s">
        <v>43</v>
      </c>
      <c r="D28" s="221" t="s">
        <v>46</v>
      </c>
      <c r="E28" s="220">
        <v>126873</v>
      </c>
      <c r="F28" s="220">
        <v>21900</v>
      </c>
      <c r="G28" s="220">
        <v>1857</v>
      </c>
      <c r="H28" s="228"/>
      <c r="I28" s="219">
        <v>0.17261355844033011</v>
      </c>
      <c r="J28" s="219">
        <v>1.4636683928022511E-2</v>
      </c>
      <c r="K28" s="228"/>
      <c r="L28" s="228"/>
      <c r="M28" s="228"/>
      <c r="N28" s="228"/>
      <c r="O28" s="228"/>
      <c r="P28" s="228"/>
      <c r="Q28" s="228"/>
      <c r="R28" s="228"/>
      <c r="S28" s="228"/>
      <c r="T28" s="228"/>
      <c r="U28" s="228"/>
      <c r="V28" s="228"/>
      <c r="W28" s="228"/>
      <c r="X28" s="228"/>
      <c r="Y28" s="228"/>
      <c r="Z28" s="228"/>
    </row>
    <row r="29" spans="1:26" x14ac:dyDescent="0.2">
      <c r="A29" s="228"/>
      <c r="B29" s="228"/>
      <c r="C29" s="228"/>
      <c r="D29" s="228"/>
      <c r="E29" s="228"/>
      <c r="F29" s="228"/>
      <c r="G29" s="228"/>
      <c r="H29" s="228"/>
      <c r="I29" s="228"/>
      <c r="J29" s="228"/>
      <c r="K29" s="228"/>
      <c r="L29" s="228"/>
      <c r="M29" s="228"/>
      <c r="N29" s="228"/>
      <c r="O29" s="228"/>
      <c r="P29" s="228"/>
      <c r="Q29" s="228"/>
      <c r="R29" s="228"/>
      <c r="S29" s="228"/>
      <c r="T29" s="228"/>
      <c r="U29" s="228"/>
      <c r="V29" s="228"/>
      <c r="W29" s="228"/>
      <c r="X29" s="228"/>
      <c r="Y29" s="228"/>
      <c r="Z29" s="228"/>
    </row>
    <row r="30" spans="1:26" x14ac:dyDescent="0.2">
      <c r="A30" s="228"/>
      <c r="B30" s="228"/>
      <c r="C30" s="228"/>
      <c r="D30" s="228"/>
      <c r="E30" s="228"/>
      <c r="F30" s="228"/>
      <c r="G30" s="228"/>
      <c r="H30" s="228"/>
      <c r="I30" s="228"/>
      <c r="J30" s="228"/>
      <c r="K30" s="228"/>
      <c r="L30" s="228"/>
      <c r="M30" s="228"/>
      <c r="N30" s="228"/>
      <c r="O30" s="228"/>
      <c r="P30" s="228"/>
      <c r="Q30" s="228"/>
      <c r="R30" s="228"/>
      <c r="S30" s="228"/>
      <c r="T30" s="228"/>
      <c r="U30" s="228"/>
      <c r="V30" s="228"/>
      <c r="W30" s="228"/>
      <c r="X30" s="228"/>
      <c r="Y30" s="228"/>
      <c r="Z30" s="228"/>
    </row>
    <row r="31" spans="1:26" ht="38.25" x14ac:dyDescent="0.2">
      <c r="A31" s="228"/>
      <c r="B31" s="229" t="s">
        <v>35</v>
      </c>
      <c r="C31" s="229" t="s">
        <v>42</v>
      </c>
      <c r="D31" s="209" t="s">
        <v>36</v>
      </c>
      <c r="E31" s="229" t="s">
        <v>37</v>
      </c>
      <c r="F31" s="229" t="s">
        <v>38</v>
      </c>
      <c r="G31" s="229" t="s">
        <v>39</v>
      </c>
      <c r="H31" s="228"/>
      <c r="I31" s="229" t="s">
        <v>40</v>
      </c>
      <c r="J31" s="229" t="s">
        <v>41</v>
      </c>
      <c r="K31" s="163"/>
      <c r="L31" s="229" t="s">
        <v>4</v>
      </c>
      <c r="M31" s="229" t="s">
        <v>15</v>
      </c>
      <c r="N31" s="229" t="s">
        <v>88</v>
      </c>
      <c r="O31" s="215"/>
      <c r="P31" s="229" t="s">
        <v>89</v>
      </c>
      <c r="Q31" s="229" t="s">
        <v>90</v>
      </c>
      <c r="R31" s="229" t="s">
        <v>91</v>
      </c>
      <c r="S31" s="229" t="s">
        <v>75</v>
      </c>
      <c r="T31" s="229" t="s">
        <v>92</v>
      </c>
      <c r="U31" s="229" t="s">
        <v>93</v>
      </c>
      <c r="V31" s="229" t="s">
        <v>94</v>
      </c>
      <c r="W31" s="229" t="s">
        <v>95</v>
      </c>
      <c r="X31" s="229" t="s">
        <v>96</v>
      </c>
      <c r="Y31" s="228"/>
      <c r="Z31" s="228"/>
    </row>
    <row r="32" spans="1:26" x14ac:dyDescent="0.2">
      <c r="A32" s="228"/>
      <c r="B32" s="228"/>
      <c r="C32" s="228"/>
      <c r="D32" s="228"/>
      <c r="E32" s="228"/>
      <c r="F32" s="228"/>
      <c r="G32" s="228"/>
      <c r="H32" s="228"/>
      <c r="I32" s="228"/>
      <c r="J32" s="228"/>
      <c r="K32" s="163"/>
      <c r="L32" s="163"/>
      <c r="M32" s="163"/>
      <c r="N32" s="163"/>
      <c r="O32" s="163"/>
      <c r="P32" s="163"/>
      <c r="Q32" s="163"/>
      <c r="R32" s="163"/>
      <c r="S32" s="163"/>
      <c r="T32" s="163"/>
      <c r="U32" s="163"/>
      <c r="V32" s="163"/>
      <c r="W32" s="163"/>
      <c r="X32" s="163"/>
      <c r="Y32" s="228"/>
      <c r="Z32" s="228"/>
    </row>
    <row r="33" spans="1:26" x14ac:dyDescent="0.2">
      <c r="A33" s="228"/>
      <c r="B33" s="205">
        <v>3</v>
      </c>
      <c r="C33" s="205" t="s">
        <v>78</v>
      </c>
      <c r="D33" s="187" t="s">
        <v>79</v>
      </c>
      <c r="E33" s="191">
        <v>50027</v>
      </c>
      <c r="F33" s="191">
        <v>20318</v>
      </c>
      <c r="G33" s="191">
        <v>3408</v>
      </c>
      <c r="H33" s="228"/>
      <c r="I33" s="204">
        <v>0.40614068403062348</v>
      </c>
      <c r="J33" s="204">
        <v>0.16773304459100305</v>
      </c>
      <c r="K33" s="163"/>
      <c r="L33" s="191">
        <v>3272</v>
      </c>
      <c r="M33" s="191">
        <v>413</v>
      </c>
      <c r="N33" s="216">
        <v>0.12622249388753057</v>
      </c>
      <c r="O33" s="215"/>
      <c r="P33" s="187">
        <v>68</v>
      </c>
      <c r="Q33" s="187">
        <v>46</v>
      </c>
      <c r="R33" s="187">
        <v>20</v>
      </c>
      <c r="S33" s="187">
        <v>29</v>
      </c>
      <c r="T33" s="187">
        <v>116</v>
      </c>
      <c r="U33" s="187">
        <v>15</v>
      </c>
      <c r="V33" s="187">
        <v>71</v>
      </c>
      <c r="W33" s="187">
        <v>24</v>
      </c>
      <c r="X33" s="187">
        <v>24</v>
      </c>
      <c r="Y33" s="228"/>
      <c r="Z33" s="228"/>
    </row>
    <row r="34" spans="1:26" x14ac:dyDescent="0.2">
      <c r="A34" s="228"/>
      <c r="B34" s="205">
        <v>3</v>
      </c>
      <c r="C34" s="205" t="s">
        <v>78</v>
      </c>
      <c r="D34" s="187" t="s">
        <v>80</v>
      </c>
      <c r="E34" s="191">
        <v>50000</v>
      </c>
      <c r="F34" s="191">
        <v>20492</v>
      </c>
      <c r="G34" s="191">
        <v>3268</v>
      </c>
      <c r="H34" s="228"/>
      <c r="I34" s="206">
        <v>0.40983999999999998</v>
      </c>
      <c r="J34" s="204">
        <v>0.15947686902205738</v>
      </c>
      <c r="K34" s="163"/>
      <c r="L34" s="191">
        <v>3154</v>
      </c>
      <c r="M34" s="191">
        <v>558</v>
      </c>
      <c r="N34" s="217">
        <v>0.17691819911223844</v>
      </c>
      <c r="O34" s="215"/>
      <c r="P34" s="187">
        <v>114</v>
      </c>
      <c r="Q34" s="187">
        <v>72</v>
      </c>
      <c r="R34" s="187">
        <v>12</v>
      </c>
      <c r="S34" s="187">
        <v>40</v>
      </c>
      <c r="T34" s="187">
        <v>125</v>
      </c>
      <c r="U34" s="187">
        <v>28</v>
      </c>
      <c r="V34" s="187">
        <v>74</v>
      </c>
      <c r="W34" s="187">
        <v>41</v>
      </c>
      <c r="X34" s="187">
        <v>52</v>
      </c>
      <c r="Y34" s="228"/>
      <c r="Z34" s="228"/>
    </row>
    <row r="35" spans="1:26" x14ac:dyDescent="0.2">
      <c r="A35" s="228"/>
      <c r="B35" s="205">
        <v>3</v>
      </c>
      <c r="C35" s="205" t="s">
        <v>78</v>
      </c>
      <c r="D35" s="187" t="s">
        <v>81</v>
      </c>
      <c r="E35" s="191">
        <v>50000</v>
      </c>
      <c r="F35" s="191">
        <v>20379</v>
      </c>
      <c r="G35" s="191">
        <v>3439</v>
      </c>
      <c r="H35" s="228"/>
      <c r="I35" s="204">
        <v>0.40758</v>
      </c>
      <c r="J35" s="204">
        <v>0.16875214681780265</v>
      </c>
      <c r="K35" s="163"/>
      <c r="L35" s="191">
        <v>3240</v>
      </c>
      <c r="M35" s="191">
        <v>562</v>
      </c>
      <c r="N35" s="216">
        <v>0.1734567901234568</v>
      </c>
      <c r="O35" s="215"/>
      <c r="P35" s="187">
        <v>102</v>
      </c>
      <c r="Q35" s="187">
        <v>53</v>
      </c>
      <c r="R35" s="187">
        <v>30</v>
      </c>
      <c r="S35" s="187">
        <v>30</v>
      </c>
      <c r="T35" s="187">
        <v>136</v>
      </c>
      <c r="U35" s="187">
        <v>32</v>
      </c>
      <c r="V35" s="187">
        <v>90</v>
      </c>
      <c r="W35" s="187">
        <v>39</v>
      </c>
      <c r="X35" s="187">
        <v>49</v>
      </c>
      <c r="Y35" s="228"/>
      <c r="Z35" s="228"/>
    </row>
    <row r="36" spans="1:26" x14ac:dyDescent="0.2">
      <c r="A36" s="228"/>
      <c r="B36" s="205">
        <v>3</v>
      </c>
      <c r="C36" s="205" t="s">
        <v>78</v>
      </c>
      <c r="D36" s="187" t="s">
        <v>82</v>
      </c>
      <c r="E36" s="191">
        <v>50337</v>
      </c>
      <c r="F36" s="191">
        <v>20463</v>
      </c>
      <c r="G36" s="191">
        <v>3375</v>
      </c>
      <c r="H36" s="228"/>
      <c r="I36" s="204">
        <v>0.40652005483044279</v>
      </c>
      <c r="J36" s="204">
        <v>0.16493182817768656</v>
      </c>
      <c r="K36" s="163"/>
      <c r="L36" s="191">
        <v>3478</v>
      </c>
      <c r="M36" s="191">
        <v>565</v>
      </c>
      <c r="N36" s="216">
        <v>0.16244968372627946</v>
      </c>
      <c r="O36" s="215"/>
      <c r="P36" s="187">
        <v>103</v>
      </c>
      <c r="Q36" s="187">
        <v>78</v>
      </c>
      <c r="R36" s="187">
        <v>25</v>
      </c>
      <c r="S36" s="187">
        <v>50</v>
      </c>
      <c r="T36" s="187">
        <v>117</v>
      </c>
      <c r="U36" s="187">
        <v>27</v>
      </c>
      <c r="V36" s="187">
        <v>70</v>
      </c>
      <c r="W36" s="187">
        <v>45</v>
      </c>
      <c r="X36" s="187">
        <v>50</v>
      </c>
      <c r="Y36" s="228"/>
      <c r="Z36" s="228"/>
    </row>
    <row r="37" spans="1:26" x14ac:dyDescent="0.2">
      <c r="A37" s="228"/>
      <c r="B37" s="228"/>
      <c r="C37" s="228"/>
      <c r="D37" s="228"/>
      <c r="E37" s="228"/>
      <c r="F37" s="228"/>
      <c r="G37" s="228"/>
      <c r="H37" s="228"/>
      <c r="I37" s="207"/>
      <c r="J37" s="207"/>
      <c r="K37" s="163"/>
      <c r="L37" s="163"/>
      <c r="M37" s="163"/>
      <c r="N37" s="218"/>
      <c r="O37" s="215"/>
      <c r="P37" s="163"/>
      <c r="Q37" s="163"/>
      <c r="R37" s="163"/>
      <c r="S37" s="163"/>
      <c r="T37" s="163"/>
      <c r="U37" s="163"/>
      <c r="V37" s="163"/>
      <c r="W37" s="163"/>
      <c r="X37" s="163"/>
      <c r="Y37" s="228"/>
      <c r="Z37" s="228"/>
    </row>
    <row r="38" spans="1:26" x14ac:dyDescent="0.2">
      <c r="A38" s="228"/>
      <c r="B38" s="205">
        <v>3</v>
      </c>
      <c r="C38" s="205" t="s">
        <v>83</v>
      </c>
      <c r="D38" s="187" t="s">
        <v>84</v>
      </c>
      <c r="E38" s="191">
        <v>64947</v>
      </c>
      <c r="F38" s="191">
        <v>12162</v>
      </c>
      <c r="G38" s="191">
        <v>1383</v>
      </c>
      <c r="H38" s="228"/>
      <c r="I38" s="204">
        <v>0.18726038154187261</v>
      </c>
      <c r="J38" s="204">
        <v>0.11371484953132709</v>
      </c>
      <c r="K38" s="163"/>
      <c r="L38" s="191">
        <v>862</v>
      </c>
      <c r="M38" s="191">
        <v>116</v>
      </c>
      <c r="N38" s="216">
        <v>0.13457076566125289</v>
      </c>
      <c r="O38" s="215"/>
      <c r="P38" s="187">
        <v>23</v>
      </c>
      <c r="Q38" s="187">
        <v>17</v>
      </c>
      <c r="R38" s="187">
        <v>5</v>
      </c>
      <c r="S38" s="187">
        <v>3</v>
      </c>
      <c r="T38" s="187">
        <v>15</v>
      </c>
      <c r="U38" s="187">
        <v>6</v>
      </c>
      <c r="V38" s="187">
        <v>24</v>
      </c>
      <c r="W38" s="187">
        <v>14</v>
      </c>
      <c r="X38" s="187">
        <v>9</v>
      </c>
      <c r="Y38" s="228"/>
      <c r="Z38" s="228"/>
    </row>
    <row r="39" spans="1:26" x14ac:dyDescent="0.2">
      <c r="A39" s="228"/>
      <c r="B39" s="205">
        <v>3</v>
      </c>
      <c r="C39" s="205" t="s">
        <v>83</v>
      </c>
      <c r="D39" s="187" t="s">
        <v>85</v>
      </c>
      <c r="E39" s="191">
        <v>68000</v>
      </c>
      <c r="F39" s="191">
        <v>12381</v>
      </c>
      <c r="G39" s="191">
        <v>1383</v>
      </c>
      <c r="H39" s="228"/>
      <c r="I39" s="204">
        <v>0.18207352941176472</v>
      </c>
      <c r="J39" s="204">
        <v>0.11170341652532105</v>
      </c>
      <c r="K39" s="163"/>
      <c r="L39" s="191">
        <v>865</v>
      </c>
      <c r="M39" s="191">
        <v>140</v>
      </c>
      <c r="N39" s="217">
        <v>0.16184971098265896</v>
      </c>
      <c r="O39" s="215"/>
      <c r="P39" s="187">
        <v>39</v>
      </c>
      <c r="Q39" s="187">
        <v>26</v>
      </c>
      <c r="R39" s="187">
        <v>4</v>
      </c>
      <c r="S39" s="187">
        <v>5</v>
      </c>
      <c r="T39" s="187">
        <v>19</v>
      </c>
      <c r="U39" s="187">
        <v>2</v>
      </c>
      <c r="V39" s="187">
        <v>28</v>
      </c>
      <c r="W39" s="187">
        <v>6</v>
      </c>
      <c r="X39" s="187">
        <v>11</v>
      </c>
      <c r="Y39" s="228"/>
      <c r="Z39" s="228"/>
    </row>
    <row r="40" spans="1:26" x14ac:dyDescent="0.2">
      <c r="A40" s="228"/>
      <c r="B40" s="205">
        <v>3</v>
      </c>
      <c r="C40" s="205" t="s">
        <v>83</v>
      </c>
      <c r="D40" s="187" t="s">
        <v>86</v>
      </c>
      <c r="E40" s="191">
        <v>68000</v>
      </c>
      <c r="F40" s="191">
        <v>13316</v>
      </c>
      <c r="G40" s="191">
        <v>1499</v>
      </c>
      <c r="H40" s="228"/>
      <c r="I40" s="204">
        <v>0.1958235294117647</v>
      </c>
      <c r="J40" s="204">
        <v>0.11257134274556924</v>
      </c>
      <c r="K40" s="163"/>
      <c r="L40" s="191">
        <v>964</v>
      </c>
      <c r="M40" s="191">
        <v>140</v>
      </c>
      <c r="N40" s="216">
        <v>0.14522821576763487</v>
      </c>
      <c r="O40" s="215"/>
      <c r="P40" s="187">
        <v>37</v>
      </c>
      <c r="Q40" s="187">
        <v>18</v>
      </c>
      <c r="R40" s="187">
        <v>4</v>
      </c>
      <c r="S40" s="187">
        <v>9</v>
      </c>
      <c r="T40" s="187">
        <v>20</v>
      </c>
      <c r="U40" s="187">
        <v>5</v>
      </c>
      <c r="V40" s="187">
        <v>27</v>
      </c>
      <c r="W40" s="187">
        <v>12</v>
      </c>
      <c r="X40" s="187">
        <v>8</v>
      </c>
      <c r="Y40" s="228"/>
      <c r="Z40" s="228"/>
    </row>
    <row r="41" spans="1:26" x14ac:dyDescent="0.2">
      <c r="A41" s="228"/>
      <c r="B41" s="205">
        <v>3</v>
      </c>
      <c r="C41" s="205" t="s">
        <v>83</v>
      </c>
      <c r="D41" s="187" t="s">
        <v>87</v>
      </c>
      <c r="E41" s="191">
        <v>65029</v>
      </c>
      <c r="F41" s="191">
        <v>13501</v>
      </c>
      <c r="G41" s="191">
        <v>1461</v>
      </c>
      <c r="H41" s="228"/>
      <c r="I41" s="206">
        <v>0.20761506404834765</v>
      </c>
      <c r="J41" s="204">
        <v>0.1082142063550848</v>
      </c>
      <c r="K41" s="163"/>
      <c r="L41" s="191">
        <v>1097</v>
      </c>
      <c r="M41" s="191">
        <v>160</v>
      </c>
      <c r="N41" s="216">
        <v>0.14585232452142205</v>
      </c>
      <c r="O41" s="215"/>
      <c r="P41" s="187">
        <v>35</v>
      </c>
      <c r="Q41" s="187">
        <v>30</v>
      </c>
      <c r="R41" s="187">
        <v>1</v>
      </c>
      <c r="S41" s="187">
        <v>9</v>
      </c>
      <c r="T41" s="187">
        <v>22</v>
      </c>
      <c r="U41" s="187">
        <v>5</v>
      </c>
      <c r="V41" s="187">
        <v>22</v>
      </c>
      <c r="W41" s="187">
        <v>23</v>
      </c>
      <c r="X41" s="187">
        <v>13</v>
      </c>
      <c r="Y41" s="228"/>
      <c r="Z41" s="228"/>
    </row>
    <row r="42" spans="1:26" x14ac:dyDescent="0.2">
      <c r="A42" s="228"/>
      <c r="B42" s="228"/>
      <c r="C42" s="228"/>
      <c r="D42" s="228"/>
      <c r="E42" s="228"/>
      <c r="F42" s="228"/>
      <c r="G42" s="228"/>
      <c r="H42" s="228"/>
      <c r="I42" s="228"/>
      <c r="J42" s="228"/>
      <c r="K42" s="228"/>
      <c r="L42" s="228"/>
      <c r="M42" s="228"/>
      <c r="N42" s="228"/>
      <c r="O42" s="228"/>
      <c r="P42" s="228"/>
      <c r="Q42" s="228"/>
      <c r="R42" s="228"/>
      <c r="S42" s="228"/>
      <c r="T42" s="228"/>
      <c r="U42" s="228"/>
      <c r="V42" s="228"/>
      <c r="W42" s="228"/>
      <c r="X42" s="228"/>
      <c r="Y42" s="228"/>
      <c r="Z42" s="228"/>
    </row>
    <row r="43" spans="1:26" x14ac:dyDescent="0.2">
      <c r="A43" s="228"/>
      <c r="B43" s="228"/>
      <c r="C43" s="228"/>
      <c r="D43" s="228"/>
      <c r="E43" s="228"/>
      <c r="F43" s="228"/>
      <c r="G43" s="228"/>
      <c r="H43" s="228"/>
      <c r="I43" s="228"/>
      <c r="J43" s="228"/>
      <c r="K43" s="228"/>
      <c r="L43" s="228"/>
      <c r="M43" s="228"/>
      <c r="N43" s="228"/>
      <c r="O43" s="228"/>
      <c r="P43" s="228"/>
      <c r="Q43" s="228"/>
      <c r="R43" s="228"/>
      <c r="S43" s="228"/>
      <c r="T43" s="228"/>
      <c r="U43" s="228"/>
      <c r="V43" s="228"/>
      <c r="W43" s="228"/>
      <c r="X43" s="228"/>
      <c r="Y43" s="228"/>
      <c r="Z43" s="228"/>
    </row>
    <row r="44" spans="1:26" x14ac:dyDescent="0.2">
      <c r="A44" s="228"/>
      <c r="B44" s="228"/>
      <c r="C44" s="228"/>
      <c r="D44" s="228"/>
      <c r="E44" s="228"/>
      <c r="F44" s="228"/>
      <c r="G44" s="228"/>
      <c r="H44" s="228"/>
      <c r="I44" s="228"/>
      <c r="J44" s="228"/>
      <c r="K44" s="228"/>
      <c r="L44" s="228"/>
      <c r="M44" s="228"/>
      <c r="N44" s="228"/>
      <c r="O44" s="228"/>
      <c r="P44" s="228"/>
      <c r="Q44" s="228"/>
      <c r="R44" s="228"/>
      <c r="S44" s="228"/>
      <c r="T44" s="228"/>
      <c r="U44" s="228"/>
      <c r="V44" s="228"/>
      <c r="W44" s="228"/>
      <c r="X44" s="228"/>
      <c r="Y44" s="228"/>
      <c r="Z44" s="228"/>
    </row>
    <row r="45" spans="1:26" x14ac:dyDescent="0.2">
      <c r="A45" s="228"/>
      <c r="B45" s="531" t="s">
        <v>115</v>
      </c>
      <c r="C45" s="531"/>
      <c r="D45" s="531"/>
      <c r="E45" s="531"/>
      <c r="F45" s="531"/>
      <c r="G45" s="531"/>
      <c r="H45" s="531"/>
      <c r="I45" s="531"/>
      <c r="J45" s="531"/>
      <c r="K45" s="228"/>
      <c r="L45" s="228"/>
      <c r="M45" s="228"/>
      <c r="N45" s="228"/>
      <c r="O45" s="228"/>
      <c r="P45" s="228"/>
      <c r="Q45" s="228"/>
      <c r="R45" s="228"/>
      <c r="S45" s="228"/>
      <c r="T45" s="228"/>
      <c r="U45" s="228"/>
      <c r="V45" s="228"/>
      <c r="W45" s="228"/>
      <c r="X45" s="228"/>
      <c r="Y45" s="228"/>
      <c r="Z45" s="228"/>
    </row>
    <row r="46" spans="1:26" x14ac:dyDescent="0.2">
      <c r="A46" s="228"/>
      <c r="B46" s="228"/>
      <c r="C46" s="228"/>
      <c r="D46" s="228"/>
      <c r="E46" s="228"/>
      <c r="F46" s="228"/>
      <c r="G46" s="228"/>
      <c r="H46" s="228"/>
      <c r="I46" s="228"/>
      <c r="J46" s="228"/>
      <c r="K46" s="228"/>
      <c r="L46" s="228"/>
      <c r="M46" s="228"/>
      <c r="N46" s="228"/>
      <c r="O46" s="228"/>
      <c r="P46" s="228"/>
      <c r="Q46" s="228"/>
      <c r="R46" s="228"/>
      <c r="S46" s="228"/>
      <c r="T46" s="228"/>
      <c r="U46" s="228"/>
      <c r="V46" s="228"/>
      <c r="W46" s="228"/>
      <c r="X46" s="228"/>
      <c r="Y46" s="228"/>
      <c r="Z46" s="228"/>
    </row>
    <row r="47" spans="1:26" ht="25.5" x14ac:dyDescent="0.2">
      <c r="A47" s="228"/>
      <c r="B47" s="229" t="s">
        <v>35</v>
      </c>
      <c r="C47" s="229" t="s">
        <v>42</v>
      </c>
      <c r="D47" s="209" t="s">
        <v>36</v>
      </c>
      <c r="E47" s="229" t="s">
        <v>37</v>
      </c>
      <c r="F47" s="229" t="s">
        <v>38</v>
      </c>
      <c r="G47" s="229" t="s">
        <v>39</v>
      </c>
      <c r="H47" s="228"/>
      <c r="I47" s="229" t="s">
        <v>40</v>
      </c>
      <c r="J47" s="229" t="s">
        <v>41</v>
      </c>
      <c r="K47" s="228"/>
      <c r="L47" s="228"/>
      <c r="M47" s="228"/>
      <c r="N47" s="228"/>
      <c r="O47" s="228"/>
      <c r="P47" s="228"/>
      <c r="Q47" s="228"/>
      <c r="R47" s="228"/>
      <c r="S47" s="228"/>
      <c r="T47" s="228"/>
      <c r="U47" s="228"/>
      <c r="V47" s="228"/>
      <c r="W47" s="228"/>
      <c r="X47" s="228"/>
      <c r="Y47" s="228"/>
      <c r="Z47" s="228"/>
    </row>
    <row r="48" spans="1:26" x14ac:dyDescent="0.2">
      <c r="A48" s="228"/>
      <c r="B48" s="221" t="s">
        <v>103</v>
      </c>
      <c r="C48" s="205" t="s">
        <v>78</v>
      </c>
      <c r="D48" s="187" t="s">
        <v>104</v>
      </c>
      <c r="E48" s="157">
        <v>49451</v>
      </c>
      <c r="F48" s="157">
        <v>17080</v>
      </c>
      <c r="G48" s="157">
        <v>2508</v>
      </c>
      <c r="H48" s="228"/>
      <c r="I48" s="204">
        <v>0.34539240864694343</v>
      </c>
      <c r="J48" s="206">
        <v>0.1468384074941452</v>
      </c>
      <c r="K48" s="228"/>
      <c r="L48" s="228"/>
      <c r="M48" s="228"/>
      <c r="N48" s="228"/>
      <c r="O48" s="228"/>
      <c r="P48" s="228"/>
      <c r="Q48" s="228"/>
      <c r="R48" s="228"/>
      <c r="S48" s="228"/>
      <c r="T48" s="228"/>
      <c r="U48" s="228"/>
      <c r="V48" s="228"/>
      <c r="W48" s="228"/>
      <c r="X48" s="228"/>
      <c r="Y48" s="228"/>
      <c r="Z48" s="228"/>
    </row>
    <row r="49" spans="1:26" x14ac:dyDescent="0.2">
      <c r="A49" s="228"/>
      <c r="B49" s="221" t="s">
        <v>105</v>
      </c>
      <c r="C49" s="205" t="s">
        <v>78</v>
      </c>
      <c r="D49" s="187" t="s">
        <v>106</v>
      </c>
      <c r="E49" s="157">
        <v>50338</v>
      </c>
      <c r="F49" s="157">
        <v>15844</v>
      </c>
      <c r="G49" s="157">
        <v>2201</v>
      </c>
      <c r="H49" s="228"/>
      <c r="I49" s="204">
        <v>0.31475227462354483</v>
      </c>
      <c r="J49" s="204">
        <v>0.13891694016662459</v>
      </c>
      <c r="K49" s="228"/>
      <c r="L49" s="228"/>
      <c r="M49" s="228"/>
      <c r="N49" s="228"/>
      <c r="O49" s="228"/>
      <c r="P49" s="228"/>
      <c r="Q49" s="228"/>
      <c r="R49" s="228"/>
      <c r="S49" s="228"/>
      <c r="T49" s="228"/>
      <c r="U49" s="228"/>
      <c r="V49" s="228"/>
      <c r="W49" s="228"/>
      <c r="X49" s="228"/>
      <c r="Y49" s="228"/>
      <c r="Z49" s="228"/>
    </row>
    <row r="50" spans="1:26" x14ac:dyDescent="0.2">
      <c r="A50" s="228"/>
      <c r="B50" s="221" t="s">
        <v>107</v>
      </c>
      <c r="C50" s="205" t="s">
        <v>78</v>
      </c>
      <c r="D50" s="187" t="s">
        <v>108</v>
      </c>
      <c r="E50" s="157">
        <v>48252</v>
      </c>
      <c r="F50" s="157">
        <v>17135</v>
      </c>
      <c r="G50" s="157">
        <v>1922</v>
      </c>
      <c r="H50" s="228"/>
      <c r="I50" s="206">
        <v>0.35511481389372462</v>
      </c>
      <c r="J50" s="204">
        <v>0.11216807703530784</v>
      </c>
      <c r="K50" s="228"/>
      <c r="L50" s="228"/>
      <c r="M50" s="228"/>
      <c r="N50" s="228"/>
      <c r="O50" s="228"/>
      <c r="P50" s="228"/>
      <c r="Q50" s="228"/>
      <c r="R50" s="228"/>
      <c r="S50" s="228"/>
      <c r="T50" s="228"/>
      <c r="U50" s="228"/>
      <c r="V50" s="228"/>
      <c r="W50" s="228"/>
      <c r="X50" s="228"/>
      <c r="Y50" s="228"/>
      <c r="Z50" s="228"/>
    </row>
    <row r="51" spans="1:26" x14ac:dyDescent="0.2">
      <c r="A51" s="228"/>
      <c r="B51" s="221" t="s">
        <v>109</v>
      </c>
      <c r="C51" s="205" t="s">
        <v>78</v>
      </c>
      <c r="D51" s="187" t="s">
        <v>110</v>
      </c>
      <c r="E51" s="157">
        <v>50136</v>
      </c>
      <c r="F51" s="157">
        <v>17727</v>
      </c>
      <c r="G51" s="157">
        <v>2124</v>
      </c>
      <c r="H51" s="228"/>
      <c r="I51" s="204">
        <v>0.35357826711345142</v>
      </c>
      <c r="J51" s="204">
        <v>0.1198172279573532</v>
      </c>
      <c r="K51" s="228"/>
      <c r="L51" s="228"/>
      <c r="M51" s="228"/>
      <c r="N51" s="228"/>
      <c r="O51" s="228"/>
      <c r="P51" s="228"/>
      <c r="Q51" s="228"/>
      <c r="R51" s="228"/>
      <c r="S51" s="228"/>
      <c r="T51" s="228"/>
      <c r="U51" s="228"/>
      <c r="V51" s="228"/>
      <c r="W51" s="228"/>
      <c r="X51" s="228"/>
      <c r="Y51" s="228"/>
      <c r="Z51" s="228"/>
    </row>
    <row r="52" spans="1:26" x14ac:dyDescent="0.2">
      <c r="A52" s="228"/>
      <c r="B52" s="228"/>
      <c r="C52" s="228"/>
      <c r="D52" s="228"/>
      <c r="E52" s="228"/>
      <c r="F52" s="228"/>
      <c r="G52" s="228"/>
      <c r="H52" s="228"/>
      <c r="I52" s="228"/>
      <c r="J52" s="228"/>
      <c r="K52" s="228"/>
      <c r="L52" s="228"/>
      <c r="M52" s="228"/>
      <c r="N52" s="228"/>
      <c r="O52" s="228"/>
      <c r="P52" s="228"/>
      <c r="Q52" s="228"/>
      <c r="R52" s="228"/>
      <c r="S52" s="228"/>
      <c r="T52" s="228"/>
      <c r="U52" s="228"/>
      <c r="V52" s="228"/>
      <c r="W52" s="228"/>
      <c r="X52" s="228"/>
      <c r="Y52" s="228"/>
      <c r="Z52" s="228"/>
    </row>
    <row r="53" spans="1:26" x14ac:dyDescent="0.2">
      <c r="A53" s="228"/>
      <c r="B53" s="221" t="s">
        <v>111</v>
      </c>
      <c r="C53" s="205" t="s">
        <v>83</v>
      </c>
      <c r="D53" s="187" t="s">
        <v>104</v>
      </c>
      <c r="E53" s="157">
        <v>53835</v>
      </c>
      <c r="F53" s="157">
        <v>9769</v>
      </c>
      <c r="G53" s="157">
        <v>1296</v>
      </c>
      <c r="H53" s="228"/>
      <c r="I53" s="204">
        <v>0.18146187424537941</v>
      </c>
      <c r="J53" s="204">
        <v>0.13266455113112907</v>
      </c>
      <c r="K53" s="228"/>
      <c r="L53" s="228"/>
      <c r="M53" s="228"/>
      <c r="N53" s="228"/>
      <c r="O53" s="228"/>
      <c r="P53" s="228"/>
      <c r="Q53" s="228"/>
      <c r="R53" s="228"/>
      <c r="S53" s="228"/>
      <c r="T53" s="228"/>
      <c r="U53" s="228"/>
      <c r="V53" s="228"/>
      <c r="W53" s="228"/>
      <c r="X53" s="228"/>
      <c r="Y53" s="228"/>
      <c r="Z53" s="228"/>
    </row>
    <row r="54" spans="1:26" x14ac:dyDescent="0.2">
      <c r="A54" s="228"/>
      <c r="B54" s="221" t="s">
        <v>112</v>
      </c>
      <c r="C54" s="205" t="s">
        <v>83</v>
      </c>
      <c r="D54" s="187" t="s">
        <v>106</v>
      </c>
      <c r="E54" s="157">
        <v>56180</v>
      </c>
      <c r="F54" s="157">
        <v>9262</v>
      </c>
      <c r="G54" s="157">
        <v>1395</v>
      </c>
      <c r="H54" s="228"/>
      <c r="I54" s="204">
        <v>0.1648629405482378</v>
      </c>
      <c r="J54" s="206">
        <v>0.15061541783632046</v>
      </c>
      <c r="K54" s="228"/>
      <c r="L54" s="228"/>
      <c r="M54" s="228"/>
      <c r="N54" s="228"/>
      <c r="O54" s="228"/>
      <c r="P54" s="228"/>
      <c r="Q54" s="228"/>
      <c r="R54" s="228"/>
      <c r="S54" s="228"/>
      <c r="T54" s="228"/>
      <c r="U54" s="228"/>
      <c r="V54" s="228"/>
      <c r="W54" s="228"/>
      <c r="X54" s="228"/>
      <c r="Y54" s="228"/>
      <c r="Z54" s="228"/>
    </row>
    <row r="55" spans="1:26" x14ac:dyDescent="0.2">
      <c r="A55" s="228"/>
      <c r="B55" s="221" t="s">
        <v>113</v>
      </c>
      <c r="C55" s="205" t="s">
        <v>83</v>
      </c>
      <c r="D55" s="187" t="s">
        <v>108</v>
      </c>
      <c r="E55" s="157">
        <v>54182</v>
      </c>
      <c r="F55" s="157">
        <v>9942</v>
      </c>
      <c r="G55" s="157">
        <v>1140</v>
      </c>
      <c r="H55" s="228"/>
      <c r="I55" s="206">
        <v>0.18349267284337972</v>
      </c>
      <c r="J55" s="204">
        <v>0.11466505733252867</v>
      </c>
      <c r="K55" s="228"/>
      <c r="L55" s="228"/>
      <c r="M55" s="228"/>
      <c r="N55" s="228"/>
      <c r="O55" s="228"/>
      <c r="P55" s="228"/>
      <c r="Q55" s="228"/>
      <c r="R55" s="228"/>
      <c r="S55" s="228"/>
      <c r="T55" s="228"/>
      <c r="U55" s="228"/>
      <c r="V55" s="228"/>
      <c r="W55" s="228"/>
      <c r="X55" s="228"/>
      <c r="Y55" s="228"/>
      <c r="Z55" s="228"/>
    </row>
    <row r="56" spans="1:26" x14ac:dyDescent="0.2">
      <c r="A56" s="228"/>
      <c r="B56" s="221" t="s">
        <v>114</v>
      </c>
      <c r="C56" s="205" t="s">
        <v>83</v>
      </c>
      <c r="D56" s="187" t="s">
        <v>110</v>
      </c>
      <c r="E56" s="157">
        <v>55424</v>
      </c>
      <c r="F56" s="157">
        <v>9073</v>
      </c>
      <c r="G56" s="157">
        <v>855</v>
      </c>
      <c r="H56" s="228"/>
      <c r="I56" s="204">
        <v>0.16370164549653579</v>
      </c>
      <c r="J56" s="204">
        <v>9.4235644219111653E-2</v>
      </c>
      <c r="K56" s="228"/>
      <c r="L56" s="228"/>
      <c r="M56" s="228"/>
      <c r="N56" s="228"/>
      <c r="O56" s="228"/>
      <c r="P56" s="228"/>
      <c r="Q56" s="228"/>
      <c r="R56" s="228"/>
      <c r="S56" s="228"/>
      <c r="T56" s="228"/>
      <c r="U56" s="228"/>
      <c r="V56" s="228"/>
      <c r="W56" s="228"/>
      <c r="X56" s="228"/>
      <c r="Y56" s="228"/>
      <c r="Z56" s="228"/>
    </row>
    <row r="57" spans="1:26" x14ac:dyDescent="0.2">
      <c r="A57" s="228"/>
      <c r="B57" s="141"/>
      <c r="C57" s="214"/>
      <c r="D57" s="211"/>
      <c r="E57" s="212"/>
      <c r="F57" s="212"/>
      <c r="G57" s="212"/>
      <c r="H57" s="228"/>
      <c r="I57" s="213"/>
      <c r="J57" s="213"/>
      <c r="K57" s="228"/>
      <c r="L57" s="228"/>
      <c r="M57" s="228"/>
      <c r="N57" s="228"/>
      <c r="O57" s="228"/>
      <c r="P57" s="228"/>
      <c r="Q57" s="228"/>
      <c r="R57" s="228"/>
      <c r="S57" s="228"/>
      <c r="T57" s="228"/>
      <c r="U57" s="228"/>
      <c r="V57" s="228"/>
      <c r="W57" s="228"/>
      <c r="X57" s="228"/>
      <c r="Y57" s="228"/>
      <c r="Z57" s="228"/>
    </row>
    <row r="58" spans="1:26" ht="38.25" x14ac:dyDescent="0.2">
      <c r="A58" s="228"/>
      <c r="B58" s="140" t="s">
        <v>117</v>
      </c>
      <c r="C58" s="211"/>
      <c r="D58" s="212"/>
      <c r="E58" s="212"/>
      <c r="F58" s="212"/>
      <c r="G58" s="211"/>
      <c r="H58" s="210"/>
      <c r="I58" s="210"/>
      <c r="J58" s="228"/>
      <c r="K58" s="228"/>
      <c r="L58" s="228"/>
      <c r="M58" s="228"/>
      <c r="N58" s="228"/>
      <c r="O58" s="228"/>
      <c r="P58" s="228"/>
      <c r="Q58" s="228"/>
      <c r="R58" s="228"/>
      <c r="S58" s="228"/>
      <c r="T58" s="228"/>
      <c r="U58" s="228"/>
      <c r="V58" s="228"/>
      <c r="W58" s="228"/>
      <c r="X58" s="228"/>
      <c r="Y58" s="228"/>
      <c r="Z58" s="228"/>
    </row>
    <row r="59" spans="1:26" x14ac:dyDescent="0.2">
      <c r="A59" s="228"/>
      <c r="B59" s="228"/>
      <c r="C59" s="228"/>
      <c r="D59" s="228"/>
      <c r="E59" s="228"/>
      <c r="F59" s="228"/>
      <c r="G59" s="228"/>
      <c r="H59" s="228"/>
      <c r="I59" s="228"/>
      <c r="J59" s="228"/>
      <c r="K59" s="228"/>
      <c r="L59" s="228"/>
      <c r="M59" s="228"/>
      <c r="N59" s="228"/>
      <c r="O59" s="228"/>
      <c r="P59" s="228"/>
      <c r="Q59" s="228"/>
      <c r="R59" s="228"/>
      <c r="S59" s="228"/>
      <c r="T59" s="228"/>
      <c r="U59" s="228"/>
      <c r="V59" s="228"/>
      <c r="W59" s="228"/>
      <c r="X59" s="228"/>
      <c r="Y59" s="228"/>
      <c r="Z59" s="228"/>
    </row>
    <row r="60" spans="1:26" ht="25.5" x14ac:dyDescent="0.2">
      <c r="A60" s="228"/>
      <c r="B60" s="229" t="s">
        <v>35</v>
      </c>
      <c r="C60" s="229" t="s">
        <v>42</v>
      </c>
      <c r="D60" s="209" t="s">
        <v>36</v>
      </c>
      <c r="E60" s="229" t="s">
        <v>37</v>
      </c>
      <c r="F60" s="229" t="s">
        <v>38</v>
      </c>
      <c r="G60" s="229" t="s">
        <v>39</v>
      </c>
      <c r="H60" s="228"/>
      <c r="I60" s="229" t="s">
        <v>40</v>
      </c>
      <c r="J60" s="229" t="s">
        <v>41</v>
      </c>
      <c r="K60" s="228"/>
      <c r="L60" s="228"/>
      <c r="M60" s="228"/>
      <c r="N60" s="228"/>
      <c r="O60" s="228"/>
      <c r="P60" s="228"/>
      <c r="Q60" s="228"/>
      <c r="R60" s="228"/>
      <c r="S60" s="228"/>
      <c r="T60" s="228"/>
      <c r="U60" s="228"/>
      <c r="V60" s="228"/>
      <c r="W60" s="228"/>
      <c r="X60" s="228"/>
      <c r="Y60" s="228"/>
      <c r="Z60" s="228"/>
    </row>
    <row r="61" spans="1:26" x14ac:dyDescent="0.2">
      <c r="A61" s="228"/>
      <c r="B61" s="221" t="s">
        <v>101</v>
      </c>
      <c r="C61" s="205" t="s">
        <v>78</v>
      </c>
      <c r="D61" s="187" t="s">
        <v>97</v>
      </c>
      <c r="E61" s="157">
        <v>70798</v>
      </c>
      <c r="F61" s="157">
        <v>20841</v>
      </c>
      <c r="G61" s="157">
        <v>2390</v>
      </c>
      <c r="H61" s="228"/>
      <c r="I61" s="204">
        <v>0.29437272239328793</v>
      </c>
      <c r="J61" s="204">
        <v>0.11467779857012619</v>
      </c>
      <c r="K61" s="228"/>
      <c r="L61" s="228"/>
      <c r="M61" s="228"/>
      <c r="N61" s="228"/>
      <c r="O61" s="228"/>
      <c r="P61" s="228"/>
      <c r="Q61" s="228"/>
      <c r="R61" s="228"/>
      <c r="S61" s="228"/>
      <c r="T61" s="228"/>
      <c r="U61" s="228"/>
      <c r="V61" s="228"/>
      <c r="W61" s="228"/>
      <c r="X61" s="228"/>
      <c r="Y61" s="228"/>
      <c r="Z61" s="228"/>
    </row>
    <row r="62" spans="1:26" x14ac:dyDescent="0.2">
      <c r="A62" s="228"/>
      <c r="B62" s="221" t="s">
        <v>101</v>
      </c>
      <c r="C62" s="205" t="s">
        <v>78</v>
      </c>
      <c r="D62" s="187" t="s">
        <v>98</v>
      </c>
      <c r="E62" s="157">
        <v>70637</v>
      </c>
      <c r="F62" s="157">
        <v>25510</v>
      </c>
      <c r="G62" s="157">
        <v>3317</v>
      </c>
      <c r="H62" s="228"/>
      <c r="I62" s="206">
        <v>0.3611421776122995</v>
      </c>
      <c r="J62" s="206">
        <v>0.13002744021952176</v>
      </c>
      <c r="K62" s="228"/>
      <c r="L62" s="228"/>
      <c r="M62" s="228"/>
      <c r="N62" s="228"/>
      <c r="O62" s="228"/>
      <c r="P62" s="228"/>
      <c r="Q62" s="228"/>
      <c r="R62" s="228"/>
      <c r="S62" s="228"/>
      <c r="T62" s="228"/>
      <c r="U62" s="228"/>
      <c r="V62" s="228"/>
      <c r="W62" s="228"/>
      <c r="X62" s="228"/>
      <c r="Y62" s="228"/>
      <c r="Z62" s="228"/>
    </row>
    <row r="63" spans="1:26" x14ac:dyDescent="0.2">
      <c r="A63" s="228"/>
      <c r="B63" s="221" t="s">
        <v>101</v>
      </c>
      <c r="C63" s="205" t="s">
        <v>78</v>
      </c>
      <c r="D63" s="187" t="s">
        <v>99</v>
      </c>
      <c r="E63" s="157">
        <v>70556</v>
      </c>
      <c r="F63" s="157">
        <v>24324</v>
      </c>
      <c r="G63" s="157">
        <v>3109</v>
      </c>
      <c r="H63" s="228"/>
      <c r="I63" s="204">
        <v>0.34474743466182889</v>
      </c>
      <c r="J63" s="204">
        <v>0.1278161486597599</v>
      </c>
      <c r="K63" s="228"/>
      <c r="L63" s="228"/>
      <c r="M63" s="228"/>
      <c r="N63" s="228"/>
      <c r="O63" s="228"/>
      <c r="P63" s="228"/>
      <c r="Q63" s="228"/>
      <c r="R63" s="228"/>
      <c r="S63" s="228"/>
      <c r="T63" s="228"/>
      <c r="U63" s="228"/>
      <c r="V63" s="228"/>
      <c r="W63" s="228"/>
      <c r="X63" s="228"/>
      <c r="Y63" s="228"/>
      <c r="Z63" s="228"/>
    </row>
    <row r="64" spans="1:26" x14ac:dyDescent="0.2">
      <c r="A64" s="228"/>
      <c r="B64" s="221" t="s">
        <v>101</v>
      </c>
      <c r="C64" s="205" t="s">
        <v>78</v>
      </c>
      <c r="D64" s="187" t="s">
        <v>100</v>
      </c>
      <c r="E64" s="157">
        <v>72285</v>
      </c>
      <c r="F64" s="157">
        <v>25306</v>
      </c>
      <c r="G64" s="157">
        <v>3169</v>
      </c>
      <c r="H64" s="228"/>
      <c r="I64" s="204">
        <v>0.35008646330497339</v>
      </c>
      <c r="J64" s="204">
        <v>0.12522721884138149</v>
      </c>
      <c r="K64" s="228"/>
      <c r="L64" s="228"/>
      <c r="M64" s="228"/>
      <c r="N64" s="228"/>
      <c r="O64" s="228"/>
      <c r="P64" s="228"/>
      <c r="Q64" s="228"/>
      <c r="R64" s="228"/>
      <c r="S64" s="228"/>
      <c r="T64" s="228"/>
      <c r="U64" s="228"/>
      <c r="V64" s="228"/>
      <c r="W64" s="228"/>
      <c r="X64" s="228"/>
      <c r="Y64" s="228"/>
      <c r="Z64" s="228"/>
    </row>
    <row r="65" spans="1:26" x14ac:dyDescent="0.2">
      <c r="A65" s="228"/>
      <c r="B65" s="228"/>
      <c r="C65" s="228"/>
      <c r="D65" s="228"/>
      <c r="E65" s="228"/>
      <c r="F65" s="228"/>
      <c r="G65" s="228"/>
      <c r="H65" s="228"/>
      <c r="I65" s="228"/>
      <c r="J65" s="228"/>
      <c r="K65" s="228"/>
      <c r="L65" s="228"/>
      <c r="M65" s="228"/>
      <c r="N65" s="228"/>
      <c r="O65" s="228"/>
      <c r="P65" s="228"/>
      <c r="Q65" s="228"/>
      <c r="R65" s="228"/>
      <c r="S65" s="228"/>
      <c r="T65" s="228"/>
      <c r="U65" s="228"/>
      <c r="V65" s="228"/>
      <c r="W65" s="228"/>
      <c r="X65" s="228"/>
      <c r="Y65" s="228"/>
      <c r="Z65" s="228"/>
    </row>
    <row r="66" spans="1:26" x14ac:dyDescent="0.2">
      <c r="A66" s="228"/>
      <c r="B66" s="221" t="s">
        <v>102</v>
      </c>
      <c r="C66" s="205" t="s">
        <v>83</v>
      </c>
      <c r="D66" s="187" t="s">
        <v>97</v>
      </c>
      <c r="E66" s="157">
        <v>65168</v>
      </c>
      <c r="F66" s="157">
        <v>11538</v>
      </c>
      <c r="G66" s="157">
        <v>1220</v>
      </c>
      <c r="H66" s="228"/>
      <c r="I66" s="204">
        <v>0.17705008593174565</v>
      </c>
      <c r="J66" s="204">
        <v>0.10573756283584677</v>
      </c>
      <c r="K66" s="228"/>
      <c r="L66" s="228"/>
      <c r="M66" s="228"/>
      <c r="N66" s="228"/>
      <c r="O66" s="228"/>
      <c r="P66" s="228"/>
      <c r="Q66" s="228"/>
      <c r="R66" s="228"/>
      <c r="S66" s="228"/>
      <c r="T66" s="228"/>
      <c r="U66" s="228"/>
      <c r="V66" s="228"/>
      <c r="W66" s="228"/>
      <c r="X66" s="228"/>
      <c r="Y66" s="228"/>
      <c r="Z66" s="228"/>
    </row>
    <row r="67" spans="1:26" x14ac:dyDescent="0.2">
      <c r="A67" s="228"/>
      <c r="B67" s="221" t="s">
        <v>102</v>
      </c>
      <c r="C67" s="205" t="s">
        <v>83</v>
      </c>
      <c r="D67" s="187" t="s">
        <v>98</v>
      </c>
      <c r="E67" s="157">
        <v>65263</v>
      </c>
      <c r="F67" s="157">
        <v>13078</v>
      </c>
      <c r="G67" s="157">
        <v>1422</v>
      </c>
      <c r="H67" s="228"/>
      <c r="I67" s="204">
        <v>0.20038919448998668</v>
      </c>
      <c r="J67" s="206">
        <v>0.10873222205230157</v>
      </c>
      <c r="K67" s="228"/>
      <c r="L67" s="228"/>
      <c r="M67" s="228"/>
      <c r="N67" s="228"/>
      <c r="O67" s="228"/>
      <c r="P67" s="228"/>
      <c r="Q67" s="228"/>
      <c r="R67" s="228"/>
      <c r="S67" s="228"/>
      <c r="T67" s="228"/>
      <c r="U67" s="228"/>
      <c r="V67" s="228"/>
      <c r="W67" s="228"/>
      <c r="X67" s="228"/>
      <c r="Y67" s="228"/>
      <c r="Z67" s="228"/>
    </row>
    <row r="68" spans="1:26" x14ac:dyDescent="0.2">
      <c r="A68" s="228"/>
      <c r="B68" s="221" t="s">
        <v>102</v>
      </c>
      <c r="C68" s="205" t="s">
        <v>83</v>
      </c>
      <c r="D68" s="187" t="s">
        <v>99</v>
      </c>
      <c r="E68" s="157">
        <v>65171</v>
      </c>
      <c r="F68" s="157">
        <v>13062</v>
      </c>
      <c r="G68" s="157">
        <v>1392</v>
      </c>
      <c r="H68" s="228"/>
      <c r="I68" s="206">
        <v>0.20042657010019793</v>
      </c>
      <c r="J68" s="204">
        <v>0.10656867248507119</v>
      </c>
      <c r="K68" s="228"/>
      <c r="L68" s="228"/>
      <c r="M68" s="228"/>
      <c r="N68" s="228"/>
      <c r="O68" s="228"/>
      <c r="P68" s="228"/>
      <c r="Q68" s="228"/>
      <c r="R68" s="228"/>
      <c r="S68" s="228"/>
      <c r="T68" s="228"/>
      <c r="U68" s="228"/>
      <c r="V68" s="228"/>
      <c r="W68" s="228"/>
      <c r="X68" s="228"/>
      <c r="Y68" s="228"/>
      <c r="Z68" s="228"/>
    </row>
    <row r="69" spans="1:26" x14ac:dyDescent="0.2">
      <c r="A69" s="228"/>
      <c r="B69" s="221" t="s">
        <v>102</v>
      </c>
      <c r="C69" s="205" t="s">
        <v>83</v>
      </c>
      <c r="D69" s="187" t="s">
        <v>100</v>
      </c>
      <c r="E69" s="157">
        <v>65206</v>
      </c>
      <c r="F69" s="157">
        <v>11492</v>
      </c>
      <c r="G69" s="157">
        <v>1268</v>
      </c>
      <c r="H69" s="228"/>
      <c r="I69" s="204">
        <v>0.17624145017329693</v>
      </c>
      <c r="J69" s="204">
        <v>0.11033762617473025</v>
      </c>
      <c r="K69" s="228"/>
      <c r="L69" s="228"/>
      <c r="M69" s="228"/>
      <c r="N69" s="228"/>
      <c r="O69" s="228"/>
      <c r="P69" s="228"/>
      <c r="Q69" s="228"/>
      <c r="R69" s="228"/>
      <c r="S69" s="228"/>
      <c r="T69" s="228"/>
      <c r="U69" s="228"/>
      <c r="V69" s="228"/>
      <c r="W69" s="228"/>
      <c r="X69" s="228"/>
      <c r="Y69" s="228"/>
      <c r="Z69" s="228"/>
    </row>
    <row r="70" spans="1:26" x14ac:dyDescent="0.2">
      <c r="A70" s="228"/>
      <c r="B70" s="228"/>
      <c r="C70" s="228"/>
      <c r="D70" s="228"/>
      <c r="E70" s="228"/>
      <c r="F70" s="228"/>
      <c r="G70" s="228"/>
      <c r="H70" s="228"/>
      <c r="I70" s="228"/>
      <c r="J70" s="228"/>
      <c r="K70" s="228"/>
      <c r="L70" s="228"/>
      <c r="M70" s="228"/>
      <c r="N70" s="228"/>
      <c r="O70" s="228"/>
      <c r="P70" s="228"/>
      <c r="Q70" s="228"/>
      <c r="R70" s="228"/>
      <c r="S70" s="228"/>
      <c r="T70" s="228"/>
      <c r="U70" s="228"/>
      <c r="V70" s="228"/>
      <c r="W70" s="228"/>
      <c r="X70" s="228"/>
      <c r="Y70" s="228"/>
      <c r="Z70" s="228"/>
    </row>
    <row r="71" spans="1:26" x14ac:dyDescent="0.2">
      <c r="A71" s="228"/>
      <c r="B71" s="531" t="s">
        <v>116</v>
      </c>
      <c r="C71" s="531"/>
      <c r="D71" s="531"/>
      <c r="E71" s="531"/>
      <c r="F71" s="531"/>
      <c r="G71" s="531"/>
      <c r="H71" s="531"/>
      <c r="I71" s="531"/>
      <c r="J71" s="531"/>
      <c r="K71" s="228"/>
      <c r="L71" s="228"/>
      <c r="M71" s="228"/>
      <c r="N71" s="228"/>
      <c r="O71" s="228"/>
      <c r="P71" s="228"/>
      <c r="Q71" s="228"/>
      <c r="R71" s="228"/>
      <c r="S71" s="228"/>
      <c r="T71" s="228"/>
      <c r="U71" s="228"/>
      <c r="V71" s="228"/>
      <c r="W71" s="228"/>
      <c r="X71" s="228"/>
      <c r="Y71" s="228"/>
      <c r="Z71" s="228"/>
    </row>
    <row r="72" spans="1:26" x14ac:dyDescent="0.2">
      <c r="A72" s="228"/>
      <c r="B72" s="228"/>
      <c r="C72" s="228"/>
      <c r="D72" s="228"/>
      <c r="E72" s="228"/>
      <c r="F72" s="228"/>
      <c r="G72" s="228"/>
      <c r="H72" s="228"/>
      <c r="I72" s="228"/>
      <c r="J72" s="228"/>
      <c r="K72" s="228"/>
      <c r="L72" s="228"/>
      <c r="M72" s="228"/>
      <c r="N72" s="228"/>
      <c r="O72" s="228"/>
      <c r="P72" s="228"/>
      <c r="Q72" s="228"/>
      <c r="R72" s="228"/>
      <c r="S72" s="228"/>
      <c r="T72" s="228"/>
      <c r="U72" s="228"/>
      <c r="V72" s="228"/>
      <c r="W72" s="228"/>
      <c r="X72" s="228"/>
      <c r="Y72" s="228"/>
      <c r="Z72" s="228"/>
    </row>
    <row r="73" spans="1:26" x14ac:dyDescent="0.2">
      <c r="A73" s="228"/>
      <c r="B73" s="228"/>
      <c r="C73" s="228"/>
      <c r="D73" s="228"/>
      <c r="E73" s="228"/>
      <c r="F73" s="228"/>
      <c r="G73" s="228"/>
      <c r="H73" s="228"/>
      <c r="I73" s="228"/>
      <c r="J73" s="228"/>
      <c r="K73" s="228"/>
      <c r="L73" s="228"/>
      <c r="M73" s="228"/>
      <c r="N73" s="228"/>
      <c r="O73" s="208"/>
      <c r="P73" s="228"/>
      <c r="Q73" s="228"/>
      <c r="R73" s="228"/>
      <c r="S73" s="228"/>
      <c r="T73" s="228"/>
      <c r="U73" s="228"/>
      <c r="V73" s="228"/>
      <c r="W73" s="228"/>
      <c r="X73" s="228"/>
      <c r="Y73" s="228"/>
      <c r="Z73" s="228"/>
    </row>
    <row r="74" spans="1:26" ht="25.5" x14ac:dyDescent="0.2">
      <c r="A74" s="228"/>
      <c r="B74" s="229" t="s">
        <v>118</v>
      </c>
      <c r="C74" s="229"/>
      <c r="D74" s="209"/>
      <c r="E74" s="229" t="s">
        <v>37</v>
      </c>
      <c r="F74" s="229" t="s">
        <v>38</v>
      </c>
      <c r="G74" s="229" t="s">
        <v>39</v>
      </c>
      <c r="H74" s="228"/>
      <c r="I74" s="229" t="s">
        <v>40</v>
      </c>
      <c r="J74" s="229" t="s">
        <v>41</v>
      </c>
      <c r="K74" s="228"/>
      <c r="L74" s="228"/>
      <c r="M74" s="228"/>
      <c r="N74" s="228"/>
      <c r="O74" s="208"/>
      <c r="P74" s="228"/>
      <c r="Q74" s="228"/>
      <c r="R74" s="228"/>
      <c r="S74" s="228"/>
      <c r="T74" s="228"/>
      <c r="U74" s="228"/>
      <c r="V74" s="228"/>
      <c r="W74" s="228"/>
      <c r="X74" s="228"/>
      <c r="Y74" s="228"/>
      <c r="Z74" s="228"/>
    </row>
    <row r="75" spans="1:26" x14ac:dyDescent="0.2">
      <c r="A75" s="228"/>
      <c r="B75" s="221" t="s">
        <v>119</v>
      </c>
      <c r="C75" s="205"/>
      <c r="D75" s="187"/>
      <c r="E75" s="157">
        <v>93221</v>
      </c>
      <c r="F75" s="157">
        <v>64665</v>
      </c>
      <c r="G75" s="157">
        <v>6057</v>
      </c>
      <c r="H75" s="228"/>
      <c r="I75" s="204">
        <v>0.69367417212859761</v>
      </c>
      <c r="J75" s="204">
        <v>9.3667362560890741E-2</v>
      </c>
      <c r="K75" s="228"/>
      <c r="L75" s="228"/>
      <c r="M75" s="228"/>
      <c r="N75" s="228"/>
      <c r="O75" s="228"/>
      <c r="P75" s="228"/>
      <c r="Q75" s="228"/>
      <c r="R75" s="228"/>
      <c r="S75" s="228"/>
      <c r="T75" s="228"/>
      <c r="U75" s="228"/>
      <c r="V75" s="228"/>
      <c r="W75" s="228"/>
      <c r="X75" s="228"/>
      <c r="Y75" s="228"/>
      <c r="Z75" s="228"/>
    </row>
    <row r="76" spans="1:26" x14ac:dyDescent="0.2">
      <c r="A76" s="228"/>
      <c r="B76" s="221" t="s">
        <v>120</v>
      </c>
      <c r="C76" s="205"/>
      <c r="D76" s="187"/>
      <c r="E76" s="157">
        <v>93000</v>
      </c>
      <c r="F76" s="157">
        <v>65470</v>
      </c>
      <c r="G76" s="157">
        <v>6277</v>
      </c>
      <c r="H76" s="228"/>
      <c r="I76" s="206">
        <v>0.70397849462365591</v>
      </c>
      <c r="J76" s="204">
        <v>9.5875973728425226E-2</v>
      </c>
      <c r="K76" s="207"/>
      <c r="L76" s="228"/>
      <c r="M76" s="228"/>
      <c r="N76" s="228"/>
      <c r="O76" s="228"/>
      <c r="P76" s="228"/>
      <c r="Q76" s="228"/>
      <c r="R76" s="228"/>
      <c r="S76" s="228"/>
      <c r="T76" s="228"/>
      <c r="U76" s="228"/>
      <c r="V76" s="228"/>
      <c r="W76" s="228"/>
      <c r="X76" s="228"/>
      <c r="Y76" s="228"/>
      <c r="Z76" s="228"/>
    </row>
    <row r="77" spans="1:26" x14ac:dyDescent="0.2">
      <c r="A77" s="228"/>
      <c r="B77" s="221" t="s">
        <v>121</v>
      </c>
      <c r="C77" s="205"/>
      <c r="D77" s="187"/>
      <c r="E77" s="157">
        <v>93000</v>
      </c>
      <c r="F77" s="157">
        <v>65288</v>
      </c>
      <c r="G77" s="157">
        <v>6402</v>
      </c>
      <c r="H77" s="228"/>
      <c r="I77" s="204">
        <v>0.70202150537634411</v>
      </c>
      <c r="J77" s="206">
        <v>9.8057836049503744E-2</v>
      </c>
      <c r="K77" s="228"/>
      <c r="L77" s="228"/>
      <c r="M77" s="228"/>
      <c r="N77" s="228"/>
      <c r="O77" s="228"/>
      <c r="P77" s="228"/>
      <c r="Q77" s="228"/>
      <c r="R77" s="228"/>
      <c r="S77" s="228"/>
      <c r="T77" s="228"/>
      <c r="U77" s="228"/>
      <c r="V77" s="228"/>
      <c r="W77" s="228"/>
      <c r="X77" s="228"/>
      <c r="Y77" s="228"/>
      <c r="Z77" s="228"/>
    </row>
    <row r="78" spans="1:26" x14ac:dyDescent="0.2">
      <c r="A78" s="228"/>
      <c r="B78" s="221" t="s">
        <v>122</v>
      </c>
      <c r="C78" s="205"/>
      <c r="D78" s="187"/>
      <c r="E78" s="157">
        <v>94032</v>
      </c>
      <c r="F78" s="157">
        <v>62949</v>
      </c>
      <c r="G78" s="157">
        <v>6180</v>
      </c>
      <c r="H78" s="228"/>
      <c r="I78" s="204">
        <v>0.66944231750893313</v>
      </c>
      <c r="J78" s="206">
        <v>9.8174712862793695E-2</v>
      </c>
      <c r="K78" s="228"/>
      <c r="L78" s="228"/>
      <c r="M78" s="228"/>
      <c r="N78" s="228"/>
      <c r="O78" s="228"/>
      <c r="P78" s="228"/>
      <c r="Q78" s="228"/>
      <c r="R78" s="228"/>
      <c r="S78" s="228"/>
      <c r="T78" s="228"/>
      <c r="U78" s="228"/>
      <c r="V78" s="228"/>
      <c r="W78" s="228"/>
      <c r="X78" s="228"/>
      <c r="Y78" s="228"/>
      <c r="Z78" s="228"/>
    </row>
    <row r="79" spans="1:26" x14ac:dyDescent="0.2">
      <c r="A79" s="228"/>
      <c r="B79" s="228"/>
      <c r="C79" s="228"/>
      <c r="D79" s="228"/>
      <c r="E79" s="228"/>
      <c r="F79" s="228"/>
      <c r="G79" s="228"/>
      <c r="H79" s="228"/>
      <c r="I79" s="204"/>
      <c r="J79" s="204"/>
      <c r="K79" s="228"/>
      <c r="L79" s="228"/>
      <c r="M79" s="228"/>
      <c r="N79" s="228"/>
      <c r="O79" s="228"/>
      <c r="P79" s="228"/>
      <c r="Q79" s="228"/>
      <c r="R79" s="228"/>
      <c r="S79" s="228"/>
      <c r="T79" s="228"/>
      <c r="U79" s="228"/>
      <c r="V79" s="228"/>
      <c r="W79" s="228"/>
      <c r="X79" s="228"/>
      <c r="Y79" s="228"/>
      <c r="Z79" s="228"/>
    </row>
    <row r="80" spans="1:26" x14ac:dyDescent="0.2">
      <c r="A80" s="228"/>
      <c r="B80" s="221" t="s">
        <v>123</v>
      </c>
      <c r="C80" s="205"/>
      <c r="D80" s="187"/>
      <c r="E80" s="157">
        <v>61860</v>
      </c>
      <c r="F80" s="157">
        <v>19997</v>
      </c>
      <c r="G80" s="157">
        <v>1506</v>
      </c>
      <c r="H80" s="228"/>
      <c r="I80" s="204">
        <v>0.32326220497898478</v>
      </c>
      <c r="J80" s="204">
        <v>7.5311296694504176E-2</v>
      </c>
      <c r="K80" s="228"/>
      <c r="L80" s="228"/>
      <c r="M80" s="228"/>
      <c r="N80" s="228"/>
      <c r="O80" s="228"/>
      <c r="P80" s="228"/>
      <c r="Q80" s="228"/>
      <c r="R80" s="228"/>
      <c r="S80" s="228"/>
      <c r="T80" s="228"/>
      <c r="U80" s="228"/>
      <c r="V80" s="228"/>
      <c r="W80" s="228"/>
      <c r="X80" s="228"/>
      <c r="Y80" s="228"/>
      <c r="Z80" s="228"/>
    </row>
    <row r="81" spans="1:26" x14ac:dyDescent="0.2">
      <c r="A81" s="228"/>
      <c r="B81" s="221" t="s">
        <v>124</v>
      </c>
      <c r="C81" s="205"/>
      <c r="D81" s="187"/>
      <c r="E81" s="157">
        <v>61000</v>
      </c>
      <c r="F81" s="157">
        <v>16650</v>
      </c>
      <c r="G81" s="157">
        <v>1351</v>
      </c>
      <c r="H81" s="228"/>
      <c r="I81" s="204">
        <v>0.27295081967213114</v>
      </c>
      <c r="J81" s="206">
        <v>8.114114114114114E-2</v>
      </c>
      <c r="K81" s="228"/>
      <c r="L81" s="228"/>
      <c r="M81" s="228"/>
      <c r="N81" s="228"/>
      <c r="O81" s="228"/>
      <c r="P81" s="228"/>
      <c r="Q81" s="228"/>
      <c r="R81" s="228"/>
      <c r="S81" s="228"/>
      <c r="T81" s="228"/>
      <c r="U81" s="228"/>
      <c r="V81" s="228"/>
      <c r="W81" s="228"/>
      <c r="X81" s="228"/>
      <c r="Y81" s="228"/>
      <c r="Z81" s="228"/>
    </row>
    <row r="82" spans="1:26" x14ac:dyDescent="0.2">
      <c r="A82" s="228"/>
      <c r="B82" s="221" t="s">
        <v>125</v>
      </c>
      <c r="C82" s="205"/>
      <c r="D82" s="187"/>
      <c r="E82" s="157">
        <v>61000</v>
      </c>
      <c r="F82" s="157">
        <v>21013</v>
      </c>
      <c r="G82" s="157">
        <v>1566</v>
      </c>
      <c r="H82" s="228"/>
      <c r="I82" s="206">
        <v>0.34447540983606556</v>
      </c>
      <c r="J82" s="204">
        <v>7.4525293865702183E-2</v>
      </c>
      <c r="K82" s="228"/>
      <c r="L82" s="228"/>
      <c r="M82" s="228"/>
      <c r="N82" s="228"/>
      <c r="O82" s="228"/>
      <c r="P82" s="228"/>
      <c r="Q82" s="228"/>
      <c r="R82" s="228"/>
      <c r="S82" s="228"/>
      <c r="T82" s="228"/>
      <c r="U82" s="228"/>
      <c r="V82" s="228"/>
      <c r="W82" s="228"/>
      <c r="X82" s="228"/>
      <c r="Y82" s="228"/>
      <c r="Z82" s="228"/>
    </row>
    <row r="83" spans="1:26" x14ac:dyDescent="0.2">
      <c r="A83" s="228"/>
      <c r="B83" s="221" t="s">
        <v>126</v>
      </c>
      <c r="C83" s="205"/>
      <c r="D83" s="187"/>
      <c r="E83" s="157">
        <v>73062</v>
      </c>
      <c r="F83" s="157">
        <v>24775</v>
      </c>
      <c r="G83" s="157">
        <v>1890</v>
      </c>
      <c r="H83" s="228"/>
      <c r="I83" s="204">
        <v>0.33909556267279845</v>
      </c>
      <c r="J83" s="204">
        <v>7.6286579212916247E-2</v>
      </c>
      <c r="K83" s="228"/>
      <c r="L83" s="228"/>
      <c r="M83" s="228"/>
      <c r="N83" s="228"/>
      <c r="O83" s="228"/>
      <c r="P83" s="228"/>
      <c r="Q83" s="228"/>
      <c r="R83" s="228"/>
      <c r="S83" s="228"/>
      <c r="T83" s="228"/>
      <c r="U83" s="228"/>
      <c r="V83" s="228"/>
      <c r="W83" s="228"/>
      <c r="X83" s="228"/>
      <c r="Y83" s="228"/>
      <c r="Z83" s="228"/>
    </row>
    <row r="84" spans="1:26" x14ac:dyDescent="0.2">
      <c r="A84" s="228"/>
      <c r="B84" s="228"/>
      <c r="C84" s="228"/>
      <c r="D84" s="228"/>
      <c r="E84" s="228"/>
      <c r="F84" s="228"/>
      <c r="G84" s="228"/>
      <c r="H84" s="228"/>
      <c r="I84" s="228"/>
      <c r="J84" s="228"/>
      <c r="K84" s="228"/>
      <c r="L84" s="228"/>
      <c r="M84" s="228"/>
      <c r="N84" s="228"/>
      <c r="O84" s="228"/>
      <c r="P84" s="228"/>
      <c r="Q84" s="228"/>
      <c r="R84" s="228"/>
      <c r="S84" s="228"/>
      <c r="T84" s="228"/>
      <c r="U84" s="228"/>
      <c r="V84" s="228"/>
      <c r="W84" s="228"/>
      <c r="X84" s="228"/>
      <c r="Y84" s="228"/>
      <c r="Z84" s="228"/>
    </row>
    <row r="85" spans="1:26" x14ac:dyDescent="0.2">
      <c r="A85" s="228"/>
      <c r="B85" s="531" t="s">
        <v>127</v>
      </c>
      <c r="C85" s="531"/>
      <c r="D85" s="531"/>
      <c r="E85" s="531"/>
      <c r="F85" s="531"/>
      <c r="G85" s="531"/>
      <c r="H85" s="531"/>
      <c r="I85" s="531"/>
      <c r="J85" s="531"/>
      <c r="K85" s="228"/>
      <c r="L85" s="228"/>
      <c r="M85" s="228"/>
      <c r="N85" s="228"/>
      <c r="O85" s="228"/>
      <c r="P85" s="228"/>
      <c r="Q85" s="228"/>
      <c r="R85" s="228"/>
      <c r="S85" s="228"/>
      <c r="T85" s="228"/>
      <c r="U85" s="228"/>
      <c r="V85" s="228"/>
      <c r="W85" s="228"/>
      <c r="X85" s="228"/>
      <c r="Y85" s="228"/>
      <c r="Z85" s="228"/>
    </row>
    <row r="86" spans="1:26" x14ac:dyDescent="0.2">
      <c r="A86" s="228"/>
      <c r="B86" s="228"/>
      <c r="C86" s="228"/>
      <c r="D86" s="228"/>
      <c r="E86" s="228"/>
      <c r="F86" s="228"/>
      <c r="G86" s="228"/>
      <c r="H86" s="228"/>
      <c r="I86" s="228"/>
      <c r="J86" s="228"/>
      <c r="K86" s="228"/>
      <c r="L86" s="228"/>
      <c r="M86" s="228"/>
      <c r="N86" s="228"/>
      <c r="O86" s="228"/>
      <c r="P86" s="228"/>
      <c r="Q86" s="228"/>
      <c r="R86" s="228"/>
      <c r="S86" s="228"/>
      <c r="T86" s="228"/>
      <c r="U86" s="228"/>
      <c r="V86" s="228"/>
      <c r="W86" s="228"/>
      <c r="X86" s="228"/>
      <c r="Y86" s="228"/>
      <c r="Z86" s="228"/>
    </row>
    <row r="87" spans="1:26" x14ac:dyDescent="0.2">
      <c r="A87" s="228"/>
      <c r="B87" s="228"/>
      <c r="C87" s="228"/>
      <c r="D87" s="228"/>
      <c r="E87" s="228"/>
      <c r="F87" s="228"/>
      <c r="G87" s="228"/>
      <c r="H87" s="228"/>
      <c r="I87" s="228"/>
      <c r="J87" s="228"/>
      <c r="K87" s="228"/>
      <c r="L87" s="228"/>
      <c r="M87" s="228"/>
      <c r="N87" s="228"/>
      <c r="O87" s="228"/>
      <c r="P87" s="228"/>
      <c r="Q87" s="228"/>
      <c r="R87" s="228"/>
      <c r="S87" s="228"/>
      <c r="T87" s="228"/>
      <c r="U87" s="228"/>
      <c r="V87" s="228"/>
      <c r="W87" s="228"/>
      <c r="X87" s="228"/>
      <c r="Y87" s="228"/>
      <c r="Z87" s="228"/>
    </row>
    <row r="88" spans="1:26" x14ac:dyDescent="0.2">
      <c r="A88" s="228"/>
      <c r="B88" s="228"/>
      <c r="C88" s="228"/>
      <c r="D88" s="228"/>
      <c r="E88" s="228"/>
      <c r="F88" s="228"/>
      <c r="G88" s="228"/>
      <c r="H88" s="228"/>
      <c r="I88" s="228"/>
      <c r="J88" s="228"/>
      <c r="K88" s="228"/>
      <c r="L88" s="228"/>
      <c r="M88" s="228"/>
      <c r="N88" s="228"/>
      <c r="O88" s="228"/>
      <c r="P88" s="228"/>
      <c r="Q88" s="228"/>
      <c r="R88" s="228"/>
      <c r="S88" s="228"/>
      <c r="T88" s="228"/>
      <c r="U88" s="228"/>
      <c r="V88" s="228"/>
      <c r="W88" s="228"/>
      <c r="X88" s="228"/>
      <c r="Y88" s="228"/>
      <c r="Z88" s="228"/>
    </row>
    <row r="89" spans="1:26" ht="25.5" x14ac:dyDescent="0.2">
      <c r="A89" s="228"/>
      <c r="B89" s="532" t="s">
        <v>74</v>
      </c>
      <c r="C89" s="532"/>
      <c r="D89" s="229" t="s">
        <v>36</v>
      </c>
      <c r="E89" s="229" t="s">
        <v>136</v>
      </c>
      <c r="F89" s="229" t="s">
        <v>38</v>
      </c>
      <c r="G89" s="229" t="s">
        <v>39</v>
      </c>
      <c r="H89" s="228"/>
      <c r="I89" s="229" t="s">
        <v>137</v>
      </c>
      <c r="J89" s="229" t="s">
        <v>138</v>
      </c>
      <c r="K89" s="228"/>
      <c r="L89" s="228"/>
      <c r="M89" s="228"/>
      <c r="N89" s="228"/>
      <c r="O89" s="228"/>
      <c r="P89" s="228"/>
      <c r="Q89" s="228"/>
      <c r="R89" s="228"/>
      <c r="S89" s="228"/>
      <c r="T89" s="228"/>
      <c r="U89" s="228"/>
      <c r="V89" s="228"/>
      <c r="W89" s="228"/>
      <c r="X89" s="228"/>
      <c r="Y89" s="228"/>
      <c r="Z89" s="228"/>
    </row>
    <row r="90" spans="1:26" ht="15.75" x14ac:dyDescent="0.25">
      <c r="A90" s="228"/>
      <c r="B90" s="139" t="s">
        <v>128</v>
      </c>
      <c r="C90" s="198"/>
      <c r="D90" s="202" t="s">
        <v>129</v>
      </c>
      <c r="E90" s="191">
        <v>127574</v>
      </c>
      <c r="F90" s="191">
        <v>45213</v>
      </c>
      <c r="G90" s="191">
        <v>10527</v>
      </c>
      <c r="H90" s="228"/>
      <c r="I90" s="194">
        <v>0.35440607020239234</v>
      </c>
      <c r="J90" s="156">
        <v>8.2516813770831046E-2</v>
      </c>
      <c r="K90" s="228"/>
      <c r="L90" s="228"/>
      <c r="M90" s="228"/>
      <c r="N90" s="228"/>
      <c r="O90" s="228"/>
      <c r="P90" s="228"/>
      <c r="Q90" s="228"/>
      <c r="R90" s="228"/>
      <c r="S90" s="228"/>
      <c r="T90" s="228"/>
      <c r="U90" s="228"/>
      <c r="V90" s="228"/>
      <c r="W90" s="228"/>
      <c r="X90" s="228"/>
      <c r="Y90" s="228"/>
      <c r="Z90" s="228"/>
    </row>
    <row r="91" spans="1:26" ht="15.75" x14ac:dyDescent="0.25">
      <c r="A91" s="228"/>
      <c r="B91" s="139" t="s">
        <v>130</v>
      </c>
      <c r="C91" s="198"/>
      <c r="D91" s="202" t="s">
        <v>131</v>
      </c>
      <c r="E91" s="191">
        <v>127016</v>
      </c>
      <c r="F91" s="199">
        <v>44028</v>
      </c>
      <c r="G91" s="199">
        <v>10307</v>
      </c>
      <c r="H91" s="228"/>
      <c r="I91" s="156">
        <v>0.34663349499275681</v>
      </c>
      <c r="J91" s="156">
        <v>8.1147257038483342E-2</v>
      </c>
      <c r="K91" s="228"/>
      <c r="L91" s="228"/>
      <c r="M91" s="228"/>
      <c r="N91" s="228"/>
      <c r="O91" s="228"/>
      <c r="P91" s="228"/>
      <c r="Q91" s="228"/>
      <c r="R91" s="228"/>
      <c r="S91" s="228"/>
      <c r="T91" s="228"/>
      <c r="U91" s="228"/>
      <c r="V91" s="228"/>
      <c r="W91" s="228"/>
      <c r="X91" s="228"/>
      <c r="Y91" s="228"/>
      <c r="Z91" s="228"/>
    </row>
    <row r="92" spans="1:26" ht="15.75" x14ac:dyDescent="0.25">
      <c r="A92" s="228"/>
      <c r="B92" s="139" t="s">
        <v>132</v>
      </c>
      <c r="C92" s="198"/>
      <c r="D92" s="202" t="s">
        <v>133</v>
      </c>
      <c r="E92" s="191">
        <v>126964</v>
      </c>
      <c r="F92" s="199">
        <v>44668</v>
      </c>
      <c r="G92" s="199">
        <v>10595</v>
      </c>
      <c r="H92" s="228"/>
      <c r="I92" s="203">
        <v>0.3518162628776661</v>
      </c>
      <c r="J92" s="194">
        <v>8.3448851642985419E-2</v>
      </c>
      <c r="K92" s="228"/>
      <c r="L92" s="228"/>
      <c r="M92" s="228"/>
      <c r="N92" s="228"/>
      <c r="O92" s="228"/>
      <c r="P92" s="228"/>
      <c r="Q92" s="228"/>
      <c r="R92" s="228"/>
      <c r="S92" s="228"/>
      <c r="T92" s="228"/>
      <c r="U92" s="228"/>
      <c r="V92" s="228"/>
      <c r="W92" s="228"/>
      <c r="X92" s="228"/>
      <c r="Y92" s="228"/>
      <c r="Z92" s="228"/>
    </row>
    <row r="93" spans="1:26" ht="15.75" x14ac:dyDescent="0.25">
      <c r="A93" s="228"/>
      <c r="B93" s="139" t="s">
        <v>134</v>
      </c>
      <c r="C93" s="198"/>
      <c r="D93" s="202" t="s">
        <v>135</v>
      </c>
      <c r="E93" s="191">
        <v>128454</v>
      </c>
      <c r="F93" s="199">
        <v>47247</v>
      </c>
      <c r="G93" s="199">
        <v>11403</v>
      </c>
      <c r="H93" s="228"/>
      <c r="I93" s="196">
        <v>0.36781260217665468</v>
      </c>
      <c r="J93" s="196">
        <v>8.8771077584193558E-2</v>
      </c>
      <c r="K93" s="201" t="s">
        <v>139</v>
      </c>
      <c r="L93" s="228"/>
      <c r="M93" s="228"/>
      <c r="N93" s="228"/>
      <c r="O93" s="228"/>
      <c r="P93" s="228"/>
      <c r="Q93" s="228"/>
      <c r="R93" s="228"/>
      <c r="S93" s="228"/>
      <c r="T93" s="228"/>
      <c r="U93" s="228"/>
      <c r="V93" s="228"/>
      <c r="W93" s="228"/>
      <c r="X93" s="228"/>
      <c r="Y93" s="228"/>
      <c r="Z93" s="228"/>
    </row>
    <row r="94" spans="1:26" x14ac:dyDescent="0.2">
      <c r="A94" s="228"/>
      <c r="B94" s="228"/>
      <c r="C94" s="228"/>
      <c r="D94" s="200"/>
      <c r="E94" s="228"/>
      <c r="F94" s="228"/>
      <c r="G94" s="228"/>
      <c r="H94" s="228"/>
      <c r="I94" s="228"/>
      <c r="J94" s="228"/>
      <c r="K94" s="228"/>
      <c r="L94" s="228"/>
      <c r="M94" s="228"/>
      <c r="N94" s="228"/>
      <c r="O94" s="228"/>
      <c r="P94" s="228"/>
      <c r="Q94" s="228"/>
      <c r="R94" s="228"/>
      <c r="S94" s="228"/>
      <c r="T94" s="228"/>
      <c r="U94" s="228"/>
      <c r="V94" s="228"/>
      <c r="W94" s="228"/>
      <c r="X94" s="228"/>
      <c r="Y94" s="228"/>
      <c r="Z94" s="228"/>
    </row>
    <row r="95" spans="1:26" ht="15.75" x14ac:dyDescent="0.25">
      <c r="A95" s="228"/>
      <c r="B95" s="139" t="s">
        <v>140</v>
      </c>
      <c r="C95" s="198"/>
      <c r="D95" s="197" t="s">
        <v>129</v>
      </c>
      <c r="E95" s="191">
        <v>59174</v>
      </c>
      <c r="F95" s="199">
        <v>10897</v>
      </c>
      <c r="G95" s="199">
        <v>2567</v>
      </c>
      <c r="H95" s="228"/>
      <c r="I95" s="156">
        <v>0.1841518234359685</v>
      </c>
      <c r="J95" s="156">
        <v>4.3380538750126742E-2</v>
      </c>
      <c r="K95" s="228"/>
      <c r="L95" s="228"/>
      <c r="M95" s="228"/>
      <c r="N95" s="228"/>
      <c r="O95" s="228"/>
      <c r="P95" s="228"/>
      <c r="Q95" s="228"/>
      <c r="R95" s="228"/>
      <c r="S95" s="228"/>
      <c r="T95" s="228"/>
      <c r="U95" s="228"/>
      <c r="V95" s="228"/>
      <c r="W95" s="228"/>
      <c r="X95" s="228"/>
      <c r="Y95" s="228"/>
      <c r="Z95" s="228"/>
    </row>
    <row r="96" spans="1:26" ht="15.75" x14ac:dyDescent="0.25">
      <c r="A96" s="228"/>
      <c r="B96" s="139" t="s">
        <v>141</v>
      </c>
      <c r="C96" s="198"/>
      <c r="D96" s="197" t="s">
        <v>131</v>
      </c>
      <c r="E96" s="191">
        <v>58778</v>
      </c>
      <c r="F96" s="191">
        <v>10921</v>
      </c>
      <c r="G96" s="191">
        <v>2462</v>
      </c>
      <c r="H96" s="228"/>
      <c r="I96" s="156">
        <v>0.18580080982680594</v>
      </c>
      <c r="J96" s="156">
        <v>4.1886420089149001E-2</v>
      </c>
      <c r="K96" s="228"/>
      <c r="L96" s="228"/>
      <c r="M96" s="228"/>
      <c r="N96" s="228"/>
      <c r="O96" s="228"/>
      <c r="P96" s="228"/>
      <c r="Q96" s="228"/>
      <c r="R96" s="228"/>
      <c r="S96" s="228"/>
      <c r="T96" s="228"/>
      <c r="U96" s="228"/>
      <c r="V96" s="228"/>
      <c r="W96" s="228"/>
      <c r="X96" s="228"/>
      <c r="Y96" s="228"/>
      <c r="Z96" s="228"/>
    </row>
    <row r="97" spans="1:26" ht="15.75" x14ac:dyDescent="0.25">
      <c r="A97" s="228"/>
      <c r="B97" s="139" t="s">
        <v>142</v>
      </c>
      <c r="C97" s="198"/>
      <c r="D97" s="197" t="s">
        <v>133</v>
      </c>
      <c r="E97" s="191">
        <v>58702</v>
      </c>
      <c r="F97" s="191">
        <v>11098</v>
      </c>
      <c r="G97" s="191">
        <v>2564</v>
      </c>
      <c r="H97" s="228"/>
      <c r="I97" s="194">
        <v>0.18905659091683419</v>
      </c>
      <c r="J97" s="156">
        <v>4.3678239242274541E-2</v>
      </c>
      <c r="K97" s="228"/>
      <c r="L97" s="228"/>
      <c r="M97" s="228"/>
      <c r="N97" s="228"/>
      <c r="O97" s="228"/>
      <c r="P97" s="228"/>
      <c r="Q97" s="228"/>
      <c r="R97" s="228"/>
      <c r="S97" s="228"/>
      <c r="T97" s="228"/>
      <c r="U97" s="228"/>
      <c r="V97" s="228"/>
      <c r="W97" s="228"/>
      <c r="X97" s="228"/>
      <c r="Y97" s="228"/>
      <c r="Z97" s="228"/>
    </row>
    <row r="98" spans="1:26" ht="15.75" x14ac:dyDescent="0.25">
      <c r="A98" s="228"/>
      <c r="B98" s="139" t="s">
        <v>143</v>
      </c>
      <c r="C98" s="198"/>
      <c r="D98" s="197" t="s">
        <v>135</v>
      </c>
      <c r="E98" s="191">
        <v>70019</v>
      </c>
      <c r="F98" s="191">
        <v>13893</v>
      </c>
      <c r="G98" s="191">
        <v>3142</v>
      </c>
      <c r="H98" s="228"/>
      <c r="I98" s="196">
        <v>0.19841757237321297</v>
      </c>
      <c r="J98" s="196">
        <v>4.4873534326397124E-2</v>
      </c>
      <c r="K98" s="228"/>
      <c r="L98" s="228"/>
      <c r="M98" s="228"/>
      <c r="N98" s="228"/>
      <c r="O98" s="228"/>
      <c r="P98" s="228"/>
      <c r="Q98" s="228"/>
      <c r="R98" s="228"/>
      <c r="S98" s="228"/>
      <c r="T98" s="228"/>
      <c r="U98" s="228"/>
      <c r="V98" s="228"/>
      <c r="W98" s="228"/>
      <c r="X98" s="228"/>
      <c r="Y98" s="228"/>
      <c r="Z98" s="228"/>
    </row>
    <row r="99" spans="1:26" x14ac:dyDescent="0.2">
      <c r="A99" s="228"/>
      <c r="B99" s="228"/>
      <c r="C99" s="228"/>
      <c r="D99" s="228"/>
      <c r="E99" s="228"/>
      <c r="F99" s="228"/>
      <c r="G99" s="228"/>
      <c r="H99" s="228"/>
      <c r="I99" s="228"/>
      <c r="J99" s="228"/>
      <c r="K99" s="228"/>
      <c r="L99" s="228"/>
      <c r="M99" s="228"/>
      <c r="N99" s="228"/>
      <c r="O99" s="228"/>
      <c r="P99" s="228"/>
      <c r="Q99" s="228"/>
      <c r="R99" s="228"/>
      <c r="S99" s="228"/>
      <c r="T99" s="228"/>
      <c r="U99" s="228"/>
      <c r="V99" s="228"/>
      <c r="W99" s="228"/>
      <c r="X99" s="228"/>
      <c r="Y99" s="228"/>
      <c r="Z99" s="228"/>
    </row>
    <row r="100" spans="1:26" x14ac:dyDescent="0.2">
      <c r="A100" s="228"/>
      <c r="B100" s="533" t="s">
        <v>144</v>
      </c>
      <c r="C100" s="533"/>
      <c r="D100" s="533"/>
      <c r="E100" s="533"/>
      <c r="F100" s="533"/>
      <c r="G100" s="533"/>
      <c r="H100" s="533"/>
      <c r="I100" s="533"/>
      <c r="J100" s="533"/>
      <c r="K100" s="228"/>
      <c r="L100" s="228"/>
      <c r="M100" s="228"/>
      <c r="N100" s="228"/>
      <c r="O100" s="228"/>
      <c r="P100" s="228"/>
      <c r="Q100" s="228"/>
      <c r="R100" s="228"/>
      <c r="S100" s="228"/>
      <c r="T100" s="228"/>
      <c r="U100" s="228"/>
      <c r="V100" s="228"/>
      <c r="W100" s="228"/>
      <c r="X100" s="228"/>
      <c r="Y100" s="228"/>
      <c r="Z100" s="228"/>
    </row>
    <row r="101" spans="1:26" x14ac:dyDescent="0.2">
      <c r="A101" s="228"/>
      <c r="B101" s="533"/>
      <c r="C101" s="533"/>
      <c r="D101" s="533"/>
      <c r="E101" s="533"/>
      <c r="F101" s="533"/>
      <c r="G101" s="533"/>
      <c r="H101" s="533"/>
      <c r="I101" s="533"/>
      <c r="J101" s="533"/>
      <c r="K101" s="228"/>
      <c r="L101" s="228"/>
      <c r="M101" s="228"/>
      <c r="N101" s="228"/>
      <c r="O101" s="228"/>
      <c r="P101" s="228"/>
      <c r="Q101" s="228"/>
      <c r="R101" s="228"/>
      <c r="S101" s="228"/>
      <c r="T101" s="228"/>
      <c r="U101" s="228"/>
      <c r="V101" s="228"/>
      <c r="W101" s="228"/>
      <c r="X101" s="228"/>
      <c r="Y101" s="228"/>
      <c r="Z101" s="228"/>
    </row>
    <row r="102" spans="1:26" x14ac:dyDescent="0.2">
      <c r="A102" s="228"/>
      <c r="B102" s="228"/>
      <c r="C102" s="228"/>
      <c r="D102" s="228"/>
      <c r="E102" s="228"/>
      <c r="F102" s="228"/>
      <c r="G102" s="228"/>
      <c r="H102" s="228"/>
      <c r="I102" s="228"/>
      <c r="J102" s="228"/>
      <c r="K102" s="228"/>
      <c r="L102" s="228"/>
      <c r="M102" s="228"/>
      <c r="N102" s="228"/>
      <c r="O102" s="228"/>
      <c r="P102" s="228"/>
      <c r="Q102" s="228"/>
      <c r="R102" s="228"/>
      <c r="S102" s="228"/>
      <c r="T102" s="228"/>
      <c r="U102" s="228"/>
      <c r="V102" s="228"/>
      <c r="W102" s="228"/>
      <c r="X102" s="228"/>
      <c r="Y102" s="228"/>
      <c r="Z102" s="228"/>
    </row>
    <row r="103" spans="1:26" ht="31.5" x14ac:dyDescent="0.25">
      <c r="A103" s="163"/>
      <c r="B103" s="138" t="s">
        <v>151</v>
      </c>
      <c r="C103" s="164" t="s">
        <v>152</v>
      </c>
      <c r="D103" s="163"/>
      <c r="E103" s="163"/>
      <c r="F103" s="163"/>
      <c r="G103" s="163"/>
      <c r="H103" s="163"/>
      <c r="I103" s="163"/>
      <c r="J103" s="163"/>
      <c r="K103" s="163"/>
      <c r="L103" s="163"/>
      <c r="M103" s="163"/>
      <c r="N103" s="163"/>
      <c r="O103" s="163"/>
      <c r="P103" s="163"/>
      <c r="Q103" s="163"/>
      <c r="R103" s="163"/>
      <c r="S103" s="163"/>
      <c r="T103" s="163"/>
      <c r="U103" s="163"/>
      <c r="V103" s="163"/>
      <c r="W103" s="163"/>
      <c r="X103" s="163"/>
      <c r="Y103" s="163"/>
      <c r="Z103" s="163"/>
    </row>
    <row r="104" spans="1:26" ht="15.75" x14ac:dyDescent="0.25">
      <c r="A104" s="163"/>
      <c r="B104" s="137" t="s">
        <v>118</v>
      </c>
      <c r="C104" s="195" t="s">
        <v>153</v>
      </c>
      <c r="D104" s="195" t="s">
        <v>154</v>
      </c>
      <c r="E104" s="195" t="s">
        <v>155</v>
      </c>
      <c r="F104" s="195" t="s">
        <v>156</v>
      </c>
      <c r="G104" s="195" t="s">
        <v>157</v>
      </c>
      <c r="H104" s="195" t="s">
        <v>158</v>
      </c>
      <c r="I104" s="195" t="s">
        <v>159</v>
      </c>
      <c r="J104" s="195" t="s">
        <v>160</v>
      </c>
      <c r="K104" s="195" t="s">
        <v>161</v>
      </c>
      <c r="L104" s="195" t="s">
        <v>162</v>
      </c>
      <c r="M104" s="195" t="s">
        <v>163</v>
      </c>
      <c r="N104" s="195" t="s">
        <v>164</v>
      </c>
      <c r="O104" s="195" t="s">
        <v>165</v>
      </c>
      <c r="P104" s="195" t="s">
        <v>166</v>
      </c>
      <c r="Q104" s="195" t="s">
        <v>167</v>
      </c>
      <c r="R104" s="195" t="s">
        <v>168</v>
      </c>
      <c r="S104" s="195" t="s">
        <v>169</v>
      </c>
      <c r="T104" s="163"/>
      <c r="U104" s="163"/>
      <c r="V104" s="163"/>
      <c r="W104" s="163"/>
      <c r="X104" s="163"/>
      <c r="Y104" s="163"/>
      <c r="Z104" s="163"/>
    </row>
    <row r="105" spans="1:26" ht="15.75" x14ac:dyDescent="0.25">
      <c r="A105" s="163"/>
      <c r="B105" s="136" t="s">
        <v>170</v>
      </c>
      <c r="C105" s="191">
        <v>802507</v>
      </c>
      <c r="D105" s="191">
        <v>764214</v>
      </c>
      <c r="E105" s="194">
        <v>0.95228328226420456</v>
      </c>
      <c r="F105" s="191">
        <v>392821</v>
      </c>
      <c r="G105" s="192">
        <v>0.51401963324409128</v>
      </c>
      <c r="H105" s="191">
        <v>270705</v>
      </c>
      <c r="I105" s="192">
        <v>0.35422669566378007</v>
      </c>
      <c r="J105" s="191">
        <v>37219</v>
      </c>
      <c r="K105" s="192">
        <v>4.8702326835153506E-2</v>
      </c>
      <c r="L105" s="191">
        <v>32565</v>
      </c>
      <c r="M105" s="192">
        <v>4.2612409613014157E-2</v>
      </c>
      <c r="N105" s="193"/>
      <c r="O105" s="192">
        <v>0</v>
      </c>
      <c r="P105" s="191">
        <v>38293</v>
      </c>
      <c r="Q105" s="192">
        <v>4.7716717735795451E-2</v>
      </c>
      <c r="R105" s="191">
        <v>1047</v>
      </c>
      <c r="S105" s="190">
        <v>1.3700350948818E-3</v>
      </c>
      <c r="T105" s="163"/>
      <c r="U105" s="163"/>
      <c r="V105" s="163"/>
      <c r="W105" s="163"/>
      <c r="X105" s="163"/>
      <c r="Y105" s="163"/>
      <c r="Z105" s="163"/>
    </row>
    <row r="106" spans="1:26" x14ac:dyDescent="0.2">
      <c r="A106" s="163"/>
      <c r="B106" s="228"/>
      <c r="C106" s="163"/>
      <c r="D106" s="163"/>
      <c r="E106" s="163"/>
      <c r="F106" s="163"/>
      <c r="G106" s="163"/>
      <c r="H106" s="163"/>
      <c r="I106" s="163"/>
      <c r="J106" s="163"/>
      <c r="K106" s="163"/>
      <c r="L106" s="163"/>
      <c r="M106" s="163"/>
      <c r="N106" s="163"/>
      <c r="O106" s="163"/>
      <c r="P106" s="163"/>
      <c r="Q106" s="163"/>
      <c r="R106" s="163"/>
      <c r="S106" s="163"/>
      <c r="T106" s="163"/>
      <c r="U106" s="163"/>
      <c r="V106" s="163"/>
      <c r="W106" s="163"/>
      <c r="X106" s="163"/>
      <c r="Y106" s="163"/>
      <c r="Z106" s="163"/>
    </row>
    <row r="107" spans="1:26" ht="31.5" x14ac:dyDescent="0.25">
      <c r="A107" s="163"/>
      <c r="B107" s="138" t="s">
        <v>171</v>
      </c>
      <c r="C107" s="164" t="s">
        <v>152</v>
      </c>
      <c r="D107" s="163"/>
      <c r="E107" s="163"/>
      <c r="F107" s="163"/>
      <c r="G107" s="163"/>
      <c r="H107" s="163"/>
      <c r="I107" s="163"/>
      <c r="J107" s="163"/>
      <c r="K107" s="163"/>
      <c r="L107" s="163"/>
      <c r="M107" s="163"/>
      <c r="N107" s="163"/>
      <c r="O107" s="163"/>
      <c r="P107" s="163"/>
      <c r="Q107" s="163"/>
      <c r="R107" s="163"/>
      <c r="S107" s="163"/>
      <c r="T107" s="163"/>
      <c r="U107" s="163"/>
      <c r="V107" s="163"/>
      <c r="W107" s="163"/>
      <c r="X107" s="163"/>
      <c r="Y107" s="163"/>
      <c r="Z107" s="163"/>
    </row>
    <row r="108" spans="1:26" ht="15.75" x14ac:dyDescent="0.25">
      <c r="A108" s="163"/>
      <c r="B108" s="137" t="s">
        <v>118</v>
      </c>
      <c r="C108" s="195" t="s">
        <v>153</v>
      </c>
      <c r="D108" s="195" t="s">
        <v>154</v>
      </c>
      <c r="E108" s="195" t="s">
        <v>155</v>
      </c>
      <c r="F108" s="195" t="s">
        <v>156</v>
      </c>
      <c r="G108" s="195" t="s">
        <v>157</v>
      </c>
      <c r="H108" s="195" t="s">
        <v>158</v>
      </c>
      <c r="I108" s="195" t="s">
        <v>159</v>
      </c>
      <c r="J108" s="195" t="s">
        <v>160</v>
      </c>
      <c r="K108" s="195" t="s">
        <v>161</v>
      </c>
      <c r="L108" s="195" t="s">
        <v>162</v>
      </c>
      <c r="M108" s="195" t="s">
        <v>163</v>
      </c>
      <c r="N108" s="195" t="s">
        <v>164</v>
      </c>
      <c r="O108" s="195" t="s">
        <v>165</v>
      </c>
      <c r="P108" s="195" t="s">
        <v>166</v>
      </c>
      <c r="Q108" s="195" t="s">
        <v>167</v>
      </c>
      <c r="R108" s="195" t="s">
        <v>168</v>
      </c>
      <c r="S108" s="195" t="s">
        <v>169</v>
      </c>
      <c r="T108" s="163"/>
      <c r="U108" s="163"/>
      <c r="V108" s="163"/>
      <c r="W108" s="163"/>
      <c r="X108" s="163"/>
      <c r="Y108" s="163"/>
      <c r="Z108" s="163"/>
    </row>
    <row r="109" spans="1:26" ht="15.75" x14ac:dyDescent="0.25">
      <c r="A109" s="163"/>
      <c r="B109" s="136" t="s">
        <v>172</v>
      </c>
      <c r="C109" s="191">
        <v>11835</v>
      </c>
      <c r="D109" s="191">
        <v>11569</v>
      </c>
      <c r="E109" s="194">
        <v>0.97752429235318972</v>
      </c>
      <c r="F109" s="191">
        <v>9338</v>
      </c>
      <c r="G109" s="192">
        <v>0.80715705765407553</v>
      </c>
      <c r="H109" s="191">
        <v>6382</v>
      </c>
      <c r="I109" s="192">
        <v>0.55164664188780366</v>
      </c>
      <c r="J109" s="191">
        <v>1871</v>
      </c>
      <c r="K109" s="192">
        <v>0.16172530037168295</v>
      </c>
      <c r="L109" s="191">
        <v>1264</v>
      </c>
      <c r="M109" s="192">
        <v>0.10925749848733685</v>
      </c>
      <c r="N109" s="193"/>
      <c r="O109" s="192">
        <v>0</v>
      </c>
      <c r="P109" s="191">
        <v>266</v>
      </c>
      <c r="Q109" s="192">
        <v>2.2475707646810308E-2</v>
      </c>
      <c r="R109" s="191">
        <v>15</v>
      </c>
      <c r="S109" s="190">
        <v>1.2965684155933962E-3</v>
      </c>
      <c r="T109" s="163"/>
      <c r="U109" s="163"/>
      <c r="V109" s="163"/>
      <c r="W109" s="163"/>
      <c r="X109" s="163"/>
      <c r="Y109" s="163"/>
      <c r="Z109" s="163"/>
    </row>
    <row r="110" spans="1:26" x14ac:dyDescent="0.2">
      <c r="A110" s="228"/>
      <c r="B110" s="228"/>
      <c r="C110" s="228"/>
      <c r="D110" s="228"/>
      <c r="E110" s="228"/>
      <c r="F110" s="228"/>
      <c r="G110" s="228"/>
      <c r="H110" s="228"/>
      <c r="I110" s="228"/>
      <c r="J110" s="228"/>
      <c r="K110" s="228"/>
      <c r="L110" s="228"/>
      <c r="M110" s="228"/>
      <c r="N110" s="228"/>
      <c r="O110" s="228"/>
      <c r="P110" s="228"/>
      <c r="Q110" s="228"/>
      <c r="R110" s="228"/>
      <c r="S110" s="228"/>
      <c r="T110" s="228"/>
      <c r="U110" s="228"/>
      <c r="V110" s="228"/>
      <c r="W110" s="228"/>
      <c r="X110" s="228"/>
      <c r="Y110" s="228"/>
      <c r="Z110" s="228"/>
    </row>
    <row r="111" spans="1:26" x14ac:dyDescent="0.2">
      <c r="A111" s="228"/>
      <c r="B111" s="228"/>
      <c r="C111" s="228"/>
      <c r="D111" s="228"/>
      <c r="E111" s="228"/>
      <c r="F111" s="228"/>
      <c r="G111" s="228"/>
      <c r="H111" s="228"/>
      <c r="I111" s="228"/>
      <c r="J111" s="228"/>
      <c r="K111" s="228"/>
      <c r="L111" s="228"/>
      <c r="M111" s="228"/>
      <c r="N111" s="228"/>
      <c r="O111" s="228"/>
      <c r="P111" s="228"/>
      <c r="Q111" s="228"/>
      <c r="R111" s="228"/>
      <c r="S111" s="228"/>
      <c r="T111" s="228"/>
      <c r="U111" s="228"/>
      <c r="V111" s="228"/>
      <c r="W111" s="228"/>
      <c r="X111" s="228"/>
      <c r="Y111" s="228"/>
      <c r="Z111" s="228"/>
    </row>
    <row r="112" spans="1:26" x14ac:dyDescent="0.2">
      <c r="A112" s="228"/>
      <c r="B112" s="135" t="s">
        <v>175</v>
      </c>
      <c r="C112" s="163"/>
      <c r="D112" s="163"/>
      <c r="E112" s="163"/>
      <c r="F112" s="163"/>
      <c r="G112" s="163"/>
      <c r="H112" s="228"/>
      <c r="I112" s="228"/>
      <c r="J112" s="228"/>
      <c r="K112" s="228"/>
      <c r="L112" s="228"/>
      <c r="M112" s="228"/>
      <c r="N112" s="228"/>
      <c r="O112" s="228"/>
      <c r="P112" s="228"/>
      <c r="Q112" s="228"/>
      <c r="R112" s="228"/>
      <c r="S112" s="228"/>
      <c r="T112" s="228"/>
      <c r="U112" s="228"/>
      <c r="V112" s="228"/>
      <c r="W112" s="228"/>
      <c r="X112" s="228"/>
      <c r="Y112" s="228"/>
      <c r="Z112" s="228"/>
    </row>
    <row r="113" spans="1:26" ht="25.5" x14ac:dyDescent="0.2">
      <c r="A113" s="228"/>
      <c r="B113" s="189" t="s">
        <v>74</v>
      </c>
      <c r="C113" s="188" t="s">
        <v>154</v>
      </c>
      <c r="D113" s="188" t="s">
        <v>38</v>
      </c>
      <c r="E113" s="188" t="s">
        <v>159</v>
      </c>
      <c r="F113" s="188" t="s">
        <v>162</v>
      </c>
      <c r="G113" s="188" t="s">
        <v>176</v>
      </c>
      <c r="H113" s="228"/>
      <c r="I113" s="228"/>
      <c r="J113" s="228"/>
      <c r="K113" s="228"/>
      <c r="L113" s="228"/>
      <c r="M113" s="228"/>
      <c r="N113" s="228"/>
      <c r="O113" s="228"/>
      <c r="P113" s="228"/>
      <c r="Q113" s="228"/>
      <c r="R113" s="228"/>
      <c r="S113" s="228"/>
      <c r="T113" s="228"/>
      <c r="U113" s="228"/>
      <c r="V113" s="228"/>
      <c r="W113" s="228"/>
      <c r="X113" s="228"/>
      <c r="Y113" s="228"/>
      <c r="Z113" s="228"/>
    </row>
    <row r="114" spans="1:26" x14ac:dyDescent="0.2">
      <c r="A114" s="228"/>
      <c r="B114" s="221" t="s">
        <v>177</v>
      </c>
      <c r="C114" s="186">
        <v>812150</v>
      </c>
      <c r="D114" s="186">
        <v>277921</v>
      </c>
      <c r="E114" s="156">
        <v>0.34220402634981223</v>
      </c>
      <c r="F114" s="186">
        <v>72896</v>
      </c>
      <c r="G114" s="156">
        <v>8.9756818321738596E-2</v>
      </c>
      <c r="H114" s="228"/>
      <c r="I114" s="228"/>
      <c r="J114" s="228"/>
      <c r="K114" s="228"/>
      <c r="L114" s="228"/>
      <c r="M114" s="228"/>
      <c r="N114" s="228"/>
      <c r="O114" s="228"/>
      <c r="P114" s="228"/>
      <c r="Q114" s="228"/>
      <c r="R114" s="228"/>
      <c r="S114" s="228"/>
      <c r="T114" s="228"/>
      <c r="U114" s="228"/>
      <c r="V114" s="228"/>
      <c r="W114" s="228"/>
      <c r="X114" s="228"/>
      <c r="Y114" s="228"/>
      <c r="Z114" s="228"/>
    </row>
    <row r="115" spans="1:26" x14ac:dyDescent="0.2">
      <c r="A115" s="228"/>
      <c r="B115" s="228"/>
      <c r="C115" s="228"/>
      <c r="D115" s="228"/>
      <c r="E115" s="228"/>
      <c r="F115" s="228"/>
      <c r="G115" s="228"/>
      <c r="H115" s="228"/>
      <c r="I115" s="228"/>
      <c r="J115" s="228"/>
      <c r="K115" s="228"/>
      <c r="L115" s="228"/>
      <c r="M115" s="228"/>
      <c r="N115" s="228"/>
      <c r="O115" s="228"/>
      <c r="P115" s="228"/>
      <c r="Q115" s="228"/>
      <c r="R115" s="228"/>
      <c r="S115" s="228"/>
      <c r="T115" s="228"/>
      <c r="U115" s="228"/>
      <c r="V115" s="228"/>
      <c r="W115" s="228"/>
      <c r="X115" s="228"/>
      <c r="Y115" s="228"/>
      <c r="Z115" s="228"/>
    </row>
    <row r="116" spans="1:26" ht="31.5" x14ac:dyDescent="0.25">
      <c r="A116" s="163"/>
      <c r="B116" s="138" t="s">
        <v>178</v>
      </c>
      <c r="C116" s="164" t="s">
        <v>179</v>
      </c>
      <c r="D116" s="163"/>
      <c r="E116" s="163"/>
      <c r="F116" s="163"/>
      <c r="G116" s="163"/>
      <c r="H116" s="163"/>
      <c r="I116" s="163"/>
      <c r="J116" s="163"/>
      <c r="K116" s="163"/>
      <c r="L116" s="163"/>
      <c r="M116" s="163"/>
      <c r="N116" s="163"/>
      <c r="O116" s="163"/>
      <c r="P116" s="163"/>
      <c r="Q116" s="163"/>
      <c r="R116" s="163"/>
      <c r="S116" s="163"/>
      <c r="T116" s="163"/>
      <c r="U116" s="163"/>
      <c r="V116" s="163"/>
      <c r="W116" s="163"/>
      <c r="X116" s="163"/>
      <c r="Y116" s="163"/>
      <c r="Z116" s="163"/>
    </row>
    <row r="117" spans="1:26" ht="31.5" x14ac:dyDescent="0.25">
      <c r="A117" s="228"/>
      <c r="B117" s="170" t="s">
        <v>118</v>
      </c>
      <c r="C117" s="170" t="s">
        <v>153</v>
      </c>
      <c r="D117" s="170" t="s">
        <v>154</v>
      </c>
      <c r="E117" s="170" t="s">
        <v>155</v>
      </c>
      <c r="F117" s="170" t="s">
        <v>156</v>
      </c>
      <c r="G117" s="170" t="s">
        <v>157</v>
      </c>
      <c r="H117" s="170" t="s">
        <v>158</v>
      </c>
      <c r="I117" s="170" t="s">
        <v>159</v>
      </c>
      <c r="J117" s="170" t="s">
        <v>160</v>
      </c>
      <c r="K117" s="170" t="s">
        <v>161</v>
      </c>
      <c r="L117" s="170" t="s">
        <v>162</v>
      </c>
      <c r="M117" s="170" t="s">
        <v>163</v>
      </c>
      <c r="N117" s="170" t="s">
        <v>166</v>
      </c>
      <c r="O117" s="170" t="s">
        <v>167</v>
      </c>
      <c r="P117" s="170" t="s">
        <v>168</v>
      </c>
      <c r="Q117" s="170" t="s">
        <v>169</v>
      </c>
      <c r="R117" s="228"/>
      <c r="S117" s="228"/>
      <c r="T117" s="228"/>
      <c r="U117" s="228"/>
      <c r="V117" s="228"/>
      <c r="W117" s="228"/>
      <c r="X117" s="228"/>
      <c r="Y117" s="228"/>
      <c r="Z117" s="228"/>
    </row>
    <row r="118" spans="1:26" ht="15.75" x14ac:dyDescent="0.25">
      <c r="A118" s="163"/>
      <c r="B118" s="175" t="s">
        <v>180</v>
      </c>
      <c r="C118" s="160">
        <v>842366</v>
      </c>
      <c r="D118" s="160">
        <v>827371</v>
      </c>
      <c r="E118" s="161">
        <v>0.98219894915036932</v>
      </c>
      <c r="F118" s="160">
        <v>366033</v>
      </c>
      <c r="G118" s="159">
        <v>0.44240491871240351</v>
      </c>
      <c r="H118" s="160">
        <v>272299</v>
      </c>
      <c r="I118" s="159">
        <v>0.32911354156720501</v>
      </c>
      <c r="J118" s="160">
        <v>30325</v>
      </c>
      <c r="K118" s="159">
        <v>3.6652239442765099E-2</v>
      </c>
      <c r="L118" s="160">
        <v>26357</v>
      </c>
      <c r="M118" s="159">
        <v>3.1856325638679628E-2</v>
      </c>
      <c r="N118" s="160">
        <v>14995</v>
      </c>
      <c r="O118" s="159">
        <v>1.7801050849630684E-2</v>
      </c>
      <c r="P118" s="160">
        <v>1446</v>
      </c>
      <c r="Q118" s="159">
        <v>1.7477044759847758E-3</v>
      </c>
      <c r="R118" s="163"/>
      <c r="S118" s="163"/>
      <c r="T118" s="163"/>
      <c r="U118" s="163"/>
      <c r="V118" s="163"/>
      <c r="W118" s="163"/>
      <c r="X118" s="163"/>
      <c r="Y118" s="163"/>
      <c r="Z118" s="163"/>
    </row>
    <row r="119" spans="1:26" x14ac:dyDescent="0.2">
      <c r="A119" s="163"/>
      <c r="B119" s="228"/>
      <c r="C119" s="163"/>
      <c r="D119" s="163"/>
      <c r="E119" s="163"/>
      <c r="F119" s="163"/>
      <c r="G119" s="163"/>
      <c r="H119" s="163"/>
      <c r="I119" s="163"/>
      <c r="J119" s="163"/>
      <c r="K119" s="163"/>
      <c r="L119" s="163"/>
      <c r="M119" s="163"/>
      <c r="N119" s="163"/>
      <c r="O119" s="163"/>
      <c r="P119" s="163"/>
      <c r="Q119" s="163"/>
      <c r="R119" s="163"/>
      <c r="S119" s="163"/>
      <c r="T119" s="163"/>
      <c r="U119" s="163"/>
      <c r="V119" s="163"/>
      <c r="W119" s="163"/>
      <c r="X119" s="163"/>
      <c r="Y119" s="163"/>
      <c r="Z119" s="163"/>
    </row>
    <row r="120" spans="1:26" ht="31.5" x14ac:dyDescent="0.25">
      <c r="A120" s="163"/>
      <c r="B120" s="138" t="s">
        <v>181</v>
      </c>
      <c r="C120" s="164" t="s">
        <v>179</v>
      </c>
      <c r="D120" s="163"/>
      <c r="E120" s="163"/>
      <c r="F120" s="163"/>
      <c r="G120" s="163"/>
      <c r="H120" s="163"/>
      <c r="I120" s="163"/>
      <c r="J120" s="163"/>
      <c r="K120" s="163"/>
      <c r="L120" s="163"/>
      <c r="M120" s="163"/>
      <c r="N120" s="163"/>
      <c r="O120" s="163"/>
      <c r="P120" s="163"/>
      <c r="Q120" s="163"/>
      <c r="R120" s="163"/>
      <c r="S120" s="163"/>
      <c r="T120" s="163"/>
      <c r="U120" s="163"/>
      <c r="V120" s="163"/>
      <c r="W120" s="163"/>
      <c r="X120" s="163"/>
      <c r="Y120" s="163"/>
      <c r="Z120" s="163"/>
    </row>
    <row r="121" spans="1:26" ht="31.5" x14ac:dyDescent="0.25">
      <c r="A121" s="228"/>
      <c r="B121" s="170" t="s">
        <v>118</v>
      </c>
      <c r="C121" s="170" t="s">
        <v>153</v>
      </c>
      <c r="D121" s="170" t="s">
        <v>154</v>
      </c>
      <c r="E121" s="170" t="s">
        <v>155</v>
      </c>
      <c r="F121" s="170" t="s">
        <v>156</v>
      </c>
      <c r="G121" s="170" t="s">
        <v>157</v>
      </c>
      <c r="H121" s="170" t="s">
        <v>158</v>
      </c>
      <c r="I121" s="170" t="s">
        <v>159</v>
      </c>
      <c r="J121" s="170" t="s">
        <v>160</v>
      </c>
      <c r="K121" s="170" t="s">
        <v>161</v>
      </c>
      <c r="L121" s="170" t="s">
        <v>162</v>
      </c>
      <c r="M121" s="170" t="s">
        <v>163</v>
      </c>
      <c r="N121" s="170" t="s">
        <v>166</v>
      </c>
      <c r="O121" s="170" t="s">
        <v>167</v>
      </c>
      <c r="P121" s="170" t="s">
        <v>168</v>
      </c>
      <c r="Q121" s="170" t="s">
        <v>169</v>
      </c>
      <c r="R121" s="228"/>
      <c r="S121" s="228"/>
      <c r="T121" s="228"/>
      <c r="U121" s="228"/>
      <c r="V121" s="228"/>
      <c r="W121" s="228"/>
      <c r="X121" s="228"/>
      <c r="Y121" s="228"/>
      <c r="Z121" s="228"/>
    </row>
    <row r="122" spans="1:26" ht="15.75" x14ac:dyDescent="0.25">
      <c r="A122" s="163"/>
      <c r="B122" s="175" t="s">
        <v>180</v>
      </c>
      <c r="C122" s="160">
        <v>861058</v>
      </c>
      <c r="D122" s="160">
        <v>845013</v>
      </c>
      <c r="E122" s="161">
        <v>0.98136594747392158</v>
      </c>
      <c r="F122" s="160">
        <v>352195</v>
      </c>
      <c r="G122" s="159">
        <v>0.41679240437721077</v>
      </c>
      <c r="H122" s="160">
        <v>253632</v>
      </c>
      <c r="I122" s="159">
        <v>0.30015159530090069</v>
      </c>
      <c r="J122" s="160">
        <v>17608</v>
      </c>
      <c r="K122" s="159">
        <v>2.0837549244804517E-2</v>
      </c>
      <c r="L122" s="160">
        <v>15215</v>
      </c>
      <c r="M122" s="159">
        <v>1.8005640149914855E-2</v>
      </c>
      <c r="N122" s="160">
        <v>16045</v>
      </c>
      <c r="O122" s="159">
        <v>1.8634052526078384E-2</v>
      </c>
      <c r="P122" s="160">
        <v>1237</v>
      </c>
      <c r="Q122" s="159">
        <v>1.4638828041698766E-3</v>
      </c>
      <c r="R122" s="163"/>
      <c r="S122" s="163"/>
      <c r="T122" s="163"/>
      <c r="U122" s="163"/>
      <c r="V122" s="163"/>
      <c r="W122" s="163"/>
      <c r="X122" s="163"/>
      <c r="Y122" s="163"/>
      <c r="Z122" s="163"/>
    </row>
    <row r="123" spans="1:26" x14ac:dyDescent="0.2">
      <c r="A123" s="163"/>
      <c r="B123" s="228"/>
      <c r="C123" s="163"/>
      <c r="D123" s="163"/>
      <c r="E123" s="163"/>
      <c r="F123" s="163"/>
      <c r="G123" s="163"/>
      <c r="H123" s="163"/>
      <c r="I123" s="163"/>
      <c r="J123" s="163"/>
      <c r="K123" s="163"/>
      <c r="L123" s="163"/>
      <c r="M123" s="163"/>
      <c r="N123" s="163"/>
      <c r="O123" s="163"/>
      <c r="P123" s="163"/>
      <c r="Q123" s="163"/>
      <c r="R123" s="163"/>
      <c r="S123" s="163"/>
      <c r="T123" s="163"/>
      <c r="U123" s="163"/>
      <c r="V123" s="163"/>
      <c r="W123" s="163"/>
      <c r="X123" s="163"/>
      <c r="Y123" s="163"/>
      <c r="Z123" s="163"/>
    </row>
    <row r="124" spans="1:26" ht="31.5" x14ac:dyDescent="0.25">
      <c r="A124" s="163"/>
      <c r="B124" s="138" t="s">
        <v>182</v>
      </c>
      <c r="C124" s="164" t="s">
        <v>179</v>
      </c>
      <c r="D124" s="163"/>
      <c r="E124" s="163"/>
      <c r="F124" s="163"/>
      <c r="G124" s="163"/>
      <c r="H124" s="163"/>
      <c r="I124" s="163"/>
      <c r="J124" s="163"/>
      <c r="K124" s="163"/>
      <c r="L124" s="163"/>
      <c r="M124" s="163"/>
      <c r="N124" s="163"/>
      <c r="O124" s="163"/>
      <c r="P124" s="163"/>
      <c r="Q124" s="163"/>
      <c r="R124" s="163"/>
      <c r="S124" s="163"/>
      <c r="T124" s="163"/>
      <c r="U124" s="163"/>
      <c r="V124" s="163"/>
      <c r="W124" s="163"/>
      <c r="X124" s="163"/>
      <c r="Y124" s="163"/>
      <c r="Z124" s="163"/>
    </row>
    <row r="125" spans="1:26" ht="31.5" x14ac:dyDescent="0.25">
      <c r="A125" s="228"/>
      <c r="B125" s="170" t="s">
        <v>118</v>
      </c>
      <c r="C125" s="170" t="s">
        <v>153</v>
      </c>
      <c r="D125" s="170" t="s">
        <v>154</v>
      </c>
      <c r="E125" s="170" t="s">
        <v>155</v>
      </c>
      <c r="F125" s="170" t="s">
        <v>156</v>
      </c>
      <c r="G125" s="170" t="s">
        <v>157</v>
      </c>
      <c r="H125" s="170" t="s">
        <v>158</v>
      </c>
      <c r="I125" s="170" t="s">
        <v>159</v>
      </c>
      <c r="J125" s="170" t="s">
        <v>160</v>
      </c>
      <c r="K125" s="170" t="s">
        <v>161</v>
      </c>
      <c r="L125" s="170" t="s">
        <v>162</v>
      </c>
      <c r="M125" s="170" t="s">
        <v>163</v>
      </c>
      <c r="N125" s="170" t="s">
        <v>166</v>
      </c>
      <c r="O125" s="170" t="s">
        <v>167</v>
      </c>
      <c r="P125" s="170" t="s">
        <v>168</v>
      </c>
      <c r="Q125" s="170" t="s">
        <v>169</v>
      </c>
      <c r="R125" s="228"/>
      <c r="S125" s="228"/>
      <c r="T125" s="228"/>
      <c r="U125" s="228"/>
      <c r="V125" s="228"/>
      <c r="W125" s="228"/>
      <c r="X125" s="228"/>
      <c r="Y125" s="228"/>
      <c r="Z125" s="228"/>
    </row>
    <row r="126" spans="1:26" ht="15.75" x14ac:dyDescent="0.25">
      <c r="A126" s="163"/>
      <c r="B126" s="175" t="s">
        <v>183</v>
      </c>
      <c r="C126" s="160">
        <v>3071</v>
      </c>
      <c r="D126" s="160">
        <v>3018</v>
      </c>
      <c r="E126" s="161">
        <v>0.98274177792250084</v>
      </c>
      <c r="F126" s="160">
        <v>2499</v>
      </c>
      <c r="G126" s="159">
        <v>0.82803180914512919</v>
      </c>
      <c r="H126" s="160">
        <v>1625</v>
      </c>
      <c r="I126" s="159">
        <v>0.53843605036447983</v>
      </c>
      <c r="J126" s="160">
        <v>519</v>
      </c>
      <c r="K126" s="159">
        <v>0.17196819085487078</v>
      </c>
      <c r="L126" s="160">
        <v>381</v>
      </c>
      <c r="M126" s="159">
        <v>0.12624254473161034</v>
      </c>
      <c r="N126" s="160">
        <v>53</v>
      </c>
      <c r="O126" s="159">
        <v>1.7258222077499184E-2</v>
      </c>
      <c r="P126" s="160">
        <v>5</v>
      </c>
      <c r="Q126" s="159">
        <v>1.6567263088137839E-3</v>
      </c>
      <c r="R126" s="163"/>
      <c r="S126" s="163"/>
      <c r="T126" s="163"/>
      <c r="U126" s="163"/>
      <c r="V126" s="163"/>
      <c r="W126" s="163"/>
      <c r="X126" s="163"/>
      <c r="Y126" s="163"/>
      <c r="Z126" s="163"/>
    </row>
    <row r="127" spans="1:26" x14ac:dyDescent="0.2">
      <c r="A127" s="163"/>
      <c r="B127" s="228"/>
      <c r="C127" s="163"/>
      <c r="D127" s="163"/>
      <c r="E127" s="163"/>
      <c r="F127" s="163"/>
      <c r="G127" s="163"/>
      <c r="H127" s="163"/>
      <c r="I127" s="163"/>
      <c r="J127" s="163"/>
      <c r="K127" s="163"/>
      <c r="L127" s="163"/>
      <c r="M127" s="163"/>
      <c r="N127" s="163"/>
      <c r="O127" s="163"/>
      <c r="P127" s="163"/>
      <c r="Q127" s="163"/>
      <c r="R127" s="163"/>
      <c r="S127" s="163"/>
      <c r="T127" s="163"/>
      <c r="U127" s="163"/>
      <c r="V127" s="163"/>
      <c r="W127" s="163"/>
      <c r="X127" s="163"/>
      <c r="Y127" s="163"/>
      <c r="Z127" s="163"/>
    </row>
    <row r="128" spans="1:26" ht="31.5" x14ac:dyDescent="0.25">
      <c r="A128" s="163"/>
      <c r="B128" s="138" t="s">
        <v>182</v>
      </c>
      <c r="C128" s="164" t="s">
        <v>179</v>
      </c>
      <c r="D128" s="163"/>
      <c r="E128" s="163"/>
      <c r="F128" s="163"/>
      <c r="G128" s="163"/>
      <c r="H128" s="163"/>
      <c r="I128" s="163"/>
      <c r="J128" s="163"/>
      <c r="K128" s="163"/>
      <c r="L128" s="163"/>
      <c r="M128" s="163"/>
      <c r="N128" s="163"/>
      <c r="O128" s="163"/>
      <c r="P128" s="163"/>
      <c r="Q128" s="163"/>
      <c r="R128" s="163"/>
      <c r="S128" s="163"/>
      <c r="T128" s="163"/>
      <c r="U128" s="163"/>
      <c r="V128" s="163"/>
      <c r="W128" s="163"/>
      <c r="X128" s="163"/>
      <c r="Y128" s="163"/>
      <c r="Z128" s="163"/>
    </row>
    <row r="129" spans="1:26" ht="31.5" x14ac:dyDescent="0.25">
      <c r="A129" s="228"/>
      <c r="B129" s="170" t="s">
        <v>118</v>
      </c>
      <c r="C129" s="170" t="s">
        <v>153</v>
      </c>
      <c r="D129" s="170" t="s">
        <v>154</v>
      </c>
      <c r="E129" s="170" t="s">
        <v>155</v>
      </c>
      <c r="F129" s="170" t="s">
        <v>156</v>
      </c>
      <c r="G129" s="170" t="s">
        <v>157</v>
      </c>
      <c r="H129" s="170" t="s">
        <v>158</v>
      </c>
      <c r="I129" s="170" t="s">
        <v>159</v>
      </c>
      <c r="J129" s="170" t="s">
        <v>160</v>
      </c>
      <c r="K129" s="170" t="s">
        <v>161</v>
      </c>
      <c r="L129" s="170" t="s">
        <v>162</v>
      </c>
      <c r="M129" s="170" t="s">
        <v>163</v>
      </c>
      <c r="N129" s="170" t="s">
        <v>166</v>
      </c>
      <c r="O129" s="170" t="s">
        <v>167</v>
      </c>
      <c r="P129" s="170" t="s">
        <v>168</v>
      </c>
      <c r="Q129" s="170" t="s">
        <v>169</v>
      </c>
      <c r="R129" s="228"/>
      <c r="S129" s="228"/>
      <c r="T129" s="228"/>
      <c r="U129" s="228"/>
      <c r="V129" s="228"/>
      <c r="W129" s="228"/>
      <c r="X129" s="228"/>
      <c r="Y129" s="228"/>
      <c r="Z129" s="228"/>
    </row>
    <row r="130" spans="1:26" ht="15.75" x14ac:dyDescent="0.25">
      <c r="A130" s="163"/>
      <c r="B130" s="175" t="s">
        <v>184</v>
      </c>
      <c r="C130" s="160">
        <v>19080</v>
      </c>
      <c r="D130" s="160">
        <v>18896</v>
      </c>
      <c r="E130" s="161">
        <v>0.990356394129979</v>
      </c>
      <c r="F130" s="160">
        <v>9466</v>
      </c>
      <c r="G130" s="159">
        <v>0.50095258255715491</v>
      </c>
      <c r="H130" s="160">
        <v>7002</v>
      </c>
      <c r="I130" s="159">
        <v>0.37055461473327689</v>
      </c>
      <c r="J130" s="160">
        <v>950</v>
      </c>
      <c r="K130" s="159">
        <v>5.0275190516511428E-2</v>
      </c>
      <c r="L130" s="160">
        <v>762</v>
      </c>
      <c r="M130" s="159">
        <v>4.0325994919559696E-2</v>
      </c>
      <c r="N130" s="160">
        <v>184</v>
      </c>
      <c r="O130" s="159">
        <v>9.6436058700209645E-3</v>
      </c>
      <c r="P130" s="160">
        <v>28</v>
      </c>
      <c r="Q130" s="159">
        <v>1.4817950889077054E-3</v>
      </c>
      <c r="R130" s="163"/>
      <c r="S130" s="163"/>
      <c r="T130" s="163"/>
      <c r="U130" s="163"/>
      <c r="V130" s="163"/>
      <c r="W130" s="163"/>
      <c r="X130" s="163"/>
      <c r="Y130" s="163"/>
      <c r="Z130" s="163"/>
    </row>
    <row r="131" spans="1:26" ht="15.75" x14ac:dyDescent="0.25">
      <c r="A131" s="163"/>
      <c r="B131" s="134"/>
      <c r="C131" s="183"/>
      <c r="D131" s="183"/>
      <c r="E131" s="184"/>
      <c r="F131" s="183"/>
      <c r="G131" s="182"/>
      <c r="H131" s="183"/>
      <c r="I131" s="182"/>
      <c r="J131" s="183"/>
      <c r="K131" s="182"/>
      <c r="L131" s="183"/>
      <c r="M131" s="182"/>
      <c r="N131" s="183"/>
      <c r="O131" s="182"/>
      <c r="P131" s="183"/>
      <c r="Q131" s="182"/>
      <c r="R131" s="163"/>
      <c r="S131" s="163"/>
      <c r="T131" s="163"/>
      <c r="U131" s="163"/>
      <c r="V131" s="163"/>
      <c r="W131" s="163"/>
      <c r="X131" s="163"/>
      <c r="Y131" s="163"/>
      <c r="Z131" s="163"/>
    </row>
    <row r="132" spans="1:26" ht="31.5" x14ac:dyDescent="0.25">
      <c r="A132" s="228"/>
      <c r="B132" s="185" t="s">
        <v>185</v>
      </c>
      <c r="C132" s="158" t="s">
        <v>153</v>
      </c>
      <c r="D132" s="158" t="s">
        <v>154</v>
      </c>
      <c r="E132" s="158" t="s">
        <v>155</v>
      </c>
      <c r="F132" s="158" t="s">
        <v>156</v>
      </c>
      <c r="G132" s="158" t="s">
        <v>157</v>
      </c>
      <c r="H132" s="158" t="s">
        <v>158</v>
      </c>
      <c r="I132" s="158" t="s">
        <v>159</v>
      </c>
      <c r="J132" s="158" t="s">
        <v>160</v>
      </c>
      <c r="K132" s="158" t="s">
        <v>161</v>
      </c>
      <c r="L132" s="158" t="s">
        <v>162</v>
      </c>
      <c r="M132" s="158" t="s">
        <v>163</v>
      </c>
      <c r="N132" s="158" t="s">
        <v>166</v>
      </c>
      <c r="O132" s="158" t="s">
        <v>167</v>
      </c>
      <c r="P132" s="158" t="s">
        <v>168</v>
      </c>
      <c r="Q132" s="158" t="s">
        <v>169</v>
      </c>
      <c r="R132" s="228"/>
      <c r="S132" s="228"/>
      <c r="T132" s="228"/>
      <c r="U132" s="228"/>
      <c r="V132" s="228"/>
      <c r="W132" s="228"/>
      <c r="X132" s="228"/>
      <c r="Y132" s="228"/>
      <c r="Z132" s="228"/>
    </row>
    <row r="133" spans="1:26" x14ac:dyDescent="0.2">
      <c r="A133" s="163"/>
      <c r="B133" s="133"/>
      <c r="C133" s="157">
        <v>1725575</v>
      </c>
      <c r="D133" s="157">
        <v>1694298</v>
      </c>
      <c r="E133" s="156">
        <v>0.98187444764788545</v>
      </c>
      <c r="F133" s="157">
        <v>730193</v>
      </c>
      <c r="G133" s="156">
        <v>0.43097082095357486</v>
      </c>
      <c r="H133" s="157">
        <v>534558</v>
      </c>
      <c r="I133" s="156">
        <v>0.31550412029052738</v>
      </c>
      <c r="J133" s="157">
        <v>49402</v>
      </c>
      <c r="K133" s="156">
        <v>2.9157798687125879E-2</v>
      </c>
      <c r="L133" s="157">
        <v>42715</v>
      </c>
      <c r="M133" s="156">
        <v>2.5211031353398281E-2</v>
      </c>
      <c r="N133" s="157">
        <v>31277</v>
      </c>
      <c r="O133" s="156">
        <v>1.8125552352114514E-2</v>
      </c>
      <c r="P133" s="157">
        <v>2716</v>
      </c>
      <c r="Q133" s="156">
        <v>1.6030237892035522E-3</v>
      </c>
      <c r="R133" s="163"/>
      <c r="S133" s="163"/>
      <c r="T133" s="163"/>
      <c r="U133" s="163"/>
      <c r="V133" s="163"/>
      <c r="W133" s="163"/>
      <c r="X133" s="163"/>
      <c r="Y133" s="163"/>
      <c r="Z133" s="163"/>
    </row>
    <row r="134" spans="1:26" x14ac:dyDescent="0.2">
      <c r="A134" s="228"/>
      <c r="B134" s="228"/>
      <c r="C134" s="228"/>
      <c r="D134" s="228"/>
      <c r="E134" s="228"/>
      <c r="F134" s="228"/>
      <c r="G134" s="228"/>
      <c r="H134" s="228"/>
      <c r="I134" s="228"/>
      <c r="J134" s="228"/>
      <c r="K134" s="228"/>
      <c r="L134" s="228"/>
      <c r="M134" s="228"/>
      <c r="N134" s="228"/>
      <c r="O134" s="228"/>
      <c r="P134" s="228"/>
      <c r="Q134" s="228"/>
      <c r="R134" s="228"/>
      <c r="S134" s="228"/>
      <c r="T134" s="228"/>
      <c r="U134" s="228"/>
      <c r="V134" s="228"/>
      <c r="W134" s="228"/>
      <c r="X134" s="228"/>
      <c r="Y134" s="228"/>
      <c r="Z134" s="228"/>
    </row>
    <row r="135" spans="1:26" x14ac:dyDescent="0.2">
      <c r="A135" s="228"/>
      <c r="B135" s="228"/>
      <c r="C135" s="228"/>
      <c r="D135" s="228"/>
      <c r="E135" s="228"/>
      <c r="F135" s="228"/>
      <c r="G135" s="228"/>
      <c r="H135" s="228"/>
      <c r="I135" s="228"/>
      <c r="J135" s="228"/>
      <c r="K135" s="228"/>
      <c r="L135" s="228"/>
      <c r="M135" s="228"/>
      <c r="N135" s="228"/>
      <c r="O135" s="228"/>
      <c r="P135" s="228"/>
      <c r="Q135" s="228"/>
      <c r="R135" s="228"/>
      <c r="S135" s="228"/>
      <c r="T135" s="228"/>
      <c r="U135" s="228"/>
      <c r="V135" s="228"/>
      <c r="W135" s="228"/>
      <c r="X135" s="228"/>
      <c r="Y135" s="228"/>
      <c r="Z135" s="228"/>
    </row>
    <row r="136" spans="1:26" ht="15.75" x14ac:dyDescent="0.25">
      <c r="A136" s="228"/>
      <c r="B136" s="138" t="s">
        <v>186</v>
      </c>
      <c r="C136" s="164" t="s">
        <v>187</v>
      </c>
      <c r="D136" s="163"/>
      <c r="E136" s="163"/>
      <c r="F136" s="163"/>
      <c r="G136" s="163"/>
      <c r="H136" s="163"/>
      <c r="I136" s="163"/>
      <c r="J136" s="163"/>
      <c r="K136" s="163"/>
      <c r="L136" s="163"/>
      <c r="M136" s="163"/>
      <c r="N136" s="163"/>
      <c r="O136" s="163"/>
      <c r="P136" s="163"/>
      <c r="Q136" s="163"/>
      <c r="R136" s="228"/>
      <c r="S136" s="228"/>
      <c r="T136" s="228"/>
      <c r="U136" s="228"/>
      <c r="V136" s="228"/>
      <c r="W136" s="228"/>
      <c r="X136" s="228"/>
      <c r="Y136" s="228"/>
      <c r="Z136" s="228"/>
    </row>
    <row r="137" spans="1:26" ht="15.75" x14ac:dyDescent="0.25">
      <c r="A137" s="228"/>
      <c r="B137" s="170" t="s">
        <v>118</v>
      </c>
      <c r="C137" s="162" t="s">
        <v>153</v>
      </c>
      <c r="D137" s="162" t="s">
        <v>154</v>
      </c>
      <c r="E137" s="162" t="s">
        <v>155</v>
      </c>
      <c r="F137" s="162" t="s">
        <v>156</v>
      </c>
      <c r="G137" s="162" t="s">
        <v>157</v>
      </c>
      <c r="H137" s="162" t="s">
        <v>158</v>
      </c>
      <c r="I137" s="162" t="s">
        <v>159</v>
      </c>
      <c r="J137" s="162" t="s">
        <v>160</v>
      </c>
      <c r="K137" s="162" t="s">
        <v>161</v>
      </c>
      <c r="L137" s="162" t="s">
        <v>162</v>
      </c>
      <c r="M137" s="162" t="s">
        <v>163</v>
      </c>
      <c r="N137" s="162" t="s">
        <v>166</v>
      </c>
      <c r="O137" s="162" t="s">
        <v>167</v>
      </c>
      <c r="P137" s="162" t="s">
        <v>168</v>
      </c>
      <c r="Q137" s="162" t="s">
        <v>169</v>
      </c>
      <c r="R137" s="228"/>
      <c r="S137" s="228"/>
      <c r="T137" s="228"/>
      <c r="U137" s="228"/>
      <c r="V137" s="228"/>
      <c r="W137" s="228"/>
      <c r="X137" s="228"/>
      <c r="Y137" s="228"/>
      <c r="Z137" s="228"/>
    </row>
    <row r="138" spans="1:26" ht="15.75" x14ac:dyDescent="0.25">
      <c r="A138" s="228"/>
      <c r="B138" s="175" t="s">
        <v>180</v>
      </c>
      <c r="C138" s="160">
        <v>895977</v>
      </c>
      <c r="D138" s="160">
        <v>878990</v>
      </c>
      <c r="E138" s="161">
        <v>0.98104080796716875</v>
      </c>
      <c r="F138" s="160">
        <v>295457</v>
      </c>
      <c r="G138" s="159">
        <v>0.33613237920795458</v>
      </c>
      <c r="H138" s="160">
        <v>212165</v>
      </c>
      <c r="I138" s="159">
        <v>0.24137362199797494</v>
      </c>
      <c r="J138" s="160">
        <v>28334</v>
      </c>
      <c r="K138" s="159">
        <v>3.2234723944527241E-2</v>
      </c>
      <c r="L138" s="160">
        <v>24338</v>
      </c>
      <c r="M138" s="159">
        <v>2.7688597139899202E-2</v>
      </c>
      <c r="N138" s="160">
        <v>16887</v>
      </c>
      <c r="O138" s="159">
        <v>1.8847582024985016E-2</v>
      </c>
      <c r="P138" s="160">
        <v>984</v>
      </c>
      <c r="Q138" s="159">
        <v>1.1194666605990966E-3</v>
      </c>
      <c r="R138" s="228"/>
      <c r="S138" s="228"/>
      <c r="T138" s="228"/>
      <c r="U138" s="228"/>
      <c r="V138" s="228"/>
      <c r="W138" s="228"/>
      <c r="X138" s="228"/>
      <c r="Y138" s="228"/>
      <c r="Z138" s="228"/>
    </row>
    <row r="139" spans="1:26" x14ac:dyDescent="0.2">
      <c r="A139" s="228"/>
      <c r="B139" s="228"/>
      <c r="C139" s="163"/>
      <c r="D139" s="163"/>
      <c r="E139" s="163"/>
      <c r="F139" s="163"/>
      <c r="G139" s="163"/>
      <c r="H139" s="163"/>
      <c r="I139" s="163"/>
      <c r="J139" s="163"/>
      <c r="K139" s="163"/>
      <c r="L139" s="163"/>
      <c r="M139" s="163"/>
      <c r="N139" s="163"/>
      <c r="O139" s="163"/>
      <c r="P139" s="163"/>
      <c r="Q139" s="163"/>
      <c r="R139" s="228"/>
      <c r="S139" s="228"/>
      <c r="T139" s="228"/>
      <c r="U139" s="228"/>
      <c r="V139" s="228"/>
      <c r="W139" s="228"/>
      <c r="X139" s="228"/>
      <c r="Y139" s="228"/>
      <c r="Z139" s="228"/>
    </row>
    <row r="140" spans="1:26" ht="31.5" x14ac:dyDescent="0.25">
      <c r="A140" s="228"/>
      <c r="B140" s="138" t="s">
        <v>188</v>
      </c>
      <c r="C140" s="164" t="s">
        <v>187</v>
      </c>
      <c r="D140" s="163"/>
      <c r="E140" s="163"/>
      <c r="F140" s="163"/>
      <c r="G140" s="163"/>
      <c r="H140" s="163"/>
      <c r="I140" s="163"/>
      <c r="J140" s="163"/>
      <c r="K140" s="163"/>
      <c r="L140" s="163"/>
      <c r="M140" s="163"/>
      <c r="N140" s="163"/>
      <c r="O140" s="163"/>
      <c r="P140" s="163"/>
      <c r="Q140" s="163"/>
      <c r="R140" s="228"/>
      <c r="S140" s="228"/>
      <c r="T140" s="228"/>
      <c r="U140" s="228"/>
      <c r="V140" s="228"/>
      <c r="W140" s="228"/>
      <c r="X140" s="228"/>
      <c r="Y140" s="228"/>
      <c r="Z140" s="228"/>
    </row>
    <row r="141" spans="1:26" ht="15.75" x14ac:dyDescent="0.25">
      <c r="A141" s="228"/>
      <c r="B141" s="170" t="s">
        <v>118</v>
      </c>
      <c r="C141" s="162" t="s">
        <v>153</v>
      </c>
      <c r="D141" s="162" t="s">
        <v>154</v>
      </c>
      <c r="E141" s="162" t="s">
        <v>155</v>
      </c>
      <c r="F141" s="162" t="s">
        <v>156</v>
      </c>
      <c r="G141" s="162" t="s">
        <v>157</v>
      </c>
      <c r="H141" s="162" t="s">
        <v>158</v>
      </c>
      <c r="I141" s="162" t="s">
        <v>159</v>
      </c>
      <c r="J141" s="162" t="s">
        <v>160</v>
      </c>
      <c r="K141" s="162" t="s">
        <v>161</v>
      </c>
      <c r="L141" s="162" t="s">
        <v>162</v>
      </c>
      <c r="M141" s="162" t="s">
        <v>163</v>
      </c>
      <c r="N141" s="162" t="s">
        <v>166</v>
      </c>
      <c r="O141" s="162" t="s">
        <v>167</v>
      </c>
      <c r="P141" s="162" t="s">
        <v>168</v>
      </c>
      <c r="Q141" s="162" t="s">
        <v>169</v>
      </c>
      <c r="R141" s="228"/>
      <c r="S141" s="228"/>
      <c r="T141" s="228"/>
      <c r="U141" s="228"/>
      <c r="V141" s="228"/>
      <c r="W141" s="228"/>
      <c r="X141" s="228"/>
      <c r="Y141" s="228"/>
      <c r="Z141" s="228"/>
    </row>
    <row r="142" spans="1:26" ht="15.75" x14ac:dyDescent="0.25">
      <c r="A142" s="228"/>
      <c r="B142" s="175" t="s">
        <v>180</v>
      </c>
      <c r="C142" s="160">
        <v>901072</v>
      </c>
      <c r="D142" s="160">
        <v>885306</v>
      </c>
      <c r="E142" s="161">
        <v>0.98250306301827162</v>
      </c>
      <c r="F142" s="160">
        <v>350946</v>
      </c>
      <c r="G142" s="159">
        <v>0.39641208802380196</v>
      </c>
      <c r="H142" s="160">
        <v>249553</v>
      </c>
      <c r="I142" s="159">
        <v>0.28188332621714979</v>
      </c>
      <c r="J142" s="160">
        <v>30717</v>
      </c>
      <c r="K142" s="159">
        <v>3.469647782800523E-2</v>
      </c>
      <c r="L142" s="160">
        <v>24660</v>
      </c>
      <c r="M142" s="159">
        <v>2.7854775636898428E-2</v>
      </c>
      <c r="N142" s="160">
        <v>15766</v>
      </c>
      <c r="O142" s="159">
        <v>1.7496936981728429E-2</v>
      </c>
      <c r="P142" s="160">
        <v>1205</v>
      </c>
      <c r="Q142" s="159">
        <v>1.3611112993699354E-3</v>
      </c>
      <c r="R142" s="228"/>
      <c r="S142" s="228"/>
      <c r="T142" s="228"/>
      <c r="U142" s="228"/>
      <c r="V142" s="228"/>
      <c r="W142" s="228"/>
      <c r="X142" s="228"/>
      <c r="Y142" s="228"/>
      <c r="Z142" s="228"/>
    </row>
    <row r="143" spans="1:26" ht="15.75" x14ac:dyDescent="0.25">
      <c r="A143" s="228"/>
      <c r="B143" s="134"/>
      <c r="C143" s="183"/>
      <c r="D143" s="183"/>
      <c r="E143" s="184"/>
      <c r="F143" s="183"/>
      <c r="G143" s="182"/>
      <c r="H143" s="183"/>
      <c r="I143" s="182"/>
      <c r="J143" s="183"/>
      <c r="K143" s="182"/>
      <c r="L143" s="183"/>
      <c r="M143" s="182"/>
      <c r="N143" s="183"/>
      <c r="O143" s="182"/>
      <c r="P143" s="183"/>
      <c r="Q143" s="182"/>
      <c r="R143" s="228"/>
      <c r="S143" s="228"/>
      <c r="T143" s="228"/>
      <c r="U143" s="228"/>
      <c r="V143" s="228"/>
      <c r="W143" s="228"/>
      <c r="X143" s="228"/>
      <c r="Y143" s="228"/>
      <c r="Z143" s="228"/>
    </row>
    <row r="144" spans="1:26" ht="15.75" x14ac:dyDescent="0.25">
      <c r="A144" s="228"/>
      <c r="B144" s="185" t="s">
        <v>189</v>
      </c>
      <c r="C144" s="181" t="s">
        <v>153</v>
      </c>
      <c r="D144" s="181" t="s">
        <v>154</v>
      </c>
      <c r="E144" s="181" t="s">
        <v>155</v>
      </c>
      <c r="F144" s="181" t="s">
        <v>156</v>
      </c>
      <c r="G144" s="181" t="s">
        <v>157</v>
      </c>
      <c r="H144" s="181" t="s">
        <v>158</v>
      </c>
      <c r="I144" s="181" t="s">
        <v>159</v>
      </c>
      <c r="J144" s="181" t="s">
        <v>160</v>
      </c>
      <c r="K144" s="181" t="s">
        <v>161</v>
      </c>
      <c r="L144" s="181" t="s">
        <v>162</v>
      </c>
      <c r="M144" s="181" t="s">
        <v>163</v>
      </c>
      <c r="N144" s="181" t="s">
        <v>166</v>
      </c>
      <c r="O144" s="181" t="s">
        <v>167</v>
      </c>
      <c r="P144" s="181" t="s">
        <v>168</v>
      </c>
      <c r="Q144" s="181" t="s">
        <v>169</v>
      </c>
      <c r="R144" s="228"/>
      <c r="S144" s="228"/>
      <c r="T144" s="228"/>
      <c r="U144" s="228"/>
      <c r="V144" s="228"/>
      <c r="W144" s="228"/>
      <c r="X144" s="228"/>
      <c r="Y144" s="228"/>
      <c r="Z144" s="228"/>
    </row>
    <row r="145" spans="1:26" x14ac:dyDescent="0.2">
      <c r="A145" s="228"/>
      <c r="B145" s="133"/>
      <c r="C145" s="157">
        <v>1797049</v>
      </c>
      <c r="D145" s="157">
        <v>1764296</v>
      </c>
      <c r="E145" s="156">
        <v>0.9817740083881964</v>
      </c>
      <c r="F145" s="157">
        <v>646403</v>
      </c>
      <c r="G145" s="156">
        <v>0.3663801312251459</v>
      </c>
      <c r="H145" s="157">
        <v>461718</v>
      </c>
      <c r="I145" s="156">
        <v>0.26170098441531353</v>
      </c>
      <c r="J145" s="157">
        <v>59051</v>
      </c>
      <c r="K145" s="156">
        <v>3.3470007300362301E-2</v>
      </c>
      <c r="L145" s="157">
        <v>48998</v>
      </c>
      <c r="M145" s="156">
        <v>2.7771983839446443E-2</v>
      </c>
      <c r="N145" s="157">
        <v>32653</v>
      </c>
      <c r="O145" s="156">
        <v>1.8507665380412357E-2</v>
      </c>
      <c r="P145" s="157">
        <v>2189</v>
      </c>
      <c r="Q145" s="156">
        <v>1.2407215115830903E-3</v>
      </c>
      <c r="R145" s="228"/>
      <c r="S145" s="228"/>
      <c r="T145" s="228"/>
      <c r="U145" s="228"/>
      <c r="V145" s="228"/>
      <c r="W145" s="228"/>
      <c r="X145" s="228"/>
      <c r="Y145" s="228"/>
      <c r="Z145" s="228"/>
    </row>
    <row r="146" spans="1:26" x14ac:dyDescent="0.2">
      <c r="A146" s="228"/>
      <c r="B146" s="228"/>
      <c r="C146" s="228"/>
      <c r="D146" s="228"/>
      <c r="E146" s="228"/>
      <c r="F146" s="228"/>
      <c r="G146" s="228"/>
      <c r="H146" s="228"/>
      <c r="I146" s="228"/>
      <c r="J146" s="228"/>
      <c r="K146" s="228"/>
      <c r="L146" s="228"/>
      <c r="M146" s="228"/>
      <c r="N146" s="228"/>
      <c r="O146" s="228"/>
      <c r="P146" s="228"/>
      <c r="Q146" s="228"/>
      <c r="R146" s="228"/>
      <c r="S146" s="228"/>
      <c r="T146" s="228"/>
      <c r="U146" s="228"/>
      <c r="V146" s="228"/>
      <c r="W146" s="228"/>
      <c r="X146" s="228"/>
      <c r="Y146" s="228"/>
      <c r="Z146" s="228"/>
    </row>
    <row r="147" spans="1:26" ht="15.75" x14ac:dyDescent="0.25">
      <c r="A147" s="163"/>
      <c r="B147" s="138" t="s">
        <v>211</v>
      </c>
      <c r="C147" s="164" t="s">
        <v>212</v>
      </c>
      <c r="D147" s="163"/>
      <c r="E147" s="163"/>
      <c r="F147" s="163"/>
      <c r="G147" s="163"/>
      <c r="H147" s="163"/>
      <c r="I147" s="163"/>
      <c r="J147" s="163"/>
      <c r="K147" s="163"/>
      <c r="L147" s="163"/>
      <c r="M147" s="163"/>
      <c r="N147" s="163"/>
      <c r="O147" s="163"/>
      <c r="P147" s="163"/>
      <c r="Q147" s="163"/>
      <c r="R147" s="163"/>
      <c r="S147" s="163"/>
      <c r="T147" s="163"/>
      <c r="U147" s="163"/>
      <c r="V147" s="163"/>
      <c r="W147" s="163"/>
      <c r="X147" s="163"/>
      <c r="Y147" s="163"/>
      <c r="Z147" s="163"/>
    </row>
    <row r="148" spans="1:26" ht="15.75" x14ac:dyDescent="0.25">
      <c r="A148" s="163"/>
      <c r="B148" s="170" t="s">
        <v>118</v>
      </c>
      <c r="C148" s="162" t="s">
        <v>153</v>
      </c>
      <c r="D148" s="162" t="s">
        <v>154</v>
      </c>
      <c r="E148" s="162" t="s">
        <v>155</v>
      </c>
      <c r="F148" s="162" t="s">
        <v>156</v>
      </c>
      <c r="G148" s="162" t="s">
        <v>157</v>
      </c>
      <c r="H148" s="162" t="s">
        <v>158</v>
      </c>
      <c r="I148" s="162" t="s">
        <v>159</v>
      </c>
      <c r="J148" s="162" t="s">
        <v>160</v>
      </c>
      <c r="K148" s="162" t="s">
        <v>161</v>
      </c>
      <c r="L148" s="162" t="s">
        <v>162</v>
      </c>
      <c r="M148" s="162" t="s">
        <v>163</v>
      </c>
      <c r="N148" s="162" t="s">
        <v>166</v>
      </c>
      <c r="O148" s="162" t="s">
        <v>167</v>
      </c>
      <c r="P148" s="162" t="s">
        <v>168</v>
      </c>
      <c r="Q148" s="162" t="s">
        <v>169</v>
      </c>
      <c r="R148" s="163"/>
      <c r="S148" s="163"/>
      <c r="T148" s="163"/>
      <c r="U148" s="163"/>
      <c r="V148" s="163"/>
      <c r="W148" s="163"/>
      <c r="X148" s="163"/>
      <c r="Y148" s="163"/>
      <c r="Z148" s="163"/>
    </row>
    <row r="149" spans="1:26" ht="15.75" x14ac:dyDescent="0.25">
      <c r="A149" s="163"/>
      <c r="B149" s="175" t="s">
        <v>180</v>
      </c>
      <c r="C149" s="160">
        <v>918701</v>
      </c>
      <c r="D149" s="160">
        <v>897877</v>
      </c>
      <c r="E149" s="161">
        <v>0.97733321287339403</v>
      </c>
      <c r="F149" s="160">
        <v>421900</v>
      </c>
      <c r="G149" s="159">
        <v>0.46988618708353147</v>
      </c>
      <c r="H149" s="160">
        <v>267247</v>
      </c>
      <c r="I149" s="159">
        <v>0.29764321839182872</v>
      </c>
      <c r="J149" s="160">
        <v>43383</v>
      </c>
      <c r="K149" s="159">
        <v>4.8317308495484351E-2</v>
      </c>
      <c r="L149" s="160">
        <v>36984</v>
      </c>
      <c r="M149" s="159">
        <v>4.1190497139363187E-2</v>
      </c>
      <c r="N149" s="160">
        <v>20824</v>
      </c>
      <c r="O149" s="159">
        <v>2.2666787126605935E-2</v>
      </c>
      <c r="P149" s="160">
        <v>934</v>
      </c>
      <c r="Q149" s="159">
        <v>1.040231568466505E-3</v>
      </c>
      <c r="R149" s="163"/>
      <c r="S149" s="163"/>
      <c r="T149" s="163"/>
      <c r="U149" s="163"/>
      <c r="V149" s="163"/>
      <c r="W149" s="163"/>
      <c r="X149" s="163"/>
      <c r="Y149" s="163"/>
      <c r="Z149" s="163"/>
    </row>
    <row r="150" spans="1:26" x14ac:dyDescent="0.2">
      <c r="A150" s="228"/>
      <c r="B150" s="228"/>
      <c r="C150" s="228"/>
      <c r="D150" s="228"/>
      <c r="E150" s="228"/>
      <c r="F150" s="228"/>
      <c r="G150" s="228"/>
      <c r="H150" s="228"/>
      <c r="I150" s="228"/>
      <c r="J150" s="228"/>
      <c r="K150" s="228"/>
      <c r="L150" s="228"/>
      <c r="M150" s="228"/>
      <c r="N150" s="228"/>
      <c r="O150" s="228"/>
      <c r="P150" s="228"/>
      <c r="Q150" s="228"/>
      <c r="R150" s="228"/>
      <c r="S150" s="228"/>
      <c r="T150" s="228"/>
      <c r="U150" s="228"/>
      <c r="V150" s="228"/>
      <c r="W150" s="228"/>
      <c r="X150" s="228"/>
      <c r="Y150" s="228"/>
      <c r="Z150" s="228"/>
    </row>
    <row r="151" spans="1:26" s="155" customFormat="1" ht="15.75" x14ac:dyDescent="0.25">
      <c r="A151" s="154"/>
      <c r="B151" s="178" t="s">
        <v>205</v>
      </c>
      <c r="C151" s="528" t="s">
        <v>204</v>
      </c>
      <c r="D151" s="529"/>
      <c r="E151" s="529"/>
      <c r="F151" s="529"/>
      <c r="G151" s="529"/>
      <c r="H151" s="529"/>
      <c r="I151" s="529"/>
      <c r="J151" s="529"/>
      <c r="K151" s="529"/>
      <c r="L151" s="529"/>
      <c r="M151" s="529"/>
      <c r="N151" s="529"/>
      <c r="O151" s="529"/>
      <c r="P151" s="529"/>
      <c r="Q151" s="529"/>
      <c r="R151" s="530"/>
      <c r="S151" s="154"/>
      <c r="T151" s="154"/>
      <c r="U151" s="154"/>
      <c r="V151" s="154"/>
      <c r="W151" s="154"/>
      <c r="X151" s="154"/>
      <c r="Y151" s="154"/>
      <c r="Z151" s="154"/>
    </row>
    <row r="152" spans="1:26" ht="31.5" x14ac:dyDescent="0.25">
      <c r="A152" s="228"/>
      <c r="B152" s="177" t="s">
        <v>42</v>
      </c>
      <c r="C152" s="177" t="s">
        <v>153</v>
      </c>
      <c r="D152" s="177" t="s">
        <v>154</v>
      </c>
      <c r="E152" s="177" t="s">
        <v>155</v>
      </c>
      <c r="F152" s="177" t="s">
        <v>156</v>
      </c>
      <c r="G152" s="177" t="s">
        <v>157</v>
      </c>
      <c r="H152" s="177" t="s">
        <v>158</v>
      </c>
      <c r="I152" s="177" t="s">
        <v>159</v>
      </c>
      <c r="J152" s="177" t="s">
        <v>160</v>
      </c>
      <c r="K152" s="177" t="s">
        <v>161</v>
      </c>
      <c r="L152" s="177" t="s">
        <v>162</v>
      </c>
      <c r="M152" s="177" t="s">
        <v>163</v>
      </c>
      <c r="N152" s="177" t="s">
        <v>166</v>
      </c>
      <c r="O152" s="177" t="s">
        <v>167</v>
      </c>
      <c r="P152" s="177" t="s">
        <v>168</v>
      </c>
      <c r="Q152" s="177" t="s">
        <v>169</v>
      </c>
      <c r="R152" s="176" t="s">
        <v>192</v>
      </c>
      <c r="S152" s="228"/>
      <c r="T152" s="228"/>
      <c r="U152" s="228"/>
      <c r="V152" s="228"/>
      <c r="W152" s="228"/>
      <c r="X152" s="228"/>
      <c r="Y152" s="228"/>
      <c r="Z152" s="228"/>
    </row>
    <row r="153" spans="1:26" s="155" customFormat="1" ht="31.5" x14ac:dyDescent="0.25">
      <c r="A153" s="154"/>
      <c r="B153" s="175" t="s">
        <v>195</v>
      </c>
      <c r="C153" s="147">
        <v>274459</v>
      </c>
      <c r="D153" s="147">
        <v>266351</v>
      </c>
      <c r="E153" s="146">
        <v>0.97045824695127503</v>
      </c>
      <c r="F153" s="147">
        <v>186549</v>
      </c>
      <c r="G153" s="145">
        <v>0.70038783409861427</v>
      </c>
      <c r="H153" s="147">
        <v>116165</v>
      </c>
      <c r="I153" s="145">
        <v>0.4361350248356492</v>
      </c>
      <c r="J153" s="147">
        <v>16966</v>
      </c>
      <c r="K153" s="145">
        <v>6.3697902391956482E-2</v>
      </c>
      <c r="L153" s="147">
        <v>13195</v>
      </c>
      <c r="M153" s="145">
        <v>4.953989284815901E-2</v>
      </c>
      <c r="N153" s="147">
        <v>8108</v>
      </c>
      <c r="O153" s="145">
        <v>2.9541753048724945E-2</v>
      </c>
      <c r="P153" s="147">
        <v>0</v>
      </c>
      <c r="Q153" s="145">
        <v>0</v>
      </c>
      <c r="R153" s="144">
        <v>12198</v>
      </c>
      <c r="S153" s="154"/>
      <c r="T153" s="154"/>
      <c r="U153" s="154"/>
      <c r="V153" s="154"/>
      <c r="W153" s="154"/>
      <c r="X153" s="154"/>
      <c r="Y153" s="154"/>
      <c r="Z153" s="154"/>
    </row>
    <row r="154" spans="1:26" x14ac:dyDescent="0.2">
      <c r="A154" s="228"/>
      <c r="B154" s="228"/>
      <c r="C154" s="163"/>
      <c r="D154" s="163"/>
      <c r="E154" s="163"/>
      <c r="F154" s="163"/>
      <c r="G154" s="163"/>
      <c r="H154" s="163"/>
      <c r="I154" s="163"/>
      <c r="J154" s="163"/>
      <c r="K154" s="163"/>
      <c r="L154" s="163"/>
      <c r="M154" s="163"/>
      <c r="N154" s="163"/>
      <c r="O154" s="163"/>
      <c r="P154" s="163"/>
      <c r="Q154" s="163"/>
      <c r="R154" s="163"/>
      <c r="S154" s="228"/>
      <c r="T154" s="228"/>
      <c r="U154" s="228"/>
      <c r="V154" s="228"/>
      <c r="W154" s="228"/>
      <c r="X154" s="228"/>
      <c r="Y154" s="228"/>
      <c r="Z154" s="228"/>
    </row>
    <row r="155" spans="1:26" s="155" customFormat="1" ht="15.75" x14ac:dyDescent="0.25">
      <c r="A155" s="154"/>
      <c r="B155" s="178" t="s">
        <v>207</v>
      </c>
      <c r="C155" s="528" t="s">
        <v>204</v>
      </c>
      <c r="D155" s="529"/>
      <c r="E155" s="529"/>
      <c r="F155" s="529"/>
      <c r="G155" s="529"/>
      <c r="H155" s="529"/>
      <c r="I155" s="529"/>
      <c r="J155" s="529"/>
      <c r="K155" s="529"/>
      <c r="L155" s="529"/>
      <c r="M155" s="529"/>
      <c r="N155" s="529"/>
      <c r="O155" s="529"/>
      <c r="P155" s="529"/>
      <c r="Q155" s="529"/>
      <c r="R155" s="530"/>
      <c r="S155" s="154"/>
      <c r="T155" s="154"/>
      <c r="U155" s="154"/>
      <c r="V155" s="154"/>
      <c r="W155" s="154"/>
      <c r="X155" s="154"/>
      <c r="Y155" s="154"/>
      <c r="Z155" s="154"/>
    </row>
    <row r="156" spans="1:26" ht="31.5" x14ac:dyDescent="0.25">
      <c r="A156" s="228"/>
      <c r="B156" s="177" t="s">
        <v>42</v>
      </c>
      <c r="C156" s="177" t="s">
        <v>153</v>
      </c>
      <c r="D156" s="177" t="s">
        <v>154</v>
      </c>
      <c r="E156" s="177" t="s">
        <v>155</v>
      </c>
      <c r="F156" s="177" t="s">
        <v>156</v>
      </c>
      <c r="G156" s="177" t="s">
        <v>157</v>
      </c>
      <c r="H156" s="177" t="s">
        <v>158</v>
      </c>
      <c r="I156" s="177" t="s">
        <v>159</v>
      </c>
      <c r="J156" s="177" t="s">
        <v>160</v>
      </c>
      <c r="K156" s="177" t="s">
        <v>161</v>
      </c>
      <c r="L156" s="177" t="s">
        <v>162</v>
      </c>
      <c r="M156" s="177" t="s">
        <v>163</v>
      </c>
      <c r="N156" s="177" t="s">
        <v>166</v>
      </c>
      <c r="O156" s="177" t="s">
        <v>167</v>
      </c>
      <c r="P156" s="177" t="s">
        <v>168</v>
      </c>
      <c r="Q156" s="177" t="s">
        <v>169</v>
      </c>
      <c r="R156" s="176" t="s">
        <v>192</v>
      </c>
      <c r="S156" s="228"/>
      <c r="T156" s="228"/>
      <c r="U156" s="228"/>
      <c r="V156" s="228"/>
      <c r="W156" s="228"/>
      <c r="X156" s="228"/>
      <c r="Y156" s="228"/>
      <c r="Z156" s="228"/>
    </row>
    <row r="157" spans="1:26" s="155" customFormat="1" ht="47.25" x14ac:dyDescent="0.25">
      <c r="A157" s="154"/>
      <c r="B157" s="175" t="s">
        <v>206</v>
      </c>
      <c r="C157" s="147">
        <v>247013</v>
      </c>
      <c r="D157" s="147">
        <v>239753</v>
      </c>
      <c r="E157" s="146">
        <v>0.97060883435284784</v>
      </c>
      <c r="F157" s="147">
        <v>150489</v>
      </c>
      <c r="G157" s="145">
        <v>0.62768349092607811</v>
      </c>
      <c r="H157" s="147">
        <v>91266</v>
      </c>
      <c r="I157" s="145">
        <v>0.38066676955032885</v>
      </c>
      <c r="J157" s="147">
        <v>7456</v>
      </c>
      <c r="K157" s="145">
        <v>3.109867238366152E-2</v>
      </c>
      <c r="L157" s="147">
        <v>5933</v>
      </c>
      <c r="M157" s="145">
        <v>2.4746301401859412E-2</v>
      </c>
      <c r="N157" s="147">
        <v>7260</v>
      </c>
      <c r="O157" s="145">
        <v>2.9391165647152172E-2</v>
      </c>
      <c r="P157" s="147">
        <v>233</v>
      </c>
      <c r="Q157" s="145">
        <v>9.718335119894225E-4</v>
      </c>
      <c r="R157" s="144">
        <v>84</v>
      </c>
      <c r="S157" s="154"/>
      <c r="T157" s="154"/>
      <c r="U157" s="154"/>
      <c r="V157" s="154"/>
      <c r="W157" s="154"/>
      <c r="X157" s="154"/>
      <c r="Y157" s="154"/>
      <c r="Z157" s="154"/>
    </row>
    <row r="158" spans="1:26" x14ac:dyDescent="0.2">
      <c r="A158" s="228"/>
      <c r="B158" s="228"/>
      <c r="C158" s="163"/>
      <c r="D158" s="163"/>
      <c r="E158" s="163"/>
      <c r="F158" s="163"/>
      <c r="G158" s="163"/>
      <c r="H158" s="163"/>
      <c r="I158" s="163"/>
      <c r="J158" s="163"/>
      <c r="K158" s="163"/>
      <c r="L158" s="163"/>
      <c r="M158" s="163"/>
      <c r="N158" s="163"/>
      <c r="O158" s="163"/>
      <c r="P158" s="163"/>
      <c r="Q158" s="163"/>
      <c r="R158" s="163"/>
      <c r="S158" s="228"/>
      <c r="T158" s="228"/>
      <c r="U158" s="228"/>
      <c r="V158" s="228"/>
      <c r="W158" s="228"/>
      <c r="X158" s="228"/>
      <c r="Y158" s="228"/>
      <c r="Z158" s="228"/>
    </row>
    <row r="159" spans="1:26" s="155" customFormat="1" ht="15.75" x14ac:dyDescent="0.25">
      <c r="A159" s="154"/>
      <c r="B159" s="178" t="s">
        <v>205</v>
      </c>
      <c r="C159" s="528" t="s">
        <v>204</v>
      </c>
      <c r="D159" s="529"/>
      <c r="E159" s="529"/>
      <c r="F159" s="529"/>
      <c r="G159" s="529"/>
      <c r="H159" s="529"/>
      <c r="I159" s="529"/>
      <c r="J159" s="529"/>
      <c r="K159" s="529"/>
      <c r="L159" s="529"/>
      <c r="M159" s="529"/>
      <c r="N159" s="529"/>
      <c r="O159" s="529"/>
      <c r="P159" s="529"/>
      <c r="Q159" s="529"/>
      <c r="R159" s="530"/>
      <c r="S159" s="154"/>
      <c r="T159" s="154"/>
      <c r="U159" s="154"/>
      <c r="V159" s="154"/>
      <c r="W159" s="154"/>
      <c r="X159" s="154"/>
      <c r="Y159" s="154"/>
      <c r="Z159" s="154"/>
    </row>
    <row r="160" spans="1:26" s="155" customFormat="1" ht="15.75" x14ac:dyDescent="0.25">
      <c r="A160" s="154"/>
      <c r="B160" s="177" t="s">
        <v>42</v>
      </c>
      <c r="C160" s="143" t="s">
        <v>153</v>
      </c>
      <c r="D160" s="143" t="s">
        <v>154</v>
      </c>
      <c r="E160" s="143" t="s">
        <v>155</v>
      </c>
      <c r="F160" s="143" t="s">
        <v>156</v>
      </c>
      <c r="G160" s="143" t="s">
        <v>157</v>
      </c>
      <c r="H160" s="143" t="s">
        <v>158</v>
      </c>
      <c r="I160" s="143" t="s">
        <v>159</v>
      </c>
      <c r="J160" s="143" t="s">
        <v>160</v>
      </c>
      <c r="K160" s="143" t="s">
        <v>161</v>
      </c>
      <c r="L160" s="143" t="s">
        <v>162</v>
      </c>
      <c r="M160" s="143" t="s">
        <v>163</v>
      </c>
      <c r="N160" s="143" t="s">
        <v>166</v>
      </c>
      <c r="O160" s="143" t="s">
        <v>167</v>
      </c>
      <c r="P160" s="143" t="s">
        <v>168</v>
      </c>
      <c r="Q160" s="143" t="s">
        <v>169</v>
      </c>
      <c r="R160" s="142" t="s">
        <v>192</v>
      </c>
      <c r="S160" s="154"/>
      <c r="T160" s="154"/>
      <c r="U160" s="154"/>
      <c r="V160" s="154"/>
      <c r="W160" s="154"/>
      <c r="X160" s="154"/>
      <c r="Y160" s="154"/>
      <c r="Z160" s="154"/>
    </row>
    <row r="161" spans="1:26" ht="63" x14ac:dyDescent="0.25">
      <c r="A161" s="228"/>
      <c r="B161" s="175" t="s">
        <v>203</v>
      </c>
      <c r="C161" s="160">
        <v>2223052</v>
      </c>
      <c r="D161" s="160">
        <v>2157268</v>
      </c>
      <c r="E161" s="161">
        <v>0.97040824955961447</v>
      </c>
      <c r="F161" s="160">
        <v>1501599</v>
      </c>
      <c r="G161" s="159">
        <v>0.69606511569262608</v>
      </c>
      <c r="H161" s="160">
        <v>945429</v>
      </c>
      <c r="I161" s="159">
        <v>0.43825291989683246</v>
      </c>
      <c r="J161" s="160">
        <v>132558</v>
      </c>
      <c r="K161" s="159">
        <v>6.1447163727455283E-2</v>
      </c>
      <c r="L161" s="160">
        <v>104413</v>
      </c>
      <c r="M161" s="159">
        <v>4.8400569609339222E-2</v>
      </c>
      <c r="N161" s="160">
        <v>65784</v>
      </c>
      <c r="O161" s="159">
        <v>2.9591750440385561E-2</v>
      </c>
      <c r="P161" s="160">
        <v>0</v>
      </c>
      <c r="Q161" s="159">
        <v>0</v>
      </c>
      <c r="R161" s="174">
        <v>96460</v>
      </c>
      <c r="S161" s="228"/>
      <c r="T161" s="228"/>
      <c r="U161" s="228"/>
      <c r="V161" s="228"/>
      <c r="W161" s="228"/>
      <c r="X161" s="228"/>
      <c r="Y161" s="228"/>
      <c r="Z161" s="228"/>
    </row>
    <row r="162" spans="1:26" x14ac:dyDescent="0.2">
      <c r="A162" s="228"/>
      <c r="B162" s="228"/>
      <c r="C162" s="163"/>
      <c r="D162" s="163"/>
      <c r="E162" s="163"/>
      <c r="F162" s="163"/>
      <c r="G162" s="163"/>
      <c r="H162" s="163"/>
      <c r="I162" s="163"/>
      <c r="J162" s="163"/>
      <c r="K162" s="163"/>
      <c r="L162" s="163"/>
      <c r="M162" s="163"/>
      <c r="N162" s="163"/>
      <c r="O162" s="163"/>
      <c r="P162" s="163"/>
      <c r="Q162" s="163"/>
      <c r="R162" s="163"/>
      <c r="S162" s="228"/>
      <c r="T162" s="228"/>
      <c r="U162" s="228"/>
      <c r="V162" s="228"/>
      <c r="W162" s="228"/>
      <c r="X162" s="228"/>
      <c r="Y162" s="228"/>
      <c r="Z162" s="228"/>
    </row>
    <row r="163" spans="1:26" ht="15.75" x14ac:dyDescent="0.25">
      <c r="A163" s="228"/>
      <c r="B163" s="178" t="s">
        <v>202</v>
      </c>
      <c r="C163" s="528" t="s">
        <v>199</v>
      </c>
      <c r="D163" s="529"/>
      <c r="E163" s="529"/>
      <c r="F163" s="529"/>
      <c r="G163" s="529"/>
      <c r="H163" s="529"/>
      <c r="I163" s="529"/>
      <c r="J163" s="529"/>
      <c r="K163" s="529"/>
      <c r="L163" s="529"/>
      <c r="M163" s="529"/>
      <c r="N163" s="529"/>
      <c r="O163" s="529"/>
      <c r="P163" s="529"/>
      <c r="Q163" s="529"/>
      <c r="R163" s="530"/>
      <c r="S163" s="228"/>
      <c r="T163" s="228"/>
      <c r="U163" s="228"/>
      <c r="V163" s="228"/>
      <c r="W163" s="228"/>
      <c r="X163" s="228"/>
      <c r="Y163" s="228"/>
      <c r="Z163" s="228"/>
    </row>
    <row r="164" spans="1:26" ht="31.5" x14ac:dyDescent="0.25">
      <c r="A164" s="228"/>
      <c r="B164" s="177" t="s">
        <v>42</v>
      </c>
      <c r="C164" s="177" t="s">
        <v>153</v>
      </c>
      <c r="D164" s="177" t="s">
        <v>154</v>
      </c>
      <c r="E164" s="177" t="s">
        <v>155</v>
      </c>
      <c r="F164" s="177" t="s">
        <v>156</v>
      </c>
      <c r="G164" s="177" t="s">
        <v>157</v>
      </c>
      <c r="H164" s="177" t="s">
        <v>158</v>
      </c>
      <c r="I164" s="177" t="s">
        <v>159</v>
      </c>
      <c r="J164" s="177" t="s">
        <v>160</v>
      </c>
      <c r="K164" s="177" t="s">
        <v>161</v>
      </c>
      <c r="L164" s="177" t="s">
        <v>162</v>
      </c>
      <c r="M164" s="177" t="s">
        <v>163</v>
      </c>
      <c r="N164" s="177" t="s">
        <v>166</v>
      </c>
      <c r="O164" s="177" t="s">
        <v>167</v>
      </c>
      <c r="P164" s="177" t="s">
        <v>168</v>
      </c>
      <c r="Q164" s="177" t="s">
        <v>169</v>
      </c>
      <c r="R164" s="176" t="s">
        <v>192</v>
      </c>
      <c r="S164" s="228"/>
      <c r="T164" s="228"/>
      <c r="U164" s="228"/>
      <c r="V164" s="228"/>
      <c r="W164" s="228"/>
      <c r="X164" s="228"/>
      <c r="Y164" s="228"/>
      <c r="Z164" s="228"/>
    </row>
    <row r="165" spans="1:26" ht="78.75" x14ac:dyDescent="0.25">
      <c r="A165" s="228"/>
      <c r="B165" s="175" t="s">
        <v>201</v>
      </c>
      <c r="C165" s="160">
        <v>243175</v>
      </c>
      <c r="D165" s="160">
        <v>235720</v>
      </c>
      <c r="E165" s="161">
        <v>0.96934306569343065</v>
      </c>
      <c r="F165" s="160">
        <v>148931</v>
      </c>
      <c r="G165" s="159">
        <v>0.63181316816562028</v>
      </c>
      <c r="H165" s="160">
        <v>95926</v>
      </c>
      <c r="I165" s="159">
        <v>0.40694892245036485</v>
      </c>
      <c r="J165" s="160">
        <v>10404</v>
      </c>
      <c r="K165" s="159">
        <v>4.4137111827592057E-2</v>
      </c>
      <c r="L165" s="160">
        <v>8418</v>
      </c>
      <c r="M165" s="159">
        <v>3.5711861530629559E-2</v>
      </c>
      <c r="N165" s="160">
        <v>7455</v>
      </c>
      <c r="O165" s="159">
        <v>3.0656934306569343E-2</v>
      </c>
      <c r="P165" s="160">
        <v>0</v>
      </c>
      <c r="Q165" s="159">
        <v>0</v>
      </c>
      <c r="R165" s="174">
        <v>7736</v>
      </c>
      <c r="S165" s="228"/>
      <c r="T165" s="228"/>
      <c r="U165" s="228"/>
      <c r="V165" s="228"/>
      <c r="W165" s="228"/>
      <c r="X165" s="228"/>
      <c r="Y165" s="228"/>
      <c r="Z165" s="228"/>
    </row>
    <row r="166" spans="1:26" x14ac:dyDescent="0.2">
      <c r="A166" s="228"/>
      <c r="B166" s="228"/>
      <c r="C166" s="163"/>
      <c r="D166" s="163"/>
      <c r="E166" s="163"/>
      <c r="F166" s="163"/>
      <c r="G166" s="163"/>
      <c r="H166" s="163"/>
      <c r="I166" s="163"/>
      <c r="J166" s="163"/>
      <c r="K166" s="163"/>
      <c r="L166" s="163"/>
      <c r="M166" s="163"/>
      <c r="N166" s="163"/>
      <c r="O166" s="163"/>
      <c r="P166" s="163"/>
      <c r="Q166" s="163"/>
      <c r="R166" s="163"/>
      <c r="S166" s="228"/>
      <c r="T166" s="228"/>
      <c r="U166" s="228"/>
      <c r="V166" s="228"/>
      <c r="W166" s="228"/>
      <c r="X166" s="228"/>
      <c r="Y166" s="228"/>
      <c r="Z166" s="228"/>
    </row>
    <row r="167" spans="1:26" ht="15.75" x14ac:dyDescent="0.25">
      <c r="A167" s="228"/>
      <c r="B167" s="178" t="s">
        <v>200</v>
      </c>
      <c r="C167" s="528" t="s">
        <v>199</v>
      </c>
      <c r="D167" s="529"/>
      <c r="E167" s="529"/>
      <c r="F167" s="529"/>
      <c r="G167" s="529"/>
      <c r="H167" s="529"/>
      <c r="I167" s="529"/>
      <c r="J167" s="529"/>
      <c r="K167" s="529"/>
      <c r="L167" s="529"/>
      <c r="M167" s="529"/>
      <c r="N167" s="529"/>
      <c r="O167" s="529"/>
      <c r="P167" s="529"/>
      <c r="Q167" s="529"/>
      <c r="R167" s="530"/>
      <c r="S167" s="228"/>
      <c r="T167" s="228"/>
      <c r="U167" s="228"/>
      <c r="V167" s="228"/>
      <c r="W167" s="228"/>
      <c r="X167" s="228"/>
      <c r="Y167" s="228"/>
      <c r="Z167" s="228"/>
    </row>
    <row r="168" spans="1:26" ht="31.5" x14ac:dyDescent="0.25">
      <c r="A168" s="228"/>
      <c r="B168" s="177" t="s">
        <v>42</v>
      </c>
      <c r="C168" s="177" t="s">
        <v>153</v>
      </c>
      <c r="D168" s="177" t="s">
        <v>154</v>
      </c>
      <c r="E168" s="177" t="s">
        <v>155</v>
      </c>
      <c r="F168" s="177" t="s">
        <v>156</v>
      </c>
      <c r="G168" s="177" t="s">
        <v>157</v>
      </c>
      <c r="H168" s="177" t="s">
        <v>158</v>
      </c>
      <c r="I168" s="177" t="s">
        <v>159</v>
      </c>
      <c r="J168" s="177" t="s">
        <v>160</v>
      </c>
      <c r="K168" s="177" t="s">
        <v>161</v>
      </c>
      <c r="L168" s="177" t="s">
        <v>162</v>
      </c>
      <c r="M168" s="177" t="s">
        <v>163</v>
      </c>
      <c r="N168" s="177" t="s">
        <v>166</v>
      </c>
      <c r="O168" s="177" t="s">
        <v>167</v>
      </c>
      <c r="P168" s="177" t="s">
        <v>168</v>
      </c>
      <c r="Q168" s="177" t="s">
        <v>169</v>
      </c>
      <c r="R168" s="176" t="s">
        <v>192</v>
      </c>
      <c r="S168" s="228"/>
      <c r="T168" s="228"/>
      <c r="U168" s="228"/>
      <c r="V168" s="228"/>
      <c r="W168" s="228"/>
      <c r="X168" s="228"/>
      <c r="Y168" s="228"/>
      <c r="Z168" s="228"/>
    </row>
    <row r="169" spans="1:26" ht="78.75" x14ac:dyDescent="0.25">
      <c r="A169" s="228"/>
      <c r="B169" s="175" t="s">
        <v>198</v>
      </c>
      <c r="C169" s="160">
        <v>2131021</v>
      </c>
      <c r="D169" s="160">
        <v>2065016</v>
      </c>
      <c r="E169" s="161">
        <v>0.96902658397078212</v>
      </c>
      <c r="F169" s="160">
        <v>1241436</v>
      </c>
      <c r="G169" s="159">
        <v>0.60117500300239801</v>
      </c>
      <c r="H169" s="160">
        <v>809402</v>
      </c>
      <c r="I169" s="159">
        <v>0.39195919063096846</v>
      </c>
      <c r="J169" s="160">
        <v>78055</v>
      </c>
      <c r="K169" s="159">
        <v>3.7798738605415161E-2</v>
      </c>
      <c r="L169" s="160">
        <v>65328</v>
      </c>
      <c r="M169" s="159">
        <v>3.1635590232714901E-2</v>
      </c>
      <c r="N169" s="160">
        <v>66005</v>
      </c>
      <c r="O169" s="159">
        <v>3.097341602921792E-2</v>
      </c>
      <c r="P169" s="160">
        <v>0</v>
      </c>
      <c r="Q169" s="159">
        <v>0</v>
      </c>
      <c r="R169" s="174">
        <v>60636</v>
      </c>
      <c r="S169" s="228"/>
      <c r="T169" s="228"/>
      <c r="U169" s="228"/>
      <c r="V169" s="228"/>
      <c r="W169" s="228"/>
      <c r="X169" s="228"/>
      <c r="Y169" s="228"/>
      <c r="Z169" s="228"/>
    </row>
    <row r="170" spans="1:26" x14ac:dyDescent="0.2">
      <c r="A170" s="228"/>
      <c r="B170" s="228"/>
      <c r="C170" s="163"/>
      <c r="D170" s="163"/>
      <c r="E170" s="163"/>
      <c r="F170" s="163"/>
      <c r="G170" s="163"/>
      <c r="H170" s="163"/>
      <c r="I170" s="163"/>
      <c r="J170" s="163"/>
      <c r="K170" s="163"/>
      <c r="L170" s="163"/>
      <c r="M170" s="163"/>
      <c r="N170" s="163"/>
      <c r="O170" s="163"/>
      <c r="P170" s="163"/>
      <c r="Q170" s="163"/>
      <c r="R170" s="163"/>
      <c r="S170" s="228"/>
      <c r="T170" s="228"/>
      <c r="U170" s="228"/>
      <c r="V170" s="228"/>
      <c r="W170" s="228"/>
      <c r="X170" s="228"/>
      <c r="Y170" s="228"/>
      <c r="Z170" s="228"/>
    </row>
    <row r="171" spans="1:26" ht="15.75" x14ac:dyDescent="0.25">
      <c r="A171" s="163"/>
      <c r="B171" s="178" t="s">
        <v>209</v>
      </c>
      <c r="C171" s="528" t="s">
        <v>199</v>
      </c>
      <c r="D171" s="529"/>
      <c r="E171" s="529"/>
      <c r="F171" s="529"/>
      <c r="G171" s="529"/>
      <c r="H171" s="529"/>
      <c r="I171" s="529"/>
      <c r="J171" s="529"/>
      <c r="K171" s="529"/>
      <c r="L171" s="529"/>
      <c r="M171" s="529"/>
      <c r="N171" s="529"/>
      <c r="O171" s="529"/>
      <c r="P171" s="529"/>
      <c r="Q171" s="529"/>
      <c r="R171" s="530"/>
      <c r="S171" s="163"/>
      <c r="T171" s="163"/>
      <c r="U171" s="163"/>
      <c r="V171" s="163"/>
      <c r="W171" s="163"/>
      <c r="X171" s="163"/>
      <c r="Y171" s="163"/>
      <c r="Z171" s="163"/>
    </row>
    <row r="172" spans="1:26" ht="15.75" x14ac:dyDescent="0.25">
      <c r="A172" s="163"/>
      <c r="B172" s="177" t="s">
        <v>42</v>
      </c>
      <c r="C172" s="180" t="s">
        <v>153</v>
      </c>
      <c r="D172" s="180" t="s">
        <v>154</v>
      </c>
      <c r="E172" s="180" t="s">
        <v>155</v>
      </c>
      <c r="F172" s="180" t="s">
        <v>156</v>
      </c>
      <c r="G172" s="180" t="s">
        <v>157</v>
      </c>
      <c r="H172" s="180" t="s">
        <v>158</v>
      </c>
      <c r="I172" s="180" t="s">
        <v>159</v>
      </c>
      <c r="J172" s="180" t="s">
        <v>160</v>
      </c>
      <c r="K172" s="180" t="s">
        <v>161</v>
      </c>
      <c r="L172" s="180" t="s">
        <v>162</v>
      </c>
      <c r="M172" s="180" t="s">
        <v>163</v>
      </c>
      <c r="N172" s="180" t="s">
        <v>166</v>
      </c>
      <c r="O172" s="180" t="s">
        <v>167</v>
      </c>
      <c r="P172" s="180" t="s">
        <v>168</v>
      </c>
      <c r="Q172" s="180" t="s">
        <v>169</v>
      </c>
      <c r="R172" s="179" t="s">
        <v>192</v>
      </c>
      <c r="S172" s="163"/>
      <c r="T172" s="163"/>
      <c r="U172" s="163"/>
      <c r="V172" s="163"/>
      <c r="W172" s="163"/>
      <c r="X172" s="163"/>
      <c r="Y172" s="163"/>
      <c r="Z172" s="163"/>
    </row>
    <row r="173" spans="1:26" ht="78.75" x14ac:dyDescent="0.25">
      <c r="A173" s="163"/>
      <c r="B173" s="175" t="s">
        <v>210</v>
      </c>
      <c r="C173" s="160">
        <v>262822</v>
      </c>
      <c r="D173" s="160">
        <v>253883</v>
      </c>
      <c r="E173" s="161">
        <v>0.96598838757790439</v>
      </c>
      <c r="F173" s="160">
        <v>146126</v>
      </c>
      <c r="G173" s="159">
        <v>0.57556433475262225</v>
      </c>
      <c r="H173" s="160">
        <v>97273</v>
      </c>
      <c r="I173" s="159">
        <v>0.38314105316228342</v>
      </c>
      <c r="J173" s="160">
        <v>7892</v>
      </c>
      <c r="K173" s="159">
        <v>3.1085184908008809E-2</v>
      </c>
      <c r="L173" s="160">
        <v>6612</v>
      </c>
      <c r="M173" s="159">
        <v>2.6043492474880161E-2</v>
      </c>
      <c r="N173" s="160">
        <v>8939</v>
      </c>
      <c r="O173" s="159">
        <v>3.4011612422095563E-2</v>
      </c>
      <c r="P173" s="160">
        <v>0</v>
      </c>
      <c r="Q173" s="159">
        <v>0</v>
      </c>
      <c r="R173" s="174">
        <v>6030</v>
      </c>
      <c r="S173" s="163"/>
      <c r="T173" s="163"/>
      <c r="U173" s="163"/>
      <c r="V173" s="163"/>
      <c r="W173" s="163"/>
      <c r="X173" s="163"/>
      <c r="Y173" s="163"/>
      <c r="Z173" s="163"/>
    </row>
    <row r="174" spans="1:26" x14ac:dyDescent="0.2">
      <c r="A174" s="228"/>
      <c r="B174" s="228"/>
      <c r="C174" s="163"/>
      <c r="D174" s="163"/>
      <c r="E174" s="163"/>
      <c r="F174" s="163"/>
      <c r="G174" s="163"/>
      <c r="H174" s="163"/>
      <c r="I174" s="163"/>
      <c r="J174" s="163"/>
      <c r="K174" s="163"/>
      <c r="L174" s="163"/>
      <c r="M174" s="163"/>
      <c r="N174" s="163"/>
      <c r="O174" s="163"/>
      <c r="P174" s="163"/>
      <c r="Q174" s="163"/>
      <c r="R174" s="163"/>
      <c r="S174" s="228"/>
      <c r="T174" s="228"/>
      <c r="U174" s="228"/>
      <c r="V174" s="228"/>
      <c r="W174" s="228"/>
      <c r="X174" s="228"/>
      <c r="Y174" s="228"/>
      <c r="Z174" s="228"/>
    </row>
    <row r="175" spans="1:26" ht="15.75" x14ac:dyDescent="0.25">
      <c r="A175" s="228"/>
      <c r="B175" s="178" t="s">
        <v>197</v>
      </c>
      <c r="C175" s="528" t="s">
        <v>193</v>
      </c>
      <c r="D175" s="529"/>
      <c r="E175" s="529"/>
      <c r="F175" s="529"/>
      <c r="G175" s="529"/>
      <c r="H175" s="529"/>
      <c r="I175" s="529"/>
      <c r="J175" s="529"/>
      <c r="K175" s="529"/>
      <c r="L175" s="529"/>
      <c r="M175" s="529"/>
      <c r="N175" s="529"/>
      <c r="O175" s="529"/>
      <c r="P175" s="529"/>
      <c r="Q175" s="529"/>
      <c r="R175" s="530"/>
      <c r="S175" s="228"/>
      <c r="T175" s="228"/>
      <c r="U175" s="228"/>
      <c r="V175" s="228"/>
      <c r="W175" s="228"/>
      <c r="X175" s="228"/>
      <c r="Y175" s="228"/>
      <c r="Z175" s="228"/>
    </row>
    <row r="176" spans="1:26" ht="31.5" x14ac:dyDescent="0.25">
      <c r="A176" s="228"/>
      <c r="B176" s="177" t="s">
        <v>42</v>
      </c>
      <c r="C176" s="177" t="s">
        <v>153</v>
      </c>
      <c r="D176" s="177" t="s">
        <v>154</v>
      </c>
      <c r="E176" s="177" t="s">
        <v>155</v>
      </c>
      <c r="F176" s="177" t="s">
        <v>156</v>
      </c>
      <c r="G176" s="177" t="s">
        <v>157</v>
      </c>
      <c r="H176" s="177" t="s">
        <v>158</v>
      </c>
      <c r="I176" s="177" t="s">
        <v>159</v>
      </c>
      <c r="J176" s="177" t="s">
        <v>160</v>
      </c>
      <c r="K176" s="177" t="s">
        <v>161</v>
      </c>
      <c r="L176" s="177" t="s">
        <v>162</v>
      </c>
      <c r="M176" s="177" t="s">
        <v>163</v>
      </c>
      <c r="N176" s="177" t="s">
        <v>166</v>
      </c>
      <c r="O176" s="177" t="s">
        <v>167</v>
      </c>
      <c r="P176" s="177" t="s">
        <v>168</v>
      </c>
      <c r="Q176" s="177" t="s">
        <v>169</v>
      </c>
      <c r="R176" s="176" t="s">
        <v>192</v>
      </c>
      <c r="S176" s="228"/>
      <c r="T176" s="228"/>
      <c r="U176" s="228"/>
      <c r="V176" s="228"/>
      <c r="W176" s="228"/>
      <c r="X176" s="228"/>
      <c r="Y176" s="228"/>
      <c r="Z176" s="228"/>
    </row>
    <row r="177" spans="1:26" ht="31.5" x14ac:dyDescent="0.25">
      <c r="A177" s="228"/>
      <c r="B177" s="175" t="s">
        <v>195</v>
      </c>
      <c r="C177" s="160">
        <v>276223</v>
      </c>
      <c r="D177" s="160">
        <v>268066</v>
      </c>
      <c r="E177" s="161">
        <v>0.97046951195229936</v>
      </c>
      <c r="F177" s="160">
        <v>137329</v>
      </c>
      <c r="G177" s="159">
        <v>0.51229547947147347</v>
      </c>
      <c r="H177" s="160">
        <v>90636</v>
      </c>
      <c r="I177" s="159">
        <v>0.33811076376713195</v>
      </c>
      <c r="J177" s="160">
        <v>10969</v>
      </c>
      <c r="K177" s="159">
        <v>4.0919027403699092E-2</v>
      </c>
      <c r="L177" s="160">
        <v>9145</v>
      </c>
      <c r="M177" s="159">
        <v>3.4114732938903103E-2</v>
      </c>
      <c r="N177" s="160">
        <v>8157</v>
      </c>
      <c r="O177" s="159">
        <v>2.9530488047700591E-2</v>
      </c>
      <c r="P177" s="160">
        <v>0</v>
      </c>
      <c r="Q177" s="159">
        <v>0</v>
      </c>
      <c r="R177" s="174">
        <v>7446</v>
      </c>
      <c r="S177" s="228"/>
      <c r="T177" s="228"/>
      <c r="U177" s="228"/>
      <c r="V177" s="228"/>
      <c r="W177" s="228"/>
      <c r="X177" s="228"/>
      <c r="Y177" s="228"/>
      <c r="Z177" s="228"/>
    </row>
    <row r="178" spans="1:26" x14ac:dyDescent="0.2">
      <c r="A178" s="228"/>
      <c r="B178" s="228"/>
      <c r="C178" s="163"/>
      <c r="D178" s="163"/>
      <c r="E178" s="163"/>
      <c r="F178" s="163"/>
      <c r="G178" s="163"/>
      <c r="H178" s="163"/>
      <c r="I178" s="163"/>
      <c r="J178" s="163"/>
      <c r="K178" s="163"/>
      <c r="L178" s="163"/>
      <c r="M178" s="163"/>
      <c r="N178" s="163"/>
      <c r="O178" s="163"/>
      <c r="P178" s="163"/>
      <c r="Q178" s="163"/>
      <c r="R178" s="163"/>
      <c r="S178" s="228"/>
      <c r="T178" s="228"/>
      <c r="U178" s="228"/>
      <c r="V178" s="228"/>
      <c r="W178" s="228"/>
      <c r="X178" s="228"/>
      <c r="Y178" s="228"/>
      <c r="Z178" s="228"/>
    </row>
    <row r="179" spans="1:26" ht="15.75" x14ac:dyDescent="0.25">
      <c r="A179" s="228"/>
      <c r="B179" s="178" t="s">
        <v>196</v>
      </c>
      <c r="C179" s="534" t="s">
        <v>193</v>
      </c>
      <c r="D179" s="534"/>
      <c r="E179" s="534"/>
      <c r="F179" s="534"/>
      <c r="G179" s="534"/>
      <c r="H179" s="534"/>
      <c r="I179" s="534"/>
      <c r="J179" s="534"/>
      <c r="K179" s="534"/>
      <c r="L179" s="534"/>
      <c r="M179" s="534"/>
      <c r="N179" s="534"/>
      <c r="O179" s="534"/>
      <c r="P179" s="534"/>
      <c r="Q179" s="534"/>
      <c r="R179" s="534"/>
      <c r="S179" s="228"/>
      <c r="T179" s="228"/>
      <c r="U179" s="228"/>
      <c r="V179" s="228"/>
      <c r="W179" s="228"/>
      <c r="X179" s="228"/>
      <c r="Y179" s="228"/>
      <c r="Z179" s="228"/>
    </row>
    <row r="180" spans="1:26" ht="31.5" x14ac:dyDescent="0.25">
      <c r="A180" s="228"/>
      <c r="B180" s="177" t="s">
        <v>42</v>
      </c>
      <c r="C180" s="177" t="s">
        <v>153</v>
      </c>
      <c r="D180" s="177" t="s">
        <v>154</v>
      </c>
      <c r="E180" s="177" t="s">
        <v>155</v>
      </c>
      <c r="F180" s="177" t="s">
        <v>156</v>
      </c>
      <c r="G180" s="177" t="s">
        <v>157</v>
      </c>
      <c r="H180" s="177" t="s">
        <v>158</v>
      </c>
      <c r="I180" s="177" t="s">
        <v>159</v>
      </c>
      <c r="J180" s="177" t="s">
        <v>160</v>
      </c>
      <c r="K180" s="177" t="s">
        <v>161</v>
      </c>
      <c r="L180" s="177" t="s">
        <v>162</v>
      </c>
      <c r="M180" s="177" t="s">
        <v>163</v>
      </c>
      <c r="N180" s="177" t="s">
        <v>166</v>
      </c>
      <c r="O180" s="177" t="s">
        <v>167</v>
      </c>
      <c r="P180" s="177" t="s">
        <v>168</v>
      </c>
      <c r="Q180" s="177" t="s">
        <v>169</v>
      </c>
      <c r="R180" s="176" t="s">
        <v>192</v>
      </c>
      <c r="S180" s="228"/>
      <c r="T180" s="228"/>
      <c r="U180" s="228"/>
      <c r="V180" s="228"/>
      <c r="W180" s="228"/>
      <c r="X180" s="228"/>
      <c r="Y180" s="228"/>
      <c r="Z180" s="228"/>
    </row>
    <row r="181" spans="1:26" ht="31.5" x14ac:dyDescent="0.25">
      <c r="A181" s="228"/>
      <c r="B181" s="175" t="s">
        <v>195</v>
      </c>
      <c r="C181" s="160">
        <v>276221</v>
      </c>
      <c r="D181" s="160">
        <v>267717</v>
      </c>
      <c r="E181" s="161">
        <v>0.96921305766035171</v>
      </c>
      <c r="F181" s="160">
        <v>139077</v>
      </c>
      <c r="G181" s="159">
        <v>0.51949259852754959</v>
      </c>
      <c r="H181" s="160">
        <v>90485</v>
      </c>
      <c r="I181" s="159">
        <v>0.33798750172757053</v>
      </c>
      <c r="J181" s="160">
        <v>11126</v>
      </c>
      <c r="K181" s="159">
        <v>4.1558810236182235E-2</v>
      </c>
      <c r="L181" s="160">
        <v>9292</v>
      </c>
      <c r="M181" s="159">
        <v>3.4708292712080292E-2</v>
      </c>
      <c r="N181" s="160">
        <v>8504</v>
      </c>
      <c r="O181" s="159">
        <v>3.0786942339648325E-2</v>
      </c>
      <c r="P181" s="160">
        <v>0</v>
      </c>
      <c r="Q181" s="159">
        <v>0</v>
      </c>
      <c r="R181" s="174">
        <v>7214</v>
      </c>
      <c r="S181" s="228"/>
      <c r="T181" s="228"/>
      <c r="U181" s="228"/>
      <c r="V181" s="228"/>
      <c r="W181" s="228"/>
      <c r="X181" s="228"/>
      <c r="Y181" s="228"/>
      <c r="Z181" s="228"/>
    </row>
    <row r="182" spans="1:26" x14ac:dyDescent="0.2">
      <c r="A182" s="228"/>
      <c r="B182" s="228"/>
      <c r="C182" s="163"/>
      <c r="D182" s="163"/>
      <c r="E182" s="163"/>
      <c r="F182" s="163"/>
      <c r="G182" s="163"/>
      <c r="H182" s="163"/>
      <c r="I182" s="163"/>
      <c r="J182" s="163"/>
      <c r="K182" s="163"/>
      <c r="L182" s="163"/>
      <c r="M182" s="163"/>
      <c r="N182" s="163"/>
      <c r="O182" s="163"/>
      <c r="P182" s="163"/>
      <c r="Q182" s="163"/>
      <c r="R182" s="163"/>
      <c r="S182" s="228"/>
      <c r="T182" s="228"/>
      <c r="U182" s="228"/>
      <c r="V182" s="228"/>
      <c r="W182" s="228"/>
      <c r="X182" s="228"/>
      <c r="Y182" s="228"/>
      <c r="Z182" s="228"/>
    </row>
    <row r="183" spans="1:26" ht="15.75" x14ac:dyDescent="0.25">
      <c r="A183" s="228"/>
      <c r="B183" s="178" t="s">
        <v>194</v>
      </c>
      <c r="C183" s="534" t="s">
        <v>193</v>
      </c>
      <c r="D183" s="534"/>
      <c r="E183" s="534"/>
      <c r="F183" s="534"/>
      <c r="G183" s="534"/>
      <c r="H183" s="534"/>
      <c r="I183" s="534"/>
      <c r="J183" s="534"/>
      <c r="K183" s="534"/>
      <c r="L183" s="534"/>
      <c r="M183" s="534"/>
      <c r="N183" s="534"/>
      <c r="O183" s="534"/>
      <c r="P183" s="534"/>
      <c r="Q183" s="534"/>
      <c r="R183" s="534"/>
      <c r="S183" s="228"/>
      <c r="T183" s="228"/>
      <c r="U183" s="228"/>
      <c r="V183" s="228"/>
      <c r="W183" s="228"/>
      <c r="X183" s="228"/>
      <c r="Y183" s="228"/>
      <c r="Z183" s="228"/>
    </row>
    <row r="184" spans="1:26" ht="31.5" x14ac:dyDescent="0.25">
      <c r="A184" s="228"/>
      <c r="B184" s="177" t="s">
        <v>42</v>
      </c>
      <c r="C184" s="177" t="s">
        <v>153</v>
      </c>
      <c r="D184" s="177" t="s">
        <v>154</v>
      </c>
      <c r="E184" s="177" t="s">
        <v>155</v>
      </c>
      <c r="F184" s="177" t="s">
        <v>156</v>
      </c>
      <c r="G184" s="177" t="s">
        <v>157</v>
      </c>
      <c r="H184" s="177" t="s">
        <v>158</v>
      </c>
      <c r="I184" s="177" t="s">
        <v>159</v>
      </c>
      <c r="J184" s="177" t="s">
        <v>160</v>
      </c>
      <c r="K184" s="177" t="s">
        <v>161</v>
      </c>
      <c r="L184" s="177" t="s">
        <v>162</v>
      </c>
      <c r="M184" s="177" t="s">
        <v>163</v>
      </c>
      <c r="N184" s="177" t="s">
        <v>166</v>
      </c>
      <c r="O184" s="177" t="s">
        <v>167</v>
      </c>
      <c r="P184" s="177" t="s">
        <v>168</v>
      </c>
      <c r="Q184" s="177" t="s">
        <v>169</v>
      </c>
      <c r="R184" s="176" t="s">
        <v>192</v>
      </c>
      <c r="S184" s="228"/>
      <c r="T184" s="228"/>
      <c r="U184" s="228"/>
      <c r="V184" s="228"/>
      <c r="W184" s="228"/>
      <c r="X184" s="228"/>
      <c r="Y184" s="228"/>
      <c r="Z184" s="228"/>
    </row>
    <row r="185" spans="1:26" ht="63" x14ac:dyDescent="0.25">
      <c r="A185" s="228"/>
      <c r="B185" s="175" t="s">
        <v>191</v>
      </c>
      <c r="C185" s="160">
        <v>2237513</v>
      </c>
      <c r="D185" s="160">
        <v>2170189</v>
      </c>
      <c r="E185" s="161">
        <v>0.96991123626991216</v>
      </c>
      <c r="F185" s="160">
        <v>1172221</v>
      </c>
      <c r="G185" s="159">
        <v>0.54014696415842123</v>
      </c>
      <c r="H185" s="160">
        <v>772386</v>
      </c>
      <c r="I185" s="159">
        <v>0.35590725047449784</v>
      </c>
      <c r="J185" s="160">
        <v>91463</v>
      </c>
      <c r="K185" s="159">
        <v>4.2145177217283843E-2</v>
      </c>
      <c r="L185" s="160">
        <v>76328</v>
      </c>
      <c r="M185" s="159">
        <v>3.5171130256397024E-2</v>
      </c>
      <c r="N185" s="160">
        <v>67324</v>
      </c>
      <c r="O185" s="159">
        <v>3.0088763730087825E-2</v>
      </c>
      <c r="P185" s="160">
        <v>0</v>
      </c>
      <c r="Q185" s="159">
        <v>0</v>
      </c>
      <c r="R185" s="174">
        <v>62260</v>
      </c>
      <c r="S185" s="228"/>
      <c r="T185" s="228"/>
      <c r="U185" s="228"/>
      <c r="V185" s="228"/>
      <c r="W185" s="228"/>
      <c r="X185" s="228"/>
      <c r="Y185" s="228"/>
      <c r="Z185" s="228"/>
    </row>
    <row r="186" spans="1:26" x14ac:dyDescent="0.2">
      <c r="A186" s="228"/>
      <c r="B186" s="228"/>
      <c r="C186" s="228"/>
      <c r="D186" s="228"/>
      <c r="E186" s="228"/>
      <c r="F186" s="228"/>
      <c r="G186" s="228"/>
      <c r="H186" s="228"/>
      <c r="I186" s="228"/>
      <c r="J186" s="228"/>
      <c r="K186" s="228"/>
      <c r="L186" s="228"/>
      <c r="M186" s="228"/>
      <c r="N186" s="228"/>
      <c r="O186" s="228"/>
      <c r="P186" s="228"/>
      <c r="Q186" s="228"/>
      <c r="R186" s="228"/>
      <c r="S186" s="228"/>
      <c r="T186" s="228"/>
      <c r="U186" s="228"/>
      <c r="V186" s="228"/>
      <c r="W186" s="228"/>
      <c r="X186" s="228"/>
      <c r="Y186" s="228"/>
      <c r="Z186" s="228"/>
    </row>
    <row r="187" spans="1:26" ht="31.5" x14ac:dyDescent="0.25">
      <c r="A187" s="228"/>
      <c r="B187" s="185" t="s">
        <v>208</v>
      </c>
      <c r="C187" s="158" t="s">
        <v>153</v>
      </c>
      <c r="D187" s="158" t="s">
        <v>154</v>
      </c>
      <c r="E187" s="158" t="s">
        <v>155</v>
      </c>
      <c r="F187" s="158" t="s">
        <v>156</v>
      </c>
      <c r="G187" s="158" t="s">
        <v>157</v>
      </c>
      <c r="H187" s="158" t="s">
        <v>158</v>
      </c>
      <c r="I187" s="158" t="s">
        <v>159</v>
      </c>
      <c r="J187" s="158" t="s">
        <v>160</v>
      </c>
      <c r="K187" s="158" t="s">
        <v>161</v>
      </c>
      <c r="L187" s="158" t="s">
        <v>162</v>
      </c>
      <c r="M187" s="158" t="s">
        <v>163</v>
      </c>
      <c r="N187" s="158" t="s">
        <v>166</v>
      </c>
      <c r="O187" s="158" t="s">
        <v>167</v>
      </c>
      <c r="P187" s="158" t="s">
        <v>168</v>
      </c>
      <c r="Q187" s="158" t="s">
        <v>169</v>
      </c>
      <c r="R187" s="158" t="s">
        <v>192</v>
      </c>
      <c r="S187" s="228"/>
      <c r="T187" s="228"/>
      <c r="U187" s="228"/>
      <c r="V187" s="228"/>
      <c r="W187" s="228"/>
      <c r="X187" s="228"/>
      <c r="Y187" s="228"/>
      <c r="Z187" s="228"/>
    </row>
    <row r="188" spans="1:26" x14ac:dyDescent="0.2">
      <c r="A188" s="228"/>
      <c r="B188" s="133"/>
      <c r="C188" s="157">
        <v>7908677</v>
      </c>
      <c r="D188" s="157">
        <v>7670080</v>
      </c>
      <c r="E188" s="156">
        <v>0.96983098437323967</v>
      </c>
      <c r="F188" s="157">
        <v>4677631</v>
      </c>
      <c r="G188" s="156">
        <v>0.60985426488380823</v>
      </c>
      <c r="H188" s="157">
        <v>3011695</v>
      </c>
      <c r="I188" s="156">
        <v>0.39265496578914433</v>
      </c>
      <c r="J188" s="157">
        <v>358997</v>
      </c>
      <c r="K188" s="156">
        <v>4.6804857315699444E-2</v>
      </c>
      <c r="L188" s="157">
        <v>292052</v>
      </c>
      <c r="M188" s="156">
        <v>3.8076786682798618E-2</v>
      </c>
      <c r="N188" s="157">
        <v>238597</v>
      </c>
      <c r="O188" s="156">
        <v>3.0169015626760328E-2</v>
      </c>
      <c r="P188" s="157">
        <v>233</v>
      </c>
      <c r="Q188" s="156">
        <v>3.0377779632024698E-5</v>
      </c>
      <c r="R188" s="157">
        <v>254034</v>
      </c>
      <c r="S188" s="228"/>
      <c r="T188" s="228"/>
      <c r="U188" s="228"/>
      <c r="V188" s="228"/>
      <c r="W188" s="228"/>
      <c r="X188" s="228"/>
      <c r="Y188" s="228"/>
      <c r="Z188" s="228"/>
    </row>
    <row r="189" spans="1:26" x14ac:dyDescent="0.2">
      <c r="A189" s="228"/>
      <c r="B189" s="228"/>
      <c r="C189" s="228"/>
      <c r="D189" s="228"/>
      <c r="E189" s="228"/>
      <c r="F189" s="228"/>
      <c r="G189" s="228"/>
      <c r="H189" s="228"/>
      <c r="I189" s="228"/>
      <c r="J189" s="228"/>
      <c r="K189" s="228"/>
      <c r="L189" s="228"/>
      <c r="M189" s="228"/>
      <c r="N189" s="228"/>
      <c r="O189" s="228"/>
      <c r="P189" s="228"/>
      <c r="Q189" s="228"/>
      <c r="R189" s="228"/>
      <c r="S189" s="228"/>
      <c r="T189" s="228"/>
      <c r="U189" s="228"/>
      <c r="V189" s="228"/>
      <c r="W189" s="228"/>
      <c r="X189" s="228"/>
      <c r="Y189" s="228"/>
      <c r="Z189" s="228"/>
    </row>
    <row r="190" spans="1:26" x14ac:dyDescent="0.2">
      <c r="A190" s="228"/>
      <c r="B190" s="228"/>
      <c r="C190" s="228"/>
      <c r="D190" s="228"/>
      <c r="E190" s="228"/>
      <c r="F190" s="228"/>
      <c r="G190" s="228"/>
      <c r="H190" s="228"/>
      <c r="I190" s="228"/>
      <c r="J190" s="228"/>
      <c r="K190" s="228"/>
      <c r="L190" s="228"/>
      <c r="M190" s="228"/>
      <c r="N190" s="228"/>
      <c r="O190" s="228"/>
      <c r="P190" s="228"/>
      <c r="Q190" s="228"/>
      <c r="R190" s="228"/>
      <c r="S190" s="228"/>
      <c r="T190" s="228"/>
      <c r="U190" s="228"/>
      <c r="V190" s="228"/>
      <c r="W190" s="228"/>
      <c r="X190" s="228"/>
      <c r="Y190" s="228"/>
      <c r="Z190" s="228"/>
    </row>
    <row r="191" spans="1:26" ht="31.5" x14ac:dyDescent="0.25">
      <c r="A191" s="228"/>
      <c r="B191" s="138" t="s">
        <v>241</v>
      </c>
      <c r="C191" s="164"/>
      <c r="D191" s="163"/>
      <c r="E191" s="163"/>
      <c r="F191" s="163"/>
      <c r="G191" s="173"/>
      <c r="H191" s="163"/>
      <c r="I191" s="173" t="s">
        <v>243</v>
      </c>
      <c r="J191" s="163"/>
      <c r="K191" s="163"/>
      <c r="L191" s="163"/>
      <c r="M191" s="163"/>
      <c r="N191" s="163"/>
      <c r="O191" s="163"/>
      <c r="P191" s="163"/>
      <c r="Q191" s="163"/>
      <c r="R191" s="228"/>
      <c r="S191" s="228"/>
      <c r="T191" s="228"/>
      <c r="U191" s="228"/>
      <c r="V191" s="228"/>
      <c r="W191" s="228"/>
      <c r="X191" s="228"/>
      <c r="Y191" s="228"/>
      <c r="Z191" s="228"/>
    </row>
    <row r="192" spans="1:26" ht="31.5" x14ac:dyDescent="0.25">
      <c r="A192" s="228"/>
      <c r="B192" s="170" t="s">
        <v>118</v>
      </c>
      <c r="C192" s="162" t="s">
        <v>153</v>
      </c>
      <c r="D192" s="162" t="s">
        <v>154</v>
      </c>
      <c r="E192" s="170" t="s">
        <v>155</v>
      </c>
      <c r="F192" s="162" t="s">
        <v>156</v>
      </c>
      <c r="G192" s="162" t="s">
        <v>157</v>
      </c>
      <c r="H192" s="162" t="s">
        <v>158</v>
      </c>
      <c r="I192" s="162" t="s">
        <v>159</v>
      </c>
      <c r="J192" s="162" t="s">
        <v>160</v>
      </c>
      <c r="K192" s="162" t="s">
        <v>161</v>
      </c>
      <c r="L192" s="162" t="s">
        <v>162</v>
      </c>
      <c r="M192" s="162" t="s">
        <v>163</v>
      </c>
      <c r="N192" s="162" t="s">
        <v>166</v>
      </c>
      <c r="O192" s="162" t="s">
        <v>167</v>
      </c>
      <c r="P192" s="162" t="s">
        <v>168</v>
      </c>
      <c r="Q192" s="162" t="s">
        <v>169</v>
      </c>
      <c r="R192" s="228"/>
      <c r="S192" s="228"/>
      <c r="T192" s="228"/>
      <c r="U192" s="228"/>
      <c r="V192" s="228"/>
      <c r="W192" s="228"/>
      <c r="X192" s="228"/>
      <c r="Y192" s="228"/>
      <c r="Z192" s="228"/>
    </row>
    <row r="193" spans="1:26" ht="15.75" x14ac:dyDescent="0.25">
      <c r="A193" s="228"/>
      <c r="B193" s="175" t="s">
        <v>180</v>
      </c>
      <c r="C193" s="160">
        <v>942878</v>
      </c>
      <c r="D193" s="160">
        <v>936737</v>
      </c>
      <c r="E193" s="161">
        <v>0.99348696225810762</v>
      </c>
      <c r="F193" s="160">
        <v>486807</v>
      </c>
      <c r="G193" s="159">
        <v>0.51968375328400607</v>
      </c>
      <c r="H193" s="160">
        <v>307616</v>
      </c>
      <c r="I193" s="159">
        <v>0.3283909998217216</v>
      </c>
      <c r="J193" s="160">
        <v>82512</v>
      </c>
      <c r="K193" s="159">
        <v>8.8084489029471455E-2</v>
      </c>
      <c r="L193" s="160">
        <v>71775</v>
      </c>
      <c r="M193" s="159">
        <v>7.662236038503871E-2</v>
      </c>
      <c r="N193" s="160">
        <v>6141</v>
      </c>
      <c r="O193" s="159">
        <v>6.5130377418923767E-3</v>
      </c>
      <c r="P193" s="160">
        <v>734</v>
      </c>
      <c r="Q193" s="159">
        <v>7.8357105569652958E-4</v>
      </c>
      <c r="R193" s="228"/>
      <c r="S193" s="228"/>
      <c r="T193" s="228"/>
      <c r="U193" s="228"/>
      <c r="V193" s="228"/>
      <c r="W193" s="228"/>
      <c r="X193" s="228"/>
      <c r="Y193" s="228"/>
      <c r="Z193" s="228"/>
    </row>
    <row r="194" spans="1:26" x14ac:dyDescent="0.2">
      <c r="A194" s="228"/>
      <c r="B194" s="228"/>
      <c r="C194" s="228"/>
      <c r="D194" s="228"/>
      <c r="E194" s="228"/>
      <c r="F194" s="228"/>
      <c r="G194" s="228"/>
      <c r="H194" s="228"/>
      <c r="I194" s="228"/>
      <c r="J194" s="228"/>
      <c r="K194" s="228"/>
      <c r="L194" s="228"/>
      <c r="M194" s="228"/>
      <c r="N194" s="228"/>
      <c r="O194" s="228"/>
      <c r="P194" s="228"/>
      <c r="Q194" s="228"/>
      <c r="R194" s="228"/>
      <c r="S194" s="228"/>
      <c r="T194" s="228"/>
      <c r="U194" s="228"/>
      <c r="V194" s="228"/>
      <c r="W194" s="228"/>
      <c r="X194" s="228"/>
      <c r="Y194" s="228"/>
      <c r="Z194" s="228"/>
    </row>
    <row r="195" spans="1:26" ht="31.5" x14ac:dyDescent="0.25">
      <c r="A195" s="228"/>
      <c r="B195" s="138" t="s">
        <v>242</v>
      </c>
      <c r="C195" s="164"/>
      <c r="D195" s="163"/>
      <c r="E195" s="163"/>
      <c r="F195" s="163"/>
      <c r="G195" s="173"/>
      <c r="H195" s="163"/>
      <c r="I195" s="173" t="s">
        <v>243</v>
      </c>
      <c r="J195" s="163"/>
      <c r="K195" s="163"/>
      <c r="L195" s="163"/>
      <c r="M195" s="163"/>
      <c r="N195" s="163"/>
      <c r="O195" s="163"/>
      <c r="P195" s="163"/>
      <c r="Q195" s="163"/>
      <c r="R195" s="228"/>
      <c r="S195" s="228"/>
      <c r="T195" s="228"/>
      <c r="U195" s="228"/>
      <c r="V195" s="228"/>
      <c r="W195" s="228"/>
      <c r="X195" s="228"/>
      <c r="Y195" s="228"/>
      <c r="Z195" s="228"/>
    </row>
    <row r="196" spans="1:26" ht="15.75" x14ac:dyDescent="0.25">
      <c r="A196" s="228"/>
      <c r="B196" s="170" t="s">
        <v>118</v>
      </c>
      <c r="C196" s="162" t="s">
        <v>153</v>
      </c>
      <c r="D196" s="162" t="s">
        <v>154</v>
      </c>
      <c r="E196" s="162" t="s">
        <v>155</v>
      </c>
      <c r="F196" s="162" t="s">
        <v>156</v>
      </c>
      <c r="G196" s="162" t="s">
        <v>157</v>
      </c>
      <c r="H196" s="162" t="s">
        <v>158</v>
      </c>
      <c r="I196" s="162" t="s">
        <v>159</v>
      </c>
      <c r="J196" s="162" t="s">
        <v>160</v>
      </c>
      <c r="K196" s="162" t="s">
        <v>161</v>
      </c>
      <c r="L196" s="162" t="s">
        <v>162</v>
      </c>
      <c r="M196" s="162" t="s">
        <v>163</v>
      </c>
      <c r="N196" s="162" t="s">
        <v>166</v>
      </c>
      <c r="O196" s="162" t="s">
        <v>167</v>
      </c>
      <c r="P196" s="162" t="s">
        <v>168</v>
      </c>
      <c r="Q196" s="162" t="s">
        <v>169</v>
      </c>
      <c r="R196" s="228"/>
      <c r="S196" s="228"/>
      <c r="T196" s="228"/>
      <c r="U196" s="228"/>
      <c r="V196" s="228"/>
      <c r="W196" s="228"/>
      <c r="X196" s="228"/>
      <c r="Y196" s="228"/>
      <c r="Z196" s="228"/>
    </row>
    <row r="197" spans="1:26" ht="15.75" x14ac:dyDescent="0.25">
      <c r="A197" s="228"/>
      <c r="B197" s="175" t="s">
        <v>180</v>
      </c>
      <c r="C197" s="160">
        <v>958683</v>
      </c>
      <c r="D197" s="160">
        <v>927134</v>
      </c>
      <c r="E197" s="161">
        <v>0.96709131172660823</v>
      </c>
      <c r="F197" s="160">
        <v>275621</v>
      </c>
      <c r="G197" s="159">
        <v>0.29728280917321553</v>
      </c>
      <c r="H197" s="160">
        <v>214257</v>
      </c>
      <c r="I197" s="159">
        <v>0.23109604436899089</v>
      </c>
      <c r="J197" s="160">
        <v>9374</v>
      </c>
      <c r="K197" s="159">
        <v>1.0110728330532587E-2</v>
      </c>
      <c r="L197" s="160">
        <v>8182</v>
      </c>
      <c r="M197" s="159">
        <v>8.8250457862617485E-3</v>
      </c>
      <c r="N197" s="160">
        <v>31594</v>
      </c>
      <c r="O197" s="159">
        <v>3.2955627668374218E-2</v>
      </c>
      <c r="P197" s="160">
        <v>687</v>
      </c>
      <c r="Q197" s="159">
        <v>7.4099321133730401E-4</v>
      </c>
      <c r="R197" s="228"/>
      <c r="S197" s="228"/>
      <c r="T197" s="228"/>
      <c r="U197" s="228"/>
      <c r="V197" s="228"/>
      <c r="W197" s="228"/>
      <c r="X197" s="228"/>
      <c r="Y197" s="228"/>
      <c r="Z197" s="228"/>
    </row>
    <row r="198" spans="1:26" x14ac:dyDescent="0.2">
      <c r="A198" s="228"/>
      <c r="B198" s="228"/>
      <c r="C198" s="228"/>
      <c r="D198" s="228"/>
      <c r="E198" s="228"/>
      <c r="F198" s="228"/>
      <c r="G198" s="228"/>
      <c r="H198" s="228"/>
      <c r="I198" s="228"/>
      <c r="J198" s="228"/>
      <c r="K198" s="228"/>
      <c r="L198" s="228"/>
      <c r="M198" s="228"/>
      <c r="N198" s="228"/>
      <c r="O198" s="228"/>
      <c r="P198" s="228"/>
      <c r="Q198" s="228"/>
      <c r="R198" s="228"/>
      <c r="S198" s="228"/>
      <c r="T198" s="228"/>
      <c r="U198" s="228"/>
      <c r="V198" s="228"/>
      <c r="W198" s="228"/>
      <c r="X198" s="228"/>
      <c r="Y198" s="228"/>
      <c r="Z198" s="228"/>
    </row>
    <row r="199" spans="1:26" ht="31.5" x14ac:dyDescent="0.25">
      <c r="A199" s="228"/>
      <c r="B199" s="185" t="s">
        <v>244</v>
      </c>
      <c r="C199" s="158" t="s">
        <v>153</v>
      </c>
      <c r="D199" s="158" t="s">
        <v>154</v>
      </c>
      <c r="E199" s="158" t="s">
        <v>155</v>
      </c>
      <c r="F199" s="158" t="s">
        <v>156</v>
      </c>
      <c r="G199" s="158" t="s">
        <v>157</v>
      </c>
      <c r="H199" s="158" t="s">
        <v>158</v>
      </c>
      <c r="I199" s="158" t="s">
        <v>159</v>
      </c>
      <c r="J199" s="158" t="s">
        <v>160</v>
      </c>
      <c r="K199" s="158" t="s">
        <v>161</v>
      </c>
      <c r="L199" s="158" t="s">
        <v>162</v>
      </c>
      <c r="M199" s="158" t="s">
        <v>163</v>
      </c>
      <c r="N199" s="158" t="s">
        <v>166</v>
      </c>
      <c r="O199" s="158" t="s">
        <v>167</v>
      </c>
      <c r="P199" s="158" t="s">
        <v>168</v>
      </c>
      <c r="Q199" s="158" t="s">
        <v>169</v>
      </c>
      <c r="R199" s="172"/>
      <c r="S199" s="228"/>
      <c r="T199" s="228"/>
      <c r="U199" s="228"/>
      <c r="V199" s="228"/>
      <c r="W199" s="228"/>
      <c r="X199" s="228"/>
      <c r="Y199" s="228"/>
      <c r="Z199" s="228"/>
    </row>
    <row r="200" spans="1:26" x14ac:dyDescent="0.2">
      <c r="A200" s="228"/>
      <c r="B200" s="133"/>
      <c r="C200" s="157">
        <v>1901561</v>
      </c>
      <c r="D200" s="157">
        <v>1863871</v>
      </c>
      <c r="E200" s="156">
        <v>0.98017944204787544</v>
      </c>
      <c r="F200" s="157">
        <v>762428</v>
      </c>
      <c r="G200" s="156">
        <v>0.40905620614302168</v>
      </c>
      <c r="H200" s="157">
        <v>521873</v>
      </c>
      <c r="I200" s="156">
        <v>0.27999416268615157</v>
      </c>
      <c r="J200" s="157">
        <v>91886</v>
      </c>
      <c r="K200" s="156">
        <v>4.9298476128444513E-2</v>
      </c>
      <c r="L200" s="157">
        <v>79957</v>
      </c>
      <c r="M200" s="156">
        <v>4.2898355090025007E-2</v>
      </c>
      <c r="N200" s="157">
        <v>37735</v>
      </c>
      <c r="O200" s="156">
        <v>1.9844222720175688E-2</v>
      </c>
      <c r="P200" s="157">
        <v>1421</v>
      </c>
      <c r="Q200" s="156">
        <v>7.6239181788868436E-4</v>
      </c>
      <c r="R200" s="171"/>
      <c r="S200" s="228"/>
      <c r="T200" s="228"/>
      <c r="U200" s="228"/>
      <c r="V200" s="228"/>
      <c r="W200" s="228"/>
      <c r="X200" s="228"/>
      <c r="Y200" s="228"/>
      <c r="Z200" s="228"/>
    </row>
    <row r="201" spans="1:26" x14ac:dyDescent="0.2">
      <c r="A201" s="228"/>
      <c r="B201" s="228"/>
      <c r="C201" s="228"/>
      <c r="D201" s="228"/>
      <c r="E201" s="228"/>
      <c r="F201" s="228"/>
      <c r="G201" s="228"/>
      <c r="H201" s="228"/>
      <c r="I201" s="228"/>
      <c r="J201" s="228"/>
      <c r="K201" s="228"/>
      <c r="L201" s="228"/>
      <c r="M201" s="228"/>
      <c r="N201" s="228"/>
      <c r="O201" s="228"/>
      <c r="P201" s="228"/>
      <c r="Q201" s="228"/>
      <c r="R201" s="228"/>
      <c r="S201" s="228"/>
      <c r="T201" s="228"/>
      <c r="U201" s="228"/>
      <c r="V201" s="228"/>
      <c r="W201" s="228"/>
      <c r="X201" s="228"/>
      <c r="Y201" s="228"/>
      <c r="Z201" s="228"/>
    </row>
    <row r="202" spans="1:26" x14ac:dyDescent="0.2">
      <c r="A202" s="228"/>
      <c r="B202" s="228"/>
      <c r="C202" s="228"/>
      <c r="D202" s="228"/>
      <c r="E202" s="228"/>
      <c r="F202" s="228"/>
      <c r="G202" s="228"/>
      <c r="H202" s="228"/>
      <c r="I202" s="228"/>
      <c r="J202" s="228"/>
      <c r="K202" s="228"/>
      <c r="L202" s="228"/>
      <c r="M202" s="228"/>
      <c r="N202" s="228"/>
      <c r="O202" s="228"/>
      <c r="P202" s="228"/>
      <c r="Q202" s="228"/>
      <c r="R202" s="228"/>
      <c r="S202" s="228"/>
      <c r="T202" s="228"/>
      <c r="U202" s="228"/>
      <c r="V202" s="228"/>
      <c r="W202" s="228"/>
      <c r="X202" s="228"/>
      <c r="Y202" s="228"/>
      <c r="Z202" s="228"/>
    </row>
    <row r="203" spans="1:26" ht="31.5" x14ac:dyDescent="0.25">
      <c r="A203" s="228"/>
      <c r="B203" s="138" t="s">
        <v>246</v>
      </c>
      <c r="C203" s="164"/>
      <c r="D203" s="163"/>
      <c r="E203" s="163"/>
      <c r="F203" s="163"/>
      <c r="G203" s="163"/>
      <c r="H203" s="163"/>
      <c r="I203" s="163"/>
      <c r="J203" s="163"/>
      <c r="K203" s="163"/>
      <c r="L203" s="163"/>
      <c r="M203" s="163"/>
      <c r="N203" s="163"/>
      <c r="O203" s="163"/>
      <c r="P203" s="163"/>
      <c r="Q203" s="163"/>
      <c r="R203" s="228"/>
      <c r="S203" s="228"/>
      <c r="T203" s="228"/>
      <c r="U203" s="228"/>
      <c r="V203" s="228"/>
      <c r="W203" s="228"/>
      <c r="X203" s="228"/>
      <c r="Y203" s="228"/>
      <c r="Z203" s="228"/>
    </row>
    <row r="204" spans="1:26" ht="15.75" x14ac:dyDescent="0.25">
      <c r="A204" s="228"/>
      <c r="B204" s="170" t="s">
        <v>118</v>
      </c>
      <c r="C204" s="162" t="s">
        <v>153</v>
      </c>
      <c r="D204" s="162" t="s">
        <v>154</v>
      </c>
      <c r="E204" s="162" t="s">
        <v>155</v>
      </c>
      <c r="F204" s="162" t="s">
        <v>156</v>
      </c>
      <c r="G204" s="162" t="s">
        <v>157</v>
      </c>
      <c r="H204" s="162" t="s">
        <v>158</v>
      </c>
      <c r="I204" s="162" t="s">
        <v>159</v>
      </c>
      <c r="J204" s="162" t="s">
        <v>160</v>
      </c>
      <c r="K204" s="162" t="s">
        <v>161</v>
      </c>
      <c r="L204" s="170" t="s">
        <v>162</v>
      </c>
      <c r="M204" s="162" t="s">
        <v>163</v>
      </c>
      <c r="N204" s="162" t="s">
        <v>166</v>
      </c>
      <c r="O204" s="162" t="s">
        <v>167</v>
      </c>
      <c r="P204" s="162" t="s">
        <v>168</v>
      </c>
      <c r="Q204" s="162" t="s">
        <v>169</v>
      </c>
      <c r="R204" s="228"/>
      <c r="S204" s="228"/>
      <c r="T204" s="228"/>
      <c r="U204" s="228"/>
      <c r="V204" s="228"/>
      <c r="W204" s="228"/>
      <c r="X204" s="228"/>
      <c r="Y204" s="228"/>
      <c r="Z204" s="228"/>
    </row>
    <row r="205" spans="1:26" ht="15.75" x14ac:dyDescent="0.25">
      <c r="A205" s="228"/>
      <c r="B205" s="175" t="s">
        <v>247</v>
      </c>
      <c r="C205" s="160">
        <v>1930</v>
      </c>
      <c r="D205" s="160">
        <v>1892</v>
      </c>
      <c r="E205" s="161">
        <v>0.98031088082901552</v>
      </c>
      <c r="F205" s="160">
        <v>1543</v>
      </c>
      <c r="G205" s="159">
        <v>0.81553911205073992</v>
      </c>
      <c r="H205" s="160">
        <v>854</v>
      </c>
      <c r="I205" s="159">
        <v>0.45137420718816068</v>
      </c>
      <c r="J205" s="160">
        <v>572</v>
      </c>
      <c r="K205" s="159">
        <v>0.30232558139534882</v>
      </c>
      <c r="L205" s="160">
        <v>348</v>
      </c>
      <c r="M205" s="159">
        <v>0.1839323467230444</v>
      </c>
      <c r="N205" s="160">
        <v>38</v>
      </c>
      <c r="O205" s="159">
        <v>1.9689119170984457E-2</v>
      </c>
      <c r="P205" s="160">
        <v>1</v>
      </c>
      <c r="Q205" s="159">
        <v>5.2854122621564484E-4</v>
      </c>
      <c r="R205" s="228"/>
      <c r="S205" s="228"/>
      <c r="T205" s="228"/>
      <c r="U205" s="228"/>
      <c r="V205" s="228"/>
      <c r="W205" s="228"/>
      <c r="X205" s="228"/>
      <c r="Y205" s="228"/>
      <c r="Z205" s="228"/>
    </row>
    <row r="206" spans="1:26" x14ac:dyDescent="0.2">
      <c r="A206" s="228"/>
      <c r="B206" s="228"/>
      <c r="C206" s="228"/>
      <c r="D206" s="228"/>
      <c r="E206" s="228"/>
      <c r="F206" s="228"/>
      <c r="G206" s="228"/>
      <c r="H206" s="228"/>
      <c r="I206" s="228"/>
      <c r="J206" s="228"/>
      <c r="K206" s="228"/>
      <c r="L206" s="228"/>
      <c r="M206" s="228"/>
      <c r="N206" s="228"/>
      <c r="O206" s="228"/>
      <c r="P206" s="228"/>
      <c r="Q206" s="228"/>
      <c r="R206" s="228"/>
      <c r="S206" s="228"/>
      <c r="T206" s="228"/>
      <c r="U206" s="228"/>
      <c r="V206" s="228"/>
      <c r="W206" s="228"/>
      <c r="X206" s="228"/>
      <c r="Y206" s="228"/>
      <c r="Z206" s="228"/>
    </row>
    <row r="207" spans="1:26" ht="31.5" x14ac:dyDescent="0.25">
      <c r="A207" s="228"/>
      <c r="B207" s="138" t="s">
        <v>248</v>
      </c>
      <c r="C207" s="164"/>
      <c r="D207" s="163"/>
      <c r="E207" s="163"/>
      <c r="F207" s="163"/>
      <c r="G207" s="163"/>
      <c r="H207" s="163"/>
      <c r="I207" s="163"/>
      <c r="J207" s="163"/>
      <c r="K207" s="163"/>
      <c r="L207" s="163"/>
      <c r="M207" s="163"/>
      <c r="N207" s="163"/>
      <c r="O207" s="163"/>
      <c r="P207" s="163"/>
      <c r="Q207" s="163"/>
      <c r="R207" s="228"/>
      <c r="S207" s="228"/>
      <c r="T207" s="228"/>
      <c r="U207" s="228"/>
      <c r="V207" s="228"/>
      <c r="W207" s="228"/>
      <c r="X207" s="228"/>
      <c r="Y207" s="228"/>
      <c r="Z207" s="228"/>
    </row>
    <row r="208" spans="1:26" ht="15.75" x14ac:dyDescent="0.25">
      <c r="A208" s="228"/>
      <c r="B208" s="170" t="s">
        <v>118</v>
      </c>
      <c r="C208" s="162" t="s">
        <v>153</v>
      </c>
      <c r="D208" s="162" t="s">
        <v>154</v>
      </c>
      <c r="E208" s="162" t="s">
        <v>155</v>
      </c>
      <c r="F208" s="162" t="s">
        <v>156</v>
      </c>
      <c r="G208" s="162" t="s">
        <v>157</v>
      </c>
      <c r="H208" s="162" t="s">
        <v>158</v>
      </c>
      <c r="I208" s="162" t="s">
        <v>159</v>
      </c>
      <c r="J208" s="162" t="s">
        <v>160</v>
      </c>
      <c r="K208" s="162" t="s">
        <v>161</v>
      </c>
      <c r="L208" s="170" t="s">
        <v>162</v>
      </c>
      <c r="M208" s="162" t="s">
        <v>163</v>
      </c>
      <c r="N208" s="162" t="s">
        <v>166</v>
      </c>
      <c r="O208" s="162" t="s">
        <v>167</v>
      </c>
      <c r="P208" s="162" t="s">
        <v>168</v>
      </c>
      <c r="Q208" s="162" t="s">
        <v>169</v>
      </c>
      <c r="R208" s="228"/>
      <c r="S208" s="228"/>
      <c r="T208" s="228"/>
      <c r="U208" s="228"/>
      <c r="V208" s="228"/>
      <c r="W208" s="228"/>
      <c r="X208" s="228"/>
      <c r="Y208" s="228"/>
      <c r="Z208" s="228"/>
    </row>
    <row r="209" spans="1:26" ht="15.75" x14ac:dyDescent="0.25">
      <c r="A209" s="228"/>
      <c r="B209" s="175" t="s">
        <v>180</v>
      </c>
      <c r="C209" s="160">
        <v>961651</v>
      </c>
      <c r="D209" s="160">
        <v>935398</v>
      </c>
      <c r="E209" s="161">
        <v>0.97270007518320056</v>
      </c>
      <c r="F209" s="160">
        <v>248939</v>
      </c>
      <c r="G209" s="159">
        <v>0.26613163594534089</v>
      </c>
      <c r="H209" s="160">
        <v>194353</v>
      </c>
      <c r="I209" s="159">
        <v>0.20777572755126694</v>
      </c>
      <c r="J209" s="160">
        <v>10514</v>
      </c>
      <c r="K209" s="159">
        <v>1.1240135215170441E-2</v>
      </c>
      <c r="L209" s="160">
        <v>8520</v>
      </c>
      <c r="M209" s="159">
        <v>9.1084222972467339E-3</v>
      </c>
      <c r="N209" s="160">
        <v>26253</v>
      </c>
      <c r="O209" s="159">
        <v>2.729992481679944E-2</v>
      </c>
      <c r="P209" s="160">
        <v>772</v>
      </c>
      <c r="Q209" s="159">
        <v>8.2531713773174625E-4</v>
      </c>
      <c r="R209" s="228"/>
      <c r="S209" s="228"/>
      <c r="T209" s="228"/>
      <c r="U209" s="228"/>
      <c r="V209" s="228"/>
      <c r="W209" s="228"/>
      <c r="X209" s="228"/>
      <c r="Y209" s="228"/>
      <c r="Z209" s="228"/>
    </row>
    <row r="210" spans="1:26" x14ac:dyDescent="0.2">
      <c r="A210" s="228"/>
      <c r="B210" s="228"/>
      <c r="C210" s="228"/>
      <c r="D210" s="228"/>
      <c r="E210" s="228"/>
      <c r="F210" s="228"/>
      <c r="G210" s="228"/>
      <c r="H210" s="228"/>
      <c r="I210" s="228"/>
      <c r="J210" s="228"/>
      <c r="K210" s="228"/>
      <c r="L210" s="228"/>
      <c r="M210" s="228"/>
      <c r="N210" s="228"/>
      <c r="O210" s="228"/>
      <c r="P210" s="228"/>
      <c r="Q210" s="228"/>
      <c r="R210" s="228"/>
      <c r="S210" s="228"/>
      <c r="T210" s="228"/>
      <c r="U210" s="228"/>
      <c r="V210" s="228"/>
      <c r="W210" s="228"/>
      <c r="X210" s="228"/>
      <c r="Y210" s="228"/>
      <c r="Z210" s="228"/>
    </row>
    <row r="211" spans="1:26" ht="15.75" x14ac:dyDescent="0.25">
      <c r="A211" s="228"/>
      <c r="B211" s="138" t="s">
        <v>249</v>
      </c>
      <c r="C211" s="164"/>
      <c r="D211" s="163"/>
      <c r="E211" s="163"/>
      <c r="F211" s="163"/>
      <c r="G211" s="163"/>
      <c r="H211" s="163"/>
      <c r="I211" s="163"/>
      <c r="J211" s="163"/>
      <c r="K211" s="163"/>
      <c r="L211" s="163"/>
      <c r="M211" s="163"/>
      <c r="N211" s="163"/>
      <c r="O211" s="163"/>
      <c r="P211" s="163"/>
      <c r="Q211" s="163"/>
      <c r="R211" s="228"/>
      <c r="S211" s="228"/>
      <c r="T211" s="228"/>
      <c r="U211" s="228"/>
      <c r="V211" s="228"/>
      <c r="W211" s="228"/>
      <c r="X211" s="228"/>
      <c r="Y211" s="228"/>
      <c r="Z211" s="228"/>
    </row>
    <row r="212" spans="1:26" ht="15.75" x14ac:dyDescent="0.25">
      <c r="A212" s="228"/>
      <c r="B212" s="170" t="s">
        <v>118</v>
      </c>
      <c r="C212" s="162" t="s">
        <v>153</v>
      </c>
      <c r="D212" s="162" t="s">
        <v>154</v>
      </c>
      <c r="E212" s="162" t="s">
        <v>155</v>
      </c>
      <c r="F212" s="162" t="s">
        <v>156</v>
      </c>
      <c r="G212" s="162" t="s">
        <v>157</v>
      </c>
      <c r="H212" s="162" t="s">
        <v>158</v>
      </c>
      <c r="I212" s="162" t="s">
        <v>159</v>
      </c>
      <c r="J212" s="162" t="s">
        <v>160</v>
      </c>
      <c r="K212" s="162" t="s">
        <v>161</v>
      </c>
      <c r="L212" s="170" t="s">
        <v>162</v>
      </c>
      <c r="M212" s="162" t="s">
        <v>163</v>
      </c>
      <c r="N212" s="162" t="s">
        <v>166</v>
      </c>
      <c r="O212" s="162" t="s">
        <v>167</v>
      </c>
      <c r="P212" s="162" t="s">
        <v>168</v>
      </c>
      <c r="Q212" s="162" t="s">
        <v>169</v>
      </c>
      <c r="R212" s="228"/>
      <c r="S212" s="228"/>
      <c r="T212" s="228"/>
      <c r="U212" s="228"/>
      <c r="V212" s="228"/>
      <c r="W212" s="228"/>
      <c r="X212" s="228"/>
      <c r="Y212" s="228"/>
      <c r="Z212" s="228"/>
    </row>
    <row r="213" spans="1:26" ht="15.75" x14ac:dyDescent="0.25">
      <c r="A213" s="228"/>
      <c r="B213" s="175" t="s">
        <v>180</v>
      </c>
      <c r="C213" s="160">
        <v>976250</v>
      </c>
      <c r="D213" s="160">
        <v>969038</v>
      </c>
      <c r="E213" s="161">
        <v>0.99261254801536491</v>
      </c>
      <c r="F213" s="160">
        <v>271885</v>
      </c>
      <c r="G213" s="159">
        <v>0.28057207250902444</v>
      </c>
      <c r="H213" s="160">
        <v>207403</v>
      </c>
      <c r="I213" s="159">
        <v>0.21402979036941791</v>
      </c>
      <c r="J213" s="160">
        <v>18082</v>
      </c>
      <c r="K213" s="159">
        <v>1.8659742961576326E-2</v>
      </c>
      <c r="L213" s="160">
        <v>15814</v>
      </c>
      <c r="M213" s="159">
        <v>1.6319277468995023E-2</v>
      </c>
      <c r="N213" s="160">
        <v>7212</v>
      </c>
      <c r="O213" s="159">
        <v>7.3874519846350833E-3</v>
      </c>
      <c r="P213" s="160">
        <v>645</v>
      </c>
      <c r="Q213" s="159">
        <v>6.6560857262563488E-4</v>
      </c>
      <c r="R213" s="228"/>
      <c r="S213" s="228"/>
      <c r="T213" s="228"/>
      <c r="U213" s="228"/>
      <c r="V213" s="228"/>
      <c r="W213" s="228"/>
      <c r="X213" s="228"/>
      <c r="Y213" s="228"/>
      <c r="Z213" s="228"/>
    </row>
    <row r="214" spans="1:26" x14ac:dyDescent="0.2">
      <c r="A214" s="228"/>
      <c r="B214" s="228"/>
      <c r="C214" s="228"/>
      <c r="D214" s="228"/>
      <c r="E214" s="228"/>
      <c r="F214" s="228"/>
      <c r="G214" s="228"/>
      <c r="H214" s="228"/>
      <c r="I214" s="228"/>
      <c r="J214" s="228"/>
      <c r="K214" s="228"/>
      <c r="L214" s="228"/>
      <c r="M214" s="228"/>
      <c r="N214" s="228"/>
      <c r="O214" s="228"/>
      <c r="P214" s="228"/>
      <c r="Q214" s="228"/>
      <c r="R214" s="228"/>
      <c r="S214" s="228"/>
      <c r="T214" s="228"/>
      <c r="U214" s="228"/>
      <c r="V214" s="228"/>
      <c r="W214" s="228"/>
      <c r="X214" s="228"/>
      <c r="Y214" s="228"/>
      <c r="Z214" s="228"/>
    </row>
    <row r="215" spans="1:26" ht="31.5" x14ac:dyDescent="0.25">
      <c r="A215" s="228"/>
      <c r="B215" s="138" t="s">
        <v>250</v>
      </c>
      <c r="C215" s="164"/>
      <c r="D215" s="163"/>
      <c r="E215" s="163"/>
      <c r="F215" s="163"/>
      <c r="G215" s="163"/>
      <c r="H215" s="163"/>
      <c r="I215" s="163"/>
      <c r="J215" s="163"/>
      <c r="K215" s="163"/>
      <c r="L215" s="163"/>
      <c r="M215" s="163"/>
      <c r="N215" s="163"/>
      <c r="O215" s="163"/>
      <c r="P215" s="163"/>
      <c r="Q215" s="163"/>
      <c r="R215" s="228"/>
      <c r="S215" s="228"/>
      <c r="T215" s="228"/>
      <c r="U215" s="228"/>
      <c r="V215" s="228"/>
      <c r="W215" s="228"/>
      <c r="X215" s="228"/>
      <c r="Y215" s="228"/>
      <c r="Z215" s="228"/>
    </row>
    <row r="216" spans="1:26" ht="15.75" x14ac:dyDescent="0.25">
      <c r="A216" s="228"/>
      <c r="B216" s="170" t="s">
        <v>118</v>
      </c>
      <c r="C216" s="162" t="s">
        <v>153</v>
      </c>
      <c r="D216" s="162" t="s">
        <v>154</v>
      </c>
      <c r="E216" s="162" t="s">
        <v>155</v>
      </c>
      <c r="F216" s="162" t="s">
        <v>156</v>
      </c>
      <c r="G216" s="162" t="s">
        <v>157</v>
      </c>
      <c r="H216" s="162" t="s">
        <v>158</v>
      </c>
      <c r="I216" s="162" t="s">
        <v>159</v>
      </c>
      <c r="J216" s="162" t="s">
        <v>160</v>
      </c>
      <c r="K216" s="162" t="s">
        <v>161</v>
      </c>
      <c r="L216" s="170" t="s">
        <v>162</v>
      </c>
      <c r="M216" s="162" t="s">
        <v>163</v>
      </c>
      <c r="N216" s="162" t="s">
        <v>166</v>
      </c>
      <c r="O216" s="162" t="s">
        <v>167</v>
      </c>
      <c r="P216" s="162" t="s">
        <v>168</v>
      </c>
      <c r="Q216" s="162" t="s">
        <v>169</v>
      </c>
      <c r="R216" s="228"/>
      <c r="S216" s="228"/>
      <c r="T216" s="228"/>
      <c r="U216" s="228"/>
      <c r="V216" s="228"/>
      <c r="W216" s="228"/>
      <c r="X216" s="228"/>
      <c r="Y216" s="228"/>
      <c r="Z216" s="228"/>
    </row>
    <row r="217" spans="1:26" ht="15.75" x14ac:dyDescent="0.25">
      <c r="A217" s="228"/>
      <c r="B217" s="175" t="s">
        <v>251</v>
      </c>
      <c r="C217" s="160">
        <v>1632</v>
      </c>
      <c r="D217" s="160">
        <v>1596</v>
      </c>
      <c r="E217" s="161">
        <v>0.9779411764705882</v>
      </c>
      <c r="F217" s="160">
        <v>1095</v>
      </c>
      <c r="G217" s="159">
        <v>0.68609022556390975</v>
      </c>
      <c r="H217" s="160">
        <v>745</v>
      </c>
      <c r="I217" s="159">
        <v>0.4667919799498747</v>
      </c>
      <c r="J217" s="160">
        <v>331</v>
      </c>
      <c r="K217" s="159">
        <v>0.20739348370927319</v>
      </c>
      <c r="L217" s="160">
        <v>233</v>
      </c>
      <c r="M217" s="159">
        <v>0.14598997493734336</v>
      </c>
      <c r="N217" s="160">
        <v>31</v>
      </c>
      <c r="O217" s="159">
        <v>1.8995098039215685E-2</v>
      </c>
      <c r="P217" s="160">
        <v>0</v>
      </c>
      <c r="Q217" s="159">
        <v>0</v>
      </c>
      <c r="R217" s="228"/>
      <c r="S217" s="228"/>
      <c r="T217" s="228"/>
      <c r="U217" s="228"/>
      <c r="V217" s="228"/>
      <c r="W217" s="228"/>
      <c r="X217" s="228"/>
      <c r="Y217" s="228"/>
      <c r="Z217" s="228"/>
    </row>
    <row r="218" spans="1:26" x14ac:dyDescent="0.2">
      <c r="A218" s="228"/>
      <c r="B218" s="228"/>
      <c r="C218" s="228"/>
      <c r="D218" s="228"/>
      <c r="E218" s="228"/>
      <c r="F218" s="228"/>
      <c r="G218" s="228"/>
      <c r="H218" s="228"/>
      <c r="I218" s="228"/>
      <c r="J218" s="228"/>
      <c r="K218" s="228"/>
      <c r="L218" s="228"/>
      <c r="M218" s="228"/>
      <c r="N218" s="228"/>
      <c r="O218" s="228"/>
      <c r="P218" s="228"/>
      <c r="Q218" s="228"/>
      <c r="R218" s="228"/>
      <c r="S218" s="228"/>
      <c r="T218" s="228"/>
      <c r="U218" s="228"/>
      <c r="V218" s="228"/>
      <c r="W218" s="228"/>
      <c r="X218" s="228"/>
      <c r="Y218" s="228"/>
      <c r="Z218" s="228"/>
    </row>
    <row r="219" spans="1:26" ht="31.5" x14ac:dyDescent="0.25">
      <c r="A219" s="228"/>
      <c r="B219" s="138" t="s">
        <v>252</v>
      </c>
      <c r="C219" s="164"/>
      <c r="D219" s="163"/>
      <c r="E219" s="163"/>
      <c r="F219" s="163"/>
      <c r="G219" s="163"/>
      <c r="H219" s="163"/>
      <c r="I219" s="163"/>
      <c r="J219" s="163"/>
      <c r="K219" s="163"/>
      <c r="L219" s="163"/>
      <c r="M219" s="163"/>
      <c r="N219" s="163"/>
      <c r="O219" s="163"/>
      <c r="P219" s="163"/>
      <c r="Q219" s="163"/>
      <c r="R219" s="228"/>
      <c r="S219" s="228"/>
      <c r="T219" s="228"/>
      <c r="U219" s="228"/>
      <c r="V219" s="228"/>
      <c r="W219" s="228"/>
      <c r="X219" s="228"/>
      <c r="Y219" s="228"/>
      <c r="Z219" s="228"/>
    </row>
    <row r="220" spans="1:26" ht="15.75" x14ac:dyDescent="0.25">
      <c r="A220" s="228"/>
      <c r="B220" s="170" t="s">
        <v>118</v>
      </c>
      <c r="C220" s="162" t="s">
        <v>153</v>
      </c>
      <c r="D220" s="162" t="s">
        <v>154</v>
      </c>
      <c r="E220" s="162" t="s">
        <v>155</v>
      </c>
      <c r="F220" s="162" t="s">
        <v>156</v>
      </c>
      <c r="G220" s="162" t="s">
        <v>157</v>
      </c>
      <c r="H220" s="162" t="s">
        <v>158</v>
      </c>
      <c r="I220" s="162" t="s">
        <v>159</v>
      </c>
      <c r="J220" s="162" t="s">
        <v>160</v>
      </c>
      <c r="K220" s="162" t="s">
        <v>161</v>
      </c>
      <c r="L220" s="170" t="s">
        <v>162</v>
      </c>
      <c r="M220" s="162" t="s">
        <v>163</v>
      </c>
      <c r="N220" s="162" t="s">
        <v>166</v>
      </c>
      <c r="O220" s="162" t="s">
        <v>167</v>
      </c>
      <c r="P220" s="162" t="s">
        <v>168</v>
      </c>
      <c r="Q220" s="162" t="s">
        <v>169</v>
      </c>
      <c r="R220" s="228"/>
      <c r="S220" s="228"/>
      <c r="T220" s="228"/>
      <c r="U220" s="228"/>
      <c r="V220" s="228"/>
      <c r="W220" s="228"/>
      <c r="X220" s="228"/>
      <c r="Y220" s="228"/>
      <c r="Z220" s="228"/>
    </row>
    <row r="221" spans="1:26" ht="15.75" x14ac:dyDescent="0.25">
      <c r="A221" s="228"/>
      <c r="B221" s="175" t="s">
        <v>180</v>
      </c>
      <c r="C221" s="160">
        <v>975880</v>
      </c>
      <c r="D221" s="160">
        <v>968463</v>
      </c>
      <c r="E221" s="161">
        <v>0.99239968028856007</v>
      </c>
      <c r="F221" s="160">
        <v>196866</v>
      </c>
      <c r="G221" s="159">
        <v>0.20327673850214206</v>
      </c>
      <c r="H221" s="160">
        <v>160351</v>
      </c>
      <c r="I221" s="159">
        <v>0.16557266514053712</v>
      </c>
      <c r="J221" s="160">
        <v>8369</v>
      </c>
      <c r="K221" s="159">
        <v>8.6415278642550108E-3</v>
      </c>
      <c r="L221" s="160">
        <v>6935</v>
      </c>
      <c r="M221" s="159">
        <v>7.1608311313906678E-3</v>
      </c>
      <c r="N221" s="160">
        <v>7417</v>
      </c>
      <c r="O221" s="159">
        <v>7.6003197114399308E-3</v>
      </c>
      <c r="P221" s="160">
        <v>812</v>
      </c>
      <c r="Q221" s="159">
        <v>8.3844194357450932E-4</v>
      </c>
      <c r="R221" s="228"/>
      <c r="S221" s="228"/>
      <c r="T221" s="228"/>
      <c r="U221" s="228"/>
      <c r="V221" s="228"/>
      <c r="W221" s="228"/>
      <c r="X221" s="228"/>
      <c r="Y221" s="228"/>
      <c r="Z221" s="228"/>
    </row>
    <row r="222" spans="1:26" x14ac:dyDescent="0.2">
      <c r="A222" s="228"/>
      <c r="B222" s="228"/>
      <c r="C222" s="228"/>
      <c r="D222" s="228"/>
      <c r="E222" s="228"/>
      <c r="F222" s="228"/>
      <c r="G222" s="228"/>
      <c r="H222" s="228"/>
      <c r="I222" s="228"/>
      <c r="J222" s="228"/>
      <c r="K222" s="228"/>
      <c r="L222" s="228"/>
      <c r="M222" s="228"/>
      <c r="N222" s="228"/>
      <c r="O222" s="228"/>
      <c r="P222" s="228"/>
      <c r="Q222" s="228"/>
      <c r="R222" s="228"/>
      <c r="S222" s="228"/>
      <c r="T222" s="228"/>
      <c r="U222" s="228"/>
      <c r="V222" s="228"/>
      <c r="W222" s="228"/>
      <c r="X222" s="228"/>
      <c r="Y222" s="228"/>
      <c r="Z222" s="228"/>
    </row>
    <row r="223" spans="1:26" ht="15.75" x14ac:dyDescent="0.25">
      <c r="A223" s="228"/>
      <c r="B223" s="138" t="s">
        <v>253</v>
      </c>
      <c r="C223" s="164"/>
      <c r="D223" s="163"/>
      <c r="E223" s="163"/>
      <c r="F223" s="163"/>
      <c r="G223" s="163"/>
      <c r="H223" s="163"/>
      <c r="I223" s="163"/>
      <c r="J223" s="163"/>
      <c r="K223" s="163"/>
      <c r="L223" s="163"/>
      <c r="M223" s="163"/>
      <c r="N223" s="163"/>
      <c r="O223" s="163"/>
      <c r="P223" s="163"/>
      <c r="Q223" s="163"/>
      <c r="R223" s="228"/>
      <c r="S223" s="228"/>
      <c r="T223" s="228"/>
      <c r="U223" s="228"/>
      <c r="V223" s="228"/>
      <c r="W223" s="228"/>
      <c r="X223" s="228"/>
      <c r="Y223" s="228"/>
      <c r="Z223" s="228"/>
    </row>
    <row r="224" spans="1:26" ht="15.75" x14ac:dyDescent="0.25">
      <c r="A224" s="228"/>
      <c r="B224" s="170" t="s">
        <v>118</v>
      </c>
      <c r="C224" s="162" t="s">
        <v>153</v>
      </c>
      <c r="D224" s="162" t="s">
        <v>154</v>
      </c>
      <c r="E224" s="162" t="s">
        <v>155</v>
      </c>
      <c r="F224" s="162" t="s">
        <v>156</v>
      </c>
      <c r="G224" s="162" t="s">
        <v>157</v>
      </c>
      <c r="H224" s="162" t="s">
        <v>158</v>
      </c>
      <c r="I224" s="162" t="s">
        <v>159</v>
      </c>
      <c r="J224" s="162" t="s">
        <v>160</v>
      </c>
      <c r="K224" s="162" t="s">
        <v>161</v>
      </c>
      <c r="L224" s="170" t="s">
        <v>162</v>
      </c>
      <c r="M224" s="162" t="s">
        <v>163</v>
      </c>
      <c r="N224" s="162" t="s">
        <v>166</v>
      </c>
      <c r="O224" s="162" t="s">
        <v>167</v>
      </c>
      <c r="P224" s="162" t="s">
        <v>168</v>
      </c>
      <c r="Q224" s="162" t="s">
        <v>169</v>
      </c>
      <c r="R224" s="228"/>
      <c r="S224" s="228"/>
      <c r="T224" s="228"/>
      <c r="U224" s="228"/>
      <c r="V224" s="228"/>
      <c r="W224" s="228"/>
      <c r="X224" s="228"/>
      <c r="Y224" s="228"/>
      <c r="Z224" s="228"/>
    </row>
    <row r="225" spans="1:26" ht="15.75" x14ac:dyDescent="0.25">
      <c r="A225" s="228"/>
      <c r="B225" s="175" t="s">
        <v>180</v>
      </c>
      <c r="C225" s="160">
        <v>980834</v>
      </c>
      <c r="D225" s="160">
        <v>973121</v>
      </c>
      <c r="E225" s="161">
        <v>0.99213628401951803</v>
      </c>
      <c r="F225" s="160">
        <v>321561</v>
      </c>
      <c r="G225" s="159">
        <v>0.33044297677267265</v>
      </c>
      <c r="H225" s="160">
        <v>222076</v>
      </c>
      <c r="I225" s="159">
        <v>0.22821005815309708</v>
      </c>
      <c r="J225" s="160">
        <v>38719</v>
      </c>
      <c r="K225" s="159">
        <v>3.9788474403491446E-2</v>
      </c>
      <c r="L225" s="160">
        <v>33854</v>
      </c>
      <c r="M225" s="159">
        <v>3.4789096114460585E-2</v>
      </c>
      <c r="N225" s="160">
        <v>7713</v>
      </c>
      <c r="O225" s="159">
        <v>7.8637159804819164E-3</v>
      </c>
      <c r="P225" s="160">
        <v>614</v>
      </c>
      <c r="Q225" s="159">
        <v>6.3095956206884855E-4</v>
      </c>
      <c r="R225" s="228"/>
      <c r="S225" s="228"/>
      <c r="T225" s="228"/>
      <c r="U225" s="228"/>
      <c r="V225" s="228"/>
      <c r="W225" s="228"/>
      <c r="X225" s="228"/>
      <c r="Y225" s="228"/>
      <c r="Z225" s="228"/>
    </row>
    <row r="226" spans="1:26" x14ac:dyDescent="0.2">
      <c r="A226" s="228"/>
      <c r="B226" s="228"/>
      <c r="C226" s="228"/>
      <c r="D226" s="228"/>
      <c r="E226" s="228"/>
      <c r="F226" s="228"/>
      <c r="G226" s="228"/>
      <c r="H226" s="228"/>
      <c r="I226" s="228"/>
      <c r="J226" s="228"/>
      <c r="K226" s="228"/>
      <c r="L226" s="228"/>
      <c r="M226" s="228"/>
      <c r="N226" s="228"/>
      <c r="O226" s="228"/>
      <c r="P226" s="228"/>
      <c r="Q226" s="228"/>
      <c r="R226" s="228"/>
      <c r="S226" s="228"/>
      <c r="T226" s="228"/>
      <c r="U226" s="228"/>
      <c r="V226" s="228"/>
      <c r="W226" s="228"/>
      <c r="X226" s="228"/>
      <c r="Y226" s="228"/>
      <c r="Z226" s="228"/>
    </row>
    <row r="227" spans="1:26" ht="31.5" x14ac:dyDescent="0.25">
      <c r="A227" s="228"/>
      <c r="B227" s="185" t="s">
        <v>245</v>
      </c>
      <c r="C227" s="158" t="s">
        <v>153</v>
      </c>
      <c r="D227" s="158" t="s">
        <v>154</v>
      </c>
      <c r="E227" s="158" t="s">
        <v>155</v>
      </c>
      <c r="F227" s="158" t="s">
        <v>156</v>
      </c>
      <c r="G227" s="158" t="s">
        <v>157</v>
      </c>
      <c r="H227" s="158" t="s">
        <v>158</v>
      </c>
      <c r="I227" s="158" t="s">
        <v>159</v>
      </c>
      <c r="J227" s="158" t="s">
        <v>160</v>
      </c>
      <c r="K227" s="158" t="s">
        <v>161</v>
      </c>
      <c r="L227" s="158" t="s">
        <v>162</v>
      </c>
      <c r="M227" s="158" t="s">
        <v>163</v>
      </c>
      <c r="N227" s="158" t="s">
        <v>166</v>
      </c>
      <c r="O227" s="158" t="s">
        <v>167</v>
      </c>
      <c r="P227" s="158" t="s">
        <v>168</v>
      </c>
      <c r="Q227" s="158" t="s">
        <v>169</v>
      </c>
      <c r="R227" s="228"/>
      <c r="S227" s="228"/>
      <c r="T227" s="228"/>
      <c r="U227" s="228"/>
      <c r="V227" s="228"/>
      <c r="W227" s="228"/>
      <c r="X227" s="228"/>
      <c r="Y227" s="228"/>
      <c r="Z227" s="228"/>
    </row>
    <row r="228" spans="1:26" x14ac:dyDescent="0.2">
      <c r="A228" s="228"/>
      <c r="B228" s="133"/>
      <c r="C228" s="157">
        <v>3898177</v>
      </c>
      <c r="D228" s="157">
        <v>3849508</v>
      </c>
      <c r="E228" s="156">
        <v>0.98751493326239415</v>
      </c>
      <c r="F228" s="157">
        <v>1041889</v>
      </c>
      <c r="G228" s="156">
        <v>0.27065510709420526</v>
      </c>
      <c r="H228" s="157">
        <v>785782</v>
      </c>
      <c r="I228" s="156">
        <v>0.20412530640279225</v>
      </c>
      <c r="J228" s="157">
        <v>76587</v>
      </c>
      <c r="K228" s="156">
        <v>1.9895269733171097E-2</v>
      </c>
      <c r="L228" s="157">
        <v>65704</v>
      </c>
      <c r="M228" s="156">
        <v>1.7068155203210384E-2</v>
      </c>
      <c r="N228" s="157">
        <v>48664</v>
      </c>
      <c r="O228" s="156">
        <v>1.2483784086766711E-2</v>
      </c>
      <c r="P228" s="157">
        <v>2844</v>
      </c>
      <c r="Q228" s="156">
        <v>7.3879571103631944E-4</v>
      </c>
      <c r="R228" s="228"/>
      <c r="S228" s="228"/>
      <c r="T228" s="228"/>
      <c r="U228" s="228"/>
      <c r="V228" s="228"/>
      <c r="W228" s="228"/>
      <c r="X228" s="228"/>
      <c r="Y228" s="228"/>
      <c r="Z228" s="228"/>
    </row>
    <row r="229" spans="1:26" x14ac:dyDescent="0.2">
      <c r="A229" s="228"/>
      <c r="B229" s="228"/>
      <c r="C229" s="228"/>
      <c r="D229" s="228"/>
      <c r="E229" s="228"/>
      <c r="F229" s="228"/>
      <c r="G229" s="228"/>
      <c r="H229" s="228"/>
      <c r="I229" s="228"/>
      <c r="J229" s="228"/>
      <c r="K229" s="228"/>
      <c r="L229" s="228"/>
      <c r="M229" s="228"/>
      <c r="N229" s="228"/>
      <c r="O229" s="228"/>
      <c r="P229" s="228"/>
      <c r="Q229" s="228"/>
      <c r="R229" s="228"/>
      <c r="S229" s="228"/>
      <c r="T229" s="228"/>
      <c r="U229" s="228"/>
      <c r="V229" s="228"/>
      <c r="W229" s="228"/>
      <c r="X229" s="228"/>
      <c r="Y229" s="228"/>
      <c r="Z229" s="228"/>
    </row>
    <row r="230" spans="1:26" x14ac:dyDescent="0.2">
      <c r="A230" s="228"/>
      <c r="B230" s="228"/>
      <c r="C230" s="228"/>
      <c r="D230" s="228"/>
      <c r="E230" s="228"/>
      <c r="F230" s="228"/>
      <c r="G230" s="228"/>
      <c r="H230" s="228"/>
      <c r="I230" s="228"/>
      <c r="J230" s="228"/>
      <c r="K230" s="228"/>
      <c r="L230" s="228"/>
      <c r="M230" s="228"/>
      <c r="N230" s="228"/>
      <c r="O230" s="228"/>
      <c r="P230" s="228"/>
      <c r="Q230" s="228"/>
      <c r="R230" s="228"/>
      <c r="S230" s="228"/>
      <c r="T230" s="228"/>
      <c r="U230" s="228"/>
      <c r="V230" s="228"/>
      <c r="W230" s="228"/>
      <c r="X230" s="228"/>
      <c r="Y230" s="228"/>
      <c r="Z230" s="228"/>
    </row>
    <row r="231" spans="1:26" ht="15.75" x14ac:dyDescent="0.25">
      <c r="A231" s="228"/>
      <c r="B231" s="138" t="s">
        <v>255</v>
      </c>
      <c r="C231" s="164"/>
      <c r="D231" s="163"/>
      <c r="E231" s="163"/>
      <c r="F231" s="163"/>
      <c r="G231" s="163"/>
      <c r="H231" s="163"/>
      <c r="I231" s="163"/>
      <c r="J231" s="163"/>
      <c r="K231" s="163"/>
      <c r="L231" s="163"/>
      <c r="M231" s="163"/>
      <c r="N231" s="163"/>
      <c r="O231" s="163"/>
      <c r="P231" s="163"/>
      <c r="Q231" s="163"/>
      <c r="R231" s="228"/>
      <c r="S231" s="228"/>
      <c r="T231" s="228"/>
      <c r="U231" s="228"/>
      <c r="V231" s="228"/>
      <c r="W231" s="228"/>
      <c r="X231" s="228"/>
      <c r="Y231" s="228"/>
      <c r="Z231" s="228"/>
    </row>
    <row r="232" spans="1:26" ht="15.75" x14ac:dyDescent="0.25">
      <c r="A232" s="228"/>
      <c r="B232" s="170" t="s">
        <v>118</v>
      </c>
      <c r="C232" s="162" t="s">
        <v>153</v>
      </c>
      <c r="D232" s="162" t="s">
        <v>154</v>
      </c>
      <c r="E232" s="162" t="s">
        <v>155</v>
      </c>
      <c r="F232" s="162" t="s">
        <v>156</v>
      </c>
      <c r="G232" s="162" t="s">
        <v>157</v>
      </c>
      <c r="H232" s="162" t="s">
        <v>158</v>
      </c>
      <c r="I232" s="162" t="s">
        <v>159</v>
      </c>
      <c r="J232" s="162" t="s">
        <v>160</v>
      </c>
      <c r="K232" s="162" t="s">
        <v>161</v>
      </c>
      <c r="L232" s="170" t="s">
        <v>162</v>
      </c>
      <c r="M232" s="162" t="s">
        <v>163</v>
      </c>
      <c r="N232" s="162" t="s">
        <v>166</v>
      </c>
      <c r="O232" s="162" t="s">
        <v>167</v>
      </c>
      <c r="P232" s="162" t="s">
        <v>168</v>
      </c>
      <c r="Q232" s="162" t="s">
        <v>169</v>
      </c>
      <c r="R232" s="228"/>
      <c r="S232" s="228"/>
      <c r="T232" s="228"/>
      <c r="U232" s="228"/>
      <c r="V232" s="228"/>
      <c r="W232" s="228"/>
      <c r="X232" s="228"/>
      <c r="Y232" s="228"/>
      <c r="Z232" s="228"/>
    </row>
    <row r="233" spans="1:26" ht="15.75" x14ac:dyDescent="0.25">
      <c r="A233" s="228"/>
      <c r="B233" s="175" t="s">
        <v>180</v>
      </c>
      <c r="C233" s="160">
        <v>996517</v>
      </c>
      <c r="D233" s="160">
        <v>985096</v>
      </c>
      <c r="E233" s="161">
        <v>0.9885390816212869</v>
      </c>
      <c r="F233" s="160">
        <v>325212</v>
      </c>
      <c r="G233" s="159">
        <v>0.33013229167512609</v>
      </c>
      <c r="H233" s="160">
        <v>236288</v>
      </c>
      <c r="I233" s="159">
        <v>0.2398629169136815</v>
      </c>
      <c r="J233" s="160">
        <v>32043</v>
      </c>
      <c r="K233" s="159">
        <v>3.252779424543395E-2</v>
      </c>
      <c r="L233" s="160">
        <v>28960</v>
      </c>
      <c r="M233" s="159">
        <v>2.9398150028017572E-2</v>
      </c>
      <c r="N233" s="160">
        <v>11421</v>
      </c>
      <c r="O233" s="159">
        <v>1.1460918378713058E-2</v>
      </c>
      <c r="P233" s="160">
        <v>815</v>
      </c>
      <c r="Q233" s="159">
        <v>8.2733053428295309E-4</v>
      </c>
      <c r="R233" s="228"/>
      <c r="S233" s="228"/>
      <c r="T233" s="228"/>
      <c r="U233" s="228"/>
      <c r="V233" s="228"/>
      <c r="W233" s="228"/>
      <c r="X233" s="228"/>
      <c r="Y233" s="228"/>
      <c r="Z233" s="228"/>
    </row>
    <row r="234" spans="1:26" x14ac:dyDescent="0.2">
      <c r="A234" s="228"/>
      <c r="B234" s="228"/>
      <c r="C234" s="228"/>
      <c r="D234" s="228"/>
      <c r="E234" s="228"/>
      <c r="F234" s="228"/>
      <c r="G234" s="228"/>
      <c r="H234" s="228"/>
      <c r="I234" s="228"/>
      <c r="J234" s="228"/>
      <c r="K234" s="228"/>
      <c r="L234" s="228"/>
      <c r="M234" s="228"/>
      <c r="N234" s="228"/>
      <c r="O234" s="228"/>
      <c r="P234" s="228"/>
      <c r="Q234" s="228"/>
      <c r="R234" s="228"/>
      <c r="S234" s="228"/>
      <c r="T234" s="228"/>
      <c r="U234" s="228"/>
      <c r="V234" s="228"/>
      <c r="W234" s="228"/>
      <c r="X234" s="228"/>
      <c r="Y234" s="228"/>
      <c r="Z234" s="228"/>
    </row>
    <row r="235" spans="1:26" ht="15.75" x14ac:dyDescent="0.25">
      <c r="A235" s="228"/>
      <c r="B235" s="138" t="s">
        <v>256</v>
      </c>
      <c r="C235" s="164"/>
      <c r="D235" s="163"/>
      <c r="E235" s="163"/>
      <c r="F235" s="163"/>
      <c r="G235" s="163"/>
      <c r="H235" s="163"/>
      <c r="I235" s="163"/>
      <c r="J235" s="163"/>
      <c r="K235" s="163"/>
      <c r="L235" s="163"/>
      <c r="M235" s="163"/>
      <c r="N235" s="163"/>
      <c r="O235" s="163"/>
      <c r="P235" s="163"/>
      <c r="Q235" s="163"/>
      <c r="R235" s="228"/>
      <c r="S235" s="228"/>
      <c r="T235" s="228"/>
      <c r="U235" s="228"/>
      <c r="V235" s="228"/>
      <c r="W235" s="228"/>
      <c r="X235" s="228"/>
      <c r="Y235" s="228"/>
      <c r="Z235" s="228"/>
    </row>
    <row r="236" spans="1:26" ht="15.75" x14ac:dyDescent="0.25">
      <c r="A236" s="228"/>
      <c r="B236" s="170" t="s">
        <v>118</v>
      </c>
      <c r="C236" s="162" t="s">
        <v>153</v>
      </c>
      <c r="D236" s="162" t="s">
        <v>154</v>
      </c>
      <c r="E236" s="162" t="s">
        <v>155</v>
      </c>
      <c r="F236" s="162" t="s">
        <v>156</v>
      </c>
      <c r="G236" s="162" t="s">
        <v>157</v>
      </c>
      <c r="H236" s="162" t="s">
        <v>158</v>
      </c>
      <c r="I236" s="162" t="s">
        <v>159</v>
      </c>
      <c r="J236" s="162" t="s">
        <v>160</v>
      </c>
      <c r="K236" s="162" t="s">
        <v>161</v>
      </c>
      <c r="L236" s="170" t="s">
        <v>162</v>
      </c>
      <c r="M236" s="162" t="s">
        <v>163</v>
      </c>
      <c r="N236" s="162" t="s">
        <v>166</v>
      </c>
      <c r="O236" s="162" t="s">
        <v>167</v>
      </c>
      <c r="P236" s="162" t="s">
        <v>168</v>
      </c>
      <c r="Q236" s="162" t="s">
        <v>169</v>
      </c>
      <c r="R236" s="228"/>
      <c r="S236" s="228"/>
      <c r="T236" s="228"/>
      <c r="U236" s="228"/>
      <c r="V236" s="228"/>
      <c r="W236" s="228"/>
      <c r="X236" s="228"/>
      <c r="Y236" s="228"/>
      <c r="Z236" s="228"/>
    </row>
    <row r="237" spans="1:26" ht="15.75" x14ac:dyDescent="0.25">
      <c r="A237" s="228"/>
      <c r="B237" s="175" t="s">
        <v>180</v>
      </c>
      <c r="C237" s="160">
        <v>1006743</v>
      </c>
      <c r="D237" s="160">
        <v>996823</v>
      </c>
      <c r="E237" s="161">
        <v>0.99014644253796646</v>
      </c>
      <c r="F237" s="160">
        <v>339904</v>
      </c>
      <c r="G237" s="159">
        <v>0.34098731670517235</v>
      </c>
      <c r="H237" s="160">
        <v>246535</v>
      </c>
      <c r="I237" s="159">
        <v>0.24732073798457699</v>
      </c>
      <c r="J237" s="160">
        <v>16694</v>
      </c>
      <c r="K237" s="159">
        <v>1.6747205873058706E-2</v>
      </c>
      <c r="L237" s="160">
        <v>14472</v>
      </c>
      <c r="M237" s="159">
        <v>1.4518124080202805E-2</v>
      </c>
      <c r="N237" s="160">
        <v>9920</v>
      </c>
      <c r="O237" s="159">
        <v>9.8535574620335076E-3</v>
      </c>
      <c r="P237" s="160">
        <v>807</v>
      </c>
      <c r="Q237" s="159">
        <v>8.0957201027664894E-4</v>
      </c>
      <c r="R237" s="228"/>
      <c r="S237" s="228"/>
      <c r="T237" s="228"/>
      <c r="U237" s="228"/>
      <c r="V237" s="228"/>
      <c r="W237" s="228"/>
      <c r="X237" s="228"/>
      <c r="Y237" s="228"/>
      <c r="Z237" s="228"/>
    </row>
    <row r="238" spans="1:26" x14ac:dyDescent="0.2">
      <c r="A238" s="228"/>
      <c r="B238" s="228"/>
      <c r="C238" s="228"/>
      <c r="D238" s="228"/>
      <c r="E238" s="228"/>
      <c r="F238" s="228"/>
      <c r="G238" s="228"/>
      <c r="H238" s="228"/>
      <c r="I238" s="228"/>
      <c r="J238" s="228"/>
      <c r="K238" s="228"/>
      <c r="L238" s="228"/>
      <c r="M238" s="228"/>
      <c r="N238" s="228"/>
      <c r="O238" s="228"/>
      <c r="P238" s="228"/>
      <c r="Q238" s="228"/>
      <c r="R238" s="228"/>
      <c r="S238" s="228"/>
      <c r="T238" s="228"/>
      <c r="U238" s="228"/>
      <c r="V238" s="228"/>
      <c r="W238" s="228"/>
      <c r="X238" s="228"/>
      <c r="Y238" s="228"/>
      <c r="Z238" s="228"/>
    </row>
    <row r="239" spans="1:26" ht="31.5" x14ac:dyDescent="0.25">
      <c r="A239" s="228"/>
      <c r="B239" s="138" t="s">
        <v>257</v>
      </c>
      <c r="C239" s="164"/>
      <c r="D239" s="163"/>
      <c r="E239" s="163"/>
      <c r="F239" s="163"/>
      <c r="G239" s="163"/>
      <c r="H239" s="163"/>
      <c r="I239" s="163"/>
      <c r="J239" s="163"/>
      <c r="K239" s="163"/>
      <c r="L239" s="163"/>
      <c r="M239" s="163"/>
      <c r="N239" s="163"/>
      <c r="O239" s="163"/>
      <c r="P239" s="163"/>
      <c r="Q239" s="163"/>
      <c r="R239" s="228"/>
      <c r="S239" s="228"/>
      <c r="T239" s="228"/>
      <c r="U239" s="228"/>
      <c r="V239" s="228"/>
      <c r="W239" s="228"/>
      <c r="X239" s="228"/>
      <c r="Y239" s="228"/>
      <c r="Z239" s="228"/>
    </row>
    <row r="240" spans="1:26" ht="15.75" x14ac:dyDescent="0.25">
      <c r="A240" s="228"/>
      <c r="B240" s="170" t="s">
        <v>118</v>
      </c>
      <c r="C240" s="162" t="s">
        <v>153</v>
      </c>
      <c r="D240" s="162" t="s">
        <v>154</v>
      </c>
      <c r="E240" s="162" t="s">
        <v>155</v>
      </c>
      <c r="F240" s="162" t="s">
        <v>156</v>
      </c>
      <c r="G240" s="162" t="s">
        <v>157</v>
      </c>
      <c r="H240" s="162" t="s">
        <v>158</v>
      </c>
      <c r="I240" s="162" t="s">
        <v>159</v>
      </c>
      <c r="J240" s="162" t="s">
        <v>160</v>
      </c>
      <c r="K240" s="162" t="s">
        <v>161</v>
      </c>
      <c r="L240" s="170" t="s">
        <v>162</v>
      </c>
      <c r="M240" s="162" t="s">
        <v>163</v>
      </c>
      <c r="N240" s="162" t="s">
        <v>166</v>
      </c>
      <c r="O240" s="162" t="s">
        <v>167</v>
      </c>
      <c r="P240" s="162" t="s">
        <v>168</v>
      </c>
      <c r="Q240" s="162" t="s">
        <v>169</v>
      </c>
      <c r="R240" s="228"/>
      <c r="S240" s="228"/>
      <c r="T240" s="228"/>
      <c r="U240" s="228"/>
      <c r="V240" s="228"/>
      <c r="W240" s="228"/>
      <c r="X240" s="228"/>
      <c r="Y240" s="228"/>
      <c r="Z240" s="228"/>
    </row>
    <row r="241" spans="1:26" ht="15.75" x14ac:dyDescent="0.25">
      <c r="A241" s="228"/>
      <c r="B241" s="175" t="s">
        <v>251</v>
      </c>
      <c r="C241" s="160">
        <v>3364</v>
      </c>
      <c r="D241" s="160">
        <v>3291</v>
      </c>
      <c r="E241" s="161">
        <v>0.97829964328180741</v>
      </c>
      <c r="F241" s="160">
        <v>2096</v>
      </c>
      <c r="G241" s="159">
        <v>0.63688848374354301</v>
      </c>
      <c r="H241" s="160">
        <v>1429</v>
      </c>
      <c r="I241" s="159">
        <v>0.43421452446065023</v>
      </c>
      <c r="J241" s="160">
        <v>675</v>
      </c>
      <c r="K241" s="159">
        <v>0.20510483135824978</v>
      </c>
      <c r="L241" s="160">
        <v>456</v>
      </c>
      <c r="M241" s="159">
        <v>0.13855970829535097</v>
      </c>
      <c r="N241" s="160">
        <v>73</v>
      </c>
      <c r="O241" s="159">
        <v>2.1700356718192627E-2</v>
      </c>
      <c r="P241" s="160">
        <v>3</v>
      </c>
      <c r="Q241" s="159">
        <v>9.1157702825888785E-4</v>
      </c>
      <c r="R241" s="228"/>
      <c r="S241" s="228"/>
      <c r="T241" s="228"/>
      <c r="U241" s="228"/>
      <c r="V241" s="228"/>
      <c r="W241" s="228"/>
      <c r="X241" s="228"/>
      <c r="Y241" s="228"/>
      <c r="Z241" s="228"/>
    </row>
    <row r="242" spans="1:26" x14ac:dyDescent="0.2">
      <c r="A242" s="228"/>
      <c r="B242" s="228"/>
      <c r="C242" s="228"/>
      <c r="D242" s="228"/>
      <c r="E242" s="228"/>
      <c r="F242" s="228"/>
      <c r="G242" s="228"/>
      <c r="H242" s="228"/>
      <c r="I242" s="228"/>
      <c r="J242" s="228"/>
      <c r="K242" s="228"/>
      <c r="L242" s="228"/>
      <c r="M242" s="228"/>
      <c r="N242" s="228"/>
      <c r="O242" s="228"/>
      <c r="P242" s="228"/>
      <c r="Q242" s="228"/>
      <c r="R242" s="228"/>
      <c r="S242" s="228"/>
      <c r="T242" s="228"/>
      <c r="U242" s="228"/>
      <c r="V242" s="228"/>
      <c r="W242" s="228"/>
      <c r="X242" s="228"/>
      <c r="Y242" s="228"/>
      <c r="Z242" s="228"/>
    </row>
    <row r="243" spans="1:26" ht="31.5" x14ac:dyDescent="0.25">
      <c r="A243" s="228"/>
      <c r="B243" s="138" t="s">
        <v>258</v>
      </c>
      <c r="C243" s="164"/>
      <c r="D243" s="163"/>
      <c r="E243" s="163"/>
      <c r="F243" s="163"/>
      <c r="G243" s="163"/>
      <c r="H243" s="163"/>
      <c r="I243" s="163"/>
      <c r="J243" s="163"/>
      <c r="K243" s="163"/>
      <c r="L243" s="163"/>
      <c r="M243" s="163"/>
      <c r="N243" s="163"/>
      <c r="O243" s="163"/>
      <c r="P243" s="163"/>
      <c r="Q243" s="163"/>
      <c r="R243" s="228"/>
      <c r="S243" s="228"/>
      <c r="T243" s="228"/>
      <c r="U243" s="228"/>
      <c r="V243" s="228"/>
      <c r="W243" s="228"/>
      <c r="X243" s="228"/>
      <c r="Y243" s="228"/>
      <c r="Z243" s="228"/>
    </row>
    <row r="244" spans="1:26" ht="15.75" x14ac:dyDescent="0.25">
      <c r="A244" s="228"/>
      <c r="B244" s="170" t="s">
        <v>118</v>
      </c>
      <c r="C244" s="162" t="s">
        <v>153</v>
      </c>
      <c r="D244" s="162" t="s">
        <v>154</v>
      </c>
      <c r="E244" s="162" t="s">
        <v>155</v>
      </c>
      <c r="F244" s="162" t="s">
        <v>156</v>
      </c>
      <c r="G244" s="162" t="s">
        <v>157</v>
      </c>
      <c r="H244" s="162" t="s">
        <v>158</v>
      </c>
      <c r="I244" s="162" t="s">
        <v>159</v>
      </c>
      <c r="J244" s="162" t="s">
        <v>160</v>
      </c>
      <c r="K244" s="162" t="s">
        <v>161</v>
      </c>
      <c r="L244" s="170" t="s">
        <v>162</v>
      </c>
      <c r="M244" s="162" t="s">
        <v>163</v>
      </c>
      <c r="N244" s="162" t="s">
        <v>166</v>
      </c>
      <c r="O244" s="162" t="s">
        <v>167</v>
      </c>
      <c r="P244" s="162" t="s">
        <v>168</v>
      </c>
      <c r="Q244" s="162" t="s">
        <v>169</v>
      </c>
      <c r="R244" s="228"/>
      <c r="S244" s="228"/>
      <c r="T244" s="228"/>
      <c r="U244" s="228"/>
      <c r="V244" s="228"/>
      <c r="W244" s="228"/>
      <c r="X244" s="228"/>
      <c r="Y244" s="228"/>
      <c r="Z244" s="228"/>
    </row>
    <row r="245" spans="1:26" ht="15.75" x14ac:dyDescent="0.25">
      <c r="A245" s="228"/>
      <c r="B245" s="175" t="s">
        <v>251</v>
      </c>
      <c r="C245" s="160">
        <v>1001885</v>
      </c>
      <c r="D245" s="160">
        <v>987251</v>
      </c>
      <c r="E245" s="161">
        <v>0.98539353318993694</v>
      </c>
      <c r="F245" s="160">
        <v>238044</v>
      </c>
      <c r="G245" s="159">
        <v>0.24111801355481027</v>
      </c>
      <c r="H245" s="160">
        <v>192023</v>
      </c>
      <c r="I245" s="159">
        <v>0.19450271511500114</v>
      </c>
      <c r="J245" s="160">
        <v>11272</v>
      </c>
      <c r="K245" s="159">
        <v>1.141756250436819E-2</v>
      </c>
      <c r="L245" s="160">
        <v>9459</v>
      </c>
      <c r="M245" s="159">
        <v>9.581150082400524E-3</v>
      </c>
      <c r="N245" s="160">
        <v>14634</v>
      </c>
      <c r="O245" s="159">
        <v>1.4606466810063031E-2</v>
      </c>
      <c r="P245" s="160">
        <v>767</v>
      </c>
      <c r="Q245" s="159">
        <v>7.7690475876955308E-4</v>
      </c>
      <c r="R245" s="228"/>
      <c r="S245" s="228"/>
      <c r="T245" s="228"/>
      <c r="U245" s="228"/>
      <c r="V245" s="228"/>
      <c r="W245" s="228"/>
      <c r="X245" s="228"/>
      <c r="Y245" s="228"/>
      <c r="Z245" s="228"/>
    </row>
    <row r="246" spans="1:26" x14ac:dyDescent="0.2">
      <c r="A246" s="228"/>
      <c r="B246" s="228"/>
      <c r="C246" s="228"/>
      <c r="D246" s="228"/>
      <c r="E246" s="228"/>
      <c r="F246" s="228"/>
      <c r="G246" s="228"/>
      <c r="H246" s="228"/>
      <c r="I246" s="228"/>
      <c r="J246" s="228"/>
      <c r="K246" s="228"/>
      <c r="L246" s="228"/>
      <c r="M246" s="228"/>
      <c r="N246" s="228"/>
      <c r="O246" s="228"/>
      <c r="P246" s="228"/>
      <c r="Q246" s="228"/>
      <c r="R246" s="228"/>
      <c r="S246" s="228"/>
      <c r="T246" s="228"/>
      <c r="U246" s="228"/>
      <c r="V246" s="228"/>
      <c r="W246" s="228"/>
      <c r="X246" s="228"/>
      <c r="Y246" s="228"/>
      <c r="Z246" s="228"/>
    </row>
    <row r="247" spans="1:26" ht="31.5" x14ac:dyDescent="0.25">
      <c r="A247" s="228"/>
      <c r="B247" s="185" t="s">
        <v>254</v>
      </c>
      <c r="C247" s="158" t="s">
        <v>153</v>
      </c>
      <c r="D247" s="158" t="s">
        <v>154</v>
      </c>
      <c r="E247" s="158" t="s">
        <v>155</v>
      </c>
      <c r="F247" s="158" t="s">
        <v>156</v>
      </c>
      <c r="G247" s="158" t="s">
        <v>157</v>
      </c>
      <c r="H247" s="158" t="s">
        <v>158</v>
      </c>
      <c r="I247" s="158" t="s">
        <v>159</v>
      </c>
      <c r="J247" s="158" t="s">
        <v>160</v>
      </c>
      <c r="K247" s="158" t="s">
        <v>161</v>
      </c>
      <c r="L247" s="158" t="s">
        <v>162</v>
      </c>
      <c r="M247" s="158" t="s">
        <v>163</v>
      </c>
      <c r="N247" s="158" t="s">
        <v>166</v>
      </c>
      <c r="O247" s="158" t="s">
        <v>167</v>
      </c>
      <c r="P247" s="158" t="s">
        <v>168</v>
      </c>
      <c r="Q247" s="158" t="s">
        <v>169</v>
      </c>
      <c r="R247" s="228"/>
      <c r="S247" s="228"/>
      <c r="T247" s="228"/>
      <c r="U247" s="228"/>
      <c r="V247" s="228"/>
      <c r="W247" s="228"/>
      <c r="X247" s="228"/>
      <c r="Y247" s="228"/>
      <c r="Z247" s="228"/>
    </row>
    <row r="248" spans="1:26" x14ac:dyDescent="0.2">
      <c r="A248" s="228"/>
      <c r="B248" s="133"/>
      <c r="C248" s="157">
        <v>3008509</v>
      </c>
      <c r="D248" s="157">
        <v>2972461</v>
      </c>
      <c r="E248" s="156">
        <v>0.9880179849885774</v>
      </c>
      <c r="F248" s="157">
        <v>905256</v>
      </c>
      <c r="G248" s="156">
        <v>0.30454764587323435</v>
      </c>
      <c r="H248" s="157">
        <v>676275</v>
      </c>
      <c r="I248" s="156">
        <v>0.22751349807449114</v>
      </c>
      <c r="J248" s="157">
        <v>60684</v>
      </c>
      <c r="K248" s="156">
        <v>2.0415406627706807E-2</v>
      </c>
      <c r="L248" s="157">
        <v>53347</v>
      </c>
      <c r="M248" s="156">
        <v>1.7947081559690773E-2</v>
      </c>
      <c r="N248" s="157">
        <v>36048</v>
      </c>
      <c r="O248" s="156">
        <v>1.1982015011422601E-2</v>
      </c>
      <c r="P248" s="157">
        <v>2392</v>
      </c>
      <c r="Q248" s="156">
        <v>8.0472039835005409E-4</v>
      </c>
      <c r="R248" s="228"/>
      <c r="S248" s="228"/>
      <c r="T248" s="228"/>
      <c r="U248" s="228"/>
      <c r="V248" s="228"/>
      <c r="W248" s="228"/>
      <c r="X248" s="228"/>
      <c r="Y248" s="228"/>
      <c r="Z248" s="228"/>
    </row>
    <row r="249" spans="1:26" x14ac:dyDescent="0.2">
      <c r="A249" s="228"/>
      <c r="B249" s="228"/>
      <c r="C249" s="228"/>
      <c r="D249" s="228"/>
      <c r="E249" s="228"/>
      <c r="F249" s="228"/>
      <c r="G249" s="228"/>
      <c r="H249" s="228"/>
      <c r="I249" s="228"/>
      <c r="J249" s="228"/>
      <c r="K249" s="228"/>
      <c r="L249" s="228"/>
      <c r="M249" s="228"/>
      <c r="N249" s="228"/>
      <c r="O249" s="228"/>
      <c r="P249" s="228"/>
      <c r="Q249" s="228"/>
      <c r="R249" s="228"/>
      <c r="S249" s="228"/>
      <c r="T249" s="228"/>
      <c r="U249" s="228"/>
      <c r="V249" s="228"/>
      <c r="W249" s="228"/>
      <c r="X249" s="228"/>
      <c r="Y249" s="228"/>
      <c r="Z249" s="228"/>
    </row>
    <row r="250" spans="1:26" x14ac:dyDescent="0.2">
      <c r="A250" s="228"/>
      <c r="B250" s="228"/>
      <c r="C250" s="228"/>
      <c r="D250" s="228"/>
      <c r="E250" s="228"/>
      <c r="F250" s="228"/>
      <c r="G250" s="228"/>
      <c r="H250" s="228"/>
      <c r="I250" s="228"/>
      <c r="J250" s="228"/>
      <c r="K250" s="228"/>
      <c r="L250" s="228"/>
      <c r="M250" s="228"/>
      <c r="N250" s="228"/>
      <c r="O250" s="228"/>
      <c r="P250" s="228"/>
      <c r="Q250" s="228"/>
      <c r="R250" s="228"/>
      <c r="S250" s="228"/>
      <c r="T250" s="228"/>
      <c r="U250" s="228"/>
      <c r="V250" s="228"/>
      <c r="W250" s="228"/>
      <c r="X250" s="228"/>
      <c r="Y250" s="228"/>
      <c r="Z250" s="228"/>
    </row>
    <row r="251" spans="1:26" ht="15.75" x14ac:dyDescent="0.25">
      <c r="A251" s="228"/>
      <c r="B251" s="138" t="s">
        <v>259</v>
      </c>
      <c r="C251" s="164"/>
      <c r="D251" s="163"/>
      <c r="E251" s="163"/>
      <c r="F251" s="163"/>
      <c r="G251" s="163"/>
      <c r="H251" s="163"/>
      <c r="I251" s="163"/>
      <c r="J251" s="163"/>
      <c r="K251" s="163"/>
      <c r="L251" s="163"/>
      <c r="M251" s="163"/>
      <c r="N251" s="163"/>
      <c r="O251" s="163"/>
      <c r="P251" s="163"/>
      <c r="Q251" s="163"/>
      <c r="R251" s="228"/>
      <c r="S251" s="228"/>
      <c r="T251" s="228"/>
      <c r="U251" s="228"/>
      <c r="V251" s="228"/>
      <c r="W251" s="228"/>
      <c r="X251" s="228"/>
      <c r="Y251" s="228"/>
      <c r="Z251" s="228"/>
    </row>
    <row r="252" spans="1:26" ht="15.75" x14ac:dyDescent="0.25">
      <c r="A252" s="228"/>
      <c r="B252" s="170" t="s">
        <v>118</v>
      </c>
      <c r="C252" s="162" t="s">
        <v>153</v>
      </c>
      <c r="D252" s="162" t="s">
        <v>154</v>
      </c>
      <c r="E252" s="162" t="s">
        <v>155</v>
      </c>
      <c r="F252" s="162" t="s">
        <v>156</v>
      </c>
      <c r="G252" s="162" t="s">
        <v>157</v>
      </c>
      <c r="H252" s="162" t="s">
        <v>158</v>
      </c>
      <c r="I252" s="162" t="s">
        <v>159</v>
      </c>
      <c r="J252" s="162" t="s">
        <v>160</v>
      </c>
      <c r="K252" s="162" t="s">
        <v>161</v>
      </c>
      <c r="L252" s="162" t="s">
        <v>162</v>
      </c>
      <c r="M252" s="162" t="s">
        <v>163</v>
      </c>
      <c r="N252" s="162" t="s">
        <v>166</v>
      </c>
      <c r="O252" s="162" t="s">
        <v>167</v>
      </c>
      <c r="P252" s="162" t="s">
        <v>168</v>
      </c>
      <c r="Q252" s="162" t="s">
        <v>169</v>
      </c>
      <c r="R252" s="228"/>
      <c r="S252" s="228"/>
      <c r="T252" s="228"/>
      <c r="U252" s="228"/>
      <c r="V252" s="228"/>
      <c r="W252" s="228"/>
      <c r="X252" s="228"/>
      <c r="Y252" s="228"/>
      <c r="Z252" s="228"/>
    </row>
    <row r="253" spans="1:26" ht="15.75" x14ac:dyDescent="0.25">
      <c r="A253" s="228"/>
      <c r="B253" s="175" t="s">
        <v>180</v>
      </c>
      <c r="C253" s="160">
        <v>1021519</v>
      </c>
      <c r="D253" s="160">
        <v>1015054</v>
      </c>
      <c r="E253" s="161">
        <v>0.99367118966950196</v>
      </c>
      <c r="F253" s="160">
        <v>344929</v>
      </c>
      <c r="G253" s="159">
        <v>0.33981344834856075</v>
      </c>
      <c r="H253" s="160">
        <v>256196</v>
      </c>
      <c r="I253" s="159">
        <v>0.25239642422964692</v>
      </c>
      <c r="J253" s="160">
        <v>24570</v>
      </c>
      <c r="K253" s="159">
        <v>2.4205608765642025E-2</v>
      </c>
      <c r="L253" s="160">
        <v>19758</v>
      </c>
      <c r="M253" s="159">
        <v>1.9464974277230571E-2</v>
      </c>
      <c r="N253" s="160">
        <v>6465</v>
      </c>
      <c r="O253" s="159">
        <v>6.3288103304980133E-3</v>
      </c>
      <c r="P253" s="160">
        <v>844</v>
      </c>
      <c r="Q253" s="159">
        <v>8.3148285706967319E-4</v>
      </c>
      <c r="R253" s="228"/>
      <c r="S253" s="228"/>
      <c r="T253" s="228"/>
      <c r="U253" s="228"/>
      <c r="V253" s="228"/>
      <c r="W253" s="228"/>
      <c r="X253" s="228"/>
      <c r="Y253" s="228"/>
      <c r="Z253" s="228"/>
    </row>
    <row r="254" spans="1:26" x14ac:dyDescent="0.2">
      <c r="A254" s="228"/>
      <c r="B254" s="228"/>
      <c r="C254" s="228"/>
      <c r="D254" s="228"/>
      <c r="E254" s="228"/>
      <c r="F254" s="228"/>
      <c r="G254" s="228"/>
      <c r="H254" s="228"/>
      <c r="I254" s="228"/>
      <c r="J254" s="228"/>
      <c r="K254" s="228"/>
      <c r="L254" s="228"/>
      <c r="M254" s="228"/>
      <c r="N254" s="228"/>
      <c r="O254" s="228"/>
      <c r="P254" s="228"/>
      <c r="Q254" s="228"/>
      <c r="R254" s="228"/>
      <c r="S254" s="228"/>
      <c r="T254" s="228"/>
      <c r="U254" s="228"/>
      <c r="V254" s="228"/>
      <c r="W254" s="228"/>
      <c r="X254" s="228"/>
      <c r="Y254" s="228"/>
      <c r="Z254" s="228"/>
    </row>
    <row r="255" spans="1:26" ht="31.5" x14ac:dyDescent="0.25">
      <c r="A255" s="228"/>
      <c r="B255" s="138" t="s">
        <v>260</v>
      </c>
      <c r="C255" s="164"/>
      <c r="D255" s="163"/>
      <c r="E255" s="163"/>
      <c r="F255" s="163"/>
      <c r="G255" s="163"/>
      <c r="H255" s="163"/>
      <c r="I255" s="163"/>
      <c r="J255" s="163"/>
      <c r="K255" s="163"/>
      <c r="L255" s="163"/>
      <c r="M255" s="163"/>
      <c r="N255" s="163"/>
      <c r="O255" s="163"/>
      <c r="P255" s="163"/>
      <c r="Q255" s="163"/>
      <c r="R255" s="228"/>
      <c r="S255" s="228"/>
      <c r="T255" s="228"/>
      <c r="U255" s="228"/>
      <c r="V255" s="228"/>
      <c r="W255" s="228"/>
      <c r="X255" s="228"/>
      <c r="Y255" s="228"/>
      <c r="Z255" s="228"/>
    </row>
    <row r="256" spans="1:26" ht="15.75" x14ac:dyDescent="0.25">
      <c r="A256" s="228"/>
      <c r="B256" s="170" t="s">
        <v>118</v>
      </c>
      <c r="C256" s="162" t="s">
        <v>153</v>
      </c>
      <c r="D256" s="162" t="s">
        <v>154</v>
      </c>
      <c r="E256" s="162" t="s">
        <v>155</v>
      </c>
      <c r="F256" s="162" t="s">
        <v>156</v>
      </c>
      <c r="G256" s="162" t="s">
        <v>157</v>
      </c>
      <c r="H256" s="162" t="s">
        <v>158</v>
      </c>
      <c r="I256" s="162" t="s">
        <v>159</v>
      </c>
      <c r="J256" s="162" t="s">
        <v>160</v>
      </c>
      <c r="K256" s="162" t="s">
        <v>161</v>
      </c>
      <c r="L256" s="162" t="s">
        <v>162</v>
      </c>
      <c r="M256" s="162" t="s">
        <v>163</v>
      </c>
      <c r="N256" s="162" t="s">
        <v>166</v>
      </c>
      <c r="O256" s="162" t="s">
        <v>167</v>
      </c>
      <c r="P256" s="162" t="s">
        <v>168</v>
      </c>
      <c r="Q256" s="162" t="s">
        <v>169</v>
      </c>
      <c r="R256" s="228"/>
      <c r="S256" s="228"/>
      <c r="T256" s="228"/>
      <c r="U256" s="228"/>
      <c r="V256" s="228"/>
      <c r="W256" s="228"/>
      <c r="X256" s="228"/>
      <c r="Y256" s="228"/>
      <c r="Z256" s="228"/>
    </row>
    <row r="257" spans="1:26" ht="15.75" x14ac:dyDescent="0.25">
      <c r="A257" s="228"/>
      <c r="B257" s="175" t="s">
        <v>251</v>
      </c>
      <c r="C257" s="160">
        <v>3031</v>
      </c>
      <c r="D257" s="160">
        <v>2769</v>
      </c>
      <c r="E257" s="161">
        <v>0.91355988122731768</v>
      </c>
      <c r="F257" s="160">
        <v>2048</v>
      </c>
      <c r="G257" s="159">
        <v>0.73961719032141571</v>
      </c>
      <c r="H257" s="160">
        <v>1317</v>
      </c>
      <c r="I257" s="159">
        <v>0.47562296858071507</v>
      </c>
      <c r="J257" s="160">
        <v>794</v>
      </c>
      <c r="K257" s="159">
        <v>0.28674611773203323</v>
      </c>
      <c r="L257" s="160">
        <v>511</v>
      </c>
      <c r="M257" s="159">
        <v>0.18454315637414229</v>
      </c>
      <c r="N257" s="160">
        <v>262</v>
      </c>
      <c r="O257" s="159">
        <v>8.6440118772682289E-2</v>
      </c>
      <c r="P257" s="160">
        <v>4</v>
      </c>
      <c r="Q257" s="159">
        <v>1.4445648248465151E-3</v>
      </c>
      <c r="R257" s="228"/>
      <c r="S257" s="228"/>
      <c r="T257" s="228"/>
      <c r="U257" s="228"/>
      <c r="V257" s="228"/>
      <c r="W257" s="228"/>
      <c r="X257" s="228"/>
      <c r="Y257" s="228"/>
      <c r="Z257" s="228"/>
    </row>
    <row r="258" spans="1:26" x14ac:dyDescent="0.2">
      <c r="A258" s="228"/>
      <c r="B258" s="228"/>
      <c r="C258" s="228"/>
      <c r="D258" s="228"/>
      <c r="E258" s="228"/>
      <c r="F258" s="228"/>
      <c r="G258" s="228"/>
      <c r="H258" s="228"/>
      <c r="I258" s="228"/>
      <c r="J258" s="228"/>
      <c r="K258" s="228"/>
      <c r="L258" s="228"/>
      <c r="M258" s="228"/>
      <c r="N258" s="228"/>
      <c r="O258" s="228"/>
      <c r="P258" s="228"/>
      <c r="Q258" s="228"/>
      <c r="R258" s="228"/>
      <c r="S258" s="228"/>
      <c r="T258" s="228"/>
      <c r="U258" s="228"/>
      <c r="V258" s="228"/>
      <c r="W258" s="228"/>
      <c r="X258" s="228"/>
      <c r="Y258" s="228"/>
      <c r="Z258" s="228"/>
    </row>
    <row r="259" spans="1:26" ht="31.5" x14ac:dyDescent="0.25">
      <c r="A259" s="228"/>
      <c r="B259" s="138" t="s">
        <v>261</v>
      </c>
      <c r="C259" s="164"/>
      <c r="D259" s="163"/>
      <c r="E259" s="163"/>
      <c r="F259" s="163"/>
      <c r="G259" s="163"/>
      <c r="H259" s="163"/>
      <c r="I259" s="163"/>
      <c r="J259" s="163"/>
      <c r="K259" s="163"/>
      <c r="L259" s="163"/>
      <c r="M259" s="163"/>
      <c r="N259" s="163"/>
      <c r="O259" s="163"/>
      <c r="P259" s="163"/>
      <c r="Q259" s="163"/>
      <c r="R259" s="228"/>
      <c r="S259" s="228"/>
      <c r="T259" s="228"/>
      <c r="U259" s="228"/>
      <c r="V259" s="228"/>
      <c r="W259" s="228"/>
      <c r="X259" s="228"/>
      <c r="Y259" s="228"/>
      <c r="Z259" s="228"/>
    </row>
    <row r="260" spans="1:26" ht="15.75" x14ac:dyDescent="0.25">
      <c r="A260" s="228"/>
      <c r="B260" s="170" t="s">
        <v>118</v>
      </c>
      <c r="C260" s="162" t="s">
        <v>153</v>
      </c>
      <c r="D260" s="162" t="s">
        <v>154</v>
      </c>
      <c r="E260" s="162" t="s">
        <v>155</v>
      </c>
      <c r="F260" s="162" t="s">
        <v>156</v>
      </c>
      <c r="G260" s="162" t="s">
        <v>157</v>
      </c>
      <c r="H260" s="162" t="s">
        <v>158</v>
      </c>
      <c r="I260" s="162" t="s">
        <v>159</v>
      </c>
      <c r="J260" s="162" t="s">
        <v>160</v>
      </c>
      <c r="K260" s="162" t="s">
        <v>161</v>
      </c>
      <c r="L260" s="162" t="s">
        <v>162</v>
      </c>
      <c r="M260" s="162" t="s">
        <v>163</v>
      </c>
      <c r="N260" s="162" t="s">
        <v>166</v>
      </c>
      <c r="O260" s="162" t="s">
        <v>167</v>
      </c>
      <c r="P260" s="162" t="s">
        <v>168</v>
      </c>
      <c r="Q260" s="162" t="s">
        <v>169</v>
      </c>
      <c r="R260" s="228"/>
      <c r="S260" s="228"/>
      <c r="T260" s="228"/>
      <c r="U260" s="228"/>
      <c r="V260" s="228"/>
      <c r="W260" s="228"/>
      <c r="X260" s="228"/>
      <c r="Y260" s="228"/>
      <c r="Z260" s="228"/>
    </row>
    <row r="261" spans="1:26" ht="15.75" x14ac:dyDescent="0.25">
      <c r="A261" s="228"/>
      <c r="B261" s="175" t="s">
        <v>180</v>
      </c>
      <c r="C261" s="160">
        <v>1018574</v>
      </c>
      <c r="D261" s="160">
        <v>960193</v>
      </c>
      <c r="E261" s="161">
        <v>0.94268359490817555</v>
      </c>
      <c r="F261" s="160">
        <v>239512</v>
      </c>
      <c r="G261" s="159">
        <v>0.24944151852804591</v>
      </c>
      <c r="H261" s="160">
        <v>189518</v>
      </c>
      <c r="I261" s="159">
        <v>0.19737490275392552</v>
      </c>
      <c r="J261" s="160">
        <v>15404</v>
      </c>
      <c r="K261" s="159">
        <v>1.6042608100663096E-2</v>
      </c>
      <c r="L261" s="160">
        <v>11244</v>
      </c>
      <c r="M261" s="159">
        <v>1.1710145772776931E-2</v>
      </c>
      <c r="N261" s="160">
        <v>58381</v>
      </c>
      <c r="O261" s="159">
        <v>5.7316405091824452E-2</v>
      </c>
      <c r="P261" s="160">
        <v>821</v>
      </c>
      <c r="Q261" s="159">
        <v>8.5503643538330319E-4</v>
      </c>
      <c r="R261" s="228"/>
      <c r="S261" s="228"/>
      <c r="T261" s="228"/>
      <c r="U261" s="228"/>
      <c r="V261" s="228"/>
      <c r="W261" s="228"/>
      <c r="X261" s="228"/>
      <c r="Y261" s="228"/>
      <c r="Z261" s="228"/>
    </row>
    <row r="262" spans="1:26" x14ac:dyDescent="0.2">
      <c r="A262" s="228"/>
      <c r="B262" s="228"/>
      <c r="C262" s="228"/>
      <c r="D262" s="228"/>
      <c r="E262" s="228"/>
      <c r="F262" s="228"/>
      <c r="G262" s="228"/>
      <c r="H262" s="228"/>
      <c r="I262" s="228"/>
      <c r="J262" s="228"/>
      <c r="K262" s="228"/>
      <c r="L262" s="228"/>
      <c r="M262" s="228"/>
      <c r="N262" s="228"/>
      <c r="O262" s="228"/>
      <c r="P262" s="228"/>
      <c r="Q262" s="228"/>
      <c r="R262" s="228"/>
      <c r="S262" s="228"/>
      <c r="T262" s="228"/>
      <c r="U262" s="228"/>
      <c r="V262" s="228"/>
      <c r="W262" s="228"/>
      <c r="X262" s="228"/>
      <c r="Y262" s="228"/>
      <c r="Z262" s="228"/>
    </row>
    <row r="263" spans="1:26" ht="15.75" x14ac:dyDescent="0.25">
      <c r="A263" s="228"/>
      <c r="B263" s="132" t="s">
        <v>262</v>
      </c>
      <c r="C263" s="169"/>
      <c r="D263" s="169"/>
      <c r="E263" s="168"/>
      <c r="F263" s="168"/>
      <c r="G263" s="168"/>
      <c r="H263" s="168"/>
      <c r="I263" s="168"/>
      <c r="J263" s="168"/>
      <c r="K263" s="168"/>
      <c r="L263" s="168"/>
      <c r="M263" s="168"/>
      <c r="N263" s="168"/>
      <c r="O263" s="168"/>
      <c r="P263" s="168"/>
      <c r="Q263" s="168"/>
      <c r="R263" s="228"/>
      <c r="S263" s="228"/>
      <c r="T263" s="228"/>
      <c r="U263" s="228"/>
      <c r="V263" s="228"/>
      <c r="W263" s="228"/>
      <c r="X263" s="228"/>
      <c r="Y263" s="228"/>
      <c r="Z263" s="228"/>
    </row>
    <row r="264" spans="1:26" ht="15.75" x14ac:dyDescent="0.25">
      <c r="A264" s="228"/>
      <c r="B264" s="131" t="s">
        <v>118</v>
      </c>
      <c r="C264" s="167" t="s">
        <v>153</v>
      </c>
      <c r="D264" s="167" t="s">
        <v>154</v>
      </c>
      <c r="E264" s="167" t="s">
        <v>155</v>
      </c>
      <c r="F264" s="167" t="s">
        <v>156</v>
      </c>
      <c r="G264" s="167" t="s">
        <v>157</v>
      </c>
      <c r="H264" s="167" t="s">
        <v>158</v>
      </c>
      <c r="I264" s="167" t="s">
        <v>159</v>
      </c>
      <c r="J264" s="167" t="s">
        <v>160</v>
      </c>
      <c r="K264" s="167" t="s">
        <v>161</v>
      </c>
      <c r="L264" s="167" t="s">
        <v>162</v>
      </c>
      <c r="M264" s="167" t="s">
        <v>163</v>
      </c>
      <c r="N264" s="167" t="s">
        <v>166</v>
      </c>
      <c r="O264" s="167" t="s">
        <v>167</v>
      </c>
      <c r="P264" s="167" t="s">
        <v>168</v>
      </c>
      <c r="Q264" s="167" t="s">
        <v>169</v>
      </c>
      <c r="R264" s="228"/>
      <c r="S264" s="228"/>
      <c r="T264" s="228"/>
      <c r="U264" s="228"/>
      <c r="V264" s="228"/>
      <c r="W264" s="228"/>
      <c r="X264" s="228"/>
      <c r="Y264" s="228"/>
      <c r="Z264" s="228"/>
    </row>
    <row r="265" spans="1:26" ht="15.75" x14ac:dyDescent="0.25">
      <c r="A265" s="228"/>
      <c r="B265" s="130" t="s">
        <v>180</v>
      </c>
      <c r="C265" s="226">
        <v>1023389</v>
      </c>
      <c r="D265" s="166">
        <v>964423</v>
      </c>
      <c r="E265" s="165">
        <v>0.942381635917525</v>
      </c>
      <c r="F265" s="166">
        <v>506768</v>
      </c>
      <c r="G265" s="165">
        <v>0.52546237491225323</v>
      </c>
      <c r="H265" s="166">
        <v>337929</v>
      </c>
      <c r="I265" s="165">
        <v>0.35039500302253263</v>
      </c>
      <c r="J265" s="166">
        <v>99799</v>
      </c>
      <c r="K265" s="165">
        <v>0.10348052669834709</v>
      </c>
      <c r="L265" s="166">
        <v>86432</v>
      </c>
      <c r="M265" s="165">
        <v>8.9620425891958191E-2</v>
      </c>
      <c r="N265" s="166">
        <v>58966</v>
      </c>
      <c r="O265" s="165">
        <v>6.1141221227614853E-2</v>
      </c>
      <c r="P265" s="166">
        <v>591</v>
      </c>
      <c r="Q265" s="165">
        <v>6.1280164409185597E-4</v>
      </c>
      <c r="R265" s="228"/>
      <c r="S265" s="228"/>
      <c r="T265" s="228"/>
      <c r="U265" s="228"/>
      <c r="V265" s="228"/>
      <c r="W265" s="228"/>
      <c r="X265" s="228"/>
      <c r="Y265" s="228"/>
      <c r="Z265" s="228"/>
    </row>
    <row r="266" spans="1:26" x14ac:dyDescent="0.2">
      <c r="A266" s="228"/>
      <c r="B266" s="228"/>
      <c r="C266" s="228"/>
      <c r="D266" s="228"/>
      <c r="E266" s="228"/>
      <c r="F266" s="228"/>
      <c r="G266" s="228"/>
      <c r="H266" s="228"/>
      <c r="I266" s="228"/>
      <c r="J266" s="228"/>
      <c r="K266" s="228"/>
      <c r="L266" s="228"/>
      <c r="M266" s="228"/>
      <c r="N266" s="228"/>
      <c r="O266" s="228"/>
      <c r="P266" s="228"/>
      <c r="Q266" s="228"/>
      <c r="R266" s="228"/>
      <c r="S266" s="228"/>
      <c r="T266" s="228"/>
      <c r="U266" s="228"/>
      <c r="V266" s="228"/>
      <c r="W266" s="228"/>
      <c r="X266" s="228"/>
      <c r="Y266" s="228"/>
      <c r="Z266" s="228"/>
    </row>
    <row r="267" spans="1:26" ht="31.5" x14ac:dyDescent="0.25">
      <c r="A267" s="228"/>
      <c r="B267" s="185" t="s">
        <v>263</v>
      </c>
      <c r="C267" s="158" t="s">
        <v>153</v>
      </c>
      <c r="D267" s="158" t="s">
        <v>154</v>
      </c>
      <c r="E267" s="158" t="s">
        <v>155</v>
      </c>
      <c r="F267" s="158" t="s">
        <v>156</v>
      </c>
      <c r="G267" s="158" t="s">
        <v>157</v>
      </c>
      <c r="H267" s="158" t="s">
        <v>158</v>
      </c>
      <c r="I267" s="158" t="s">
        <v>159</v>
      </c>
      <c r="J267" s="158" t="s">
        <v>160</v>
      </c>
      <c r="K267" s="158" t="s">
        <v>161</v>
      </c>
      <c r="L267" s="158" t="s">
        <v>162</v>
      </c>
      <c r="M267" s="158" t="s">
        <v>163</v>
      </c>
      <c r="N267" s="158" t="s">
        <v>166</v>
      </c>
      <c r="O267" s="158" t="s">
        <v>167</v>
      </c>
      <c r="P267" s="158" t="s">
        <v>168</v>
      </c>
      <c r="Q267" s="158" t="s">
        <v>169</v>
      </c>
      <c r="R267" s="228"/>
      <c r="S267" s="228"/>
      <c r="T267" s="228"/>
      <c r="U267" s="228"/>
      <c r="V267" s="228"/>
      <c r="W267" s="228"/>
      <c r="X267" s="228"/>
      <c r="Y267" s="228"/>
      <c r="Z267" s="228"/>
    </row>
    <row r="268" spans="1:26" x14ac:dyDescent="0.2">
      <c r="A268" s="228"/>
      <c r="B268" s="133"/>
      <c r="C268" s="157">
        <v>3066513</v>
      </c>
      <c r="D268" s="157">
        <v>2942439</v>
      </c>
      <c r="E268" s="156">
        <v>0.95953905951156904</v>
      </c>
      <c r="F268" s="157">
        <v>1093257</v>
      </c>
      <c r="G268" s="156">
        <v>0.3715478893530163</v>
      </c>
      <c r="H268" s="157">
        <v>784960</v>
      </c>
      <c r="I268" s="156">
        <v>0.26677188550043007</v>
      </c>
      <c r="J268" s="157">
        <v>140567</v>
      </c>
      <c r="K268" s="156">
        <v>4.7772273273974417E-2</v>
      </c>
      <c r="L268" s="157">
        <v>117945</v>
      </c>
      <c r="M268" s="156">
        <v>4.008409350202332E-2</v>
      </c>
      <c r="N268" s="157">
        <v>124074</v>
      </c>
      <c r="O268" s="156">
        <v>4.0460940488430998E-2</v>
      </c>
      <c r="P268" s="157">
        <v>2260</v>
      </c>
      <c r="Q268" s="156">
        <v>7.6807029814381881E-4</v>
      </c>
      <c r="R268" s="228"/>
      <c r="S268" s="228"/>
      <c r="T268" s="228"/>
      <c r="U268" s="228"/>
      <c r="V268" s="228"/>
      <c r="W268" s="228"/>
      <c r="X268" s="228"/>
      <c r="Y268" s="228"/>
      <c r="Z268" s="228"/>
    </row>
    <row r="269" spans="1:26" x14ac:dyDescent="0.2">
      <c r="A269" s="228"/>
      <c r="B269" s="228"/>
      <c r="C269" s="228"/>
      <c r="D269" s="228"/>
      <c r="E269" s="228"/>
      <c r="F269" s="228"/>
      <c r="G269" s="228"/>
      <c r="H269" s="228"/>
      <c r="I269" s="228"/>
      <c r="J269" s="228"/>
      <c r="K269" s="228"/>
      <c r="L269" s="228"/>
      <c r="M269" s="228"/>
      <c r="N269" s="228"/>
      <c r="O269" s="228"/>
      <c r="P269" s="228"/>
      <c r="Q269" s="228"/>
      <c r="R269" s="228"/>
      <c r="S269" s="228"/>
      <c r="T269" s="228"/>
      <c r="U269" s="228"/>
      <c r="V269" s="228"/>
      <c r="W269" s="228"/>
      <c r="X269" s="228"/>
      <c r="Y269" s="228"/>
      <c r="Z269" s="228"/>
    </row>
    <row r="270" spans="1:26" x14ac:dyDescent="0.2">
      <c r="A270" s="228"/>
      <c r="B270" s="228"/>
      <c r="C270" s="228"/>
      <c r="D270" s="228"/>
      <c r="E270" s="228"/>
      <c r="F270" s="228"/>
      <c r="G270" s="228"/>
      <c r="H270" s="228"/>
      <c r="I270" s="228"/>
      <c r="J270" s="228"/>
      <c r="K270" s="228"/>
      <c r="L270" s="228"/>
      <c r="M270" s="228"/>
      <c r="N270" s="228"/>
      <c r="O270" s="228"/>
      <c r="P270" s="228"/>
      <c r="Q270" s="228"/>
      <c r="R270" s="228"/>
      <c r="S270" s="228"/>
      <c r="T270" s="228"/>
      <c r="U270" s="228"/>
      <c r="V270" s="228"/>
      <c r="W270" s="228"/>
      <c r="X270" s="228"/>
      <c r="Y270" s="228"/>
      <c r="Z270" s="228"/>
    </row>
    <row r="271" spans="1:26" ht="15.75" x14ac:dyDescent="0.25">
      <c r="A271" s="228"/>
      <c r="B271" s="138" t="s">
        <v>265</v>
      </c>
      <c r="C271" s="164"/>
      <c r="D271" s="163"/>
      <c r="E271" s="163"/>
      <c r="F271" s="163"/>
      <c r="G271" s="163"/>
      <c r="H271" s="163"/>
      <c r="I271" s="163"/>
      <c r="J271" s="163"/>
      <c r="K271" s="163"/>
      <c r="L271" s="163"/>
      <c r="M271" s="163"/>
      <c r="N271" s="163"/>
      <c r="O271" s="163"/>
      <c r="P271" s="163"/>
      <c r="Q271" s="163"/>
      <c r="R271" s="228"/>
      <c r="S271" s="228"/>
      <c r="T271" s="228"/>
      <c r="U271" s="228"/>
      <c r="V271" s="228"/>
      <c r="W271" s="228"/>
      <c r="X271" s="228"/>
      <c r="Y271" s="228"/>
      <c r="Z271" s="228"/>
    </row>
    <row r="272" spans="1:26" ht="15.75" x14ac:dyDescent="0.25">
      <c r="A272" s="228"/>
      <c r="B272" s="170" t="s">
        <v>118</v>
      </c>
      <c r="C272" s="162" t="s">
        <v>153</v>
      </c>
      <c r="D272" s="162" t="s">
        <v>154</v>
      </c>
      <c r="E272" s="162" t="s">
        <v>155</v>
      </c>
      <c r="F272" s="162" t="s">
        <v>156</v>
      </c>
      <c r="G272" s="162" t="s">
        <v>157</v>
      </c>
      <c r="H272" s="162" t="s">
        <v>158</v>
      </c>
      <c r="I272" s="162" t="s">
        <v>159</v>
      </c>
      <c r="J272" s="162" t="s">
        <v>160</v>
      </c>
      <c r="K272" s="162" t="s">
        <v>161</v>
      </c>
      <c r="L272" s="162" t="s">
        <v>162</v>
      </c>
      <c r="M272" s="162" t="s">
        <v>163</v>
      </c>
      <c r="N272" s="162" t="s">
        <v>166</v>
      </c>
      <c r="O272" s="162" t="s">
        <v>167</v>
      </c>
      <c r="P272" s="162" t="s">
        <v>168</v>
      </c>
      <c r="Q272" s="162" t="s">
        <v>169</v>
      </c>
      <c r="R272" s="245" t="s">
        <v>355</v>
      </c>
      <c r="S272" s="245" t="s">
        <v>356</v>
      </c>
      <c r="T272" s="228"/>
      <c r="U272" s="228"/>
      <c r="V272" s="228"/>
      <c r="W272" s="228"/>
      <c r="X272" s="228"/>
      <c r="Y272" s="228"/>
      <c r="Z272" s="228"/>
    </row>
    <row r="273" spans="1:26" ht="15.75" x14ac:dyDescent="0.25">
      <c r="A273" s="228"/>
      <c r="B273" s="175" t="s">
        <v>180</v>
      </c>
      <c r="C273" s="160">
        <v>1110831</v>
      </c>
      <c r="D273" s="160">
        <v>1085249</v>
      </c>
      <c r="E273" s="161">
        <f>(D273/C273)</f>
        <v>0.97697039423638699</v>
      </c>
      <c r="F273" s="160">
        <v>452199</v>
      </c>
      <c r="G273" s="159">
        <f>F273/D273</f>
        <v>0.41667764724961737</v>
      </c>
      <c r="H273" s="160">
        <v>290849</v>
      </c>
      <c r="I273" s="159">
        <f>H273/D273</f>
        <v>0.26800208984297613</v>
      </c>
      <c r="J273" s="160">
        <v>55734</v>
      </c>
      <c r="K273" s="159">
        <f>J273/D273</f>
        <v>5.135595609855434E-2</v>
      </c>
      <c r="L273" s="160">
        <v>50122</v>
      </c>
      <c r="M273" s="159">
        <f>L273/D273</f>
        <v>4.6184792614413835E-2</v>
      </c>
      <c r="N273" s="160">
        <v>25582</v>
      </c>
      <c r="O273" s="159">
        <f>N273/C273</f>
        <v>2.3029605763613008E-2</v>
      </c>
      <c r="P273" s="160">
        <v>469</v>
      </c>
      <c r="Q273" s="159">
        <f>P273/D273</f>
        <v>4.3215888703882703E-4</v>
      </c>
      <c r="R273" s="246">
        <f>SUM(H273,L273)</f>
        <v>340971</v>
      </c>
      <c r="S273" s="247">
        <f>(R273/D273)</f>
        <v>0.31418688245738996</v>
      </c>
      <c r="T273" s="228"/>
      <c r="U273" s="228"/>
      <c r="V273" s="228"/>
      <c r="W273" s="228"/>
      <c r="X273" s="228"/>
      <c r="Y273" s="228"/>
      <c r="Z273" s="228"/>
    </row>
    <row r="274" spans="1:26" x14ac:dyDescent="0.2">
      <c r="A274" s="228"/>
      <c r="B274" s="228"/>
      <c r="C274" s="228"/>
      <c r="D274" s="228"/>
      <c r="E274" s="228"/>
      <c r="F274" s="228"/>
      <c r="G274" s="228"/>
      <c r="H274" s="228"/>
      <c r="I274" s="228"/>
      <c r="J274" s="228"/>
      <c r="K274" s="228"/>
      <c r="L274" s="228"/>
      <c r="M274" s="228"/>
      <c r="N274" s="228"/>
      <c r="O274" s="228"/>
      <c r="P274" s="228"/>
      <c r="Q274" s="228"/>
      <c r="R274" s="246"/>
      <c r="S274" s="247"/>
      <c r="T274" s="228"/>
      <c r="U274" s="228"/>
      <c r="V274" s="228"/>
      <c r="W274" s="228"/>
      <c r="X274" s="228"/>
      <c r="Y274" s="228"/>
      <c r="Z274" s="228"/>
    </row>
    <row r="275" spans="1:26" ht="31.5" x14ac:dyDescent="0.25">
      <c r="A275" s="228"/>
      <c r="B275" s="185" t="s">
        <v>266</v>
      </c>
      <c r="C275" s="158" t="s">
        <v>153</v>
      </c>
      <c r="D275" s="158" t="s">
        <v>154</v>
      </c>
      <c r="E275" s="158" t="s">
        <v>155</v>
      </c>
      <c r="F275" s="158" t="s">
        <v>156</v>
      </c>
      <c r="G275" s="158" t="s">
        <v>157</v>
      </c>
      <c r="H275" s="158" t="s">
        <v>158</v>
      </c>
      <c r="I275" s="158" t="s">
        <v>159</v>
      </c>
      <c r="J275" s="158" t="s">
        <v>160</v>
      </c>
      <c r="K275" s="158" t="s">
        <v>161</v>
      </c>
      <c r="L275" s="158" t="s">
        <v>162</v>
      </c>
      <c r="M275" s="158" t="s">
        <v>163</v>
      </c>
      <c r="N275" s="158" t="s">
        <v>166</v>
      </c>
      <c r="O275" s="158" t="s">
        <v>167</v>
      </c>
      <c r="P275" s="158" t="s">
        <v>168</v>
      </c>
      <c r="Q275" s="158" t="s">
        <v>169</v>
      </c>
      <c r="R275" s="246"/>
      <c r="S275" s="247"/>
      <c r="T275" s="228"/>
      <c r="U275" s="228"/>
      <c r="V275" s="228"/>
      <c r="W275" s="228"/>
      <c r="X275" s="228"/>
      <c r="Y275" s="228"/>
      <c r="Z275" s="228"/>
    </row>
    <row r="276" spans="1:26" x14ac:dyDescent="0.2">
      <c r="A276" s="228"/>
      <c r="B276" s="133"/>
      <c r="C276" s="157">
        <f t="shared" ref="C276:Q276" si="0">C273</f>
        <v>1110831</v>
      </c>
      <c r="D276" s="157">
        <f t="shared" si="0"/>
        <v>1085249</v>
      </c>
      <c r="E276" s="156">
        <f t="shared" si="0"/>
        <v>0.97697039423638699</v>
      </c>
      <c r="F276" s="157">
        <f t="shared" si="0"/>
        <v>452199</v>
      </c>
      <c r="G276" s="156">
        <f t="shared" si="0"/>
        <v>0.41667764724961737</v>
      </c>
      <c r="H276" s="157">
        <f t="shared" si="0"/>
        <v>290849</v>
      </c>
      <c r="I276" s="156">
        <f t="shared" si="0"/>
        <v>0.26800208984297613</v>
      </c>
      <c r="J276" s="157">
        <f t="shared" si="0"/>
        <v>55734</v>
      </c>
      <c r="K276" s="156">
        <f t="shared" si="0"/>
        <v>5.135595609855434E-2</v>
      </c>
      <c r="L276" s="157">
        <f t="shared" si="0"/>
        <v>50122</v>
      </c>
      <c r="M276" s="156">
        <f t="shared" si="0"/>
        <v>4.6184792614413835E-2</v>
      </c>
      <c r="N276" s="157">
        <f t="shared" si="0"/>
        <v>25582</v>
      </c>
      <c r="O276" s="156">
        <f t="shared" si="0"/>
        <v>2.3029605763613008E-2</v>
      </c>
      <c r="P276" s="157">
        <f t="shared" si="0"/>
        <v>469</v>
      </c>
      <c r="Q276" s="156">
        <f t="shared" si="0"/>
        <v>4.3215888703882703E-4</v>
      </c>
      <c r="R276" s="246">
        <f t="shared" ref="R276:R337" si="1">SUM(H276,L276)</f>
        <v>340971</v>
      </c>
      <c r="S276" s="247">
        <f t="shared" ref="S276:S337" si="2">(R276/D276)</f>
        <v>0.31418688245738996</v>
      </c>
      <c r="T276" s="228"/>
      <c r="U276" s="228"/>
      <c r="V276" s="228"/>
      <c r="W276" s="228"/>
      <c r="X276" s="228"/>
      <c r="Y276" s="228"/>
      <c r="Z276" s="228"/>
    </row>
    <row r="277" spans="1:26" x14ac:dyDescent="0.2">
      <c r="A277" s="228"/>
      <c r="B277" s="228"/>
      <c r="C277" s="228"/>
      <c r="D277" s="228"/>
      <c r="E277" s="228"/>
      <c r="F277" s="228"/>
      <c r="G277" s="228"/>
      <c r="H277" s="228"/>
      <c r="I277" s="228"/>
      <c r="J277" s="228"/>
      <c r="K277" s="228"/>
      <c r="L277" s="228"/>
      <c r="M277" s="228"/>
      <c r="N277" s="228"/>
      <c r="O277" s="228"/>
      <c r="P277" s="228"/>
      <c r="Q277" s="228"/>
      <c r="R277" s="246"/>
      <c r="S277" s="247"/>
      <c r="T277" s="228"/>
      <c r="U277" s="228"/>
      <c r="V277" s="228"/>
      <c r="W277" s="228"/>
      <c r="X277" s="228"/>
      <c r="Y277" s="228"/>
      <c r="Z277" s="228"/>
    </row>
    <row r="278" spans="1:26" x14ac:dyDescent="0.2">
      <c r="A278" s="228"/>
      <c r="B278" s="228"/>
      <c r="C278" s="228"/>
      <c r="D278" s="228"/>
      <c r="E278" s="228"/>
      <c r="F278" s="228"/>
      <c r="G278" s="228"/>
      <c r="H278" s="228"/>
      <c r="I278" s="228"/>
      <c r="J278" s="228"/>
      <c r="K278" s="228"/>
      <c r="L278" s="228"/>
      <c r="M278" s="228"/>
      <c r="N278" s="228"/>
      <c r="O278" s="228"/>
      <c r="P278" s="228"/>
      <c r="Q278" s="228"/>
      <c r="R278" s="246"/>
      <c r="S278" s="247"/>
      <c r="T278" s="228"/>
      <c r="U278" s="228"/>
      <c r="V278" s="228"/>
      <c r="W278" s="228"/>
      <c r="X278" s="228"/>
      <c r="Y278" s="228"/>
      <c r="Z278" s="228"/>
    </row>
    <row r="279" spans="1:26" ht="31.5" x14ac:dyDescent="0.25">
      <c r="A279" s="228"/>
      <c r="B279" s="138" t="s">
        <v>267</v>
      </c>
      <c r="C279" s="164"/>
      <c r="D279" s="163"/>
      <c r="E279" s="163"/>
      <c r="F279" s="163"/>
      <c r="G279" s="163"/>
      <c r="H279" s="163"/>
      <c r="I279" s="163"/>
      <c r="J279" s="163"/>
      <c r="K279" s="163"/>
      <c r="L279" s="163"/>
      <c r="M279" s="163"/>
      <c r="N279" s="163"/>
      <c r="O279" s="163"/>
      <c r="P279" s="163"/>
      <c r="Q279" s="163"/>
      <c r="R279" s="246"/>
      <c r="S279" s="247"/>
      <c r="T279" s="228"/>
      <c r="U279" s="228"/>
      <c r="V279" s="228"/>
      <c r="W279" s="228"/>
      <c r="X279" s="228"/>
      <c r="Y279" s="228"/>
      <c r="Z279" s="228"/>
    </row>
    <row r="280" spans="1:26" ht="15.75" x14ac:dyDescent="0.25">
      <c r="A280" s="228"/>
      <c r="B280" s="170" t="s">
        <v>118</v>
      </c>
      <c r="C280" s="162" t="s">
        <v>153</v>
      </c>
      <c r="D280" s="162" t="s">
        <v>154</v>
      </c>
      <c r="E280" s="162" t="s">
        <v>155</v>
      </c>
      <c r="F280" s="162" t="s">
        <v>156</v>
      </c>
      <c r="G280" s="162" t="s">
        <v>157</v>
      </c>
      <c r="H280" s="162" t="s">
        <v>158</v>
      </c>
      <c r="I280" s="162" t="s">
        <v>159</v>
      </c>
      <c r="J280" s="162" t="s">
        <v>160</v>
      </c>
      <c r="K280" s="162" t="s">
        <v>161</v>
      </c>
      <c r="L280" s="162" t="s">
        <v>162</v>
      </c>
      <c r="M280" s="162" t="s">
        <v>163</v>
      </c>
      <c r="N280" s="162" t="s">
        <v>166</v>
      </c>
      <c r="O280" s="162" t="s">
        <v>167</v>
      </c>
      <c r="P280" s="162" t="s">
        <v>168</v>
      </c>
      <c r="Q280" s="162" t="s">
        <v>169</v>
      </c>
      <c r="R280" s="245" t="s">
        <v>355</v>
      </c>
      <c r="S280" s="245" t="s">
        <v>356</v>
      </c>
      <c r="T280" s="228"/>
      <c r="U280" s="228"/>
      <c r="V280" s="228"/>
      <c r="W280" s="228"/>
      <c r="X280" s="228"/>
      <c r="Y280" s="228"/>
      <c r="Z280" s="228"/>
    </row>
    <row r="281" spans="1:26" ht="15.75" x14ac:dyDescent="0.25">
      <c r="A281" s="228"/>
      <c r="B281" s="175" t="s">
        <v>180</v>
      </c>
      <c r="C281" s="160">
        <v>1135535</v>
      </c>
      <c r="D281" s="160">
        <v>1125838</v>
      </c>
      <c r="E281" s="161">
        <f>(D281/C281)</f>
        <v>0.99146041293311082</v>
      </c>
      <c r="F281" s="160">
        <v>300769</v>
      </c>
      <c r="G281" s="159">
        <f>F281/D281</f>
        <v>0.26715122424363008</v>
      </c>
      <c r="H281" s="160">
        <v>217003</v>
      </c>
      <c r="I281" s="159">
        <f>H281/D281</f>
        <v>0.19274797972710106</v>
      </c>
      <c r="J281" s="160">
        <v>9632</v>
      </c>
      <c r="K281" s="159">
        <f>J281/D281</f>
        <v>8.5554049516893202E-3</v>
      </c>
      <c r="L281" s="160">
        <v>8198</v>
      </c>
      <c r="M281" s="159">
        <f>L281/D281</f>
        <v>7.2816870633252741E-3</v>
      </c>
      <c r="N281" s="160">
        <v>9697</v>
      </c>
      <c r="O281" s="159">
        <f>N281/C281</f>
        <v>8.539587066889176E-3</v>
      </c>
      <c r="P281" s="160">
        <v>0</v>
      </c>
      <c r="Q281" s="159">
        <f>P281/D281</f>
        <v>0</v>
      </c>
      <c r="R281" s="246">
        <f t="shared" si="1"/>
        <v>225201</v>
      </c>
      <c r="S281" s="247">
        <f t="shared" si="2"/>
        <v>0.20002966679042633</v>
      </c>
      <c r="T281" s="228"/>
      <c r="U281" s="228"/>
      <c r="V281" s="228"/>
      <c r="W281" s="228"/>
      <c r="X281" s="228"/>
      <c r="Y281" s="228"/>
      <c r="Z281" s="228"/>
    </row>
    <row r="282" spans="1:26" x14ac:dyDescent="0.2">
      <c r="A282" s="228"/>
      <c r="B282" s="228"/>
      <c r="C282" s="228"/>
      <c r="D282" s="228"/>
      <c r="E282" s="228"/>
      <c r="F282" s="228"/>
      <c r="G282" s="228"/>
      <c r="H282" s="228"/>
      <c r="I282" s="228"/>
      <c r="J282" s="228"/>
      <c r="K282" s="228"/>
      <c r="L282" s="228"/>
      <c r="M282" s="228"/>
      <c r="N282" s="228"/>
      <c r="O282" s="228"/>
      <c r="P282" s="228"/>
      <c r="Q282" s="228"/>
      <c r="R282" s="246"/>
      <c r="S282" s="247"/>
      <c r="T282" s="228"/>
      <c r="U282" s="228"/>
      <c r="V282" s="228"/>
      <c r="W282" s="228"/>
      <c r="X282" s="228"/>
      <c r="Y282" s="228"/>
      <c r="Z282" s="228"/>
    </row>
    <row r="283" spans="1:26" ht="31.5" x14ac:dyDescent="0.25">
      <c r="A283" s="228"/>
      <c r="B283" s="138" t="s">
        <v>268</v>
      </c>
      <c r="C283" s="164"/>
      <c r="D283" s="163"/>
      <c r="E283" s="163"/>
      <c r="F283" s="163"/>
      <c r="G283" s="163"/>
      <c r="H283" s="163"/>
      <c r="I283" s="163"/>
      <c r="J283" s="163"/>
      <c r="K283" s="163"/>
      <c r="L283" s="163"/>
      <c r="M283" s="163"/>
      <c r="N283" s="163"/>
      <c r="O283" s="163"/>
      <c r="P283" s="163"/>
      <c r="Q283" s="163"/>
      <c r="R283" s="246"/>
      <c r="S283" s="247"/>
      <c r="T283" s="228"/>
      <c r="U283" s="228"/>
      <c r="V283" s="228"/>
      <c r="W283" s="228"/>
      <c r="X283" s="228"/>
      <c r="Y283" s="228"/>
      <c r="Z283" s="228"/>
    </row>
    <row r="284" spans="1:26" ht="15.75" x14ac:dyDescent="0.25">
      <c r="A284" s="228"/>
      <c r="B284" s="170" t="s">
        <v>118</v>
      </c>
      <c r="C284" s="162" t="s">
        <v>153</v>
      </c>
      <c r="D284" s="162" t="s">
        <v>154</v>
      </c>
      <c r="E284" s="162" t="s">
        <v>155</v>
      </c>
      <c r="F284" s="162" t="s">
        <v>156</v>
      </c>
      <c r="G284" s="162" t="s">
        <v>157</v>
      </c>
      <c r="H284" s="162" t="s">
        <v>158</v>
      </c>
      <c r="I284" s="162" t="s">
        <v>159</v>
      </c>
      <c r="J284" s="162" t="s">
        <v>160</v>
      </c>
      <c r="K284" s="162" t="s">
        <v>161</v>
      </c>
      <c r="L284" s="162" t="s">
        <v>162</v>
      </c>
      <c r="M284" s="162" t="s">
        <v>163</v>
      </c>
      <c r="N284" s="162" t="s">
        <v>166</v>
      </c>
      <c r="O284" s="162" t="s">
        <v>167</v>
      </c>
      <c r="P284" s="162" t="s">
        <v>168</v>
      </c>
      <c r="Q284" s="162" t="s">
        <v>169</v>
      </c>
      <c r="R284" s="245" t="s">
        <v>355</v>
      </c>
      <c r="S284" s="245" t="s">
        <v>356</v>
      </c>
      <c r="T284" s="228"/>
      <c r="U284" s="228"/>
      <c r="V284" s="228"/>
      <c r="W284" s="228"/>
      <c r="X284" s="228"/>
      <c r="Y284" s="228"/>
      <c r="Z284" s="228"/>
    </row>
    <row r="285" spans="1:26" ht="15.75" x14ac:dyDescent="0.25">
      <c r="A285" s="228"/>
      <c r="B285" s="175" t="s">
        <v>251</v>
      </c>
      <c r="C285" s="160">
        <v>611</v>
      </c>
      <c r="D285" s="160">
        <v>601</v>
      </c>
      <c r="E285" s="161">
        <f>(D285/C285)</f>
        <v>0.98363338788870702</v>
      </c>
      <c r="F285" s="160">
        <v>338</v>
      </c>
      <c r="G285" s="159">
        <f>F285/D285</f>
        <v>0.56239600665557399</v>
      </c>
      <c r="H285" s="160">
        <v>219</v>
      </c>
      <c r="I285" s="159">
        <f>H285/D285</f>
        <v>0.36439267886855242</v>
      </c>
      <c r="J285" s="160">
        <v>63</v>
      </c>
      <c r="K285" s="159">
        <f>J285/D285</f>
        <v>0.1048252911813644</v>
      </c>
      <c r="L285" s="160">
        <v>46</v>
      </c>
      <c r="M285" s="159">
        <f>L285/D285</f>
        <v>7.6539101497504161E-2</v>
      </c>
      <c r="N285" s="160">
        <v>10</v>
      </c>
      <c r="O285" s="159">
        <f>N285/C285</f>
        <v>1.6366612111292964E-2</v>
      </c>
      <c r="P285" s="160">
        <v>1</v>
      </c>
      <c r="Q285" s="159">
        <f>P285/D285</f>
        <v>1.6638935108153079E-3</v>
      </c>
      <c r="R285" s="246">
        <f t="shared" si="1"/>
        <v>265</v>
      </c>
      <c r="S285" s="247">
        <f t="shared" si="2"/>
        <v>0.44093178036605657</v>
      </c>
      <c r="T285" s="228"/>
      <c r="U285" s="228"/>
      <c r="V285" s="228"/>
      <c r="W285" s="228"/>
      <c r="X285" s="228"/>
      <c r="Y285" s="228"/>
      <c r="Z285" s="228"/>
    </row>
    <row r="286" spans="1:26" x14ac:dyDescent="0.2">
      <c r="A286" s="228"/>
      <c r="B286" s="228"/>
      <c r="C286" s="228"/>
      <c r="D286" s="228"/>
      <c r="E286" s="228"/>
      <c r="F286" s="228"/>
      <c r="G286" s="228"/>
      <c r="H286" s="228"/>
      <c r="I286" s="228"/>
      <c r="J286" s="228"/>
      <c r="K286" s="228"/>
      <c r="L286" s="228"/>
      <c r="M286" s="228"/>
      <c r="N286" s="228"/>
      <c r="O286" s="228"/>
      <c r="P286" s="228"/>
      <c r="Q286" s="228"/>
      <c r="R286" s="246"/>
      <c r="S286" s="247"/>
      <c r="T286" s="228"/>
      <c r="U286" s="228"/>
      <c r="V286" s="228"/>
      <c r="W286" s="228"/>
      <c r="X286" s="228"/>
      <c r="Y286" s="228"/>
      <c r="Z286" s="228"/>
    </row>
    <row r="287" spans="1:26" ht="15.75" x14ac:dyDescent="0.25">
      <c r="A287" s="228"/>
      <c r="B287" s="138" t="s">
        <v>269</v>
      </c>
      <c r="C287" s="164"/>
      <c r="D287" s="163"/>
      <c r="E287" s="163"/>
      <c r="F287" s="163"/>
      <c r="G287" s="163"/>
      <c r="H287" s="163"/>
      <c r="I287" s="163"/>
      <c r="J287" s="163"/>
      <c r="K287" s="163"/>
      <c r="L287" s="163"/>
      <c r="M287" s="163"/>
      <c r="N287" s="163"/>
      <c r="O287" s="163"/>
      <c r="P287" s="163"/>
      <c r="Q287" s="163"/>
      <c r="R287" s="246"/>
      <c r="S287" s="247"/>
      <c r="T287" s="228"/>
      <c r="U287" s="228"/>
      <c r="V287" s="228"/>
      <c r="W287" s="228"/>
      <c r="X287" s="228"/>
      <c r="Y287" s="228"/>
      <c r="Z287" s="228"/>
    </row>
    <row r="288" spans="1:26" ht="15.75" x14ac:dyDescent="0.25">
      <c r="A288" s="228"/>
      <c r="B288" s="170" t="s">
        <v>118</v>
      </c>
      <c r="C288" s="162" t="s">
        <v>153</v>
      </c>
      <c r="D288" s="162" t="s">
        <v>154</v>
      </c>
      <c r="E288" s="162" t="s">
        <v>155</v>
      </c>
      <c r="F288" s="162" t="s">
        <v>156</v>
      </c>
      <c r="G288" s="162" t="s">
        <v>157</v>
      </c>
      <c r="H288" s="162" t="s">
        <v>158</v>
      </c>
      <c r="I288" s="162" t="s">
        <v>159</v>
      </c>
      <c r="J288" s="162" t="s">
        <v>160</v>
      </c>
      <c r="K288" s="162" t="s">
        <v>161</v>
      </c>
      <c r="L288" s="162" t="s">
        <v>162</v>
      </c>
      <c r="M288" s="162" t="s">
        <v>163</v>
      </c>
      <c r="N288" s="162" t="s">
        <v>166</v>
      </c>
      <c r="O288" s="162" t="s">
        <v>167</v>
      </c>
      <c r="P288" s="162" t="s">
        <v>168</v>
      </c>
      <c r="Q288" s="162" t="s">
        <v>169</v>
      </c>
      <c r="R288" s="245" t="s">
        <v>355</v>
      </c>
      <c r="S288" s="245" t="s">
        <v>356</v>
      </c>
      <c r="T288" s="228"/>
      <c r="U288" s="228"/>
      <c r="V288" s="228"/>
      <c r="W288" s="228"/>
      <c r="X288" s="228"/>
      <c r="Y288" s="228"/>
      <c r="Z288" s="228"/>
    </row>
    <row r="289" spans="1:26" ht="15.75" x14ac:dyDescent="0.25">
      <c r="A289" s="228"/>
      <c r="B289" s="175" t="s">
        <v>270</v>
      </c>
      <c r="C289" s="160">
        <v>1138469</v>
      </c>
      <c r="D289" s="160">
        <v>1128891</v>
      </c>
      <c r="E289" s="161">
        <f>(D289/C289)</f>
        <v>0.99158694703149586</v>
      </c>
      <c r="F289" s="160">
        <v>361395</v>
      </c>
      <c r="G289" s="159">
        <f>F289/D289</f>
        <v>0.32013276746824981</v>
      </c>
      <c r="H289" s="160">
        <v>248665</v>
      </c>
      <c r="I289" s="159">
        <f>H289/D289</f>
        <v>0.22027370224406076</v>
      </c>
      <c r="J289" s="160">
        <v>23239</v>
      </c>
      <c r="K289" s="159">
        <f>J289/D289</f>
        <v>2.0585689849595752E-2</v>
      </c>
      <c r="L289" s="160">
        <v>20509</v>
      </c>
      <c r="M289" s="159">
        <f>L289/D289</f>
        <v>1.8167387285397792E-2</v>
      </c>
      <c r="N289" s="160">
        <v>9578</v>
      </c>
      <c r="O289" s="159">
        <f>N289/C289</f>
        <v>8.4130529685041925E-3</v>
      </c>
      <c r="P289" s="160">
        <v>874</v>
      </c>
      <c r="Q289" s="159">
        <f>P289/D289</f>
        <v>7.7421115058938375E-4</v>
      </c>
      <c r="R289" s="246">
        <f t="shared" si="1"/>
        <v>269174</v>
      </c>
      <c r="S289" s="247">
        <f t="shared" si="2"/>
        <v>0.23844108952945856</v>
      </c>
      <c r="T289" s="228"/>
      <c r="U289" s="228"/>
      <c r="V289" s="228"/>
      <c r="W289" s="228"/>
      <c r="X289" s="228"/>
      <c r="Y289" s="228"/>
      <c r="Z289" s="228"/>
    </row>
    <row r="290" spans="1:26" x14ac:dyDescent="0.2">
      <c r="A290" s="228"/>
      <c r="B290" s="228"/>
      <c r="C290" s="228"/>
      <c r="D290" s="228"/>
      <c r="E290" s="228"/>
      <c r="F290" s="228"/>
      <c r="G290" s="228"/>
      <c r="H290" s="228"/>
      <c r="I290" s="228"/>
      <c r="J290" s="228"/>
      <c r="K290" s="228"/>
      <c r="L290" s="228"/>
      <c r="M290" s="228"/>
      <c r="N290" s="228"/>
      <c r="O290" s="228"/>
      <c r="P290" s="228"/>
      <c r="Q290" s="228"/>
      <c r="R290" s="246"/>
      <c r="S290" s="247"/>
      <c r="T290" s="228"/>
      <c r="U290" s="228"/>
      <c r="V290" s="228"/>
      <c r="W290" s="228"/>
      <c r="X290" s="228"/>
      <c r="Y290" s="228"/>
      <c r="Z290" s="228"/>
    </row>
    <row r="291" spans="1:26" ht="31.5" x14ac:dyDescent="0.25">
      <c r="A291" s="228"/>
      <c r="B291" s="185" t="s">
        <v>271</v>
      </c>
      <c r="C291" s="158" t="s">
        <v>153</v>
      </c>
      <c r="D291" s="158" t="s">
        <v>154</v>
      </c>
      <c r="E291" s="158" t="s">
        <v>155</v>
      </c>
      <c r="F291" s="158" t="s">
        <v>156</v>
      </c>
      <c r="G291" s="158" t="s">
        <v>157</v>
      </c>
      <c r="H291" s="158" t="s">
        <v>158</v>
      </c>
      <c r="I291" s="158" t="s">
        <v>159</v>
      </c>
      <c r="J291" s="158" t="s">
        <v>160</v>
      </c>
      <c r="K291" s="158" t="s">
        <v>161</v>
      </c>
      <c r="L291" s="158" t="s">
        <v>162</v>
      </c>
      <c r="M291" s="158" t="s">
        <v>163</v>
      </c>
      <c r="N291" s="158" t="s">
        <v>166</v>
      </c>
      <c r="O291" s="158" t="s">
        <v>167</v>
      </c>
      <c r="P291" s="158" t="s">
        <v>168</v>
      </c>
      <c r="Q291" s="158" t="s">
        <v>169</v>
      </c>
      <c r="R291" s="246"/>
      <c r="S291" s="247"/>
      <c r="T291" s="228"/>
      <c r="U291" s="228"/>
      <c r="V291" s="228"/>
      <c r="W291" s="228"/>
      <c r="X291" s="228"/>
      <c r="Y291" s="228"/>
      <c r="Z291" s="228"/>
    </row>
    <row r="292" spans="1:26" x14ac:dyDescent="0.2">
      <c r="A292" s="228"/>
      <c r="B292" s="133"/>
      <c r="C292" s="157">
        <f>SUM(C281,C285,C289)</f>
        <v>2274615</v>
      </c>
      <c r="D292" s="157">
        <f>SUM(D281,D285,D289)</f>
        <v>2255330</v>
      </c>
      <c r="E292" s="156">
        <f>D292/C292</f>
        <v>0.99152164212405181</v>
      </c>
      <c r="F292" s="157">
        <f>SUM(F281,F285,F289)</f>
        <v>662502</v>
      </c>
      <c r="G292" s="156">
        <f>F292/D292</f>
        <v>0.29374947346951447</v>
      </c>
      <c r="H292" s="157">
        <f>SUM(H281,H285,H289)</f>
        <v>465887</v>
      </c>
      <c r="I292" s="156">
        <f>H292/D292</f>
        <v>0.20657154385389279</v>
      </c>
      <c r="J292" s="157">
        <f>SUM(J281,J285,J289)</f>
        <v>32934</v>
      </c>
      <c r="K292" s="156">
        <f>J292/D292</f>
        <v>1.4602741062283568E-2</v>
      </c>
      <c r="L292" s="157">
        <f>SUM(L281,L285,L289)</f>
        <v>28753</v>
      </c>
      <c r="M292" s="156">
        <f>L292/D292</f>
        <v>1.2748910359016197E-2</v>
      </c>
      <c r="N292" s="157">
        <f>SUM(N281,N285,N289)</f>
        <v>19285</v>
      </c>
      <c r="O292" s="156">
        <f>N292/C292</f>
        <v>8.4783578759482382E-3</v>
      </c>
      <c r="P292" s="157">
        <f>SUM(P281,P285,P289)</f>
        <v>875</v>
      </c>
      <c r="Q292" s="156">
        <f>P292/D292</f>
        <v>3.8796983146590519E-4</v>
      </c>
      <c r="R292" s="246">
        <f t="shared" si="1"/>
        <v>494640</v>
      </c>
      <c r="S292" s="247">
        <f t="shared" si="2"/>
        <v>0.21932045421290897</v>
      </c>
      <c r="T292" s="228"/>
      <c r="U292" s="228"/>
      <c r="V292" s="228"/>
      <c r="W292" s="228"/>
      <c r="X292" s="228"/>
      <c r="Y292" s="228"/>
      <c r="Z292" s="228"/>
    </row>
    <row r="293" spans="1:26" x14ac:dyDescent="0.2">
      <c r="A293" s="228"/>
      <c r="B293" s="228"/>
      <c r="C293" s="228"/>
      <c r="D293" s="228"/>
      <c r="E293" s="228"/>
      <c r="F293" s="228"/>
      <c r="G293" s="228"/>
      <c r="H293" s="228"/>
      <c r="I293" s="228"/>
      <c r="J293" s="228"/>
      <c r="K293" s="228"/>
      <c r="L293" s="228"/>
      <c r="M293" s="228"/>
      <c r="N293" s="228"/>
      <c r="O293" s="228"/>
      <c r="P293" s="228"/>
      <c r="Q293" s="228"/>
      <c r="R293" s="246"/>
      <c r="S293" s="247"/>
      <c r="T293" s="228"/>
      <c r="U293" s="228"/>
      <c r="V293" s="228"/>
      <c r="W293" s="228"/>
      <c r="X293" s="228"/>
      <c r="Y293" s="228"/>
      <c r="Z293" s="228"/>
    </row>
    <row r="294" spans="1:26" x14ac:dyDescent="0.2">
      <c r="A294" s="228"/>
      <c r="B294" s="228"/>
      <c r="C294" s="228"/>
      <c r="D294" s="228"/>
      <c r="E294" s="228"/>
      <c r="F294" s="228"/>
      <c r="G294" s="228"/>
      <c r="H294" s="228"/>
      <c r="I294" s="228"/>
      <c r="J294" s="228"/>
      <c r="K294" s="228"/>
      <c r="L294" s="228"/>
      <c r="M294" s="228"/>
      <c r="N294" s="228"/>
      <c r="O294" s="228"/>
      <c r="P294" s="228"/>
      <c r="Q294" s="228"/>
      <c r="R294" s="246"/>
      <c r="S294" s="247"/>
      <c r="T294" s="228"/>
      <c r="U294" s="228"/>
      <c r="V294" s="228"/>
      <c r="W294" s="228"/>
      <c r="X294" s="228"/>
      <c r="Y294" s="228"/>
      <c r="Z294" s="228"/>
    </row>
    <row r="295" spans="1:26" ht="31.5" x14ac:dyDescent="0.25">
      <c r="A295" s="228"/>
      <c r="B295" s="138" t="s">
        <v>272</v>
      </c>
      <c r="C295" s="164"/>
      <c r="D295" s="163"/>
      <c r="E295" s="163"/>
      <c r="F295" s="163"/>
      <c r="G295" s="163"/>
      <c r="H295" s="163"/>
      <c r="I295" s="163"/>
      <c r="J295" s="163"/>
      <c r="K295" s="163"/>
      <c r="L295" s="163"/>
      <c r="M295" s="163"/>
      <c r="N295" s="163"/>
      <c r="O295" s="163"/>
      <c r="P295" s="163"/>
      <c r="Q295" s="163"/>
      <c r="R295" s="246"/>
      <c r="S295" s="247"/>
      <c r="T295" s="228"/>
      <c r="U295" s="228"/>
      <c r="V295" s="228"/>
      <c r="W295" s="228"/>
      <c r="X295" s="228"/>
      <c r="Y295" s="228"/>
      <c r="Z295" s="228"/>
    </row>
    <row r="296" spans="1:26" ht="15.75" x14ac:dyDescent="0.25">
      <c r="A296" s="228"/>
      <c r="B296" s="170" t="s">
        <v>118</v>
      </c>
      <c r="C296" s="162" t="s">
        <v>153</v>
      </c>
      <c r="D296" s="162" t="s">
        <v>154</v>
      </c>
      <c r="E296" s="162" t="s">
        <v>155</v>
      </c>
      <c r="F296" s="162" t="s">
        <v>156</v>
      </c>
      <c r="G296" s="162" t="s">
        <v>157</v>
      </c>
      <c r="H296" s="162" t="s">
        <v>158</v>
      </c>
      <c r="I296" s="162" t="s">
        <v>159</v>
      </c>
      <c r="J296" s="162" t="s">
        <v>160</v>
      </c>
      <c r="K296" s="162" t="s">
        <v>161</v>
      </c>
      <c r="L296" s="162" t="s">
        <v>162</v>
      </c>
      <c r="M296" s="162" t="s">
        <v>163</v>
      </c>
      <c r="N296" s="162" t="s">
        <v>166</v>
      </c>
      <c r="O296" s="162" t="s">
        <v>167</v>
      </c>
      <c r="P296" s="162" t="s">
        <v>168</v>
      </c>
      <c r="Q296" s="162" t="s">
        <v>169</v>
      </c>
      <c r="R296" s="245" t="s">
        <v>355</v>
      </c>
      <c r="S296" s="245" t="s">
        <v>356</v>
      </c>
      <c r="T296" s="228"/>
      <c r="U296" s="228"/>
      <c r="V296" s="228"/>
      <c r="W296" s="228"/>
      <c r="X296" s="228"/>
      <c r="Y296" s="228"/>
      <c r="Z296" s="228"/>
    </row>
    <row r="297" spans="1:26" ht="15.75" x14ac:dyDescent="0.25">
      <c r="A297" s="228"/>
      <c r="B297" s="175" t="s">
        <v>270</v>
      </c>
      <c r="C297" s="160">
        <v>1157287</v>
      </c>
      <c r="D297" s="160">
        <v>1145385</v>
      </c>
      <c r="E297" s="161">
        <f>(D297/C297)</f>
        <v>0.98971560209351694</v>
      </c>
      <c r="F297" s="160">
        <v>395124</v>
      </c>
      <c r="G297" s="159">
        <f>F297/D297</f>
        <v>0.34497046844510798</v>
      </c>
      <c r="H297" s="160">
        <v>274868</v>
      </c>
      <c r="I297" s="159">
        <f>H297/D297</f>
        <v>0.23997869711930922</v>
      </c>
      <c r="J297" s="160">
        <v>13641</v>
      </c>
      <c r="K297" s="159">
        <f>J297/D297</f>
        <v>1.190953260257468E-2</v>
      </c>
      <c r="L297" s="160">
        <v>11172</v>
      </c>
      <c r="M297" s="159">
        <f>L297/D297</f>
        <v>9.7539255359551588E-3</v>
      </c>
      <c r="N297" s="160">
        <v>11902</v>
      </c>
      <c r="O297" s="159">
        <f>N297/C297</f>
        <v>1.0284397906483007E-2</v>
      </c>
      <c r="P297" s="160">
        <v>0</v>
      </c>
      <c r="Q297" s="159">
        <f>P297/D297</f>
        <v>0</v>
      </c>
      <c r="R297" s="246">
        <f t="shared" si="1"/>
        <v>286040</v>
      </c>
      <c r="S297" s="247">
        <f t="shared" si="2"/>
        <v>0.24973262265526439</v>
      </c>
      <c r="T297" s="228"/>
      <c r="U297" s="228"/>
      <c r="V297" s="228"/>
      <c r="W297" s="228"/>
      <c r="X297" s="228"/>
      <c r="Y297" s="228"/>
      <c r="Z297" s="228"/>
    </row>
    <row r="298" spans="1:26" x14ac:dyDescent="0.2">
      <c r="A298" s="228"/>
      <c r="B298" s="228"/>
      <c r="C298" s="228"/>
      <c r="D298" s="228"/>
      <c r="E298" s="228"/>
      <c r="F298" s="228"/>
      <c r="G298" s="228"/>
      <c r="H298" s="228"/>
      <c r="I298" s="228"/>
      <c r="J298" s="228"/>
      <c r="K298" s="228"/>
      <c r="L298" s="228"/>
      <c r="M298" s="228"/>
      <c r="N298" s="228"/>
      <c r="O298" s="228"/>
      <c r="P298" s="228"/>
      <c r="Q298" s="228"/>
      <c r="R298" s="246"/>
      <c r="S298" s="247"/>
      <c r="T298" s="228"/>
      <c r="U298" s="228"/>
      <c r="V298" s="228"/>
      <c r="W298" s="228"/>
      <c r="X298" s="228"/>
      <c r="Y298" s="228"/>
      <c r="Z298" s="228"/>
    </row>
    <row r="299" spans="1:26" ht="31.5" x14ac:dyDescent="0.25">
      <c r="A299" s="228"/>
      <c r="B299" s="138" t="s">
        <v>273</v>
      </c>
      <c r="C299" s="164"/>
      <c r="D299" s="163"/>
      <c r="E299" s="163"/>
      <c r="F299" s="163"/>
      <c r="G299" s="163"/>
      <c r="H299" s="163"/>
      <c r="I299" s="163"/>
      <c r="J299" s="163"/>
      <c r="K299" s="163"/>
      <c r="L299" s="163"/>
      <c r="M299" s="163"/>
      <c r="N299" s="163"/>
      <c r="O299" s="163"/>
      <c r="P299" s="163"/>
      <c r="Q299" s="163"/>
      <c r="R299" s="246"/>
      <c r="S299" s="247"/>
      <c r="T299" s="228"/>
      <c r="U299" s="228"/>
      <c r="V299" s="228"/>
      <c r="W299" s="228"/>
      <c r="X299" s="228"/>
      <c r="Y299" s="228"/>
      <c r="Z299" s="228"/>
    </row>
    <row r="300" spans="1:26" ht="15.75" x14ac:dyDescent="0.25">
      <c r="A300" s="228"/>
      <c r="B300" s="170" t="s">
        <v>118</v>
      </c>
      <c r="C300" s="162" t="s">
        <v>153</v>
      </c>
      <c r="D300" s="162" t="s">
        <v>154</v>
      </c>
      <c r="E300" s="162" t="s">
        <v>155</v>
      </c>
      <c r="F300" s="162" t="s">
        <v>156</v>
      </c>
      <c r="G300" s="162" t="s">
        <v>157</v>
      </c>
      <c r="H300" s="162" t="s">
        <v>158</v>
      </c>
      <c r="I300" s="162" t="s">
        <v>159</v>
      </c>
      <c r="J300" s="162" t="s">
        <v>160</v>
      </c>
      <c r="K300" s="162" t="s">
        <v>161</v>
      </c>
      <c r="L300" s="162" t="s">
        <v>162</v>
      </c>
      <c r="M300" s="162" t="s">
        <v>163</v>
      </c>
      <c r="N300" s="162" t="s">
        <v>166</v>
      </c>
      <c r="O300" s="162" t="s">
        <v>167</v>
      </c>
      <c r="P300" s="162" t="s">
        <v>168</v>
      </c>
      <c r="Q300" s="162" t="s">
        <v>169</v>
      </c>
      <c r="R300" s="245" t="s">
        <v>355</v>
      </c>
      <c r="S300" s="245" t="s">
        <v>356</v>
      </c>
      <c r="T300" s="228"/>
      <c r="U300" s="228"/>
      <c r="V300" s="228"/>
      <c r="W300" s="228"/>
      <c r="X300" s="228"/>
      <c r="Y300" s="228"/>
      <c r="Z300" s="228"/>
    </row>
    <row r="301" spans="1:26" ht="15.75" x14ac:dyDescent="0.25">
      <c r="A301" s="228"/>
      <c r="B301" s="175" t="s">
        <v>274</v>
      </c>
      <c r="C301" s="160">
        <v>3031</v>
      </c>
      <c r="D301" s="160">
        <v>2971</v>
      </c>
      <c r="E301" s="161">
        <f>(D301/C301)</f>
        <v>0.98020455295282083</v>
      </c>
      <c r="F301" s="160">
        <v>1835</v>
      </c>
      <c r="G301" s="159">
        <f>F301/D301</f>
        <v>0.61763715920565465</v>
      </c>
      <c r="H301" s="160">
        <v>1109</v>
      </c>
      <c r="I301" s="159">
        <f>H301/D301</f>
        <v>0.37327499158532479</v>
      </c>
      <c r="J301" s="160">
        <v>508</v>
      </c>
      <c r="K301" s="159">
        <f>J301/D301</f>
        <v>0.1709861999326826</v>
      </c>
      <c r="L301" s="160">
        <v>355</v>
      </c>
      <c r="M301" s="159">
        <f>L301/D301</f>
        <v>0.11948838774823292</v>
      </c>
      <c r="N301" s="160">
        <v>60</v>
      </c>
      <c r="O301" s="159">
        <f>N301/C301</f>
        <v>1.979544704717915E-2</v>
      </c>
      <c r="P301" s="160">
        <v>1</v>
      </c>
      <c r="Q301" s="159">
        <f>P301/D301</f>
        <v>3.3658700774150119E-4</v>
      </c>
      <c r="R301" s="246">
        <f t="shared" si="1"/>
        <v>1464</v>
      </c>
      <c r="S301" s="247">
        <f t="shared" si="2"/>
        <v>0.49276337933355774</v>
      </c>
      <c r="T301" s="228"/>
      <c r="U301" s="228"/>
      <c r="V301" s="228"/>
      <c r="W301" s="228"/>
      <c r="X301" s="228"/>
      <c r="Y301" s="228"/>
      <c r="Z301" s="228"/>
    </row>
    <row r="302" spans="1:26" x14ac:dyDescent="0.2">
      <c r="A302" s="228"/>
      <c r="B302" s="228"/>
      <c r="C302" s="228"/>
      <c r="D302" s="228"/>
      <c r="E302" s="228"/>
      <c r="F302" s="228"/>
      <c r="G302" s="228"/>
      <c r="H302" s="228"/>
      <c r="I302" s="228"/>
      <c r="J302" s="228"/>
      <c r="K302" s="228"/>
      <c r="L302" s="228"/>
      <c r="M302" s="228"/>
      <c r="N302" s="228"/>
      <c r="O302" s="228"/>
      <c r="P302" s="228"/>
      <c r="Q302" s="228"/>
      <c r="R302" s="246"/>
      <c r="S302" s="247"/>
      <c r="T302" s="228"/>
      <c r="U302" s="228"/>
      <c r="V302" s="228"/>
      <c r="W302" s="228"/>
      <c r="X302" s="228"/>
      <c r="Y302" s="228"/>
      <c r="Z302" s="228"/>
    </row>
    <row r="303" spans="1:26" ht="31.5" x14ac:dyDescent="0.25">
      <c r="A303" s="228"/>
      <c r="B303" s="185" t="s">
        <v>185</v>
      </c>
      <c r="C303" s="158" t="s">
        <v>153</v>
      </c>
      <c r="D303" s="158" t="s">
        <v>154</v>
      </c>
      <c r="E303" s="158" t="s">
        <v>155</v>
      </c>
      <c r="F303" s="158" t="s">
        <v>156</v>
      </c>
      <c r="G303" s="158" t="s">
        <v>157</v>
      </c>
      <c r="H303" s="158" t="s">
        <v>158</v>
      </c>
      <c r="I303" s="158" t="s">
        <v>159</v>
      </c>
      <c r="J303" s="158" t="s">
        <v>160</v>
      </c>
      <c r="K303" s="158" t="s">
        <v>161</v>
      </c>
      <c r="L303" s="158" t="s">
        <v>162</v>
      </c>
      <c r="M303" s="158" t="s">
        <v>163</v>
      </c>
      <c r="N303" s="158" t="s">
        <v>166</v>
      </c>
      <c r="O303" s="158" t="s">
        <v>167</v>
      </c>
      <c r="P303" s="158" t="s">
        <v>168</v>
      </c>
      <c r="Q303" s="158" t="s">
        <v>169</v>
      </c>
      <c r="R303" s="245" t="s">
        <v>355</v>
      </c>
      <c r="S303" s="245" t="s">
        <v>356</v>
      </c>
      <c r="T303" s="228"/>
      <c r="U303" s="228"/>
      <c r="V303" s="228"/>
      <c r="W303" s="228"/>
      <c r="X303" s="228"/>
      <c r="Y303" s="228"/>
      <c r="Z303" s="228"/>
    </row>
    <row r="304" spans="1:26" x14ac:dyDescent="0.2">
      <c r="A304" s="228"/>
      <c r="B304" s="133"/>
      <c r="C304" s="157">
        <f>SUM(C293,C297,C301)</f>
        <v>1160318</v>
      </c>
      <c r="D304" s="157">
        <f>SUM(D293,D297,D301)</f>
        <v>1148356</v>
      </c>
      <c r="E304" s="156">
        <f>D304/C304</f>
        <v>0.98969075718897748</v>
      </c>
      <c r="F304" s="157">
        <f>SUM(F292,F297,F301)</f>
        <v>1059461</v>
      </c>
      <c r="G304" s="156">
        <f>F304/D304</f>
        <v>0.92258933640787355</v>
      </c>
      <c r="H304" s="157">
        <f>SUM(H292,H297,H301)</f>
        <v>741864</v>
      </c>
      <c r="I304" s="156">
        <f>H304/D304</f>
        <v>0.64602266196197</v>
      </c>
      <c r="J304" s="157">
        <f>SUM(J292,J297,J301)</f>
        <v>47083</v>
      </c>
      <c r="K304" s="156">
        <f>J304/D304</f>
        <v>4.1000351807279276E-2</v>
      </c>
      <c r="L304" s="157">
        <f>SUM(L292,L297,L301)</f>
        <v>40280</v>
      </c>
      <c r="M304" s="156">
        <f>L304/D304</f>
        <v>3.50762307159104E-2</v>
      </c>
      <c r="N304" s="157">
        <f>SUM(N292,N297,N301)</f>
        <v>31247</v>
      </c>
      <c r="O304" s="156">
        <f>N304/C304</f>
        <v>2.6929686516972071E-2</v>
      </c>
      <c r="P304" s="157">
        <f>SUM(P292,P297,P301)</f>
        <v>876</v>
      </c>
      <c r="Q304" s="156">
        <f>P304/D304</f>
        <v>7.6282964516230154E-4</v>
      </c>
      <c r="R304" s="246">
        <f t="shared" si="1"/>
        <v>782144</v>
      </c>
      <c r="S304" s="247">
        <f t="shared" si="2"/>
        <v>0.68109889267788037</v>
      </c>
      <c r="T304" s="228"/>
      <c r="U304" s="228"/>
      <c r="V304" s="228"/>
      <c r="W304" s="228"/>
      <c r="X304" s="228"/>
      <c r="Y304" s="228"/>
      <c r="Z304" s="228"/>
    </row>
    <row r="305" spans="1:26" x14ac:dyDescent="0.2">
      <c r="A305" s="228"/>
      <c r="B305" s="228"/>
      <c r="C305" s="228"/>
      <c r="D305" s="228"/>
      <c r="E305" s="228"/>
      <c r="F305" s="228"/>
      <c r="G305" s="228"/>
      <c r="H305" s="228"/>
      <c r="I305" s="228"/>
      <c r="J305" s="228"/>
      <c r="K305" s="228"/>
      <c r="L305" s="228"/>
      <c r="M305" s="228"/>
      <c r="N305" s="228"/>
      <c r="O305" s="228"/>
      <c r="P305" s="228"/>
      <c r="Q305" s="228"/>
      <c r="R305" s="246"/>
      <c r="S305" s="247"/>
      <c r="T305" s="228"/>
      <c r="U305" s="228"/>
      <c r="V305" s="228"/>
      <c r="W305" s="228"/>
      <c r="X305" s="228"/>
      <c r="Y305" s="228"/>
      <c r="Z305" s="228"/>
    </row>
    <row r="306" spans="1:26" x14ac:dyDescent="0.2">
      <c r="A306" s="228"/>
      <c r="B306" s="228"/>
      <c r="C306" s="228"/>
      <c r="D306" s="228"/>
      <c r="E306" s="228"/>
      <c r="F306" s="228"/>
      <c r="G306" s="228"/>
      <c r="H306" s="228"/>
      <c r="I306" s="228"/>
      <c r="J306" s="228"/>
      <c r="K306" s="228"/>
      <c r="L306" s="228"/>
      <c r="M306" s="228"/>
      <c r="N306" s="228"/>
      <c r="O306" s="228"/>
      <c r="P306" s="228"/>
      <c r="Q306" s="228"/>
      <c r="R306" s="246"/>
      <c r="S306" s="247"/>
      <c r="T306" s="228"/>
      <c r="U306" s="228"/>
      <c r="V306" s="228"/>
      <c r="W306" s="228"/>
      <c r="X306" s="228"/>
      <c r="Y306" s="228"/>
      <c r="Z306" s="228"/>
    </row>
    <row r="307" spans="1:26" ht="31.5" x14ac:dyDescent="0.25">
      <c r="A307" s="228"/>
      <c r="B307" s="138" t="s">
        <v>275</v>
      </c>
      <c r="C307" s="164"/>
      <c r="D307" s="163"/>
      <c r="E307" s="163"/>
      <c r="F307" s="163"/>
      <c r="G307" s="163"/>
      <c r="H307" s="163"/>
      <c r="I307" s="163"/>
      <c r="J307" s="163"/>
      <c r="K307" s="163"/>
      <c r="L307" s="163"/>
      <c r="M307" s="163"/>
      <c r="N307" s="163"/>
      <c r="O307" s="163"/>
      <c r="P307" s="163"/>
      <c r="Q307" s="163"/>
      <c r="R307" s="246"/>
      <c r="S307" s="247"/>
      <c r="T307" s="228"/>
      <c r="U307" s="228"/>
      <c r="V307" s="228"/>
      <c r="W307" s="228"/>
      <c r="X307" s="228"/>
      <c r="Y307" s="228"/>
      <c r="Z307" s="228"/>
    </row>
    <row r="308" spans="1:26" ht="15.75" x14ac:dyDescent="0.25">
      <c r="A308" s="228"/>
      <c r="B308" s="170" t="s">
        <v>118</v>
      </c>
      <c r="C308" s="162" t="s">
        <v>153</v>
      </c>
      <c r="D308" s="162" t="s">
        <v>154</v>
      </c>
      <c r="E308" s="162" t="s">
        <v>155</v>
      </c>
      <c r="F308" s="162" t="s">
        <v>156</v>
      </c>
      <c r="G308" s="162" t="s">
        <v>157</v>
      </c>
      <c r="H308" s="162" t="s">
        <v>158</v>
      </c>
      <c r="I308" s="162" t="s">
        <v>159</v>
      </c>
      <c r="J308" s="162" t="s">
        <v>160</v>
      </c>
      <c r="K308" s="162" t="s">
        <v>161</v>
      </c>
      <c r="L308" s="162" t="s">
        <v>162</v>
      </c>
      <c r="M308" s="162" t="s">
        <v>163</v>
      </c>
      <c r="N308" s="162" t="s">
        <v>166</v>
      </c>
      <c r="O308" s="162" t="s">
        <v>167</v>
      </c>
      <c r="P308" s="162" t="s">
        <v>168</v>
      </c>
      <c r="Q308" s="162" t="s">
        <v>169</v>
      </c>
      <c r="R308" s="245" t="s">
        <v>355</v>
      </c>
      <c r="S308" s="245" t="s">
        <v>356</v>
      </c>
      <c r="T308" s="228"/>
      <c r="U308" s="228"/>
      <c r="V308" s="228"/>
      <c r="W308" s="228"/>
      <c r="X308" s="228"/>
      <c r="Y308" s="228"/>
      <c r="Z308" s="228"/>
    </row>
    <row r="309" spans="1:26" ht="15.75" x14ac:dyDescent="0.25">
      <c r="A309" s="228"/>
      <c r="B309" s="175" t="s">
        <v>274</v>
      </c>
      <c r="C309" s="160">
        <v>3022</v>
      </c>
      <c r="D309" s="160">
        <v>2964</v>
      </c>
      <c r="E309" s="161">
        <f>(D309/C309)</f>
        <v>0.98080741230972868</v>
      </c>
      <c r="F309" s="160">
        <v>2407</v>
      </c>
      <c r="G309" s="159">
        <f>F309/D309</f>
        <v>0.81207827260458842</v>
      </c>
      <c r="H309" s="160">
        <v>1338</v>
      </c>
      <c r="I309" s="159">
        <f>H309/D309</f>
        <v>0.45141700404858298</v>
      </c>
      <c r="J309" s="160">
        <v>386</v>
      </c>
      <c r="K309" s="159">
        <f>J309/D309</f>
        <v>0.13022941970310392</v>
      </c>
      <c r="L309" s="160">
        <v>311</v>
      </c>
      <c r="M309" s="159">
        <f>L309/D309</f>
        <v>0.10492577597840756</v>
      </c>
      <c r="N309" s="160">
        <v>58</v>
      </c>
      <c r="O309" s="159">
        <f>N309/C309</f>
        <v>1.9192587690271344E-2</v>
      </c>
      <c r="P309" s="160">
        <v>1</v>
      </c>
      <c r="Q309" s="159">
        <f>P309/D309</f>
        <v>3.3738191632928474E-4</v>
      </c>
      <c r="R309" s="246">
        <f t="shared" si="1"/>
        <v>1649</v>
      </c>
      <c r="S309" s="247">
        <f t="shared" si="2"/>
        <v>0.55634278002699056</v>
      </c>
      <c r="T309" s="228"/>
      <c r="U309" s="228"/>
      <c r="V309" s="228"/>
      <c r="W309" s="228"/>
      <c r="X309" s="228"/>
      <c r="Y309" s="228"/>
      <c r="Z309" s="228"/>
    </row>
    <row r="310" spans="1:26" x14ac:dyDescent="0.2">
      <c r="A310" s="228"/>
      <c r="B310" s="228"/>
      <c r="C310" s="228"/>
      <c r="D310" s="228"/>
      <c r="E310" s="228"/>
      <c r="F310" s="228"/>
      <c r="G310" s="228"/>
      <c r="H310" s="228"/>
      <c r="I310" s="228"/>
      <c r="J310" s="228"/>
      <c r="K310" s="228"/>
      <c r="L310" s="228"/>
      <c r="M310" s="228"/>
      <c r="N310" s="228"/>
      <c r="O310" s="228"/>
      <c r="P310" s="228"/>
      <c r="Q310" s="228"/>
      <c r="R310" s="246"/>
      <c r="S310" s="247"/>
      <c r="T310" s="228"/>
      <c r="U310" s="228"/>
      <c r="V310" s="228"/>
      <c r="W310" s="228"/>
      <c r="X310" s="228"/>
      <c r="Y310" s="228"/>
      <c r="Z310" s="228"/>
    </row>
    <row r="311" spans="1:26" ht="31.5" x14ac:dyDescent="0.25">
      <c r="A311" s="228"/>
      <c r="B311" s="138" t="s">
        <v>276</v>
      </c>
      <c r="C311" s="164"/>
      <c r="D311" s="163"/>
      <c r="E311" s="163"/>
      <c r="F311" s="163"/>
      <c r="G311" s="163"/>
      <c r="H311" s="163"/>
      <c r="I311" s="163"/>
      <c r="J311" s="163"/>
      <c r="K311" s="163"/>
      <c r="L311" s="163"/>
      <c r="M311" s="163"/>
      <c r="N311" s="163"/>
      <c r="O311" s="163"/>
      <c r="P311" s="163"/>
      <c r="Q311" s="163"/>
      <c r="R311" s="246"/>
      <c r="S311" s="247"/>
      <c r="T311" s="228"/>
      <c r="U311" s="228"/>
      <c r="V311" s="228"/>
      <c r="W311" s="228"/>
      <c r="X311" s="228"/>
      <c r="Y311" s="228"/>
      <c r="Z311" s="228"/>
    </row>
    <row r="312" spans="1:26" ht="15.75" x14ac:dyDescent="0.25">
      <c r="A312" s="228"/>
      <c r="B312" s="170" t="s">
        <v>118</v>
      </c>
      <c r="C312" s="162" t="s">
        <v>153</v>
      </c>
      <c r="D312" s="162" t="s">
        <v>154</v>
      </c>
      <c r="E312" s="162" t="s">
        <v>155</v>
      </c>
      <c r="F312" s="162" t="s">
        <v>156</v>
      </c>
      <c r="G312" s="162" t="s">
        <v>157</v>
      </c>
      <c r="H312" s="162" t="s">
        <v>158</v>
      </c>
      <c r="I312" s="162" t="s">
        <v>159</v>
      </c>
      <c r="J312" s="162" t="s">
        <v>160</v>
      </c>
      <c r="K312" s="162" t="s">
        <v>161</v>
      </c>
      <c r="L312" s="162" t="s">
        <v>162</v>
      </c>
      <c r="M312" s="162" t="s">
        <v>163</v>
      </c>
      <c r="N312" s="162" t="s">
        <v>166</v>
      </c>
      <c r="O312" s="162" t="s">
        <v>167</v>
      </c>
      <c r="P312" s="162" t="s">
        <v>168</v>
      </c>
      <c r="Q312" s="162" t="s">
        <v>169</v>
      </c>
      <c r="R312" s="245" t="s">
        <v>355</v>
      </c>
      <c r="S312" s="245" t="s">
        <v>356</v>
      </c>
      <c r="T312" s="228"/>
      <c r="U312" s="228"/>
      <c r="V312" s="228"/>
      <c r="W312" s="228"/>
      <c r="X312" s="228"/>
      <c r="Y312" s="228"/>
      <c r="Z312" s="228"/>
    </row>
    <row r="313" spans="1:26" ht="15.75" x14ac:dyDescent="0.25">
      <c r="A313" s="228"/>
      <c r="B313" s="175" t="s">
        <v>277</v>
      </c>
      <c r="C313" s="160">
        <v>28478</v>
      </c>
      <c r="D313" s="160">
        <v>28405</v>
      </c>
      <c r="E313" s="161">
        <f>(D313/C313)</f>
        <v>0.9974366177400098</v>
      </c>
      <c r="F313" s="160">
        <v>13472</v>
      </c>
      <c r="G313" s="159">
        <f>F313/D313</f>
        <v>0.47428269670832601</v>
      </c>
      <c r="H313" s="160">
        <v>8235</v>
      </c>
      <c r="I313" s="159">
        <f>H313/D313</f>
        <v>0.28991374757965149</v>
      </c>
      <c r="J313" s="160">
        <v>1561</v>
      </c>
      <c r="K313" s="159">
        <f>J313/D313</f>
        <v>5.4955113536349236E-2</v>
      </c>
      <c r="L313" s="160">
        <v>1302</v>
      </c>
      <c r="M313" s="159">
        <f>L313/D313</f>
        <v>4.5837000528076044E-2</v>
      </c>
      <c r="N313" s="160">
        <v>73</v>
      </c>
      <c r="O313" s="159">
        <f>N313/C313</f>
        <v>2.5633822599901677E-3</v>
      </c>
      <c r="P313" s="160">
        <v>0</v>
      </c>
      <c r="Q313" s="159">
        <f>P313/D313</f>
        <v>0</v>
      </c>
      <c r="R313" s="246">
        <f t="shared" si="1"/>
        <v>9537</v>
      </c>
      <c r="S313" s="247">
        <f t="shared" si="2"/>
        <v>0.33575074810772754</v>
      </c>
      <c r="T313" s="228"/>
      <c r="U313" s="228"/>
      <c r="V313" s="228"/>
      <c r="W313" s="228"/>
      <c r="X313" s="228"/>
      <c r="Y313" s="228"/>
      <c r="Z313" s="228"/>
    </row>
    <row r="314" spans="1:26" ht="15.75" x14ac:dyDescent="0.25">
      <c r="A314" s="222"/>
      <c r="B314" s="129"/>
      <c r="C314" s="223"/>
      <c r="D314" s="223"/>
      <c r="E314" s="224"/>
      <c r="F314" s="223"/>
      <c r="G314" s="225"/>
      <c r="H314" s="223"/>
      <c r="I314" s="225"/>
      <c r="J314" s="223"/>
      <c r="K314" s="225"/>
      <c r="L314" s="223"/>
      <c r="M314" s="225"/>
      <c r="N314" s="223"/>
      <c r="O314" s="225"/>
      <c r="P314" s="223"/>
      <c r="Q314" s="225"/>
      <c r="R314" s="246"/>
      <c r="S314" s="247"/>
      <c r="T314" s="222"/>
      <c r="U314" s="222"/>
      <c r="V314" s="222"/>
      <c r="W314" s="222"/>
      <c r="X314" s="222"/>
      <c r="Y314" s="222"/>
      <c r="Z314" s="222"/>
    </row>
    <row r="315" spans="1:26" ht="31.5" x14ac:dyDescent="0.25">
      <c r="A315" s="222"/>
      <c r="B315" s="138" t="s">
        <v>278</v>
      </c>
      <c r="C315" s="164"/>
      <c r="D315" s="163"/>
      <c r="E315" s="163"/>
      <c r="F315" s="163"/>
      <c r="G315" s="163"/>
      <c r="H315" s="163"/>
      <c r="I315" s="163"/>
      <c r="J315" s="163"/>
      <c r="K315" s="163"/>
      <c r="L315" s="163"/>
      <c r="M315" s="163"/>
      <c r="N315" s="163"/>
      <c r="O315" s="163"/>
      <c r="P315" s="163"/>
      <c r="Q315" s="163"/>
      <c r="R315" s="246"/>
      <c r="S315" s="247"/>
      <c r="T315" s="222"/>
      <c r="U315" s="222"/>
      <c r="V315" s="222"/>
      <c r="W315" s="222"/>
      <c r="X315" s="222"/>
      <c r="Y315" s="222"/>
      <c r="Z315" s="222"/>
    </row>
    <row r="316" spans="1:26" ht="15.75" x14ac:dyDescent="0.25">
      <c r="A316" s="222"/>
      <c r="B316" s="170" t="s">
        <v>118</v>
      </c>
      <c r="C316" s="162" t="s">
        <v>153</v>
      </c>
      <c r="D316" s="162" t="s">
        <v>154</v>
      </c>
      <c r="E316" s="162" t="s">
        <v>155</v>
      </c>
      <c r="F316" s="162" t="s">
        <v>156</v>
      </c>
      <c r="G316" s="162" t="s">
        <v>157</v>
      </c>
      <c r="H316" s="162" t="s">
        <v>158</v>
      </c>
      <c r="I316" s="162" t="s">
        <v>159</v>
      </c>
      <c r="J316" s="162" t="s">
        <v>160</v>
      </c>
      <c r="K316" s="162" t="s">
        <v>161</v>
      </c>
      <c r="L316" s="162" t="s">
        <v>162</v>
      </c>
      <c r="M316" s="162" t="s">
        <v>163</v>
      </c>
      <c r="N316" s="162" t="s">
        <v>166</v>
      </c>
      <c r="O316" s="162" t="s">
        <v>167</v>
      </c>
      <c r="P316" s="162" t="s">
        <v>168</v>
      </c>
      <c r="Q316" s="162" t="s">
        <v>169</v>
      </c>
      <c r="R316" s="245" t="s">
        <v>355</v>
      </c>
      <c r="S316" s="245" t="s">
        <v>356</v>
      </c>
      <c r="T316" s="222"/>
      <c r="U316" s="222"/>
      <c r="V316" s="222"/>
      <c r="W316" s="222"/>
      <c r="X316" s="222"/>
      <c r="Y316" s="222"/>
      <c r="Z316" s="222"/>
    </row>
    <row r="317" spans="1:26" ht="15.75" x14ac:dyDescent="0.25">
      <c r="A317" s="228"/>
      <c r="B317" s="175" t="s">
        <v>279</v>
      </c>
      <c r="C317" s="160">
        <v>1146147</v>
      </c>
      <c r="D317" s="160">
        <v>1143142</v>
      </c>
      <c r="E317" s="161">
        <f>(D317/C317)</f>
        <v>0.99737817225888126</v>
      </c>
      <c r="F317" s="160">
        <v>361235</v>
      </c>
      <c r="G317" s="159">
        <f>F317/D317</f>
        <v>0.31600186153601217</v>
      </c>
      <c r="H317" s="160">
        <v>230598</v>
      </c>
      <c r="I317" s="159">
        <f>H317/D317</f>
        <v>0.20172297054959051</v>
      </c>
      <c r="J317" s="160">
        <v>17574</v>
      </c>
      <c r="K317" s="159">
        <f>J317/D317</f>
        <v>1.5373418175519751E-2</v>
      </c>
      <c r="L317" s="160">
        <v>14722</v>
      </c>
      <c r="M317" s="159">
        <f>L317/D317</f>
        <v>1.2878540023899043E-2</v>
      </c>
      <c r="N317" s="160">
        <v>3005</v>
      </c>
      <c r="O317" s="159">
        <f>N317/C317</f>
        <v>2.6218277411187221E-3</v>
      </c>
      <c r="P317" s="160">
        <v>0</v>
      </c>
      <c r="Q317" s="159">
        <f>P317/D317</f>
        <v>0</v>
      </c>
      <c r="R317" s="246">
        <f t="shared" si="1"/>
        <v>245320</v>
      </c>
      <c r="S317" s="247">
        <f t="shared" si="2"/>
        <v>0.21460151057348956</v>
      </c>
      <c r="T317" s="228"/>
      <c r="U317" s="228"/>
      <c r="V317" s="228"/>
      <c r="W317" s="228"/>
      <c r="X317" s="228"/>
      <c r="Y317" s="228"/>
      <c r="Z317" s="228"/>
    </row>
    <row r="318" spans="1:26" x14ac:dyDescent="0.2">
      <c r="A318" s="228"/>
      <c r="B318" s="228"/>
      <c r="C318" s="228"/>
      <c r="D318" s="228"/>
      <c r="E318" s="228"/>
      <c r="F318" s="228"/>
      <c r="G318" s="228"/>
      <c r="H318" s="228"/>
      <c r="I318" s="228"/>
      <c r="J318" s="228"/>
      <c r="K318" s="228"/>
      <c r="L318" s="228"/>
      <c r="M318" s="228"/>
      <c r="N318" s="228"/>
      <c r="O318" s="228"/>
      <c r="P318" s="228"/>
      <c r="Q318" s="228"/>
      <c r="R318" s="246"/>
      <c r="S318" s="247"/>
      <c r="T318" s="228"/>
      <c r="U318" s="228"/>
      <c r="V318" s="228"/>
      <c r="W318" s="228"/>
      <c r="X318" s="228"/>
      <c r="Y318" s="228"/>
      <c r="Z318" s="228"/>
    </row>
    <row r="319" spans="1:26" ht="31.5" x14ac:dyDescent="0.25">
      <c r="A319" s="228"/>
      <c r="B319" s="185" t="s">
        <v>189</v>
      </c>
      <c r="C319" s="158" t="s">
        <v>153</v>
      </c>
      <c r="D319" s="158" t="s">
        <v>154</v>
      </c>
      <c r="E319" s="158" t="s">
        <v>155</v>
      </c>
      <c r="F319" s="158" t="s">
        <v>156</v>
      </c>
      <c r="G319" s="158" t="s">
        <v>157</v>
      </c>
      <c r="H319" s="158" t="s">
        <v>158</v>
      </c>
      <c r="I319" s="158" t="s">
        <v>159</v>
      </c>
      <c r="J319" s="158" t="s">
        <v>160</v>
      </c>
      <c r="K319" s="158" t="s">
        <v>161</v>
      </c>
      <c r="L319" s="158" t="s">
        <v>162</v>
      </c>
      <c r="M319" s="158" t="s">
        <v>163</v>
      </c>
      <c r="N319" s="158" t="s">
        <v>166</v>
      </c>
      <c r="O319" s="158" t="s">
        <v>167</v>
      </c>
      <c r="P319" s="158" t="s">
        <v>168</v>
      </c>
      <c r="Q319" s="158" t="s">
        <v>169</v>
      </c>
      <c r="R319" s="246"/>
      <c r="S319" s="247"/>
      <c r="T319" s="228"/>
      <c r="U319" s="228"/>
      <c r="V319" s="228"/>
      <c r="W319" s="228"/>
      <c r="X319" s="228"/>
      <c r="Y319" s="228"/>
      <c r="Z319" s="228"/>
    </row>
    <row r="320" spans="1:26" x14ac:dyDescent="0.2">
      <c r="A320" s="228"/>
      <c r="B320" s="133"/>
      <c r="C320" s="157">
        <f>SUM(C309,C313,C317)</f>
        <v>1177647</v>
      </c>
      <c r="D320" s="157">
        <f>SUM(D309,D313,D317)</f>
        <v>1174511</v>
      </c>
      <c r="E320" s="156">
        <f>D320/C320</f>
        <v>0.9973370628040491</v>
      </c>
      <c r="F320" s="157">
        <f>SUM(F309,F313,F317)</f>
        <v>377114</v>
      </c>
      <c r="G320" s="156">
        <f>F320/D320</f>
        <v>0.32108170974984485</v>
      </c>
      <c r="H320" s="157">
        <f>SUM(H309,H313,H317)</f>
        <v>240171</v>
      </c>
      <c r="I320" s="156">
        <f>H320/D320</f>
        <v>0.2044859520259921</v>
      </c>
      <c r="J320" s="157">
        <f>SUM(J309,J313,J317)</f>
        <v>19521</v>
      </c>
      <c r="K320" s="156">
        <f>J320/D320</f>
        <v>1.6620533992444515E-2</v>
      </c>
      <c r="L320" s="157">
        <f>SUM(L309,L313,L317)</f>
        <v>16335</v>
      </c>
      <c r="M320" s="156">
        <f>L320/D320</f>
        <v>1.3907915719818717E-2</v>
      </c>
      <c r="N320" s="157">
        <f>SUM(N309,N313,N317)</f>
        <v>3136</v>
      </c>
      <c r="O320" s="156">
        <f>N320/C320</f>
        <v>2.6629371959509089E-3</v>
      </c>
      <c r="P320" s="157">
        <f>SUM(P309,P313,P317)</f>
        <v>1</v>
      </c>
      <c r="Q320" s="156">
        <f>P320/D320</f>
        <v>8.5141816466597589E-7</v>
      </c>
      <c r="R320" s="246">
        <f t="shared" si="1"/>
        <v>256506</v>
      </c>
      <c r="S320" s="247">
        <f t="shared" si="2"/>
        <v>0.21839386774581082</v>
      </c>
      <c r="T320" s="228"/>
      <c r="U320" s="228"/>
      <c r="V320" s="228"/>
      <c r="W320" s="228"/>
      <c r="X320" s="228"/>
      <c r="Y320" s="228"/>
      <c r="Z320" s="228"/>
    </row>
    <row r="321" spans="1:26" x14ac:dyDescent="0.2">
      <c r="A321" s="228"/>
      <c r="B321" s="228"/>
      <c r="C321" s="228"/>
      <c r="D321" s="228"/>
      <c r="E321" s="228"/>
      <c r="F321" s="228"/>
      <c r="G321" s="228"/>
      <c r="H321" s="228"/>
      <c r="I321" s="228"/>
      <c r="J321" s="228"/>
      <c r="K321" s="228"/>
      <c r="L321" s="228"/>
      <c r="M321" s="228"/>
      <c r="N321" s="228"/>
      <c r="O321" s="228"/>
      <c r="P321" s="228"/>
      <c r="Q321" s="228"/>
      <c r="R321" s="246"/>
      <c r="S321" s="247"/>
      <c r="T321" s="228"/>
      <c r="U321" s="228"/>
      <c r="V321" s="228"/>
      <c r="W321" s="228"/>
      <c r="X321" s="228"/>
      <c r="Y321" s="228"/>
      <c r="Z321" s="228"/>
    </row>
    <row r="322" spans="1:26" x14ac:dyDescent="0.2">
      <c r="A322" s="228"/>
      <c r="B322" s="228"/>
      <c r="C322" s="228"/>
      <c r="D322" s="228"/>
      <c r="E322" s="228"/>
      <c r="F322" s="228"/>
      <c r="G322" s="228"/>
      <c r="H322" s="228"/>
      <c r="I322" s="228"/>
      <c r="J322" s="228"/>
      <c r="K322" s="228"/>
      <c r="L322" s="228"/>
      <c r="M322" s="228"/>
      <c r="N322" s="228"/>
      <c r="O322" s="228"/>
      <c r="P322" s="228"/>
      <c r="Q322" s="228"/>
      <c r="R322" s="246"/>
      <c r="S322" s="247"/>
      <c r="T322" s="228"/>
      <c r="U322" s="228"/>
      <c r="V322" s="228"/>
      <c r="W322" s="228"/>
      <c r="X322" s="228"/>
      <c r="Y322" s="228"/>
      <c r="Z322" s="228"/>
    </row>
    <row r="323" spans="1:26" ht="15.75" x14ac:dyDescent="0.25">
      <c r="A323" s="228"/>
      <c r="B323" s="138" t="s">
        <v>321</v>
      </c>
      <c r="C323" s="164"/>
      <c r="D323" s="163"/>
      <c r="E323" s="163"/>
      <c r="F323" s="163"/>
      <c r="G323" s="163"/>
      <c r="H323" s="163"/>
      <c r="I323" s="163"/>
      <c r="J323" s="163"/>
      <c r="K323" s="163"/>
      <c r="L323" s="163"/>
      <c r="M323" s="163"/>
      <c r="N323" s="163"/>
      <c r="O323" s="163"/>
      <c r="P323" s="163"/>
      <c r="Q323" s="163"/>
      <c r="R323" s="246"/>
      <c r="S323" s="247"/>
      <c r="T323" s="228"/>
      <c r="U323" s="228"/>
      <c r="V323" s="228"/>
      <c r="W323" s="228"/>
      <c r="X323" s="228"/>
      <c r="Y323" s="228"/>
      <c r="Z323" s="228"/>
    </row>
    <row r="324" spans="1:26" ht="15.75" x14ac:dyDescent="0.25">
      <c r="A324" s="228"/>
      <c r="B324" s="170" t="s">
        <v>118</v>
      </c>
      <c r="C324" s="162" t="s">
        <v>153</v>
      </c>
      <c r="D324" s="162" t="s">
        <v>154</v>
      </c>
      <c r="E324" s="162" t="s">
        <v>155</v>
      </c>
      <c r="F324" s="162" t="s">
        <v>156</v>
      </c>
      <c r="G324" s="162" t="s">
        <v>157</v>
      </c>
      <c r="H324" s="162" t="s">
        <v>158</v>
      </c>
      <c r="I324" s="162" t="s">
        <v>159</v>
      </c>
      <c r="J324" s="162" t="s">
        <v>160</v>
      </c>
      <c r="K324" s="162" t="s">
        <v>161</v>
      </c>
      <c r="L324" s="162" t="s">
        <v>162</v>
      </c>
      <c r="M324" s="162" t="s">
        <v>163</v>
      </c>
      <c r="N324" s="162" t="s">
        <v>166</v>
      </c>
      <c r="O324" s="162" t="s">
        <v>167</v>
      </c>
      <c r="P324" s="162" t="s">
        <v>168</v>
      </c>
      <c r="Q324" s="162" t="s">
        <v>169</v>
      </c>
      <c r="R324" s="245" t="s">
        <v>355</v>
      </c>
      <c r="S324" s="245" t="s">
        <v>356</v>
      </c>
      <c r="T324" s="228"/>
      <c r="U324" s="228"/>
      <c r="V324" s="228"/>
      <c r="W324" s="228"/>
      <c r="X324" s="228"/>
      <c r="Y324" s="228"/>
      <c r="Z324" s="228"/>
    </row>
    <row r="325" spans="1:26" ht="15.75" x14ac:dyDescent="0.25">
      <c r="A325" s="228"/>
      <c r="B325" s="175" t="s">
        <v>270</v>
      </c>
      <c r="C325" s="160">
        <v>1176844</v>
      </c>
      <c r="D325" s="160">
        <v>1174448</v>
      </c>
      <c r="E325" s="161">
        <f>(D325/C325)</f>
        <v>0.9979640462117324</v>
      </c>
      <c r="F325" s="160">
        <v>539574</v>
      </c>
      <c r="G325" s="159">
        <f>F325/D325</f>
        <v>0.45942774818467907</v>
      </c>
      <c r="H325" s="160">
        <v>280570</v>
      </c>
      <c r="I325" s="159">
        <f>H325/D325</f>
        <v>0.23889520864269853</v>
      </c>
      <c r="J325" s="160">
        <v>66584</v>
      </c>
      <c r="K325" s="159">
        <f>J325/D325</f>
        <v>5.6693868098034138E-2</v>
      </c>
      <c r="L325" s="160">
        <v>56812</v>
      </c>
      <c r="M325" s="159">
        <f>L325/D325</f>
        <v>4.8373363486505998E-2</v>
      </c>
      <c r="N325" s="160">
        <v>2396</v>
      </c>
      <c r="O325" s="159">
        <f>N325/C325</f>
        <v>2.035953788267604E-3</v>
      </c>
      <c r="P325" s="160">
        <v>477</v>
      </c>
      <c r="Q325" s="159">
        <f>P325/D325</f>
        <v>4.0614825007152295E-4</v>
      </c>
      <c r="R325" s="246">
        <f t="shared" si="1"/>
        <v>337382</v>
      </c>
      <c r="S325" s="247">
        <f t="shared" si="2"/>
        <v>0.28726857212920454</v>
      </c>
      <c r="T325" s="228"/>
      <c r="U325" s="228"/>
      <c r="V325" s="228"/>
      <c r="W325" s="228"/>
      <c r="X325" s="228"/>
      <c r="Y325" s="228"/>
      <c r="Z325" s="228"/>
    </row>
    <row r="326" spans="1:26" x14ac:dyDescent="0.2">
      <c r="A326" s="228"/>
      <c r="B326" s="228"/>
      <c r="C326" s="228"/>
      <c r="D326" s="228"/>
      <c r="E326" s="228"/>
      <c r="F326" s="228"/>
      <c r="G326" s="228"/>
      <c r="H326" s="228"/>
      <c r="I326" s="228"/>
      <c r="J326" s="228"/>
      <c r="K326" s="228"/>
      <c r="L326" s="228"/>
      <c r="M326" s="228"/>
      <c r="N326" s="228"/>
      <c r="O326" s="228"/>
      <c r="P326" s="228"/>
      <c r="Q326" s="228"/>
      <c r="R326" s="246"/>
      <c r="S326" s="247"/>
      <c r="T326" s="228"/>
      <c r="U326" s="228"/>
      <c r="V326" s="228"/>
      <c r="W326" s="228"/>
      <c r="X326" s="228"/>
      <c r="Y326" s="228"/>
      <c r="Z326" s="228"/>
    </row>
    <row r="327" spans="1:26" ht="31.5" x14ac:dyDescent="0.25">
      <c r="A327" s="228"/>
      <c r="B327" s="138" t="s">
        <v>322</v>
      </c>
      <c r="C327" s="164"/>
      <c r="D327" s="163"/>
      <c r="E327" s="163"/>
      <c r="F327" s="163"/>
      <c r="G327" s="163"/>
      <c r="H327" s="163"/>
      <c r="I327" s="163"/>
      <c r="J327" s="163"/>
      <c r="K327" s="163"/>
      <c r="L327" s="163"/>
      <c r="M327" s="163"/>
      <c r="N327" s="163"/>
      <c r="O327" s="163"/>
      <c r="P327" s="163"/>
      <c r="Q327" s="163"/>
      <c r="R327" s="246"/>
      <c r="S327" s="247"/>
      <c r="T327" s="228"/>
      <c r="U327" s="228"/>
      <c r="V327" s="228"/>
      <c r="W327" s="228"/>
      <c r="X327" s="228"/>
      <c r="Y327" s="228"/>
      <c r="Z327" s="228"/>
    </row>
    <row r="328" spans="1:26" ht="15.75" x14ac:dyDescent="0.25">
      <c r="A328" s="228"/>
      <c r="B328" s="170" t="s">
        <v>118</v>
      </c>
      <c r="C328" s="162" t="s">
        <v>153</v>
      </c>
      <c r="D328" s="162" t="s">
        <v>154</v>
      </c>
      <c r="E328" s="162" t="s">
        <v>155</v>
      </c>
      <c r="F328" s="162" t="s">
        <v>156</v>
      </c>
      <c r="G328" s="162" t="s">
        <v>157</v>
      </c>
      <c r="H328" s="162" t="s">
        <v>158</v>
      </c>
      <c r="I328" s="162" t="s">
        <v>159</v>
      </c>
      <c r="J328" s="162" t="s">
        <v>160</v>
      </c>
      <c r="K328" s="162" t="s">
        <v>161</v>
      </c>
      <c r="L328" s="162" t="s">
        <v>162</v>
      </c>
      <c r="M328" s="162" t="s">
        <v>163</v>
      </c>
      <c r="N328" s="162" t="s">
        <v>166</v>
      </c>
      <c r="O328" s="162" t="s">
        <v>167</v>
      </c>
      <c r="P328" s="162" t="s">
        <v>168</v>
      </c>
      <c r="Q328" s="162" t="s">
        <v>169</v>
      </c>
      <c r="R328" s="245" t="s">
        <v>355</v>
      </c>
      <c r="S328" s="245" t="s">
        <v>356</v>
      </c>
      <c r="T328" s="228"/>
      <c r="U328" s="228"/>
      <c r="V328" s="228"/>
      <c r="W328" s="228"/>
      <c r="X328" s="228"/>
      <c r="Y328" s="228"/>
      <c r="Z328" s="228"/>
    </row>
    <row r="329" spans="1:26" ht="15.75" x14ac:dyDescent="0.25">
      <c r="A329" s="228"/>
      <c r="B329" s="175" t="s">
        <v>274</v>
      </c>
      <c r="C329" s="160">
        <v>3962</v>
      </c>
      <c r="D329" s="160">
        <v>3912</v>
      </c>
      <c r="E329" s="161">
        <f>(D329/C329)</f>
        <v>0.98738011105502277</v>
      </c>
      <c r="F329" s="160">
        <v>3871</v>
      </c>
      <c r="G329" s="159">
        <f>F329/D329</f>
        <v>0.98951942740286303</v>
      </c>
      <c r="H329" s="160">
        <v>2081</v>
      </c>
      <c r="I329" s="159">
        <f>H329/D329</f>
        <v>0.53195296523517377</v>
      </c>
      <c r="J329" s="160">
        <v>1170</v>
      </c>
      <c r="K329" s="159">
        <f>J329/D329</f>
        <v>0.29907975460122699</v>
      </c>
      <c r="L329" s="160">
        <v>729</v>
      </c>
      <c r="M329" s="159">
        <f>L329/D329</f>
        <v>0.18634969325153375</v>
      </c>
      <c r="N329" s="160">
        <v>50</v>
      </c>
      <c r="O329" s="159">
        <f>N329/C329</f>
        <v>1.2619888944977285E-2</v>
      </c>
      <c r="P329" s="160">
        <v>1</v>
      </c>
      <c r="Q329" s="159">
        <f>P329/D329</f>
        <v>2.5562372188139062E-4</v>
      </c>
      <c r="R329" s="246">
        <f t="shared" si="1"/>
        <v>2810</v>
      </c>
      <c r="S329" s="247">
        <f t="shared" si="2"/>
        <v>0.7183026584867076</v>
      </c>
      <c r="T329" s="228"/>
      <c r="U329" s="228"/>
      <c r="V329" s="228"/>
      <c r="W329" s="228"/>
      <c r="X329" s="228"/>
      <c r="Y329" s="228"/>
      <c r="Z329" s="228"/>
    </row>
    <row r="330" spans="1:26" ht="15.75" x14ac:dyDescent="0.25">
      <c r="A330" s="228"/>
      <c r="B330" s="129"/>
      <c r="C330" s="223"/>
      <c r="D330" s="223"/>
      <c r="E330" s="224"/>
      <c r="F330" s="223"/>
      <c r="G330" s="225"/>
      <c r="H330" s="223"/>
      <c r="I330" s="225"/>
      <c r="J330" s="223"/>
      <c r="K330" s="225"/>
      <c r="L330" s="223"/>
      <c r="M330" s="225"/>
      <c r="N330" s="223"/>
      <c r="O330" s="225"/>
      <c r="P330" s="223"/>
      <c r="Q330" s="225"/>
      <c r="R330" s="246"/>
      <c r="S330" s="247"/>
      <c r="T330" s="228"/>
      <c r="U330" s="228"/>
      <c r="V330" s="228"/>
      <c r="W330" s="228"/>
      <c r="X330" s="228"/>
      <c r="Y330" s="228"/>
      <c r="Z330" s="228"/>
    </row>
    <row r="331" spans="1:26" ht="31.5" x14ac:dyDescent="0.25">
      <c r="A331" s="228"/>
      <c r="B331" s="138" t="s">
        <v>323</v>
      </c>
      <c r="C331" s="164"/>
      <c r="D331" s="163"/>
      <c r="E331" s="163"/>
      <c r="F331" s="163"/>
      <c r="G331" s="163"/>
      <c r="H331" s="163"/>
      <c r="I331" s="163"/>
      <c r="J331" s="163"/>
      <c r="K331" s="163"/>
      <c r="L331" s="163"/>
      <c r="M331" s="163"/>
      <c r="N331" s="163"/>
      <c r="O331" s="163"/>
      <c r="P331" s="163"/>
      <c r="Q331" s="163"/>
      <c r="R331" s="246"/>
      <c r="S331" s="247"/>
      <c r="T331" s="228"/>
      <c r="U331" s="228"/>
      <c r="V331" s="228"/>
      <c r="W331" s="228"/>
      <c r="X331" s="228"/>
      <c r="Y331" s="228"/>
      <c r="Z331" s="228"/>
    </row>
    <row r="332" spans="1:26" ht="15.75" x14ac:dyDescent="0.25">
      <c r="A332" s="228"/>
      <c r="B332" s="170" t="s">
        <v>118</v>
      </c>
      <c r="C332" s="162" t="s">
        <v>153</v>
      </c>
      <c r="D332" s="162" t="s">
        <v>154</v>
      </c>
      <c r="E332" s="162" t="s">
        <v>155</v>
      </c>
      <c r="F332" s="162" t="s">
        <v>156</v>
      </c>
      <c r="G332" s="162" t="s">
        <v>157</v>
      </c>
      <c r="H332" s="162" t="s">
        <v>158</v>
      </c>
      <c r="I332" s="162" t="s">
        <v>159</v>
      </c>
      <c r="J332" s="162" t="s">
        <v>160</v>
      </c>
      <c r="K332" s="162" t="s">
        <v>161</v>
      </c>
      <c r="L332" s="162" t="s">
        <v>162</v>
      </c>
      <c r="M332" s="162" t="s">
        <v>163</v>
      </c>
      <c r="N332" s="162" t="s">
        <v>166</v>
      </c>
      <c r="O332" s="162" t="s">
        <v>167</v>
      </c>
      <c r="P332" s="162" t="s">
        <v>168</v>
      </c>
      <c r="Q332" s="162" t="s">
        <v>169</v>
      </c>
      <c r="R332" s="245" t="s">
        <v>355</v>
      </c>
      <c r="S332" s="245" t="s">
        <v>356</v>
      </c>
      <c r="T332" s="228"/>
      <c r="U332" s="228"/>
      <c r="V332" s="228"/>
      <c r="W332" s="228"/>
      <c r="X332" s="228"/>
      <c r="Y332" s="228"/>
      <c r="Z332" s="228"/>
    </row>
    <row r="333" spans="1:26" ht="15.75" x14ac:dyDescent="0.25">
      <c r="A333" s="228"/>
      <c r="B333" s="175" t="s">
        <v>277</v>
      </c>
      <c r="C333" s="160">
        <v>30906</v>
      </c>
      <c r="D333" s="160">
        <v>30811</v>
      </c>
      <c r="E333" s="161">
        <f>(D333/C333)</f>
        <v>0.99692616320455574</v>
      </c>
      <c r="F333" s="160">
        <v>14772</v>
      </c>
      <c r="G333" s="159">
        <f>F333/D333</f>
        <v>0.47943916133848302</v>
      </c>
      <c r="H333" s="160">
        <v>9921</v>
      </c>
      <c r="I333" s="159">
        <f>H333/D333</f>
        <v>0.3219953912563695</v>
      </c>
      <c r="J333" s="160">
        <v>919</v>
      </c>
      <c r="K333" s="159">
        <f>J333/D333</f>
        <v>2.9827009834150143E-2</v>
      </c>
      <c r="L333" s="160">
        <v>744</v>
      </c>
      <c r="M333" s="159">
        <f>L333/D333</f>
        <v>2.4147220148648209E-2</v>
      </c>
      <c r="N333" s="160">
        <v>95</v>
      </c>
      <c r="O333" s="159">
        <f>N333/C333</f>
        <v>3.0738367954442503E-3</v>
      </c>
      <c r="P333" s="160">
        <v>0</v>
      </c>
      <c r="Q333" s="159">
        <f>P333/D333</f>
        <v>0</v>
      </c>
      <c r="R333" s="246">
        <f t="shared" si="1"/>
        <v>10665</v>
      </c>
      <c r="S333" s="247">
        <f t="shared" si="2"/>
        <v>0.34614261140501767</v>
      </c>
      <c r="T333" s="228"/>
      <c r="U333" s="228"/>
      <c r="V333" s="228"/>
      <c r="W333" s="228"/>
      <c r="X333" s="228"/>
      <c r="Y333" s="228"/>
      <c r="Z333" s="228"/>
    </row>
    <row r="334" spans="1:26" x14ac:dyDescent="0.2">
      <c r="A334" s="228"/>
      <c r="B334" s="228"/>
      <c r="C334" s="228"/>
      <c r="D334" s="228"/>
      <c r="E334" s="228"/>
      <c r="F334" s="228"/>
      <c r="G334" s="228"/>
      <c r="H334" s="228"/>
      <c r="I334" s="228"/>
      <c r="J334" s="228"/>
      <c r="K334" s="228"/>
      <c r="L334" s="228"/>
      <c r="M334" s="228"/>
      <c r="N334" s="228"/>
      <c r="O334" s="228"/>
      <c r="P334" s="228"/>
      <c r="Q334" s="228"/>
      <c r="R334" s="246"/>
      <c r="S334" s="247"/>
      <c r="T334" s="228"/>
      <c r="U334" s="228"/>
      <c r="V334" s="228"/>
      <c r="W334" s="228"/>
      <c r="X334" s="228"/>
      <c r="Y334" s="228"/>
      <c r="Z334" s="228"/>
    </row>
    <row r="335" spans="1:26" ht="31.5" x14ac:dyDescent="0.25">
      <c r="A335" s="228"/>
      <c r="B335" s="138" t="s">
        <v>324</v>
      </c>
      <c r="C335" s="164"/>
      <c r="D335" s="163"/>
      <c r="E335" s="163"/>
      <c r="F335" s="163"/>
      <c r="G335" s="163"/>
      <c r="H335" s="163"/>
      <c r="I335" s="163"/>
      <c r="J335" s="163"/>
      <c r="K335" s="163"/>
      <c r="L335" s="163"/>
      <c r="M335" s="163"/>
      <c r="N335" s="163"/>
      <c r="O335" s="163"/>
      <c r="P335" s="163"/>
      <c r="Q335" s="163"/>
      <c r="R335" s="246"/>
      <c r="S335" s="247"/>
      <c r="T335" s="228"/>
      <c r="U335" s="228"/>
      <c r="V335" s="228"/>
      <c r="W335" s="228"/>
      <c r="X335" s="228"/>
      <c r="Y335" s="228"/>
      <c r="Z335" s="228"/>
    </row>
    <row r="336" spans="1:26" ht="15.75" x14ac:dyDescent="0.25">
      <c r="A336" s="228"/>
      <c r="B336" s="170" t="s">
        <v>118</v>
      </c>
      <c r="C336" s="162" t="s">
        <v>153</v>
      </c>
      <c r="D336" s="162" t="s">
        <v>154</v>
      </c>
      <c r="E336" s="162" t="s">
        <v>155</v>
      </c>
      <c r="F336" s="162" t="s">
        <v>156</v>
      </c>
      <c r="G336" s="162" t="s">
        <v>157</v>
      </c>
      <c r="H336" s="162" t="s">
        <v>158</v>
      </c>
      <c r="I336" s="162" t="s">
        <v>159</v>
      </c>
      <c r="J336" s="162" t="s">
        <v>160</v>
      </c>
      <c r="K336" s="162" t="s">
        <v>161</v>
      </c>
      <c r="L336" s="162" t="s">
        <v>162</v>
      </c>
      <c r="M336" s="162" t="s">
        <v>163</v>
      </c>
      <c r="N336" s="162" t="s">
        <v>166</v>
      </c>
      <c r="O336" s="162" t="s">
        <v>167</v>
      </c>
      <c r="P336" s="162" t="s">
        <v>168</v>
      </c>
      <c r="Q336" s="162" t="s">
        <v>169</v>
      </c>
      <c r="R336" s="245" t="s">
        <v>355</v>
      </c>
      <c r="S336" s="245" t="s">
        <v>356</v>
      </c>
      <c r="T336" s="228"/>
      <c r="U336" s="228"/>
      <c r="V336" s="228"/>
      <c r="W336" s="228"/>
      <c r="X336" s="228"/>
      <c r="Y336" s="228"/>
      <c r="Z336" s="228"/>
    </row>
    <row r="337" spans="1:26" ht="15.75" x14ac:dyDescent="0.25">
      <c r="A337" s="228"/>
      <c r="B337" s="175" t="s">
        <v>279</v>
      </c>
      <c r="C337" s="160">
        <v>1158944</v>
      </c>
      <c r="D337" s="160">
        <v>1156620</v>
      </c>
      <c r="E337" s="161">
        <f>(D337/C337)</f>
        <v>0.99799472623353669</v>
      </c>
      <c r="F337" s="160">
        <v>381796</v>
      </c>
      <c r="G337" s="159">
        <f>F337/D337</f>
        <v>0.3300963151251059</v>
      </c>
      <c r="H337" s="160">
        <v>274494</v>
      </c>
      <c r="I337" s="159">
        <f>H337/D337</f>
        <v>0.23732427244903254</v>
      </c>
      <c r="J337" s="160">
        <v>9704</v>
      </c>
      <c r="K337" s="159">
        <f>J337/D337</f>
        <v>8.38996386021338E-3</v>
      </c>
      <c r="L337" s="160">
        <v>8240</v>
      </c>
      <c r="M337" s="159">
        <f>L337/D337</f>
        <v>7.1242067403295807E-3</v>
      </c>
      <c r="N337" s="160">
        <v>2324</v>
      </c>
      <c r="O337" s="159">
        <f>N337/C337</f>
        <v>2.0052737664632632E-3</v>
      </c>
      <c r="P337" s="160">
        <v>0</v>
      </c>
      <c r="Q337" s="159">
        <f>P337/D337</f>
        <v>0</v>
      </c>
      <c r="R337" s="246">
        <f t="shared" si="1"/>
        <v>282734</v>
      </c>
      <c r="S337" s="247">
        <f t="shared" si="2"/>
        <v>0.24444847918936211</v>
      </c>
      <c r="T337" s="228"/>
      <c r="U337" s="228"/>
      <c r="V337" s="228"/>
      <c r="W337" s="228"/>
      <c r="X337" s="228"/>
      <c r="Y337" s="228"/>
      <c r="Z337" s="228"/>
    </row>
    <row r="338" spans="1:26" x14ac:dyDescent="0.2">
      <c r="A338" s="228"/>
      <c r="B338" s="228"/>
      <c r="C338" s="228"/>
      <c r="D338" s="228"/>
      <c r="E338" s="228"/>
      <c r="F338" s="228"/>
      <c r="G338" s="228"/>
      <c r="H338" s="228"/>
      <c r="I338" s="228"/>
      <c r="J338" s="228"/>
      <c r="K338" s="228"/>
      <c r="L338" s="228"/>
      <c r="M338" s="228"/>
      <c r="N338" s="228"/>
      <c r="O338" s="228"/>
      <c r="P338" s="228"/>
      <c r="Q338" s="228"/>
      <c r="R338" s="246"/>
      <c r="S338" s="247"/>
      <c r="T338" s="228"/>
      <c r="U338" s="228"/>
      <c r="V338" s="228"/>
      <c r="W338" s="228"/>
      <c r="X338" s="228"/>
      <c r="Y338" s="228"/>
      <c r="Z338" s="228"/>
    </row>
    <row r="339" spans="1:26" ht="31.5" x14ac:dyDescent="0.25">
      <c r="A339" s="228"/>
      <c r="B339" s="138" t="s">
        <v>325</v>
      </c>
      <c r="C339" s="164"/>
      <c r="D339" s="163"/>
      <c r="E339" s="163"/>
      <c r="F339" s="163"/>
      <c r="G339" s="163"/>
      <c r="H339" s="163"/>
      <c r="I339" s="163"/>
      <c r="J339" s="163"/>
      <c r="K339" s="163"/>
      <c r="L339" s="163"/>
      <c r="M339" s="163"/>
      <c r="N339" s="163"/>
      <c r="O339" s="163"/>
      <c r="P339" s="163"/>
      <c r="Q339" s="163"/>
      <c r="R339" s="246"/>
      <c r="S339" s="247"/>
      <c r="T339" s="228"/>
      <c r="U339" s="228"/>
      <c r="V339" s="228"/>
      <c r="W339" s="228"/>
      <c r="X339" s="228"/>
      <c r="Y339" s="228"/>
      <c r="Z339" s="228"/>
    </row>
    <row r="340" spans="1:26" ht="15.75" x14ac:dyDescent="0.25">
      <c r="A340" s="228"/>
      <c r="B340" s="170" t="s">
        <v>118</v>
      </c>
      <c r="C340" s="162" t="s">
        <v>153</v>
      </c>
      <c r="D340" s="162" t="s">
        <v>154</v>
      </c>
      <c r="E340" s="162" t="s">
        <v>155</v>
      </c>
      <c r="F340" s="162" t="s">
        <v>156</v>
      </c>
      <c r="G340" s="162" t="s">
        <v>157</v>
      </c>
      <c r="H340" s="162" t="s">
        <v>158</v>
      </c>
      <c r="I340" s="162" t="s">
        <v>159</v>
      </c>
      <c r="J340" s="162" t="s">
        <v>160</v>
      </c>
      <c r="K340" s="162" t="s">
        <v>161</v>
      </c>
      <c r="L340" s="162" t="s">
        <v>162</v>
      </c>
      <c r="M340" s="162" t="s">
        <v>163</v>
      </c>
      <c r="N340" s="162" t="s">
        <v>166</v>
      </c>
      <c r="O340" s="162" t="s">
        <v>167</v>
      </c>
      <c r="P340" s="162" t="s">
        <v>168</v>
      </c>
      <c r="Q340" s="162" t="s">
        <v>169</v>
      </c>
      <c r="R340" s="245" t="s">
        <v>355</v>
      </c>
      <c r="S340" s="245" t="s">
        <v>356</v>
      </c>
      <c r="T340" s="228"/>
      <c r="U340" s="228"/>
      <c r="V340" s="228"/>
      <c r="W340" s="228"/>
      <c r="X340" s="228"/>
      <c r="Y340" s="228"/>
      <c r="Z340" s="228"/>
    </row>
    <row r="341" spans="1:26" ht="15.75" x14ac:dyDescent="0.25">
      <c r="A341" s="228"/>
      <c r="B341" s="175" t="s">
        <v>274</v>
      </c>
      <c r="C341" s="160">
        <v>2384</v>
      </c>
      <c r="D341" s="160">
        <v>2350</v>
      </c>
      <c r="E341" s="161">
        <f>(D341/C341)</f>
        <v>0.98573825503355705</v>
      </c>
      <c r="F341" s="160">
        <v>1549</v>
      </c>
      <c r="G341" s="159">
        <f>F341/D341</f>
        <v>0.65914893617021275</v>
      </c>
      <c r="H341" s="160">
        <v>927</v>
      </c>
      <c r="I341" s="159">
        <f>H341/D341</f>
        <v>0.39446808510638298</v>
      </c>
      <c r="J341" s="160">
        <v>428</v>
      </c>
      <c r="K341" s="159">
        <f>J341/D341</f>
        <v>0.18212765957446808</v>
      </c>
      <c r="L341" s="160">
        <v>295</v>
      </c>
      <c r="M341" s="159">
        <f>L341/D341</f>
        <v>0.12553191489361701</v>
      </c>
      <c r="N341" s="160">
        <v>34</v>
      </c>
      <c r="O341" s="159">
        <f>N341/C341</f>
        <v>1.4261744966442953E-2</v>
      </c>
      <c r="P341" s="160">
        <v>1</v>
      </c>
      <c r="Q341" s="159">
        <f>P341/D341</f>
        <v>4.2553191489361702E-4</v>
      </c>
      <c r="R341" s="246">
        <f t="shared" ref="R341:R401" si="3">SUM(H341,L341)</f>
        <v>1222</v>
      </c>
      <c r="S341" s="247">
        <f t="shared" ref="S341:S401" si="4">(R341/D341)</f>
        <v>0.52</v>
      </c>
      <c r="T341" s="228"/>
      <c r="U341" s="228"/>
      <c r="V341" s="228"/>
      <c r="W341" s="228"/>
      <c r="X341" s="228"/>
      <c r="Y341" s="228"/>
      <c r="Z341" s="228"/>
    </row>
    <row r="342" spans="1:26" x14ac:dyDescent="0.2">
      <c r="A342" s="228"/>
      <c r="B342" s="228"/>
      <c r="C342" s="228"/>
      <c r="D342" s="228"/>
      <c r="E342" s="228"/>
      <c r="F342" s="228"/>
      <c r="G342" s="228"/>
      <c r="H342" s="228"/>
      <c r="I342" s="228"/>
      <c r="J342" s="228"/>
      <c r="K342" s="228"/>
      <c r="L342" s="228"/>
      <c r="M342" s="228"/>
      <c r="N342" s="228"/>
      <c r="O342" s="228"/>
      <c r="P342" s="228"/>
      <c r="Q342" s="228"/>
      <c r="R342" s="246"/>
      <c r="S342" s="247"/>
      <c r="T342" s="228"/>
      <c r="U342" s="228"/>
      <c r="V342" s="228"/>
      <c r="W342" s="228"/>
      <c r="X342" s="228"/>
      <c r="Y342" s="228"/>
      <c r="Z342" s="228"/>
    </row>
    <row r="343" spans="1:26" ht="31.5" x14ac:dyDescent="0.25">
      <c r="A343" s="228"/>
      <c r="B343" s="138" t="s">
        <v>326</v>
      </c>
      <c r="C343" s="164"/>
      <c r="D343" s="163"/>
      <c r="E343" s="163"/>
      <c r="F343" s="163"/>
      <c r="G343" s="163"/>
      <c r="H343" s="163"/>
      <c r="I343" s="163"/>
      <c r="J343" s="163"/>
      <c r="K343" s="163"/>
      <c r="L343" s="163"/>
      <c r="M343" s="163"/>
      <c r="N343" s="163"/>
      <c r="O343" s="163"/>
      <c r="P343" s="163"/>
      <c r="Q343" s="163"/>
      <c r="R343" s="246"/>
      <c r="S343" s="247"/>
      <c r="T343" s="228"/>
      <c r="U343" s="228"/>
      <c r="V343" s="228"/>
      <c r="W343" s="228"/>
      <c r="X343" s="228"/>
      <c r="Y343" s="228"/>
      <c r="Z343" s="228"/>
    </row>
    <row r="344" spans="1:26" ht="15.75" x14ac:dyDescent="0.25">
      <c r="A344" s="228"/>
      <c r="B344" s="170" t="s">
        <v>118</v>
      </c>
      <c r="C344" s="162" t="s">
        <v>153</v>
      </c>
      <c r="D344" s="162" t="s">
        <v>154</v>
      </c>
      <c r="E344" s="162" t="s">
        <v>155</v>
      </c>
      <c r="F344" s="162" t="s">
        <v>156</v>
      </c>
      <c r="G344" s="162" t="s">
        <v>157</v>
      </c>
      <c r="H344" s="162" t="s">
        <v>158</v>
      </c>
      <c r="I344" s="162" t="s">
        <v>159</v>
      </c>
      <c r="J344" s="162" t="s">
        <v>160</v>
      </c>
      <c r="K344" s="162" t="s">
        <v>161</v>
      </c>
      <c r="L344" s="162" t="s">
        <v>162</v>
      </c>
      <c r="M344" s="162" t="s">
        <v>163</v>
      </c>
      <c r="N344" s="162" t="s">
        <v>166</v>
      </c>
      <c r="O344" s="162" t="s">
        <v>167</v>
      </c>
      <c r="P344" s="162" t="s">
        <v>168</v>
      </c>
      <c r="Q344" s="162" t="s">
        <v>169</v>
      </c>
      <c r="R344" s="245" t="s">
        <v>355</v>
      </c>
      <c r="S344" s="245" t="s">
        <v>356</v>
      </c>
      <c r="T344" s="228"/>
      <c r="U344" s="228"/>
      <c r="V344" s="228"/>
      <c r="W344" s="228"/>
      <c r="X344" s="228"/>
      <c r="Y344" s="228"/>
      <c r="Z344" s="228"/>
    </row>
    <row r="345" spans="1:26" ht="15.75" x14ac:dyDescent="0.25">
      <c r="A345" s="228"/>
      <c r="B345" s="175" t="s">
        <v>270</v>
      </c>
      <c r="C345" s="160">
        <v>1196496</v>
      </c>
      <c r="D345" s="160">
        <v>1194457</v>
      </c>
      <c r="E345" s="161">
        <f>(D345/C345)</f>
        <v>0.99829585723646386</v>
      </c>
      <c r="F345" s="160">
        <v>362801</v>
      </c>
      <c r="G345" s="159">
        <f>F345/D345</f>
        <v>0.30373717932081273</v>
      </c>
      <c r="H345" s="160">
        <v>228485</v>
      </c>
      <c r="I345" s="159">
        <f>H345/D345</f>
        <v>0.19128775669613893</v>
      </c>
      <c r="J345" s="160">
        <v>31788</v>
      </c>
      <c r="K345" s="159">
        <f>J345/D345</f>
        <v>2.6612929557112561E-2</v>
      </c>
      <c r="L345" s="160">
        <v>27173</v>
      </c>
      <c r="M345" s="159">
        <f>L345/D345</f>
        <v>2.2749249240449843E-2</v>
      </c>
      <c r="N345" s="160">
        <v>2039</v>
      </c>
      <c r="O345" s="159">
        <f>N345/C345</f>
        <v>1.7041427635361922E-3</v>
      </c>
      <c r="P345" s="160">
        <v>614</v>
      </c>
      <c r="Q345" s="159">
        <f>P345/D345</f>
        <v>5.1404110821904843E-4</v>
      </c>
      <c r="R345" s="246">
        <f t="shared" si="3"/>
        <v>255658</v>
      </c>
      <c r="S345" s="247">
        <f t="shared" si="4"/>
        <v>0.21403700593658875</v>
      </c>
      <c r="T345" s="228"/>
      <c r="U345" s="228"/>
      <c r="V345" s="228"/>
      <c r="W345" s="228"/>
      <c r="X345" s="228"/>
      <c r="Y345" s="228"/>
      <c r="Z345" s="228"/>
    </row>
    <row r="346" spans="1:26" x14ac:dyDescent="0.2">
      <c r="A346" s="228"/>
      <c r="B346" s="228"/>
      <c r="C346" s="228"/>
      <c r="D346" s="228"/>
      <c r="E346" s="228"/>
      <c r="F346" s="228"/>
      <c r="G346" s="228"/>
      <c r="H346" s="228"/>
      <c r="I346" s="228"/>
      <c r="J346" s="228"/>
      <c r="K346" s="228"/>
      <c r="L346" s="228"/>
      <c r="M346" s="228"/>
      <c r="N346" s="228"/>
      <c r="O346" s="228"/>
      <c r="P346" s="228"/>
      <c r="Q346" s="228"/>
      <c r="R346" s="246"/>
      <c r="S346" s="247"/>
      <c r="T346" s="228"/>
      <c r="U346" s="228"/>
      <c r="V346" s="228"/>
      <c r="W346" s="228"/>
      <c r="X346" s="228"/>
      <c r="Y346" s="228"/>
      <c r="Z346" s="228"/>
    </row>
    <row r="347" spans="1:26" ht="31.5" x14ac:dyDescent="0.25">
      <c r="A347" s="228"/>
      <c r="B347" s="185" t="s">
        <v>208</v>
      </c>
      <c r="C347" s="158" t="s">
        <v>153</v>
      </c>
      <c r="D347" s="158" t="s">
        <v>154</v>
      </c>
      <c r="E347" s="158" t="s">
        <v>155</v>
      </c>
      <c r="F347" s="158" t="s">
        <v>156</v>
      </c>
      <c r="G347" s="158" t="s">
        <v>157</v>
      </c>
      <c r="H347" s="158" t="s">
        <v>158</v>
      </c>
      <c r="I347" s="158" t="s">
        <v>159</v>
      </c>
      <c r="J347" s="158" t="s">
        <v>160</v>
      </c>
      <c r="K347" s="158" t="s">
        <v>161</v>
      </c>
      <c r="L347" s="158" t="s">
        <v>162</v>
      </c>
      <c r="M347" s="158" t="s">
        <v>163</v>
      </c>
      <c r="N347" s="158" t="s">
        <v>166</v>
      </c>
      <c r="O347" s="158" t="s">
        <v>167</v>
      </c>
      <c r="P347" s="158" t="s">
        <v>168</v>
      </c>
      <c r="Q347" s="158" t="s">
        <v>169</v>
      </c>
      <c r="R347" s="246"/>
      <c r="S347" s="247"/>
      <c r="T347" s="228"/>
      <c r="U347" s="228"/>
      <c r="V347" s="228"/>
      <c r="W347" s="228"/>
      <c r="X347" s="228"/>
      <c r="Y347" s="228"/>
      <c r="Z347" s="228"/>
    </row>
    <row r="348" spans="1:26" x14ac:dyDescent="0.2">
      <c r="A348" s="228"/>
      <c r="B348" s="133"/>
      <c r="C348" s="157">
        <f>SUM(C325,C329,C333)</f>
        <v>1211712</v>
      </c>
      <c r="D348" s="157">
        <f>SUM(D325,D329,D333)</f>
        <v>1209171</v>
      </c>
      <c r="E348" s="156">
        <f>D348/C348</f>
        <v>0.99790296704167325</v>
      </c>
      <c r="F348" s="157">
        <f>SUM(F325,F329,F333)</f>
        <v>558217</v>
      </c>
      <c r="G348" s="156">
        <f>F348/D348</f>
        <v>0.46165265293329066</v>
      </c>
      <c r="H348" s="157">
        <f>SUM(H325,H329,H333)</f>
        <v>292572</v>
      </c>
      <c r="I348" s="156">
        <f>H348/D348</f>
        <v>0.24196081447537196</v>
      </c>
      <c r="J348" s="157">
        <f>SUM(J325,J329,J333)</f>
        <v>68673</v>
      </c>
      <c r="K348" s="156">
        <f>J348/D348</f>
        <v>5.6793456012425039E-2</v>
      </c>
      <c r="L348" s="157">
        <f>SUM(L325,L329,L333)</f>
        <v>58285</v>
      </c>
      <c r="M348" s="156">
        <f>L348/D348</f>
        <v>4.8202446138718179E-2</v>
      </c>
      <c r="N348" s="157">
        <f>SUM(N325,N329,N333)</f>
        <v>2541</v>
      </c>
      <c r="O348" s="156">
        <f>N348/C348</f>
        <v>2.0970329583267313E-3</v>
      </c>
      <c r="P348" s="157">
        <f>SUM(P325,P329,P333)</f>
        <v>478</v>
      </c>
      <c r="Q348" s="156">
        <f>P348/D348</f>
        <v>3.9531216014939162E-4</v>
      </c>
      <c r="R348" s="246">
        <f t="shared" si="3"/>
        <v>350857</v>
      </c>
      <c r="S348" s="247">
        <f t="shared" si="4"/>
        <v>0.29016326061409015</v>
      </c>
      <c r="T348" s="228"/>
      <c r="U348" s="228"/>
      <c r="V348" s="228"/>
      <c r="W348" s="228"/>
      <c r="X348" s="228"/>
      <c r="Y348" s="228"/>
      <c r="Z348" s="228"/>
    </row>
    <row r="349" spans="1:26" x14ac:dyDescent="0.2">
      <c r="A349" s="228"/>
      <c r="B349" s="228"/>
      <c r="C349" s="228"/>
      <c r="D349" s="228"/>
      <c r="E349" s="228"/>
      <c r="F349" s="228"/>
      <c r="G349" s="228"/>
      <c r="H349" s="228"/>
      <c r="I349" s="228"/>
      <c r="J349" s="228"/>
      <c r="K349" s="228"/>
      <c r="L349" s="228"/>
      <c r="M349" s="228"/>
      <c r="N349" s="228"/>
      <c r="O349" s="228"/>
      <c r="P349" s="228"/>
      <c r="Q349" s="228"/>
      <c r="R349" s="246"/>
      <c r="S349" s="247"/>
      <c r="T349" s="228"/>
      <c r="U349" s="228"/>
      <c r="V349" s="228"/>
      <c r="W349" s="228"/>
      <c r="X349" s="228"/>
      <c r="Y349" s="228"/>
      <c r="Z349" s="228"/>
    </row>
    <row r="350" spans="1:26" x14ac:dyDescent="0.2">
      <c r="A350" s="228"/>
      <c r="B350" s="228"/>
      <c r="C350" s="228"/>
      <c r="D350" s="228"/>
      <c r="E350" s="228"/>
      <c r="F350" s="228"/>
      <c r="G350" s="228"/>
      <c r="H350" s="228"/>
      <c r="I350" s="228"/>
      <c r="J350" s="228"/>
      <c r="K350" s="228"/>
      <c r="L350" s="228"/>
      <c r="M350" s="228"/>
      <c r="N350" s="228"/>
      <c r="O350" s="228"/>
      <c r="P350" s="228"/>
      <c r="Q350" s="228"/>
      <c r="R350" s="246"/>
      <c r="S350" s="247"/>
      <c r="T350" s="228"/>
      <c r="U350" s="228"/>
      <c r="V350" s="228"/>
      <c r="W350" s="228"/>
      <c r="X350" s="228"/>
      <c r="Y350" s="228"/>
      <c r="Z350" s="228"/>
    </row>
    <row r="351" spans="1:26" ht="47.25" x14ac:dyDescent="0.25">
      <c r="A351" s="228"/>
      <c r="B351" s="138" t="s">
        <v>330</v>
      </c>
      <c r="C351" s="164"/>
      <c r="D351" s="163"/>
      <c r="E351" s="163"/>
      <c r="F351" s="163"/>
      <c r="G351" s="163"/>
      <c r="H351" s="163"/>
      <c r="I351" s="163"/>
      <c r="J351" s="163"/>
      <c r="K351" s="163"/>
      <c r="L351" s="163"/>
      <c r="M351" s="163"/>
      <c r="N351" s="163"/>
      <c r="O351" s="163"/>
      <c r="P351" s="163"/>
      <c r="Q351" s="163"/>
      <c r="R351" s="246"/>
      <c r="S351" s="247"/>
      <c r="T351" s="228"/>
      <c r="U351" s="228"/>
      <c r="V351" s="228"/>
      <c r="W351" s="228"/>
      <c r="X351" s="228"/>
      <c r="Y351" s="228"/>
      <c r="Z351" s="228"/>
    </row>
    <row r="352" spans="1:26" ht="15.75" x14ac:dyDescent="0.25">
      <c r="A352" s="228"/>
      <c r="B352" s="170" t="s">
        <v>118</v>
      </c>
      <c r="C352" s="162" t="s">
        <v>153</v>
      </c>
      <c r="D352" s="162" t="s">
        <v>154</v>
      </c>
      <c r="E352" s="162" t="s">
        <v>155</v>
      </c>
      <c r="F352" s="162" t="s">
        <v>156</v>
      </c>
      <c r="G352" s="162" t="s">
        <v>157</v>
      </c>
      <c r="H352" s="162" t="s">
        <v>158</v>
      </c>
      <c r="I352" s="162" t="s">
        <v>159</v>
      </c>
      <c r="J352" s="162" t="s">
        <v>160</v>
      </c>
      <c r="K352" s="162" t="s">
        <v>161</v>
      </c>
      <c r="L352" s="162" t="s">
        <v>162</v>
      </c>
      <c r="M352" s="162" t="s">
        <v>163</v>
      </c>
      <c r="N352" s="162" t="s">
        <v>166</v>
      </c>
      <c r="O352" s="162" t="s">
        <v>167</v>
      </c>
      <c r="P352" s="162" t="s">
        <v>168</v>
      </c>
      <c r="Q352" s="162" t="s">
        <v>169</v>
      </c>
      <c r="R352" s="245" t="s">
        <v>355</v>
      </c>
      <c r="S352" s="245" t="s">
        <v>356</v>
      </c>
      <c r="T352" s="228"/>
      <c r="U352" s="228"/>
      <c r="V352" s="228"/>
      <c r="W352" s="228"/>
      <c r="X352" s="228"/>
      <c r="Y352" s="228"/>
      <c r="Z352" s="228"/>
    </row>
    <row r="353" spans="2:19" ht="15.75" x14ac:dyDescent="0.25">
      <c r="B353" s="175" t="s">
        <v>277</v>
      </c>
      <c r="C353" s="160">
        <v>32355</v>
      </c>
      <c r="D353" s="160">
        <v>32272</v>
      </c>
      <c r="E353" s="161">
        <f>(D353/C353)</f>
        <v>0.99743470870035544</v>
      </c>
      <c r="F353" s="160">
        <v>18206</v>
      </c>
      <c r="G353" s="159">
        <f>F353/D353</f>
        <v>0.56414229053049081</v>
      </c>
      <c r="H353" s="160">
        <v>10797</v>
      </c>
      <c r="I353" s="159">
        <f>H353/D353</f>
        <v>0.33456246901338621</v>
      </c>
      <c r="J353" s="160">
        <v>1888</v>
      </c>
      <c r="K353" s="159">
        <f>J353/D353</f>
        <v>5.8502726822012893E-2</v>
      </c>
      <c r="L353" s="160">
        <v>1620</v>
      </c>
      <c r="M353" s="159">
        <f>L353/D353</f>
        <v>5.019831432821021E-2</v>
      </c>
      <c r="N353" s="160">
        <v>83</v>
      </c>
      <c r="O353" s="159">
        <f>N353/C353</f>
        <v>2.5652912996445682E-3</v>
      </c>
      <c r="P353" s="160">
        <v>0</v>
      </c>
      <c r="Q353" s="159">
        <f>P353/D353</f>
        <v>0</v>
      </c>
      <c r="R353" s="246">
        <f t="shared" si="3"/>
        <v>12417</v>
      </c>
      <c r="S353" s="247">
        <f t="shared" si="4"/>
        <v>0.38476078334159641</v>
      </c>
    </row>
    <row r="354" spans="2:19" x14ac:dyDescent="0.2">
      <c r="B354" s="228"/>
      <c r="C354" s="228"/>
      <c r="D354" s="228"/>
      <c r="E354" s="228"/>
      <c r="F354" s="228"/>
      <c r="G354" s="228"/>
      <c r="H354" s="228"/>
      <c r="I354" s="228"/>
      <c r="J354" s="228"/>
      <c r="K354" s="228"/>
      <c r="L354" s="228"/>
      <c r="M354" s="228"/>
      <c r="N354" s="228"/>
      <c r="O354" s="228"/>
      <c r="P354" s="228"/>
      <c r="Q354" s="228"/>
      <c r="R354" s="246"/>
      <c r="S354" s="247"/>
    </row>
    <row r="355" spans="2:19" ht="47.25" x14ac:dyDescent="0.25">
      <c r="B355" s="138" t="s">
        <v>329</v>
      </c>
      <c r="C355" s="164"/>
      <c r="D355" s="163"/>
      <c r="E355" s="163"/>
      <c r="F355" s="163"/>
      <c r="G355" s="163"/>
      <c r="H355" s="163"/>
      <c r="I355" s="163"/>
      <c r="J355" s="163"/>
      <c r="K355" s="163"/>
      <c r="L355" s="163"/>
      <c r="M355" s="163"/>
      <c r="N355" s="163"/>
      <c r="O355" s="163"/>
      <c r="P355" s="163"/>
      <c r="Q355" s="163"/>
      <c r="R355" s="246"/>
      <c r="S355" s="247"/>
    </row>
    <row r="356" spans="2:19" ht="15.75" x14ac:dyDescent="0.25">
      <c r="B356" s="170" t="s">
        <v>118</v>
      </c>
      <c r="C356" s="162" t="s">
        <v>153</v>
      </c>
      <c r="D356" s="162" t="s">
        <v>154</v>
      </c>
      <c r="E356" s="162" t="s">
        <v>155</v>
      </c>
      <c r="F356" s="162" t="s">
        <v>156</v>
      </c>
      <c r="G356" s="162" t="s">
        <v>157</v>
      </c>
      <c r="H356" s="162" t="s">
        <v>158</v>
      </c>
      <c r="I356" s="162" t="s">
        <v>159</v>
      </c>
      <c r="J356" s="162" t="s">
        <v>160</v>
      </c>
      <c r="K356" s="162" t="s">
        <v>161</v>
      </c>
      <c r="L356" s="162" t="s">
        <v>162</v>
      </c>
      <c r="M356" s="162" t="s">
        <v>163</v>
      </c>
      <c r="N356" s="162" t="s">
        <v>166</v>
      </c>
      <c r="O356" s="162" t="s">
        <v>167</v>
      </c>
      <c r="P356" s="162" t="s">
        <v>168</v>
      </c>
      <c r="Q356" s="162" t="s">
        <v>169</v>
      </c>
      <c r="R356" s="245" t="s">
        <v>355</v>
      </c>
      <c r="S356" s="245" t="s">
        <v>356</v>
      </c>
    </row>
    <row r="357" spans="2:19" ht="15.75" x14ac:dyDescent="0.25">
      <c r="B357" s="175" t="s">
        <v>279</v>
      </c>
      <c r="C357" s="160">
        <v>1186587</v>
      </c>
      <c r="D357" s="160">
        <v>1167126</v>
      </c>
      <c r="E357" s="161">
        <f>(D357/C357)</f>
        <v>0.98359917983257861</v>
      </c>
      <c r="F357" s="160">
        <v>469914</v>
      </c>
      <c r="G357" s="159">
        <f>F357/D357</f>
        <v>0.4026249093928162</v>
      </c>
      <c r="H357" s="160">
        <v>287600</v>
      </c>
      <c r="I357" s="159">
        <f>H357/D357</f>
        <v>0.24641726771573935</v>
      </c>
      <c r="J357" s="160">
        <v>19836</v>
      </c>
      <c r="K357" s="159">
        <f>J357/D357</f>
        <v>1.6995594306013231E-2</v>
      </c>
      <c r="L357" s="160">
        <v>17258</v>
      </c>
      <c r="M357" s="159">
        <f>L357/D357</f>
        <v>1.4786749673985499E-2</v>
      </c>
      <c r="N357" s="160">
        <v>19461</v>
      </c>
      <c r="O357" s="159">
        <f>N357/C357</f>
        <v>1.6400820167421351E-2</v>
      </c>
      <c r="P357" s="160">
        <v>0</v>
      </c>
      <c r="Q357" s="159">
        <f>P357/D357</f>
        <v>0</v>
      </c>
      <c r="R357" s="246">
        <f t="shared" si="3"/>
        <v>304858</v>
      </c>
      <c r="S357" s="247">
        <f t="shared" si="4"/>
        <v>0.26120401738972482</v>
      </c>
    </row>
    <row r="358" spans="2:19" x14ac:dyDescent="0.2">
      <c r="B358" s="228"/>
      <c r="C358" s="228"/>
      <c r="D358" s="228"/>
      <c r="E358" s="228"/>
      <c r="F358" s="228"/>
      <c r="G358" s="228"/>
      <c r="H358" s="228"/>
      <c r="I358" s="228"/>
      <c r="J358" s="228"/>
      <c r="K358" s="228"/>
      <c r="L358" s="228"/>
      <c r="M358" s="228"/>
      <c r="N358" s="228"/>
      <c r="O358" s="228"/>
      <c r="P358" s="228"/>
      <c r="Q358" s="228"/>
      <c r="R358" s="246"/>
      <c r="S358" s="247"/>
    </row>
    <row r="359" spans="2:19" ht="31.5" x14ac:dyDescent="0.25">
      <c r="B359" s="138" t="s">
        <v>328</v>
      </c>
      <c r="C359" s="164"/>
      <c r="D359" s="163"/>
      <c r="E359" s="163"/>
      <c r="F359" s="163"/>
      <c r="G359" s="163"/>
      <c r="H359" s="163"/>
      <c r="I359" s="163"/>
      <c r="J359" s="163"/>
      <c r="K359" s="163"/>
      <c r="L359" s="163"/>
      <c r="M359" s="163"/>
      <c r="N359" s="163"/>
      <c r="O359" s="163"/>
      <c r="P359" s="163"/>
      <c r="Q359" s="163"/>
      <c r="R359" s="246"/>
      <c r="S359" s="247"/>
    </row>
    <row r="360" spans="2:19" ht="15.75" x14ac:dyDescent="0.25">
      <c r="B360" s="170" t="s">
        <v>118</v>
      </c>
      <c r="C360" s="162" t="s">
        <v>153</v>
      </c>
      <c r="D360" s="162" t="s">
        <v>154</v>
      </c>
      <c r="E360" s="162" t="s">
        <v>155</v>
      </c>
      <c r="F360" s="162" t="s">
        <v>156</v>
      </c>
      <c r="G360" s="162" t="s">
        <v>157</v>
      </c>
      <c r="H360" s="162" t="s">
        <v>158</v>
      </c>
      <c r="I360" s="162" t="s">
        <v>159</v>
      </c>
      <c r="J360" s="162" t="s">
        <v>160</v>
      </c>
      <c r="K360" s="162" t="s">
        <v>161</v>
      </c>
      <c r="L360" s="162" t="s">
        <v>162</v>
      </c>
      <c r="M360" s="162" t="s">
        <v>163</v>
      </c>
      <c r="N360" s="162" t="s">
        <v>166</v>
      </c>
      <c r="O360" s="162" t="s">
        <v>167</v>
      </c>
      <c r="P360" s="162" t="s">
        <v>168</v>
      </c>
      <c r="Q360" s="162" t="s">
        <v>169</v>
      </c>
      <c r="R360" s="245" t="s">
        <v>355</v>
      </c>
      <c r="S360" s="245" t="s">
        <v>356</v>
      </c>
    </row>
    <row r="361" spans="2:19" ht="15.75" x14ac:dyDescent="0.25">
      <c r="B361" s="175" t="s">
        <v>270</v>
      </c>
      <c r="C361" s="160">
        <v>1220088</v>
      </c>
      <c r="D361" s="160">
        <v>1217500</v>
      </c>
      <c r="E361" s="161">
        <f>(D361/C361)</f>
        <v>0.997878841526185</v>
      </c>
      <c r="F361" s="160">
        <v>419298</v>
      </c>
      <c r="G361" s="159">
        <f>F361/D361</f>
        <v>0.34439260780287473</v>
      </c>
      <c r="H361" s="160">
        <v>253490</v>
      </c>
      <c r="I361" s="159">
        <f>H361/D361</f>
        <v>0.20820533880903491</v>
      </c>
      <c r="J361" s="160">
        <v>24334</v>
      </c>
      <c r="K361" s="159">
        <f>J361/D361</f>
        <v>1.9986858316221767E-2</v>
      </c>
      <c r="L361" s="160">
        <v>20396</v>
      </c>
      <c r="M361" s="159">
        <f>L361/D361</f>
        <v>1.67523613963039E-2</v>
      </c>
      <c r="N361" s="160">
        <v>2588</v>
      </c>
      <c r="O361" s="159">
        <f>N361/C361</f>
        <v>2.1211584738150034E-3</v>
      </c>
      <c r="P361" s="160">
        <v>848</v>
      </c>
      <c r="Q361" s="159">
        <f>P361/D361</f>
        <v>6.9650924024640653E-4</v>
      </c>
      <c r="R361" s="246">
        <f t="shared" si="3"/>
        <v>273886</v>
      </c>
      <c r="S361" s="247">
        <f t="shared" si="4"/>
        <v>0.22495770020533881</v>
      </c>
    </row>
    <row r="362" spans="2:19" x14ac:dyDescent="0.2">
      <c r="B362" s="228"/>
      <c r="C362" s="228"/>
      <c r="D362" s="228"/>
      <c r="E362" s="228"/>
      <c r="F362" s="228"/>
      <c r="G362" s="228"/>
      <c r="H362" s="228"/>
      <c r="I362" s="228"/>
      <c r="J362" s="228"/>
      <c r="K362" s="228"/>
      <c r="L362" s="228"/>
      <c r="M362" s="228"/>
      <c r="N362" s="228"/>
      <c r="O362" s="228"/>
      <c r="P362" s="228"/>
      <c r="Q362" s="228"/>
      <c r="R362" s="246"/>
      <c r="S362" s="247"/>
    </row>
    <row r="363" spans="2:19" ht="47.25" x14ac:dyDescent="0.25">
      <c r="B363" s="138" t="s">
        <v>327</v>
      </c>
      <c r="C363" s="164"/>
      <c r="D363" s="163"/>
      <c r="E363" s="163"/>
      <c r="F363" s="163"/>
      <c r="G363" s="163"/>
      <c r="H363" s="163"/>
      <c r="I363" s="163"/>
      <c r="J363" s="163"/>
      <c r="K363" s="163"/>
      <c r="L363" s="163"/>
      <c r="M363" s="163"/>
      <c r="N363" s="163"/>
      <c r="O363" s="163"/>
      <c r="P363" s="163"/>
      <c r="Q363" s="163"/>
      <c r="R363" s="246"/>
      <c r="S363" s="247"/>
    </row>
    <row r="364" spans="2:19" ht="15.75" x14ac:dyDescent="0.25">
      <c r="B364" s="170" t="s">
        <v>118</v>
      </c>
      <c r="C364" s="162" t="s">
        <v>153</v>
      </c>
      <c r="D364" s="162" t="s">
        <v>154</v>
      </c>
      <c r="E364" s="162" t="s">
        <v>155</v>
      </c>
      <c r="F364" s="162" t="s">
        <v>156</v>
      </c>
      <c r="G364" s="162" t="s">
        <v>157</v>
      </c>
      <c r="H364" s="162" t="s">
        <v>158</v>
      </c>
      <c r="I364" s="162" t="s">
        <v>159</v>
      </c>
      <c r="J364" s="162" t="s">
        <v>160</v>
      </c>
      <c r="K364" s="162" t="s">
        <v>161</v>
      </c>
      <c r="L364" s="162" t="s">
        <v>162</v>
      </c>
      <c r="M364" s="162" t="s">
        <v>163</v>
      </c>
      <c r="N364" s="162" t="s">
        <v>166</v>
      </c>
      <c r="O364" s="162" t="s">
        <v>167</v>
      </c>
      <c r="P364" s="162" t="s">
        <v>168</v>
      </c>
      <c r="Q364" s="162" t="s">
        <v>169</v>
      </c>
      <c r="R364" s="245" t="s">
        <v>355</v>
      </c>
      <c r="S364" s="245" t="s">
        <v>356</v>
      </c>
    </row>
    <row r="365" spans="2:19" ht="15.75" x14ac:dyDescent="0.25">
      <c r="B365" s="175" t="s">
        <v>274</v>
      </c>
      <c r="C365" s="160">
        <v>7398</v>
      </c>
      <c r="D365" s="160">
        <v>7295</v>
      </c>
      <c r="E365" s="161">
        <f>(D365/C365)</f>
        <v>0.98607731819410649</v>
      </c>
      <c r="F365" s="160">
        <v>4372</v>
      </c>
      <c r="G365" s="159">
        <f>F365/D365</f>
        <v>0.59931459904043871</v>
      </c>
      <c r="H365" s="160">
        <v>2406</v>
      </c>
      <c r="I365" s="159">
        <f>H365/D365</f>
        <v>0.32981494174091841</v>
      </c>
      <c r="J365" s="160">
        <v>1198</v>
      </c>
      <c r="K365" s="159">
        <f>J365/D365</f>
        <v>0.16422206991089788</v>
      </c>
      <c r="L365" s="160">
        <v>785</v>
      </c>
      <c r="M365" s="159">
        <f>L365/D365</f>
        <v>0.10760795065113091</v>
      </c>
      <c r="N365" s="160">
        <v>103</v>
      </c>
      <c r="O365" s="159">
        <f>N365/C365</f>
        <v>1.3922681805893485E-2</v>
      </c>
      <c r="P365" s="160">
        <v>1</v>
      </c>
      <c r="Q365" s="159">
        <f>P365/D365</f>
        <v>1.3708019191226866E-4</v>
      </c>
      <c r="R365" s="246">
        <f t="shared" si="3"/>
        <v>3191</v>
      </c>
      <c r="S365" s="247">
        <f t="shared" si="4"/>
        <v>0.43742289239204935</v>
      </c>
    </row>
    <row r="366" spans="2:19" x14ac:dyDescent="0.2">
      <c r="B366" s="228"/>
      <c r="C366" s="228"/>
      <c r="D366" s="228"/>
      <c r="E366" s="228"/>
      <c r="F366" s="228"/>
      <c r="G366" s="228"/>
      <c r="H366" s="228"/>
      <c r="I366" s="228"/>
      <c r="J366" s="228"/>
      <c r="K366" s="228"/>
      <c r="L366" s="228"/>
      <c r="M366" s="228"/>
      <c r="N366" s="228"/>
      <c r="O366" s="228"/>
      <c r="P366" s="228"/>
      <c r="Q366" s="228"/>
      <c r="R366" s="246"/>
      <c r="S366" s="247"/>
    </row>
    <row r="367" spans="2:19" ht="31.5" x14ac:dyDescent="0.25">
      <c r="B367" s="185" t="s">
        <v>244</v>
      </c>
      <c r="C367" s="158" t="s">
        <v>153</v>
      </c>
      <c r="D367" s="158" t="s">
        <v>154</v>
      </c>
      <c r="E367" s="158" t="s">
        <v>155</v>
      </c>
      <c r="F367" s="158" t="s">
        <v>156</v>
      </c>
      <c r="G367" s="158" t="s">
        <v>157</v>
      </c>
      <c r="H367" s="158" t="s">
        <v>158</v>
      </c>
      <c r="I367" s="158" t="s">
        <v>159</v>
      </c>
      <c r="J367" s="158" t="s">
        <v>160</v>
      </c>
      <c r="K367" s="158" t="s">
        <v>161</v>
      </c>
      <c r="L367" s="158" t="s">
        <v>162</v>
      </c>
      <c r="M367" s="158" t="s">
        <v>163</v>
      </c>
      <c r="N367" s="158" t="s">
        <v>166</v>
      </c>
      <c r="O367" s="158" t="s">
        <v>167</v>
      </c>
      <c r="P367" s="158" t="s">
        <v>168</v>
      </c>
      <c r="Q367" s="158" t="s">
        <v>169</v>
      </c>
      <c r="R367" s="246"/>
      <c r="S367" s="247"/>
    </row>
    <row r="368" spans="2:19" x14ac:dyDescent="0.2">
      <c r="B368" s="133"/>
      <c r="C368" s="157">
        <f>SUM(C353,C357,C361,C365)</f>
        <v>2446428</v>
      </c>
      <c r="D368" s="157">
        <f>SUM(D353,D357,D361,D365)</f>
        <v>2424193</v>
      </c>
      <c r="E368" s="156">
        <f>D368/C368</f>
        <v>0.99091123875299003</v>
      </c>
      <c r="F368" s="157">
        <f>SUM(F353,F357,F361,F365)</f>
        <v>911790</v>
      </c>
      <c r="G368" s="156">
        <f>F368/D368</f>
        <v>0.37612104316776757</v>
      </c>
      <c r="H368" s="157">
        <f>SUM(H353,H357,H361,H365)</f>
        <v>554293</v>
      </c>
      <c r="I368" s="156">
        <f>H368/D368</f>
        <v>0.22865052411256034</v>
      </c>
      <c r="J368" s="157">
        <f>SUM(J353,J357,J361,J365)</f>
        <v>47256</v>
      </c>
      <c r="K368" s="156">
        <f>J368/D368</f>
        <v>1.9493497423678726E-2</v>
      </c>
      <c r="L368" s="157">
        <f>SUM(L353,L357,L361,L365)</f>
        <v>40059</v>
      </c>
      <c r="M368" s="156">
        <f>L368/D368</f>
        <v>1.6524674396799263E-2</v>
      </c>
      <c r="N368" s="157">
        <f>SUM(N353,N357,N361,N365)</f>
        <v>22235</v>
      </c>
      <c r="O368" s="156">
        <f>N368/C368</f>
        <v>9.0887612470099272E-3</v>
      </c>
      <c r="P368" s="157">
        <f>SUM(P353,P357,P361,P365)</f>
        <v>849</v>
      </c>
      <c r="Q368" s="156">
        <f>P368/D368</f>
        <v>3.502196401029126E-4</v>
      </c>
      <c r="R368" s="246">
        <f t="shared" si="3"/>
        <v>594352</v>
      </c>
      <c r="S368" s="247">
        <f t="shared" si="4"/>
        <v>0.24517519850935962</v>
      </c>
    </row>
    <row r="369" spans="2:19" x14ac:dyDescent="0.2">
      <c r="R369" s="246"/>
      <c r="S369" s="247"/>
    </row>
    <row r="370" spans="2:19" x14ac:dyDescent="0.2">
      <c r="R370" s="246"/>
      <c r="S370" s="247"/>
    </row>
    <row r="371" spans="2:19" ht="31.5" x14ac:dyDescent="0.25">
      <c r="B371" s="138" t="s">
        <v>331</v>
      </c>
      <c r="C371" s="164"/>
      <c r="D371" s="163"/>
      <c r="E371" s="163"/>
      <c r="F371" s="163"/>
      <c r="G371" s="163"/>
      <c r="H371" s="163"/>
      <c r="I371" s="163"/>
      <c r="J371" s="163"/>
      <c r="K371" s="163"/>
      <c r="L371" s="163"/>
      <c r="M371" s="163"/>
      <c r="N371" s="163"/>
      <c r="O371" s="163"/>
      <c r="P371" s="163"/>
      <c r="Q371" s="163"/>
      <c r="R371" s="246"/>
      <c r="S371" s="247"/>
    </row>
    <row r="372" spans="2:19" ht="15.75" x14ac:dyDescent="0.25">
      <c r="B372" s="170" t="s">
        <v>118</v>
      </c>
      <c r="C372" s="162" t="s">
        <v>153</v>
      </c>
      <c r="D372" s="162" t="s">
        <v>154</v>
      </c>
      <c r="E372" s="162" t="s">
        <v>155</v>
      </c>
      <c r="F372" s="162" t="s">
        <v>156</v>
      </c>
      <c r="G372" s="162" t="s">
        <v>157</v>
      </c>
      <c r="H372" s="162" t="s">
        <v>158</v>
      </c>
      <c r="I372" s="162" t="s">
        <v>159</v>
      </c>
      <c r="J372" s="162" t="s">
        <v>160</v>
      </c>
      <c r="K372" s="162" t="s">
        <v>161</v>
      </c>
      <c r="L372" s="162" t="s">
        <v>162</v>
      </c>
      <c r="M372" s="162" t="s">
        <v>163</v>
      </c>
      <c r="N372" s="162" t="s">
        <v>166</v>
      </c>
      <c r="O372" s="162" t="s">
        <v>167</v>
      </c>
      <c r="P372" s="162" t="s">
        <v>168</v>
      </c>
      <c r="Q372" s="162" t="s">
        <v>169</v>
      </c>
      <c r="R372" s="245" t="s">
        <v>355</v>
      </c>
      <c r="S372" s="245" t="s">
        <v>356</v>
      </c>
    </row>
    <row r="373" spans="2:19" ht="15.75" x14ac:dyDescent="0.25">
      <c r="B373" s="175" t="s">
        <v>270</v>
      </c>
      <c r="C373" s="160">
        <v>1227372</v>
      </c>
      <c r="D373" s="160">
        <v>1221867</v>
      </c>
      <c r="E373" s="161">
        <f>(D373/C373)</f>
        <v>0.99551480724670272</v>
      </c>
      <c r="F373" s="160">
        <v>426185</v>
      </c>
      <c r="G373" s="159">
        <f>F373/D373</f>
        <v>0.34879819161987352</v>
      </c>
      <c r="H373" s="160">
        <v>259709</v>
      </c>
      <c r="I373" s="159">
        <f>H373/D373</f>
        <v>0.2125509568553697</v>
      </c>
      <c r="J373" s="160">
        <v>33643</v>
      </c>
      <c r="K373" s="159">
        <f>J373/D373</f>
        <v>2.7534093317848833E-2</v>
      </c>
      <c r="L373" s="160">
        <v>29175</v>
      </c>
      <c r="M373" s="159">
        <f>L373/D373</f>
        <v>2.3877394184473433E-2</v>
      </c>
      <c r="N373" s="160">
        <v>5505</v>
      </c>
      <c r="O373" s="159">
        <f>N373/C373</f>
        <v>4.485192753297289E-3</v>
      </c>
      <c r="P373" s="160">
        <v>0</v>
      </c>
      <c r="Q373" s="159">
        <f>P373/D373</f>
        <v>0</v>
      </c>
      <c r="R373" s="246">
        <f t="shared" si="3"/>
        <v>288884</v>
      </c>
      <c r="S373" s="247">
        <f t="shared" si="4"/>
        <v>0.23642835103984314</v>
      </c>
    </row>
    <row r="374" spans="2:19" x14ac:dyDescent="0.2">
      <c r="B374" s="231"/>
      <c r="C374" s="231"/>
      <c r="D374" s="231"/>
      <c r="E374" s="231"/>
      <c r="F374" s="231"/>
      <c r="G374" s="231"/>
      <c r="H374" s="231"/>
      <c r="I374" s="231"/>
      <c r="J374" s="231"/>
      <c r="K374" s="231"/>
      <c r="L374" s="231"/>
      <c r="M374" s="231"/>
      <c r="N374" s="231"/>
      <c r="O374" s="231"/>
      <c r="P374" s="231"/>
      <c r="Q374" s="231"/>
      <c r="R374" s="246"/>
      <c r="S374" s="247"/>
    </row>
    <row r="375" spans="2:19" ht="31.5" x14ac:dyDescent="0.25">
      <c r="B375" s="138" t="s">
        <v>332</v>
      </c>
      <c r="C375" s="164"/>
      <c r="D375" s="163"/>
      <c r="E375" s="163"/>
      <c r="F375" s="163"/>
      <c r="G375" s="163"/>
      <c r="H375" s="163"/>
      <c r="I375" s="163"/>
      <c r="J375" s="163"/>
      <c r="K375" s="163"/>
      <c r="L375" s="163"/>
      <c r="M375" s="163"/>
      <c r="N375" s="163"/>
      <c r="O375" s="163"/>
      <c r="P375" s="163"/>
      <c r="Q375" s="163"/>
      <c r="R375" s="246"/>
      <c r="S375" s="247"/>
    </row>
    <row r="376" spans="2:19" ht="15.75" x14ac:dyDescent="0.25">
      <c r="B376" s="170" t="s">
        <v>118</v>
      </c>
      <c r="C376" s="162" t="s">
        <v>153</v>
      </c>
      <c r="D376" s="162" t="s">
        <v>154</v>
      </c>
      <c r="E376" s="162" t="s">
        <v>155</v>
      </c>
      <c r="F376" s="162" t="s">
        <v>156</v>
      </c>
      <c r="G376" s="162" t="s">
        <v>157</v>
      </c>
      <c r="H376" s="162" t="s">
        <v>158</v>
      </c>
      <c r="I376" s="162" t="s">
        <v>159</v>
      </c>
      <c r="J376" s="162" t="s">
        <v>160</v>
      </c>
      <c r="K376" s="162" t="s">
        <v>161</v>
      </c>
      <c r="L376" s="162" t="s">
        <v>162</v>
      </c>
      <c r="M376" s="162" t="s">
        <v>163</v>
      </c>
      <c r="N376" s="162" t="s">
        <v>166</v>
      </c>
      <c r="O376" s="162" t="s">
        <v>167</v>
      </c>
      <c r="P376" s="162" t="s">
        <v>168</v>
      </c>
      <c r="Q376" s="162" t="s">
        <v>169</v>
      </c>
      <c r="R376" s="245" t="s">
        <v>355</v>
      </c>
      <c r="S376" s="245" t="s">
        <v>356</v>
      </c>
    </row>
    <row r="377" spans="2:19" ht="15.75" x14ac:dyDescent="0.25">
      <c r="B377" s="175" t="s">
        <v>333</v>
      </c>
      <c r="C377" s="160">
        <v>423</v>
      </c>
      <c r="D377" s="160">
        <v>368</v>
      </c>
      <c r="E377" s="161">
        <f>(D377/C377)</f>
        <v>0.8699763593380615</v>
      </c>
      <c r="F377" s="160">
        <v>272</v>
      </c>
      <c r="G377" s="159">
        <f>F377/D377</f>
        <v>0.73913043478260865</v>
      </c>
      <c r="H377" s="160">
        <v>118</v>
      </c>
      <c r="I377" s="159">
        <f>H377/D377</f>
        <v>0.32065217391304346</v>
      </c>
      <c r="J377" s="160">
        <v>28</v>
      </c>
      <c r="K377" s="159">
        <f>J377/D377</f>
        <v>7.6086956521739135E-2</v>
      </c>
      <c r="L377" s="160">
        <v>26</v>
      </c>
      <c r="M377" s="159">
        <f>L377/D377</f>
        <v>7.0652173913043473E-2</v>
      </c>
      <c r="N377" s="160">
        <v>55</v>
      </c>
      <c r="O377" s="159">
        <f>N377/C377</f>
        <v>0.13002364066193853</v>
      </c>
      <c r="P377" s="160">
        <v>0</v>
      </c>
      <c r="Q377" s="159">
        <f>P377/D377</f>
        <v>0</v>
      </c>
      <c r="R377" s="246">
        <f t="shared" si="3"/>
        <v>144</v>
      </c>
      <c r="S377" s="247">
        <f t="shared" si="4"/>
        <v>0.39130434782608697</v>
      </c>
    </row>
    <row r="378" spans="2:19" x14ac:dyDescent="0.2">
      <c r="B378" s="231"/>
      <c r="C378" s="231"/>
      <c r="D378" s="231"/>
      <c r="E378" s="231"/>
      <c r="F378" s="231"/>
      <c r="G378" s="231"/>
      <c r="H378" s="231"/>
      <c r="I378" s="231"/>
      <c r="J378" s="231"/>
      <c r="K378" s="231"/>
      <c r="L378" s="231"/>
      <c r="M378" s="231"/>
      <c r="N378" s="231"/>
      <c r="O378" s="231"/>
      <c r="P378" s="231"/>
      <c r="Q378" s="231"/>
      <c r="R378" s="246"/>
      <c r="S378" s="247"/>
    </row>
    <row r="379" spans="2:19" ht="31.5" x14ac:dyDescent="0.25">
      <c r="B379" s="138" t="s">
        <v>334</v>
      </c>
      <c r="C379" s="164"/>
      <c r="D379" s="163"/>
      <c r="E379" s="163"/>
      <c r="F379" s="163"/>
      <c r="G379" s="163"/>
      <c r="H379" s="163"/>
      <c r="I379" s="163"/>
      <c r="J379" s="163"/>
      <c r="K379" s="163"/>
      <c r="L379" s="163"/>
      <c r="M379" s="163"/>
      <c r="N379" s="163"/>
      <c r="O379" s="163"/>
      <c r="P379" s="163"/>
      <c r="Q379" s="163"/>
      <c r="R379" s="246"/>
      <c r="S379" s="247"/>
    </row>
    <row r="380" spans="2:19" ht="15.75" x14ac:dyDescent="0.25">
      <c r="B380" s="170" t="s">
        <v>118</v>
      </c>
      <c r="C380" s="162" t="s">
        <v>153</v>
      </c>
      <c r="D380" s="162" t="s">
        <v>154</v>
      </c>
      <c r="E380" s="162" t="s">
        <v>155</v>
      </c>
      <c r="F380" s="162" t="s">
        <v>156</v>
      </c>
      <c r="G380" s="162" t="s">
        <v>157</v>
      </c>
      <c r="H380" s="162" t="s">
        <v>158</v>
      </c>
      <c r="I380" s="162" t="s">
        <v>159</v>
      </c>
      <c r="J380" s="162" t="s">
        <v>160</v>
      </c>
      <c r="K380" s="162" t="s">
        <v>161</v>
      </c>
      <c r="L380" s="162" t="s">
        <v>162</v>
      </c>
      <c r="M380" s="162" t="s">
        <v>163</v>
      </c>
      <c r="N380" s="162" t="s">
        <v>166</v>
      </c>
      <c r="O380" s="162" t="s">
        <v>167</v>
      </c>
      <c r="P380" s="162" t="s">
        <v>168</v>
      </c>
      <c r="Q380" s="162" t="s">
        <v>169</v>
      </c>
      <c r="R380" s="245" t="s">
        <v>355</v>
      </c>
      <c r="S380" s="245" t="s">
        <v>356</v>
      </c>
    </row>
    <row r="381" spans="2:19" ht="15.75" x14ac:dyDescent="0.25">
      <c r="B381" s="175" t="s">
        <v>270</v>
      </c>
      <c r="C381" s="160">
        <v>1228779</v>
      </c>
      <c r="D381" s="160">
        <v>1227044</v>
      </c>
      <c r="E381" s="161">
        <f>(D381/C381)</f>
        <v>0.9985880292550573</v>
      </c>
      <c r="F381" s="160">
        <v>391187</v>
      </c>
      <c r="G381" s="159">
        <f>F381/D381</f>
        <v>0.31880437865308825</v>
      </c>
      <c r="H381" s="160">
        <v>237044</v>
      </c>
      <c r="I381" s="159">
        <f>H381/D381</f>
        <v>0.19318296654398701</v>
      </c>
      <c r="J381" s="160">
        <v>46262</v>
      </c>
      <c r="K381" s="159">
        <f>J381/D381</f>
        <v>3.7701989496709165E-2</v>
      </c>
      <c r="L381" s="160">
        <v>40795</v>
      </c>
      <c r="M381" s="159">
        <f>L381/D381</f>
        <v>3.3246566545290956E-2</v>
      </c>
      <c r="N381" s="160">
        <v>1735</v>
      </c>
      <c r="O381" s="159">
        <f>N381/C381</f>
        <v>1.411970744942744E-3</v>
      </c>
      <c r="P381" s="160">
        <v>747</v>
      </c>
      <c r="Q381" s="159">
        <f>P381/D381</f>
        <v>6.0878012524408253E-4</v>
      </c>
      <c r="R381" s="246">
        <f t="shared" si="3"/>
        <v>277839</v>
      </c>
      <c r="S381" s="247">
        <f t="shared" si="4"/>
        <v>0.22642953308927796</v>
      </c>
    </row>
    <row r="382" spans="2:19" x14ac:dyDescent="0.2">
      <c r="B382" s="231"/>
      <c r="C382" s="231"/>
      <c r="D382" s="231"/>
      <c r="E382" s="231"/>
      <c r="F382" s="231"/>
      <c r="G382" s="231"/>
      <c r="H382" s="231"/>
      <c r="I382" s="231"/>
      <c r="J382" s="231"/>
      <c r="K382" s="231"/>
      <c r="L382" s="231"/>
      <c r="M382" s="231"/>
      <c r="N382" s="231"/>
      <c r="O382" s="231"/>
      <c r="P382" s="231"/>
      <c r="Q382" s="231"/>
      <c r="R382" s="246"/>
      <c r="S382" s="247"/>
    </row>
    <row r="383" spans="2:19" ht="31.5" x14ac:dyDescent="0.25">
      <c r="B383" s="138" t="s">
        <v>335</v>
      </c>
      <c r="C383" s="164"/>
      <c r="D383" s="163"/>
      <c r="E383" s="163"/>
      <c r="F383" s="163"/>
      <c r="G383" s="163"/>
      <c r="H383" s="163"/>
      <c r="I383" s="163"/>
      <c r="J383" s="163"/>
      <c r="K383" s="163"/>
      <c r="L383" s="163"/>
      <c r="M383" s="163"/>
      <c r="N383" s="163"/>
      <c r="O383" s="163"/>
      <c r="P383" s="163"/>
      <c r="Q383" s="163"/>
      <c r="R383" s="246"/>
      <c r="S383" s="247"/>
    </row>
    <row r="384" spans="2:19" ht="15.75" x14ac:dyDescent="0.25">
      <c r="B384" s="170" t="s">
        <v>118</v>
      </c>
      <c r="C384" s="162" t="s">
        <v>153</v>
      </c>
      <c r="D384" s="162" t="s">
        <v>154</v>
      </c>
      <c r="E384" s="162" t="s">
        <v>155</v>
      </c>
      <c r="F384" s="162" t="s">
        <v>156</v>
      </c>
      <c r="G384" s="162" t="s">
        <v>157</v>
      </c>
      <c r="H384" s="162" t="s">
        <v>158</v>
      </c>
      <c r="I384" s="162" t="s">
        <v>159</v>
      </c>
      <c r="J384" s="162" t="s">
        <v>160</v>
      </c>
      <c r="K384" s="162" t="s">
        <v>161</v>
      </c>
      <c r="L384" s="162" t="s">
        <v>162</v>
      </c>
      <c r="M384" s="162" t="s">
        <v>163</v>
      </c>
      <c r="N384" s="162" t="s">
        <v>166</v>
      </c>
      <c r="O384" s="162" t="s">
        <v>167</v>
      </c>
      <c r="P384" s="162" t="s">
        <v>168</v>
      </c>
      <c r="Q384" s="162" t="s">
        <v>169</v>
      </c>
      <c r="R384" s="245" t="s">
        <v>355</v>
      </c>
      <c r="S384" s="245" t="s">
        <v>356</v>
      </c>
    </row>
    <row r="385" spans="2:19" ht="15.75" x14ac:dyDescent="0.25">
      <c r="B385" s="175" t="s">
        <v>338</v>
      </c>
      <c r="C385" s="160">
        <v>7535</v>
      </c>
      <c r="D385" s="160">
        <v>7433</v>
      </c>
      <c r="E385" s="161">
        <f>(D385/C385)</f>
        <v>0.98646317186463173</v>
      </c>
      <c r="F385" s="160">
        <v>6713</v>
      </c>
      <c r="G385" s="159">
        <f>F385/D385</f>
        <v>0.90313466971613077</v>
      </c>
      <c r="H385" s="160">
        <v>3242</v>
      </c>
      <c r="I385" s="159">
        <f>H385/D385</f>
        <v>0.43616305663931115</v>
      </c>
      <c r="J385" s="160">
        <v>1550</v>
      </c>
      <c r="K385" s="159">
        <f>J385/D385</f>
        <v>0.20852953047221848</v>
      </c>
      <c r="L385" s="160">
        <v>1059</v>
      </c>
      <c r="M385" s="159">
        <f>L385/D385</f>
        <v>0.14247275662585765</v>
      </c>
      <c r="N385" s="160">
        <v>102</v>
      </c>
      <c r="O385" s="159">
        <f>N385/C385</f>
        <v>1.3536828135368282E-2</v>
      </c>
      <c r="P385" s="160">
        <v>4</v>
      </c>
      <c r="Q385" s="159">
        <f>P385/D385</f>
        <v>5.3814072379927355E-4</v>
      </c>
      <c r="R385" s="246">
        <f t="shared" si="3"/>
        <v>4301</v>
      </c>
      <c r="S385" s="247">
        <f t="shared" si="4"/>
        <v>0.57863581326516889</v>
      </c>
    </row>
    <row r="386" spans="2:19" x14ac:dyDescent="0.2">
      <c r="B386" s="231"/>
      <c r="C386" s="231"/>
      <c r="D386" s="231"/>
      <c r="E386" s="231"/>
      <c r="F386" s="231"/>
      <c r="G386" s="231"/>
      <c r="H386" s="231"/>
      <c r="I386" s="231"/>
      <c r="J386" s="231"/>
      <c r="K386" s="231"/>
      <c r="L386" s="231"/>
      <c r="M386" s="231"/>
      <c r="N386" s="231"/>
      <c r="O386" s="231"/>
      <c r="P386" s="231"/>
      <c r="Q386" s="231"/>
      <c r="R386" s="246"/>
      <c r="S386" s="247"/>
    </row>
    <row r="387" spans="2:19" s="232" customFormat="1" ht="31.5" x14ac:dyDescent="0.25">
      <c r="B387" s="138" t="s">
        <v>336</v>
      </c>
      <c r="C387" s="164"/>
      <c r="D387" s="163"/>
      <c r="E387" s="163"/>
      <c r="F387" s="163"/>
      <c r="G387" s="163"/>
      <c r="H387" s="163"/>
      <c r="I387" s="163"/>
      <c r="J387" s="163"/>
      <c r="K387" s="163"/>
      <c r="L387" s="163"/>
      <c r="M387" s="163"/>
      <c r="N387" s="163"/>
      <c r="O387" s="163"/>
      <c r="P387" s="163"/>
      <c r="Q387" s="163"/>
      <c r="R387" s="246"/>
      <c r="S387" s="247"/>
    </row>
    <row r="388" spans="2:19" s="232" customFormat="1" ht="15.75" x14ac:dyDescent="0.25">
      <c r="B388" s="170" t="s">
        <v>118</v>
      </c>
      <c r="C388" s="162" t="s">
        <v>153</v>
      </c>
      <c r="D388" s="162" t="s">
        <v>154</v>
      </c>
      <c r="E388" s="162" t="s">
        <v>155</v>
      </c>
      <c r="F388" s="162" t="s">
        <v>156</v>
      </c>
      <c r="G388" s="162" t="s">
        <v>157</v>
      </c>
      <c r="H388" s="162" t="s">
        <v>158</v>
      </c>
      <c r="I388" s="162" t="s">
        <v>159</v>
      </c>
      <c r="J388" s="162" t="s">
        <v>160</v>
      </c>
      <c r="K388" s="162" t="s">
        <v>161</v>
      </c>
      <c r="L388" s="162" t="s">
        <v>162</v>
      </c>
      <c r="M388" s="162" t="s">
        <v>163</v>
      </c>
      <c r="N388" s="162" t="s">
        <v>166</v>
      </c>
      <c r="O388" s="162" t="s">
        <v>167</v>
      </c>
      <c r="P388" s="162" t="s">
        <v>168</v>
      </c>
      <c r="Q388" s="162" t="s">
        <v>169</v>
      </c>
      <c r="R388" s="245" t="s">
        <v>355</v>
      </c>
      <c r="S388" s="245" t="s">
        <v>356</v>
      </c>
    </row>
    <row r="389" spans="2:19" s="232" customFormat="1" ht="15.75" x14ac:dyDescent="0.25">
      <c r="B389" s="175" t="s">
        <v>339</v>
      </c>
      <c r="C389" s="160">
        <v>1336</v>
      </c>
      <c r="D389" s="160">
        <v>1313</v>
      </c>
      <c r="E389" s="161">
        <f>(D389/C389)</f>
        <v>0.98278443113772451</v>
      </c>
      <c r="F389" s="160">
        <v>1017</v>
      </c>
      <c r="G389" s="159">
        <f>F389/D389</f>
        <v>0.77456207159177459</v>
      </c>
      <c r="H389" s="160">
        <v>537</v>
      </c>
      <c r="I389" s="159">
        <f>H389/D389</f>
        <v>0.40898705255140899</v>
      </c>
      <c r="J389" s="160">
        <v>152</v>
      </c>
      <c r="K389" s="159">
        <f>J389/D389</f>
        <v>0.11576542269611577</v>
      </c>
      <c r="L389" s="160">
        <v>107</v>
      </c>
      <c r="M389" s="159">
        <f>L389/D389</f>
        <v>8.149276466108149E-2</v>
      </c>
      <c r="N389" s="160">
        <v>23</v>
      </c>
      <c r="O389" s="159">
        <f>N389/C389</f>
        <v>1.7215568862275449E-2</v>
      </c>
      <c r="P389" s="160">
        <v>2</v>
      </c>
      <c r="Q389" s="159">
        <f>P389/D389</f>
        <v>1.5232292460015233E-3</v>
      </c>
      <c r="R389" s="246">
        <f t="shared" si="3"/>
        <v>644</v>
      </c>
      <c r="S389" s="247">
        <f t="shared" si="4"/>
        <v>0.49047981721249045</v>
      </c>
    </row>
    <row r="390" spans="2:19" s="232" customFormat="1" x14ac:dyDescent="0.2">
      <c r="B390" s="231"/>
      <c r="C390" s="231"/>
      <c r="D390" s="231"/>
      <c r="E390" s="231"/>
      <c r="F390" s="231"/>
      <c r="G390" s="231"/>
      <c r="H390" s="231"/>
      <c r="I390" s="231"/>
      <c r="J390" s="231"/>
      <c r="K390" s="231"/>
      <c r="L390" s="231"/>
      <c r="M390" s="231"/>
      <c r="N390" s="231"/>
      <c r="O390" s="231"/>
      <c r="P390" s="231"/>
      <c r="Q390" s="231"/>
      <c r="R390" s="246"/>
      <c r="S390" s="247"/>
    </row>
    <row r="391" spans="2:19" s="232" customFormat="1" ht="31.5" x14ac:dyDescent="0.25">
      <c r="B391" s="138" t="s">
        <v>337</v>
      </c>
      <c r="C391" s="164"/>
      <c r="D391" s="163"/>
      <c r="E391" s="163"/>
      <c r="F391" s="163"/>
      <c r="G391" s="163"/>
      <c r="H391" s="163"/>
      <c r="I391" s="163"/>
      <c r="J391" s="163"/>
      <c r="K391" s="163"/>
      <c r="L391" s="163"/>
      <c r="M391" s="163"/>
      <c r="N391" s="163"/>
      <c r="O391" s="163"/>
      <c r="P391" s="163"/>
      <c r="Q391" s="163"/>
      <c r="R391" s="246"/>
      <c r="S391" s="247"/>
    </row>
    <row r="392" spans="2:19" s="232" customFormat="1" ht="15.75" x14ac:dyDescent="0.25">
      <c r="B392" s="170" t="s">
        <v>118</v>
      </c>
      <c r="C392" s="162" t="s">
        <v>153</v>
      </c>
      <c r="D392" s="162" t="s">
        <v>154</v>
      </c>
      <c r="E392" s="162" t="s">
        <v>155</v>
      </c>
      <c r="F392" s="162" t="s">
        <v>156</v>
      </c>
      <c r="G392" s="162" t="s">
        <v>157</v>
      </c>
      <c r="H392" s="162" t="s">
        <v>158</v>
      </c>
      <c r="I392" s="162" t="s">
        <v>159</v>
      </c>
      <c r="J392" s="162" t="s">
        <v>160</v>
      </c>
      <c r="K392" s="162" t="s">
        <v>161</v>
      </c>
      <c r="L392" s="162" t="s">
        <v>162</v>
      </c>
      <c r="M392" s="162" t="s">
        <v>163</v>
      </c>
      <c r="N392" s="162" t="s">
        <v>166</v>
      </c>
      <c r="O392" s="162" t="s">
        <v>167</v>
      </c>
      <c r="P392" s="162" t="s">
        <v>168</v>
      </c>
      <c r="Q392" s="162" t="s">
        <v>169</v>
      </c>
      <c r="R392" s="245" t="s">
        <v>355</v>
      </c>
      <c r="S392" s="245" t="s">
        <v>356</v>
      </c>
    </row>
    <row r="393" spans="2:19" s="232" customFormat="1" ht="15.75" x14ac:dyDescent="0.25">
      <c r="B393" s="175" t="s">
        <v>340</v>
      </c>
      <c r="C393" s="160">
        <v>1269</v>
      </c>
      <c r="D393" s="160">
        <v>1231</v>
      </c>
      <c r="E393" s="161">
        <f>(D393/C393)</f>
        <v>0.9700551615445232</v>
      </c>
      <c r="F393" s="160">
        <v>1047</v>
      </c>
      <c r="G393" s="159">
        <f>F393/D393</f>
        <v>0.85052802599512589</v>
      </c>
      <c r="H393" s="160">
        <v>495</v>
      </c>
      <c r="I393" s="159">
        <f>H393/D393</f>
        <v>0.40211210398050368</v>
      </c>
      <c r="J393" s="160">
        <v>121</v>
      </c>
      <c r="K393" s="159">
        <f>J393/D393</f>
        <v>9.8294069861900896E-2</v>
      </c>
      <c r="L393" s="160">
        <v>29</v>
      </c>
      <c r="M393" s="159">
        <f>L393/D393</f>
        <v>2.3558082859463852E-2</v>
      </c>
      <c r="N393" s="160">
        <v>38</v>
      </c>
      <c r="O393" s="159">
        <f>N393/C393</f>
        <v>2.9944838455476755E-2</v>
      </c>
      <c r="P393" s="160">
        <v>1</v>
      </c>
      <c r="Q393" s="159">
        <f>P393/D393</f>
        <v>8.1234768480909826E-4</v>
      </c>
      <c r="R393" s="246">
        <f t="shared" si="3"/>
        <v>524</v>
      </c>
      <c r="S393" s="247">
        <f t="shared" si="4"/>
        <v>0.42567018683996749</v>
      </c>
    </row>
    <row r="394" spans="2:19" s="232" customFormat="1" x14ac:dyDescent="0.2">
      <c r="B394" s="231"/>
      <c r="C394" s="231"/>
      <c r="D394" s="231"/>
      <c r="E394" s="231"/>
      <c r="F394" s="231"/>
      <c r="G394" s="231"/>
      <c r="H394" s="231"/>
      <c r="I394" s="231"/>
      <c r="J394" s="231"/>
      <c r="K394" s="231"/>
      <c r="L394" s="231"/>
      <c r="M394" s="231"/>
      <c r="N394" s="231"/>
      <c r="O394" s="231"/>
      <c r="P394" s="231"/>
      <c r="Q394" s="231"/>
      <c r="R394" s="246"/>
      <c r="S394" s="247"/>
    </row>
    <row r="395" spans="2:19" ht="31.5" x14ac:dyDescent="0.25">
      <c r="B395" s="185" t="s">
        <v>245</v>
      </c>
      <c r="C395" s="158" t="s">
        <v>153</v>
      </c>
      <c r="D395" s="158" t="s">
        <v>154</v>
      </c>
      <c r="E395" s="158" t="s">
        <v>155</v>
      </c>
      <c r="F395" s="158" t="s">
        <v>156</v>
      </c>
      <c r="G395" s="158" t="s">
        <v>157</v>
      </c>
      <c r="H395" s="158" t="s">
        <v>158</v>
      </c>
      <c r="I395" s="158" t="s">
        <v>159</v>
      </c>
      <c r="J395" s="158" t="s">
        <v>160</v>
      </c>
      <c r="K395" s="158" t="s">
        <v>161</v>
      </c>
      <c r="L395" s="158" t="s">
        <v>162</v>
      </c>
      <c r="M395" s="158" t="s">
        <v>163</v>
      </c>
      <c r="N395" s="158" t="s">
        <v>166</v>
      </c>
      <c r="O395" s="158" t="s">
        <v>167</v>
      </c>
      <c r="P395" s="158" t="s">
        <v>168</v>
      </c>
      <c r="Q395" s="158" t="s">
        <v>169</v>
      </c>
      <c r="R395" s="246"/>
      <c r="S395" s="247"/>
    </row>
    <row r="396" spans="2:19" x14ac:dyDescent="0.2">
      <c r="B396" s="133"/>
      <c r="C396" s="157">
        <f>SUM(C373,C377,C381,C385,C389,C393)</f>
        <v>2466714</v>
      </c>
      <c r="D396" s="157">
        <f>SUM(D373,D377,D381,D385,D389,D393)</f>
        <v>2459256</v>
      </c>
      <c r="E396" s="156">
        <f>D396/C396</f>
        <v>0.99697654450414597</v>
      </c>
      <c r="F396" s="157">
        <f>SUM(F373,F377,F381,F385,F389,F393)</f>
        <v>826421</v>
      </c>
      <c r="G396" s="156">
        <f>F396/D396</f>
        <v>0.33604512909595424</v>
      </c>
      <c r="H396" s="157">
        <f>SUM(H373,H377,H381,H385,H389,H393)</f>
        <v>501145</v>
      </c>
      <c r="I396" s="156">
        <f>H396/D396</f>
        <v>0.20377911043014635</v>
      </c>
      <c r="J396" s="157">
        <f>SUM(J373,J377,J381,J385,J389,J393)</f>
        <v>81756</v>
      </c>
      <c r="K396" s="156">
        <f>J396/D396</f>
        <v>3.3244200685085247E-2</v>
      </c>
      <c r="L396" s="157">
        <f>SUM(L373,L377,L381,L385,L389,L393)</f>
        <v>71191</v>
      </c>
      <c r="M396" s="156">
        <f>L396/D396</f>
        <v>2.8948185955427169E-2</v>
      </c>
      <c r="N396" s="157">
        <f>SUM(N373,N377,N381,N385,N389,N393)</f>
        <v>7458</v>
      </c>
      <c r="O396" s="156">
        <f>N396/C396</f>
        <v>3.0234554958539985E-3</v>
      </c>
      <c r="P396" s="157">
        <f>SUM(P373,P377,P381,P385,P389,P393)</f>
        <v>754</v>
      </c>
      <c r="Q396" s="156">
        <f>P396/D396</f>
        <v>3.0659679187526633E-4</v>
      </c>
      <c r="R396" s="246">
        <f t="shared" si="3"/>
        <v>572336</v>
      </c>
      <c r="S396" s="247">
        <f t="shared" si="4"/>
        <v>0.23272729638557352</v>
      </c>
    </row>
    <row r="397" spans="2:19" x14ac:dyDescent="0.2">
      <c r="R397" s="246"/>
      <c r="S397" s="247"/>
    </row>
    <row r="398" spans="2:19" x14ac:dyDescent="0.2">
      <c r="R398" s="246"/>
      <c r="S398" s="247"/>
    </row>
    <row r="399" spans="2:19" s="237" customFormat="1" ht="31.5" x14ac:dyDescent="0.25">
      <c r="B399" s="138" t="s">
        <v>341</v>
      </c>
      <c r="C399" s="164"/>
      <c r="D399" s="163"/>
      <c r="E399" s="163"/>
      <c r="F399" s="163"/>
      <c r="G399" s="163"/>
      <c r="H399" s="163"/>
      <c r="I399" s="163"/>
      <c r="J399" s="163"/>
      <c r="K399" s="163"/>
      <c r="L399" s="163"/>
      <c r="M399" s="163"/>
      <c r="N399" s="163"/>
      <c r="O399" s="163"/>
      <c r="P399" s="163"/>
      <c r="Q399" s="163"/>
      <c r="R399" s="246"/>
      <c r="S399" s="247"/>
    </row>
    <row r="400" spans="2:19" s="237" customFormat="1" ht="15.75" x14ac:dyDescent="0.25">
      <c r="B400" s="170" t="s">
        <v>118</v>
      </c>
      <c r="C400" s="162" t="s">
        <v>153</v>
      </c>
      <c r="D400" s="162" t="s">
        <v>154</v>
      </c>
      <c r="E400" s="162" t="s">
        <v>155</v>
      </c>
      <c r="F400" s="162" t="s">
        <v>156</v>
      </c>
      <c r="G400" s="162" t="s">
        <v>157</v>
      </c>
      <c r="H400" s="162" t="s">
        <v>158</v>
      </c>
      <c r="I400" s="162" t="s">
        <v>159</v>
      </c>
      <c r="J400" s="162" t="s">
        <v>160</v>
      </c>
      <c r="K400" s="162" t="s">
        <v>161</v>
      </c>
      <c r="L400" s="162" t="s">
        <v>162</v>
      </c>
      <c r="M400" s="162" t="s">
        <v>163</v>
      </c>
      <c r="N400" s="162" t="s">
        <v>166</v>
      </c>
      <c r="O400" s="162" t="s">
        <v>167</v>
      </c>
      <c r="P400" s="162" t="s">
        <v>168</v>
      </c>
      <c r="Q400" s="162" t="s">
        <v>169</v>
      </c>
      <c r="R400" s="246"/>
      <c r="S400" s="247"/>
    </row>
    <row r="401" spans="2:19" s="237" customFormat="1" ht="15.75" x14ac:dyDescent="0.25">
      <c r="B401" s="175" t="s">
        <v>270</v>
      </c>
      <c r="C401" s="160">
        <v>1236790</v>
      </c>
      <c r="D401" s="160">
        <v>984249</v>
      </c>
      <c r="E401" s="161">
        <f>(D401/C401)</f>
        <v>0.79580931281785916</v>
      </c>
      <c r="F401" s="160">
        <v>298248</v>
      </c>
      <c r="G401" s="159">
        <f>F401/D401</f>
        <v>0.30302088191097987</v>
      </c>
      <c r="H401" s="160">
        <v>193715</v>
      </c>
      <c r="I401" s="159">
        <f>H401/D401</f>
        <v>0.19681503359414132</v>
      </c>
      <c r="J401" s="160">
        <v>11479</v>
      </c>
      <c r="K401" s="159">
        <f>J401/D401</f>
        <v>1.1662699174700711E-2</v>
      </c>
      <c r="L401" s="160">
        <v>10331</v>
      </c>
      <c r="M401" s="159">
        <f>L401/D401</f>
        <v>1.0496327656924213E-2</v>
      </c>
      <c r="N401" s="160">
        <v>252541</v>
      </c>
      <c r="O401" s="159">
        <f>N401/C401</f>
        <v>0.20419068718214087</v>
      </c>
      <c r="P401" s="160">
        <v>0</v>
      </c>
      <c r="Q401" s="159">
        <f>P401/D401</f>
        <v>0</v>
      </c>
      <c r="R401" s="246">
        <f t="shared" si="3"/>
        <v>204046</v>
      </c>
      <c r="S401" s="247">
        <f t="shared" si="4"/>
        <v>0.20731136125106553</v>
      </c>
    </row>
    <row r="402" spans="2:19" s="237" customFormat="1" x14ac:dyDescent="0.2">
      <c r="B402" s="236"/>
      <c r="C402" s="236"/>
      <c r="D402" s="236"/>
      <c r="E402" s="236"/>
      <c r="F402" s="236"/>
      <c r="G402" s="236"/>
      <c r="H402" s="236"/>
      <c r="I402" s="236"/>
      <c r="J402" s="236"/>
      <c r="K402" s="236"/>
      <c r="L402" s="236"/>
      <c r="M402" s="236"/>
      <c r="N402" s="236"/>
      <c r="O402" s="236"/>
      <c r="P402" s="236"/>
      <c r="Q402" s="236"/>
      <c r="R402" s="246"/>
      <c r="S402" s="247"/>
    </row>
    <row r="403" spans="2:19" s="237" customFormat="1" ht="31.5" x14ac:dyDescent="0.25">
      <c r="B403" s="138" t="s">
        <v>342</v>
      </c>
      <c r="C403" s="164"/>
      <c r="D403" s="163"/>
      <c r="E403" s="163"/>
      <c r="F403" s="163"/>
      <c r="G403" s="163"/>
      <c r="H403" s="163"/>
      <c r="I403" s="163"/>
      <c r="J403" s="163"/>
      <c r="K403" s="163"/>
      <c r="L403" s="163"/>
      <c r="M403" s="163"/>
      <c r="N403" s="163"/>
      <c r="O403" s="163"/>
      <c r="P403" s="163"/>
      <c r="Q403" s="163"/>
      <c r="R403" s="246"/>
      <c r="S403" s="247"/>
    </row>
    <row r="404" spans="2:19" s="237" customFormat="1" ht="15.75" x14ac:dyDescent="0.25">
      <c r="B404" s="170" t="s">
        <v>118</v>
      </c>
      <c r="C404" s="162" t="s">
        <v>153</v>
      </c>
      <c r="D404" s="162" t="s">
        <v>154</v>
      </c>
      <c r="E404" s="162" t="s">
        <v>155</v>
      </c>
      <c r="F404" s="162" t="s">
        <v>156</v>
      </c>
      <c r="G404" s="162" t="s">
        <v>157</v>
      </c>
      <c r="H404" s="162" t="s">
        <v>158</v>
      </c>
      <c r="I404" s="162" t="s">
        <v>159</v>
      </c>
      <c r="J404" s="162" t="s">
        <v>160</v>
      </c>
      <c r="K404" s="162" t="s">
        <v>161</v>
      </c>
      <c r="L404" s="162" t="s">
        <v>162</v>
      </c>
      <c r="M404" s="162" t="s">
        <v>163</v>
      </c>
      <c r="N404" s="162" t="s">
        <v>166</v>
      </c>
      <c r="O404" s="162" t="s">
        <v>167</v>
      </c>
      <c r="P404" s="162" t="s">
        <v>168</v>
      </c>
      <c r="Q404" s="162" t="s">
        <v>169</v>
      </c>
      <c r="R404" s="246"/>
      <c r="S404" s="247"/>
    </row>
    <row r="405" spans="2:19" s="237" customFormat="1" ht="15.75" x14ac:dyDescent="0.25">
      <c r="B405" s="175" t="s">
        <v>333</v>
      </c>
      <c r="C405" s="160">
        <v>368</v>
      </c>
      <c r="D405" s="160">
        <v>255</v>
      </c>
      <c r="E405" s="161">
        <f>(D405/C405)</f>
        <v>0.69293478260869568</v>
      </c>
      <c r="F405" s="160">
        <v>168</v>
      </c>
      <c r="G405" s="159">
        <f>F405/D405</f>
        <v>0.6588235294117647</v>
      </c>
      <c r="H405" s="160">
        <v>78</v>
      </c>
      <c r="I405" s="159">
        <f>H405/D405</f>
        <v>0.30588235294117649</v>
      </c>
      <c r="J405" s="160">
        <v>12</v>
      </c>
      <c r="K405" s="159">
        <f>J405/D405</f>
        <v>4.7058823529411764E-2</v>
      </c>
      <c r="L405" s="160">
        <v>10</v>
      </c>
      <c r="M405" s="159">
        <f>L405/D405</f>
        <v>3.9215686274509803E-2</v>
      </c>
      <c r="N405" s="160">
        <v>113</v>
      </c>
      <c r="O405" s="159">
        <f>N405/C405</f>
        <v>0.30706521739130432</v>
      </c>
      <c r="P405" s="160">
        <v>0</v>
      </c>
      <c r="Q405" s="159">
        <f>P405/D405</f>
        <v>0</v>
      </c>
      <c r="R405" s="246">
        <f t="shared" ref="R405:R448" si="5">SUM(H405,L405)</f>
        <v>88</v>
      </c>
      <c r="S405" s="247">
        <f t="shared" ref="S405:S448" si="6">(R405/D405)</f>
        <v>0.34509803921568627</v>
      </c>
    </row>
    <row r="406" spans="2:19" x14ac:dyDescent="0.2">
      <c r="R406" s="246"/>
      <c r="S406" s="247"/>
    </row>
    <row r="407" spans="2:19" s="237" customFormat="1" ht="31.5" x14ac:dyDescent="0.25">
      <c r="B407" s="138" t="s">
        <v>344</v>
      </c>
      <c r="C407" s="164"/>
      <c r="D407" s="163"/>
      <c r="E407" s="163"/>
      <c r="F407" s="163"/>
      <c r="G407" s="163"/>
      <c r="H407" s="163"/>
      <c r="I407" s="163"/>
      <c r="J407" s="163"/>
      <c r="K407" s="163"/>
      <c r="L407" s="163"/>
      <c r="M407" s="163"/>
      <c r="N407" s="163"/>
      <c r="O407" s="163"/>
      <c r="P407" s="163"/>
      <c r="Q407" s="163"/>
      <c r="R407" s="246"/>
      <c r="S407" s="247"/>
    </row>
    <row r="408" spans="2:19" s="237" customFormat="1" ht="15.75" x14ac:dyDescent="0.25">
      <c r="B408" s="170" t="s">
        <v>118</v>
      </c>
      <c r="C408" s="162" t="s">
        <v>153</v>
      </c>
      <c r="D408" s="162" t="s">
        <v>154</v>
      </c>
      <c r="E408" s="162" t="s">
        <v>155</v>
      </c>
      <c r="F408" s="162" t="s">
        <v>156</v>
      </c>
      <c r="G408" s="162" t="s">
        <v>157</v>
      </c>
      <c r="H408" s="162" t="s">
        <v>158</v>
      </c>
      <c r="I408" s="162" t="s">
        <v>159</v>
      </c>
      <c r="J408" s="162" t="s">
        <v>160</v>
      </c>
      <c r="K408" s="162" t="s">
        <v>161</v>
      </c>
      <c r="L408" s="162" t="s">
        <v>162</v>
      </c>
      <c r="M408" s="162" t="s">
        <v>163</v>
      </c>
      <c r="N408" s="162" t="s">
        <v>166</v>
      </c>
      <c r="O408" s="162" t="s">
        <v>167</v>
      </c>
      <c r="P408" s="162" t="s">
        <v>168</v>
      </c>
      <c r="Q408" s="162" t="s">
        <v>169</v>
      </c>
      <c r="R408" s="246"/>
      <c r="S408" s="247"/>
    </row>
    <row r="409" spans="2:19" s="237" customFormat="1" ht="15.75" x14ac:dyDescent="0.25">
      <c r="B409" s="175" t="s">
        <v>343</v>
      </c>
      <c r="C409" s="160">
        <v>2348</v>
      </c>
      <c r="D409" s="160">
        <v>2158</v>
      </c>
      <c r="E409" s="161">
        <f>(D409/C409)</f>
        <v>0.9190800681431005</v>
      </c>
      <c r="F409" s="160">
        <v>1283</v>
      </c>
      <c r="G409" s="159">
        <f>F409/D409</f>
        <v>0.59453197405004632</v>
      </c>
      <c r="H409" s="160">
        <v>732</v>
      </c>
      <c r="I409" s="159">
        <f>H409/D409</f>
        <v>0.33920296570898978</v>
      </c>
      <c r="J409" s="160">
        <v>327</v>
      </c>
      <c r="K409" s="159">
        <f>J409/D409</f>
        <v>0.15152919369786841</v>
      </c>
      <c r="L409" s="160">
        <v>219</v>
      </c>
      <c r="M409" s="159">
        <f>L409/D409</f>
        <v>0.10148285449490269</v>
      </c>
      <c r="N409" s="160">
        <v>190</v>
      </c>
      <c r="O409" s="159">
        <f>N409/C409</f>
        <v>8.0919931856899482E-2</v>
      </c>
      <c r="P409" s="160">
        <v>0</v>
      </c>
      <c r="Q409" s="159">
        <f>P409/D409</f>
        <v>0</v>
      </c>
      <c r="R409" s="246">
        <f t="shared" si="5"/>
        <v>951</v>
      </c>
      <c r="S409" s="247">
        <f t="shared" si="6"/>
        <v>0.44068582020389252</v>
      </c>
    </row>
    <row r="410" spans="2:19" x14ac:dyDescent="0.2">
      <c r="R410" s="246"/>
      <c r="S410" s="247"/>
    </row>
    <row r="411" spans="2:19" s="238" customFormat="1" ht="31.5" x14ac:dyDescent="0.25">
      <c r="B411" s="138" t="s">
        <v>345</v>
      </c>
      <c r="C411" s="164"/>
      <c r="D411" s="163"/>
      <c r="E411" s="163"/>
      <c r="F411" s="163"/>
      <c r="G411" s="163"/>
      <c r="H411" s="163"/>
      <c r="I411" s="163"/>
      <c r="J411" s="163"/>
      <c r="K411" s="163"/>
      <c r="L411" s="163"/>
      <c r="M411" s="163"/>
      <c r="N411" s="163"/>
      <c r="O411" s="163"/>
      <c r="P411" s="163"/>
      <c r="Q411" s="163"/>
      <c r="R411" s="246"/>
      <c r="S411" s="247"/>
    </row>
    <row r="412" spans="2:19" s="238" customFormat="1" ht="15.75" x14ac:dyDescent="0.25">
      <c r="B412" s="170" t="s">
        <v>118</v>
      </c>
      <c r="C412" s="162" t="s">
        <v>153</v>
      </c>
      <c r="D412" s="162" t="s">
        <v>154</v>
      </c>
      <c r="E412" s="162" t="s">
        <v>155</v>
      </c>
      <c r="F412" s="162" t="s">
        <v>156</v>
      </c>
      <c r="G412" s="162" t="s">
        <v>157</v>
      </c>
      <c r="H412" s="162" t="s">
        <v>158</v>
      </c>
      <c r="I412" s="162" t="s">
        <v>159</v>
      </c>
      <c r="J412" s="162" t="s">
        <v>160</v>
      </c>
      <c r="K412" s="162" t="s">
        <v>161</v>
      </c>
      <c r="L412" s="162" t="s">
        <v>162</v>
      </c>
      <c r="M412" s="162" t="s">
        <v>163</v>
      </c>
      <c r="N412" s="162" t="s">
        <v>166</v>
      </c>
      <c r="O412" s="162" t="s">
        <v>167</v>
      </c>
      <c r="P412" s="162" t="s">
        <v>168</v>
      </c>
      <c r="Q412" s="162" t="s">
        <v>169</v>
      </c>
      <c r="R412" s="246"/>
      <c r="S412" s="247"/>
    </row>
    <row r="413" spans="2:19" s="238" customFormat="1" ht="15.75" x14ac:dyDescent="0.25">
      <c r="B413" s="175" t="s">
        <v>270</v>
      </c>
      <c r="C413" s="160">
        <v>1246236</v>
      </c>
      <c r="D413" s="160">
        <v>994262</v>
      </c>
      <c r="E413" s="161">
        <f>(D413/C413)</f>
        <v>0.79781197140830473</v>
      </c>
      <c r="F413" s="160">
        <v>350342</v>
      </c>
      <c r="G413" s="159">
        <f>F413/D413</f>
        <v>0.35236386385077573</v>
      </c>
      <c r="H413" s="160">
        <v>216609</v>
      </c>
      <c r="I413" s="159">
        <f>H413/D413</f>
        <v>0.21785907537449886</v>
      </c>
      <c r="J413" s="160">
        <v>18403</v>
      </c>
      <c r="K413" s="159">
        <f>J413/D413</f>
        <v>1.8509205823012444E-2</v>
      </c>
      <c r="L413" s="160">
        <v>17099</v>
      </c>
      <c r="M413" s="159">
        <f>L413/D413</f>
        <v>1.7197680289501159E-2</v>
      </c>
      <c r="N413" s="160">
        <v>251974</v>
      </c>
      <c r="O413" s="159">
        <f>N413/C413</f>
        <v>0.20218802859169532</v>
      </c>
      <c r="P413" s="160">
        <v>543</v>
      </c>
      <c r="Q413" s="159">
        <f>P413/D413</f>
        <v>5.4613371525815129E-4</v>
      </c>
      <c r="R413" s="246">
        <f t="shared" si="5"/>
        <v>233708</v>
      </c>
      <c r="S413" s="247">
        <f t="shared" si="6"/>
        <v>0.23505675566400003</v>
      </c>
    </row>
    <row r="414" spans="2:19" s="238" customFormat="1" x14ac:dyDescent="0.2">
      <c r="R414" s="246"/>
      <c r="S414" s="247"/>
    </row>
    <row r="415" spans="2:19" s="237" customFormat="1" ht="31.5" x14ac:dyDescent="0.25">
      <c r="B415" s="185" t="s">
        <v>254</v>
      </c>
      <c r="C415" s="158" t="s">
        <v>153</v>
      </c>
      <c r="D415" s="158" t="s">
        <v>154</v>
      </c>
      <c r="E415" s="158" t="s">
        <v>155</v>
      </c>
      <c r="F415" s="158" t="s">
        <v>156</v>
      </c>
      <c r="G415" s="158" t="s">
        <v>157</v>
      </c>
      <c r="H415" s="158" t="s">
        <v>158</v>
      </c>
      <c r="I415" s="158" t="s">
        <v>159</v>
      </c>
      <c r="J415" s="158" t="s">
        <v>160</v>
      </c>
      <c r="K415" s="158" t="s">
        <v>161</v>
      </c>
      <c r="L415" s="158" t="s">
        <v>162</v>
      </c>
      <c r="M415" s="158" t="s">
        <v>163</v>
      </c>
      <c r="N415" s="158" t="s">
        <v>166</v>
      </c>
      <c r="O415" s="158" t="s">
        <v>167</v>
      </c>
      <c r="P415" s="158" t="s">
        <v>168</v>
      </c>
      <c r="Q415" s="158" t="s">
        <v>169</v>
      </c>
      <c r="R415" s="246"/>
      <c r="S415" s="247"/>
    </row>
    <row r="416" spans="2:19" s="237" customFormat="1" x14ac:dyDescent="0.2">
      <c r="B416" s="133"/>
      <c r="C416" s="157">
        <f>SUM(C401,C405,C409,C413)</f>
        <v>2485742</v>
      </c>
      <c r="D416" s="157">
        <f>SUM(D401,D405,D409,D413)</f>
        <v>1980924</v>
      </c>
      <c r="E416" s="156">
        <f>D416/C416</f>
        <v>0.79691456313648001</v>
      </c>
      <c r="F416" s="157">
        <f>SUM(F401,F405,F409,F413)</f>
        <v>650041</v>
      </c>
      <c r="G416" s="156">
        <f>F416/D416</f>
        <v>0.32815039850090161</v>
      </c>
      <c r="H416" s="157">
        <f>SUM(H401,H405,H409,H413)</f>
        <v>411134</v>
      </c>
      <c r="I416" s="156">
        <f>H416/D416</f>
        <v>0.20754657927310691</v>
      </c>
      <c r="J416" s="157">
        <f>SUM(J401,J405,J409,J413)</f>
        <v>30221</v>
      </c>
      <c r="K416" s="156">
        <f>J416/D416</f>
        <v>1.5256011840938876E-2</v>
      </c>
      <c r="L416" s="157">
        <f>SUM(L401,L405,L409,L413)</f>
        <v>27659</v>
      </c>
      <c r="M416" s="156">
        <f>L416/D416</f>
        <v>1.3962676003723515E-2</v>
      </c>
      <c r="N416" s="157">
        <f>SUM(N401,N405,N409,N413)</f>
        <v>504818</v>
      </c>
      <c r="O416" s="156">
        <f>N416/C416</f>
        <v>0.20308543686352001</v>
      </c>
      <c r="P416" s="157">
        <f>SUM(P401,P405,P409,P413)</f>
        <v>543</v>
      </c>
      <c r="Q416" s="156">
        <f>P416/D416</f>
        <v>2.7411450414049199E-4</v>
      </c>
      <c r="R416" s="246">
        <f t="shared" si="5"/>
        <v>438793</v>
      </c>
      <c r="S416" s="247">
        <f t="shared" si="6"/>
        <v>0.22150925527683041</v>
      </c>
    </row>
    <row r="417" spans="2:19" x14ac:dyDescent="0.2">
      <c r="R417" s="246"/>
      <c r="S417" s="247"/>
    </row>
    <row r="418" spans="2:19" x14ac:dyDescent="0.2">
      <c r="R418" s="246"/>
      <c r="S418" s="247"/>
    </row>
    <row r="419" spans="2:19" s="241" customFormat="1" ht="31.5" x14ac:dyDescent="0.25">
      <c r="B419" s="138" t="s">
        <v>347</v>
      </c>
      <c r="C419" s="164"/>
      <c r="D419" s="163"/>
      <c r="E419" s="163"/>
      <c r="F419" s="163"/>
      <c r="G419" s="163"/>
      <c r="H419" s="163"/>
      <c r="I419" s="163"/>
      <c r="J419" s="163"/>
      <c r="K419" s="163"/>
      <c r="L419" s="163"/>
      <c r="M419" s="163"/>
      <c r="N419" s="163"/>
      <c r="O419" s="163"/>
      <c r="P419" s="163"/>
      <c r="Q419" s="163"/>
      <c r="R419" s="246"/>
      <c r="S419" s="247"/>
    </row>
    <row r="420" spans="2:19" s="241" customFormat="1" ht="15.75" x14ac:dyDescent="0.25">
      <c r="B420" s="170" t="s">
        <v>118</v>
      </c>
      <c r="C420" s="162" t="s">
        <v>153</v>
      </c>
      <c r="D420" s="162" t="s">
        <v>154</v>
      </c>
      <c r="E420" s="162" t="s">
        <v>155</v>
      </c>
      <c r="F420" s="162" t="s">
        <v>156</v>
      </c>
      <c r="G420" s="162" t="s">
        <v>157</v>
      </c>
      <c r="H420" s="162" t="s">
        <v>158</v>
      </c>
      <c r="I420" s="162" t="s">
        <v>159</v>
      </c>
      <c r="J420" s="162" t="s">
        <v>160</v>
      </c>
      <c r="K420" s="162" t="s">
        <v>161</v>
      </c>
      <c r="L420" s="162" t="s">
        <v>162</v>
      </c>
      <c r="M420" s="162" t="s">
        <v>163</v>
      </c>
      <c r="N420" s="162" t="s">
        <v>166</v>
      </c>
      <c r="O420" s="162" t="s">
        <v>167</v>
      </c>
      <c r="P420" s="162" t="s">
        <v>168</v>
      </c>
      <c r="Q420" s="162" t="s">
        <v>169</v>
      </c>
      <c r="R420" s="246"/>
      <c r="S420" s="247"/>
    </row>
    <row r="421" spans="2:19" s="241" customFormat="1" ht="15.75" x14ac:dyDescent="0.25">
      <c r="B421" s="175" t="s">
        <v>270</v>
      </c>
      <c r="C421" s="160">
        <v>1129652</v>
      </c>
      <c r="D421" s="160">
        <v>1125052</v>
      </c>
      <c r="E421" s="161">
        <f>(D421/C421)</f>
        <v>0.99592794949241004</v>
      </c>
      <c r="F421" s="160">
        <v>351922</v>
      </c>
      <c r="G421" s="159">
        <f>F421/D421</f>
        <v>0.31280509700884934</v>
      </c>
      <c r="H421" s="160">
        <v>234072</v>
      </c>
      <c r="I421" s="159">
        <f>H421/D421</f>
        <v>0.20805438326406245</v>
      </c>
      <c r="J421" s="160">
        <v>10397</v>
      </c>
      <c r="K421" s="159">
        <f>J421/D421</f>
        <v>9.241350622015693E-3</v>
      </c>
      <c r="L421" s="160">
        <v>9214</v>
      </c>
      <c r="M421" s="159">
        <f>L421/D421</f>
        <v>8.1898436694481675E-3</v>
      </c>
      <c r="N421" s="160">
        <v>4600</v>
      </c>
      <c r="O421" s="159">
        <f>N421/C421</f>
        <v>4.0720505075899482E-3</v>
      </c>
      <c r="P421" s="160">
        <v>0</v>
      </c>
      <c r="Q421" s="159">
        <f>P421/D421</f>
        <v>0</v>
      </c>
      <c r="R421" s="246">
        <f t="shared" si="5"/>
        <v>243286</v>
      </c>
      <c r="S421" s="247">
        <f t="shared" si="6"/>
        <v>0.21624422693351064</v>
      </c>
    </row>
    <row r="422" spans="2:19" s="241" customFormat="1" x14ac:dyDescent="0.2">
      <c r="B422" s="240"/>
      <c r="C422" s="240"/>
      <c r="D422" s="240"/>
      <c r="E422" s="240"/>
      <c r="F422" s="240"/>
      <c r="G422" s="240"/>
      <c r="H422" s="240"/>
      <c r="I422" s="240"/>
      <c r="J422" s="240"/>
      <c r="K422" s="240"/>
      <c r="L422" s="240"/>
      <c r="M422" s="240"/>
      <c r="N422" s="240"/>
      <c r="O422" s="240"/>
      <c r="P422" s="240"/>
      <c r="Q422" s="240"/>
      <c r="R422" s="246"/>
      <c r="S422" s="247"/>
    </row>
    <row r="423" spans="2:19" s="241" customFormat="1" ht="31.5" x14ac:dyDescent="0.25">
      <c r="B423" s="138" t="s">
        <v>352</v>
      </c>
      <c r="C423" s="164"/>
      <c r="D423" s="163"/>
      <c r="E423" s="163"/>
      <c r="F423" s="163"/>
      <c r="G423" s="163"/>
      <c r="H423" s="163"/>
      <c r="I423" s="163"/>
      <c r="J423" s="163"/>
      <c r="K423" s="163"/>
      <c r="L423" s="163"/>
      <c r="M423" s="163"/>
      <c r="N423" s="163"/>
      <c r="O423" s="163"/>
      <c r="P423" s="163"/>
      <c r="Q423" s="163"/>
      <c r="R423" s="246"/>
      <c r="S423" s="247"/>
    </row>
    <row r="424" spans="2:19" s="241" customFormat="1" ht="15.75" x14ac:dyDescent="0.25">
      <c r="B424" s="170" t="s">
        <v>118</v>
      </c>
      <c r="C424" s="162" t="s">
        <v>153</v>
      </c>
      <c r="D424" s="162" t="s">
        <v>154</v>
      </c>
      <c r="E424" s="162" t="s">
        <v>155</v>
      </c>
      <c r="F424" s="162" t="s">
        <v>156</v>
      </c>
      <c r="G424" s="162" t="s">
        <v>157</v>
      </c>
      <c r="H424" s="162" t="s">
        <v>158</v>
      </c>
      <c r="I424" s="162" t="s">
        <v>159</v>
      </c>
      <c r="J424" s="162" t="s">
        <v>160</v>
      </c>
      <c r="K424" s="162" t="s">
        <v>161</v>
      </c>
      <c r="L424" s="162" t="s">
        <v>162</v>
      </c>
      <c r="M424" s="162" t="s">
        <v>163</v>
      </c>
      <c r="N424" s="162" t="s">
        <v>166</v>
      </c>
      <c r="O424" s="162" t="s">
        <v>167</v>
      </c>
      <c r="P424" s="162" t="s">
        <v>168</v>
      </c>
      <c r="Q424" s="162" t="s">
        <v>169</v>
      </c>
      <c r="R424" s="246"/>
      <c r="S424" s="247"/>
    </row>
    <row r="425" spans="2:19" s="241" customFormat="1" ht="15.75" x14ac:dyDescent="0.25">
      <c r="B425" s="175" t="s">
        <v>349</v>
      </c>
      <c r="C425" s="160">
        <v>2008</v>
      </c>
      <c r="D425" s="160">
        <v>1970</v>
      </c>
      <c r="E425" s="161">
        <f>(D425/C425)</f>
        <v>0.9810756972111554</v>
      </c>
      <c r="F425" s="160">
        <v>1282</v>
      </c>
      <c r="G425" s="159">
        <f>F425/D425</f>
        <v>0.65076142131979697</v>
      </c>
      <c r="H425" s="160">
        <v>710</v>
      </c>
      <c r="I425" s="159">
        <f>H425/D425</f>
        <v>0.3604060913705584</v>
      </c>
      <c r="J425" s="160">
        <v>170</v>
      </c>
      <c r="K425" s="159">
        <f>J425/D425</f>
        <v>8.6294416243654817E-2</v>
      </c>
      <c r="L425" s="160">
        <v>112</v>
      </c>
      <c r="M425" s="159">
        <f>L425/D425</f>
        <v>5.685279187817259E-2</v>
      </c>
      <c r="N425" s="160">
        <v>38</v>
      </c>
      <c r="O425" s="159">
        <f>N425/C425</f>
        <v>1.8924302788844622E-2</v>
      </c>
      <c r="P425" s="160">
        <v>1</v>
      </c>
      <c r="Q425" s="159">
        <f>P425/D425</f>
        <v>5.0761421319796957E-4</v>
      </c>
      <c r="R425" s="246">
        <f t="shared" si="5"/>
        <v>822</v>
      </c>
      <c r="S425" s="247">
        <f t="shared" si="6"/>
        <v>0.41725888324873095</v>
      </c>
    </row>
    <row r="426" spans="2:19" x14ac:dyDescent="0.2">
      <c r="R426" s="246"/>
      <c r="S426" s="247"/>
    </row>
    <row r="427" spans="2:19" s="241" customFormat="1" ht="31.5" x14ac:dyDescent="0.25">
      <c r="B427" s="138" t="s">
        <v>348</v>
      </c>
      <c r="C427" s="164"/>
      <c r="D427" s="163"/>
      <c r="E427" s="163"/>
      <c r="F427" s="163"/>
      <c r="G427" s="163"/>
      <c r="H427" s="163"/>
      <c r="I427" s="163"/>
      <c r="J427" s="163"/>
      <c r="K427" s="163"/>
      <c r="L427" s="163"/>
      <c r="M427" s="163"/>
      <c r="N427" s="163"/>
      <c r="O427" s="163"/>
      <c r="P427" s="163"/>
      <c r="Q427" s="163"/>
      <c r="R427" s="246"/>
      <c r="S427" s="247"/>
    </row>
    <row r="428" spans="2:19" s="241" customFormat="1" ht="15.75" x14ac:dyDescent="0.25">
      <c r="B428" s="170" t="s">
        <v>118</v>
      </c>
      <c r="C428" s="162" t="s">
        <v>153</v>
      </c>
      <c r="D428" s="162" t="s">
        <v>154</v>
      </c>
      <c r="E428" s="162" t="s">
        <v>155</v>
      </c>
      <c r="F428" s="162" t="s">
        <v>156</v>
      </c>
      <c r="G428" s="162" t="s">
        <v>157</v>
      </c>
      <c r="H428" s="162" t="s">
        <v>158</v>
      </c>
      <c r="I428" s="162" t="s">
        <v>159</v>
      </c>
      <c r="J428" s="162" t="s">
        <v>160</v>
      </c>
      <c r="K428" s="162" t="s">
        <v>161</v>
      </c>
      <c r="L428" s="162" t="s">
        <v>162</v>
      </c>
      <c r="M428" s="162" t="s">
        <v>163</v>
      </c>
      <c r="N428" s="162" t="s">
        <v>166</v>
      </c>
      <c r="O428" s="162" t="s">
        <v>167</v>
      </c>
      <c r="P428" s="162" t="s">
        <v>168</v>
      </c>
      <c r="Q428" s="162" t="s">
        <v>169</v>
      </c>
      <c r="R428" s="246"/>
      <c r="S428" s="247"/>
    </row>
    <row r="429" spans="2:19" s="241" customFormat="1" ht="15.75" x14ac:dyDescent="0.25">
      <c r="B429" s="175" t="s">
        <v>270</v>
      </c>
      <c r="C429" s="160">
        <v>1142007</v>
      </c>
      <c r="D429" s="160">
        <v>1137432</v>
      </c>
      <c r="E429" s="161">
        <f>(D429/C429)</f>
        <v>0.99599389495861235</v>
      </c>
      <c r="F429" s="160">
        <v>345205</v>
      </c>
      <c r="G429" s="159">
        <f>F429/D429</f>
        <v>0.30349506607867549</v>
      </c>
      <c r="H429" s="160">
        <v>219083</v>
      </c>
      <c r="I429" s="159">
        <f>H429/D429</f>
        <v>0.19261195394537872</v>
      </c>
      <c r="J429" s="160">
        <v>16138</v>
      </c>
      <c r="K429" s="159">
        <f>J429/D429</f>
        <v>1.4188100915043713E-2</v>
      </c>
      <c r="L429" s="160">
        <v>14176</v>
      </c>
      <c r="M429" s="159">
        <f>L429/D429</f>
        <v>1.2463162633018941E-2</v>
      </c>
      <c r="N429" s="160">
        <v>4575</v>
      </c>
      <c r="O429" s="159">
        <f>N429/C429</f>
        <v>4.0061050413876627E-3</v>
      </c>
      <c r="P429" s="160">
        <v>585</v>
      </c>
      <c r="Q429" s="159">
        <f>P429/D429</f>
        <v>5.143164602367438E-4</v>
      </c>
      <c r="R429" s="246">
        <f t="shared" si="5"/>
        <v>233259</v>
      </c>
      <c r="S429" s="247">
        <f t="shared" si="6"/>
        <v>0.20507511657839766</v>
      </c>
    </row>
    <row r="430" spans="2:19" s="241" customFormat="1" x14ac:dyDescent="0.2">
      <c r="R430" s="246"/>
      <c r="S430" s="247"/>
    </row>
    <row r="431" spans="2:19" s="241" customFormat="1" ht="31.5" x14ac:dyDescent="0.25">
      <c r="B431" s="185" t="s">
        <v>263</v>
      </c>
      <c r="C431" s="158" t="s">
        <v>153</v>
      </c>
      <c r="D431" s="158" t="s">
        <v>154</v>
      </c>
      <c r="E431" s="158" t="s">
        <v>155</v>
      </c>
      <c r="F431" s="158" t="s">
        <v>156</v>
      </c>
      <c r="G431" s="158" t="s">
        <v>157</v>
      </c>
      <c r="H431" s="158" t="s">
        <v>158</v>
      </c>
      <c r="I431" s="158" t="s">
        <v>159</v>
      </c>
      <c r="J431" s="158" t="s">
        <v>160</v>
      </c>
      <c r="K431" s="158" t="s">
        <v>161</v>
      </c>
      <c r="L431" s="158" t="s">
        <v>162</v>
      </c>
      <c r="M431" s="158" t="s">
        <v>163</v>
      </c>
      <c r="N431" s="158" t="s">
        <v>166</v>
      </c>
      <c r="O431" s="158" t="s">
        <v>167</v>
      </c>
      <c r="P431" s="158" t="s">
        <v>168</v>
      </c>
      <c r="Q431" s="158" t="s">
        <v>169</v>
      </c>
      <c r="R431" s="246"/>
      <c r="S431" s="247"/>
    </row>
    <row r="432" spans="2:19" s="241" customFormat="1" x14ac:dyDescent="0.2">
      <c r="B432" s="133"/>
      <c r="C432" s="157">
        <f>SUM(C421,C425,C429)</f>
        <v>2273667</v>
      </c>
      <c r="D432" s="157">
        <f>SUM(D421,D425,D429)</f>
        <v>2264454</v>
      </c>
      <c r="E432" s="156">
        <f>D432/C432</f>
        <v>0.99594795543938497</v>
      </c>
      <c r="F432" s="157">
        <f>SUM(F421,F425,F429)</f>
        <v>698409</v>
      </c>
      <c r="G432" s="156">
        <f>F432/D432</f>
        <v>0.30842269262259248</v>
      </c>
      <c r="H432" s="157">
        <f>SUM(H421,H425,H429)</f>
        <v>453865</v>
      </c>
      <c r="I432" s="156">
        <f>H432/D432</f>
        <v>0.20043021408251172</v>
      </c>
      <c r="J432" s="157">
        <f>SUM(J421,J425,J429)</f>
        <v>26705</v>
      </c>
      <c r="K432" s="156">
        <f>J432/D432</f>
        <v>1.1793129822906537E-2</v>
      </c>
      <c r="L432" s="157">
        <f>SUM(L421,L425,L429)</f>
        <v>23502</v>
      </c>
      <c r="M432" s="156">
        <f>L432/D432</f>
        <v>1.0378660816249745E-2</v>
      </c>
      <c r="N432" s="157">
        <f>SUM(N421,N425,N429)</f>
        <v>9213</v>
      </c>
      <c r="O432" s="156">
        <f>N432/C432</f>
        <v>4.0520445606150772E-3</v>
      </c>
      <c r="P432" s="157">
        <f>SUM(P421,P425,P429)</f>
        <v>586</v>
      </c>
      <c r="Q432" s="156">
        <f>P432/D432</f>
        <v>2.5878202869212625E-4</v>
      </c>
      <c r="R432" s="246">
        <f t="shared" si="5"/>
        <v>477367</v>
      </c>
      <c r="S432" s="247">
        <f t="shared" si="6"/>
        <v>0.21080887489876146</v>
      </c>
    </row>
    <row r="433" spans="2:19" s="241" customFormat="1" x14ac:dyDescent="0.2">
      <c r="R433" s="246"/>
      <c r="S433" s="247"/>
    </row>
    <row r="434" spans="2:19" x14ac:dyDescent="0.2">
      <c r="R434" s="246"/>
      <c r="S434" s="247"/>
    </row>
    <row r="435" spans="2:19" s="244" customFormat="1" ht="31.5" x14ac:dyDescent="0.25">
      <c r="B435" s="138" t="s">
        <v>351</v>
      </c>
      <c r="C435" s="164"/>
      <c r="D435" s="163"/>
      <c r="E435" s="163"/>
      <c r="F435" s="163"/>
      <c r="G435" s="163"/>
      <c r="H435" s="163"/>
      <c r="I435" s="163"/>
      <c r="J435" s="163"/>
      <c r="K435" s="163"/>
      <c r="L435" s="163"/>
      <c r="M435" s="163"/>
      <c r="N435" s="163"/>
      <c r="O435" s="163"/>
      <c r="P435" s="163"/>
      <c r="Q435" s="163"/>
      <c r="R435" s="246"/>
      <c r="S435" s="247"/>
    </row>
    <row r="436" spans="2:19" s="244" customFormat="1" ht="15.75" x14ac:dyDescent="0.25">
      <c r="B436" s="170" t="s">
        <v>118</v>
      </c>
      <c r="C436" s="162" t="s">
        <v>153</v>
      </c>
      <c r="D436" s="162" t="s">
        <v>154</v>
      </c>
      <c r="E436" s="162" t="s">
        <v>155</v>
      </c>
      <c r="F436" s="162" t="s">
        <v>156</v>
      </c>
      <c r="G436" s="162" t="s">
        <v>157</v>
      </c>
      <c r="H436" s="162" t="s">
        <v>158</v>
      </c>
      <c r="I436" s="162" t="s">
        <v>159</v>
      </c>
      <c r="J436" s="162" t="s">
        <v>160</v>
      </c>
      <c r="K436" s="162" t="s">
        <v>161</v>
      </c>
      <c r="L436" s="162" t="s">
        <v>162</v>
      </c>
      <c r="M436" s="162" t="s">
        <v>163</v>
      </c>
      <c r="N436" s="162" t="s">
        <v>166</v>
      </c>
      <c r="O436" s="162" t="s">
        <v>167</v>
      </c>
      <c r="P436" s="162" t="s">
        <v>168</v>
      </c>
      <c r="Q436" s="162" t="s">
        <v>169</v>
      </c>
      <c r="R436" s="246"/>
      <c r="S436" s="247"/>
    </row>
    <row r="437" spans="2:19" s="244" customFormat="1" ht="15.75" x14ac:dyDescent="0.25">
      <c r="B437" s="175" t="s">
        <v>270</v>
      </c>
      <c r="C437" s="160">
        <v>1158498</v>
      </c>
      <c r="D437" s="160">
        <v>1152668</v>
      </c>
      <c r="E437" s="161">
        <f>(D437/C437)</f>
        <v>0.99496762186900622</v>
      </c>
      <c r="F437" s="160">
        <v>436823</v>
      </c>
      <c r="G437" s="159">
        <f>F437/D437</f>
        <v>0.37896688378613791</v>
      </c>
      <c r="H437" s="160">
        <v>275307</v>
      </c>
      <c r="I437" s="159">
        <f>H437/D437</f>
        <v>0.2388432749065646</v>
      </c>
      <c r="J437" s="160">
        <v>12566</v>
      </c>
      <c r="K437" s="159">
        <f>J437/D437</f>
        <v>1.090166465972856E-2</v>
      </c>
      <c r="L437" s="160">
        <v>11076</v>
      </c>
      <c r="M437" s="159">
        <f>L437/D437</f>
        <v>9.6090114412823117E-3</v>
      </c>
      <c r="N437" s="160">
        <v>5830</v>
      </c>
      <c r="O437" s="159">
        <f>N437/C437</f>
        <v>5.032378130993752E-3</v>
      </c>
      <c r="P437" s="160">
        <v>0</v>
      </c>
      <c r="Q437" s="159">
        <f>P437/D437</f>
        <v>0</v>
      </c>
      <c r="R437" s="246">
        <f t="shared" si="5"/>
        <v>286383</v>
      </c>
      <c r="S437" s="247">
        <f t="shared" si="6"/>
        <v>0.24845228634784691</v>
      </c>
    </row>
    <row r="438" spans="2:19" s="244" customFormat="1" x14ac:dyDescent="0.2">
      <c r="B438" s="243"/>
      <c r="C438" s="243"/>
      <c r="D438" s="243"/>
      <c r="E438" s="243"/>
      <c r="F438" s="243"/>
      <c r="G438" s="243"/>
      <c r="H438" s="243"/>
      <c r="I438" s="243"/>
      <c r="J438" s="243"/>
      <c r="K438" s="243"/>
      <c r="L438" s="243"/>
      <c r="M438" s="243"/>
      <c r="N438" s="243"/>
      <c r="O438" s="243"/>
      <c r="P438" s="243"/>
      <c r="Q438" s="243"/>
      <c r="R438" s="246"/>
      <c r="S438" s="247"/>
    </row>
    <row r="439" spans="2:19" s="244" customFormat="1" ht="31.5" x14ac:dyDescent="0.25">
      <c r="B439" s="138" t="s">
        <v>353</v>
      </c>
      <c r="C439" s="164"/>
      <c r="D439" s="163"/>
      <c r="E439" s="163"/>
      <c r="F439" s="163"/>
      <c r="G439" s="163"/>
      <c r="H439" s="163"/>
      <c r="I439" s="163"/>
      <c r="J439" s="163"/>
      <c r="K439" s="163"/>
      <c r="L439" s="163"/>
      <c r="M439" s="163"/>
      <c r="N439" s="163"/>
      <c r="O439" s="163"/>
      <c r="P439" s="163"/>
      <c r="Q439" s="163"/>
      <c r="R439" s="246"/>
      <c r="S439" s="247"/>
    </row>
    <row r="440" spans="2:19" s="244" customFormat="1" ht="15.75" x14ac:dyDescent="0.25">
      <c r="B440" s="170" t="s">
        <v>118</v>
      </c>
      <c r="C440" s="162" t="s">
        <v>153</v>
      </c>
      <c r="D440" s="162" t="s">
        <v>154</v>
      </c>
      <c r="E440" s="162" t="s">
        <v>155</v>
      </c>
      <c r="F440" s="162" t="s">
        <v>156</v>
      </c>
      <c r="G440" s="162" t="s">
        <v>157</v>
      </c>
      <c r="H440" s="162" t="s">
        <v>158</v>
      </c>
      <c r="I440" s="162" t="s">
        <v>159</v>
      </c>
      <c r="J440" s="162" t="s">
        <v>160</v>
      </c>
      <c r="K440" s="162" t="s">
        <v>161</v>
      </c>
      <c r="L440" s="162" t="s">
        <v>162</v>
      </c>
      <c r="M440" s="162" t="s">
        <v>163</v>
      </c>
      <c r="N440" s="162" t="s">
        <v>166</v>
      </c>
      <c r="O440" s="162" t="s">
        <v>167</v>
      </c>
      <c r="P440" s="162" t="s">
        <v>168</v>
      </c>
      <c r="Q440" s="162" t="s">
        <v>169</v>
      </c>
      <c r="R440" s="246"/>
      <c r="S440" s="247"/>
    </row>
    <row r="441" spans="2:19" s="244" customFormat="1" ht="15.75" x14ac:dyDescent="0.25">
      <c r="B441" s="175" t="s">
        <v>354</v>
      </c>
      <c r="C441" s="160">
        <v>3069</v>
      </c>
      <c r="D441" s="160">
        <v>3019</v>
      </c>
      <c r="E441" s="161">
        <f>(D441/C441)</f>
        <v>0.98370804822417723</v>
      </c>
      <c r="F441" s="160">
        <v>2071</v>
      </c>
      <c r="G441" s="159">
        <f>F441/D441</f>
        <v>0.68598873799271287</v>
      </c>
      <c r="H441" s="160">
        <v>1017</v>
      </c>
      <c r="I441" s="159">
        <f>H441/D441</f>
        <v>0.33686651209009605</v>
      </c>
      <c r="J441" s="160">
        <v>272</v>
      </c>
      <c r="K441" s="159">
        <f>J441/D441</f>
        <v>9.0096058297449488E-2</v>
      </c>
      <c r="L441" s="160">
        <v>187</v>
      </c>
      <c r="M441" s="159">
        <f>L441/D441</f>
        <v>6.1941040079496523E-2</v>
      </c>
      <c r="N441" s="160">
        <v>50</v>
      </c>
      <c r="O441" s="159">
        <f>N441/C441</f>
        <v>1.6291951775822745E-2</v>
      </c>
      <c r="P441" s="160">
        <v>1</v>
      </c>
      <c r="Q441" s="159">
        <f>P441/D441</f>
        <v>3.3123550844650548E-4</v>
      </c>
      <c r="R441" s="246">
        <f t="shared" si="5"/>
        <v>1204</v>
      </c>
      <c r="S441" s="247">
        <f t="shared" si="6"/>
        <v>0.39880755216959257</v>
      </c>
    </row>
    <row r="442" spans="2:19" s="244" customFormat="1" x14ac:dyDescent="0.2">
      <c r="R442" s="246"/>
      <c r="S442" s="247"/>
    </row>
    <row r="443" spans="2:19" s="244" customFormat="1" ht="31.5" x14ac:dyDescent="0.25">
      <c r="B443" s="138" t="s">
        <v>357</v>
      </c>
      <c r="C443" s="164"/>
      <c r="D443" s="163"/>
      <c r="E443" s="163"/>
      <c r="F443" s="163"/>
      <c r="G443" s="163"/>
      <c r="H443" s="163"/>
      <c r="I443" s="163"/>
      <c r="J443" s="163"/>
      <c r="K443" s="163"/>
      <c r="L443" s="163"/>
      <c r="M443" s="163"/>
      <c r="N443" s="163"/>
      <c r="O443" s="163"/>
      <c r="P443" s="163"/>
      <c r="Q443" s="163"/>
      <c r="R443" s="246"/>
      <c r="S443" s="247"/>
    </row>
    <row r="444" spans="2:19" s="244" customFormat="1" ht="15.75" x14ac:dyDescent="0.25">
      <c r="B444" s="170" t="s">
        <v>118</v>
      </c>
      <c r="C444" s="162" t="s">
        <v>153</v>
      </c>
      <c r="D444" s="162" t="s">
        <v>154</v>
      </c>
      <c r="E444" s="162" t="s">
        <v>155</v>
      </c>
      <c r="F444" s="162" t="s">
        <v>156</v>
      </c>
      <c r="G444" s="162" t="s">
        <v>157</v>
      </c>
      <c r="H444" s="162" t="s">
        <v>158</v>
      </c>
      <c r="I444" s="162" t="s">
        <v>159</v>
      </c>
      <c r="J444" s="162" t="s">
        <v>160</v>
      </c>
      <c r="K444" s="162" t="s">
        <v>161</v>
      </c>
      <c r="L444" s="162" t="s">
        <v>162</v>
      </c>
      <c r="M444" s="162" t="s">
        <v>163</v>
      </c>
      <c r="N444" s="162" t="s">
        <v>166</v>
      </c>
      <c r="O444" s="162" t="s">
        <v>167</v>
      </c>
      <c r="P444" s="162" t="s">
        <v>168</v>
      </c>
      <c r="Q444" s="162" t="s">
        <v>169</v>
      </c>
      <c r="R444" s="246"/>
      <c r="S444" s="247"/>
    </row>
    <row r="445" spans="2:19" s="244" customFormat="1" ht="15.75" x14ac:dyDescent="0.25">
      <c r="B445" s="175" t="s">
        <v>270</v>
      </c>
      <c r="C445" s="160">
        <v>1173685</v>
      </c>
      <c r="D445" s="160">
        <v>1167171</v>
      </c>
      <c r="E445" s="161">
        <f>(D445/C445)</f>
        <v>0.99444995889016219</v>
      </c>
      <c r="F445" s="160">
        <v>381630</v>
      </c>
      <c r="G445" s="159">
        <f>F445/D445</f>
        <v>0.3269700840750841</v>
      </c>
      <c r="H445" s="160">
        <v>247827</v>
      </c>
      <c r="I445" s="159">
        <f>H445/D445</f>
        <v>0.2123313550456617</v>
      </c>
      <c r="J445" s="160">
        <v>13967</v>
      </c>
      <c r="K445" s="159">
        <f>J445/D445</f>
        <v>1.1966541320851872E-2</v>
      </c>
      <c r="L445" s="160">
        <v>12728</v>
      </c>
      <c r="M445" s="159">
        <f>L445/D445</f>
        <v>1.090500020990926E-2</v>
      </c>
      <c r="N445" s="160">
        <v>6514</v>
      </c>
      <c r="O445" s="159">
        <f>N445/C445</f>
        <v>5.5500411098378189E-3</v>
      </c>
      <c r="P445" s="160">
        <v>598</v>
      </c>
      <c r="Q445" s="159">
        <f>P445/D445</f>
        <v>5.1234994700862175E-4</v>
      </c>
      <c r="R445" s="246"/>
      <c r="S445" s="247"/>
    </row>
    <row r="446" spans="2:19" s="244" customFormat="1" x14ac:dyDescent="0.2">
      <c r="R446" s="246"/>
      <c r="S446" s="247"/>
    </row>
    <row r="447" spans="2:19" s="244" customFormat="1" ht="31.5" x14ac:dyDescent="0.25">
      <c r="B447" s="185" t="s">
        <v>350</v>
      </c>
      <c r="C447" s="158" t="s">
        <v>153</v>
      </c>
      <c r="D447" s="158" t="s">
        <v>154</v>
      </c>
      <c r="E447" s="158" t="s">
        <v>155</v>
      </c>
      <c r="F447" s="158" t="s">
        <v>156</v>
      </c>
      <c r="G447" s="158" t="s">
        <v>157</v>
      </c>
      <c r="H447" s="158" t="s">
        <v>158</v>
      </c>
      <c r="I447" s="158" t="s">
        <v>159</v>
      </c>
      <c r="J447" s="158" t="s">
        <v>160</v>
      </c>
      <c r="K447" s="158" t="s">
        <v>161</v>
      </c>
      <c r="L447" s="158" t="s">
        <v>162</v>
      </c>
      <c r="M447" s="158" t="s">
        <v>163</v>
      </c>
      <c r="N447" s="158" t="s">
        <v>166</v>
      </c>
      <c r="O447" s="158" t="s">
        <v>167</v>
      </c>
      <c r="P447" s="158" t="s">
        <v>168</v>
      </c>
      <c r="Q447" s="158" t="s">
        <v>169</v>
      </c>
      <c r="R447" s="246"/>
      <c r="S447" s="247"/>
    </row>
    <row r="448" spans="2:19" s="244" customFormat="1" x14ac:dyDescent="0.2">
      <c r="B448" s="133"/>
      <c r="C448" s="157">
        <f>SUM(C437,C441,C445)</f>
        <v>2335252</v>
      </c>
      <c r="D448" s="157">
        <f>SUM(D437,D441,D445)</f>
        <v>2322858</v>
      </c>
      <c r="E448" s="156">
        <f>D448/C448</f>
        <v>0.9946926498724763</v>
      </c>
      <c r="F448" s="157">
        <f>SUM(F437,F441,F445)</f>
        <v>820524</v>
      </c>
      <c r="G448" s="156">
        <f>F448/D448</f>
        <v>0.35323898404465531</v>
      </c>
      <c r="H448" s="157">
        <f>SUM(H437,H441,H445)</f>
        <v>524151</v>
      </c>
      <c r="I448" s="156">
        <f>H448/D448</f>
        <v>0.22564917872724033</v>
      </c>
      <c r="J448" s="157">
        <f>SUM(J437,J441,J445)</f>
        <v>26805</v>
      </c>
      <c r="K448" s="156">
        <f>J448/D448</f>
        <v>1.1539663638500503E-2</v>
      </c>
      <c r="L448" s="157">
        <f>SUM(L437,L441,L445)</f>
        <v>23991</v>
      </c>
      <c r="M448" s="156">
        <f>L448/D448</f>
        <v>1.0328224971134697E-2</v>
      </c>
      <c r="N448" s="157">
        <f>SUM(N437,N441,N445)</f>
        <v>12394</v>
      </c>
      <c r="O448" s="156">
        <f>N448/C448</f>
        <v>5.3073501275237101E-3</v>
      </c>
      <c r="P448" s="157">
        <f>SUM(P437,P441,P445)</f>
        <v>599</v>
      </c>
      <c r="Q448" s="156">
        <f>P448/D448</f>
        <v>2.5787198356507369E-4</v>
      </c>
      <c r="R448" s="246">
        <f t="shared" si="5"/>
        <v>548142</v>
      </c>
      <c r="S448" s="247">
        <f t="shared" si="6"/>
        <v>0.23597740369837503</v>
      </c>
    </row>
    <row r="451" spans="2:19" s="265" customFormat="1" ht="31.5" x14ac:dyDescent="0.25">
      <c r="B451" s="138" t="s">
        <v>359</v>
      </c>
      <c r="C451" s="164"/>
      <c r="D451" s="163"/>
      <c r="E451" s="163"/>
      <c r="F451" s="163"/>
      <c r="G451" s="163"/>
      <c r="H451" s="163"/>
      <c r="I451" s="163"/>
      <c r="J451" s="163"/>
      <c r="K451" s="163"/>
      <c r="L451" s="163"/>
      <c r="M451" s="163"/>
      <c r="N451" s="163"/>
      <c r="O451" s="163"/>
      <c r="P451" s="163"/>
      <c r="Q451" s="163"/>
      <c r="R451" s="246"/>
      <c r="S451" s="247"/>
    </row>
    <row r="452" spans="2:19" s="265" customFormat="1" ht="15.75" x14ac:dyDescent="0.25">
      <c r="B452" s="170" t="s">
        <v>118</v>
      </c>
      <c r="C452" s="162" t="s">
        <v>153</v>
      </c>
      <c r="D452" s="162" t="s">
        <v>154</v>
      </c>
      <c r="E452" s="162" t="s">
        <v>155</v>
      </c>
      <c r="F452" s="162" t="s">
        <v>156</v>
      </c>
      <c r="G452" s="162" t="s">
        <v>157</v>
      </c>
      <c r="H452" s="162" t="s">
        <v>158</v>
      </c>
      <c r="I452" s="162" t="s">
        <v>159</v>
      </c>
      <c r="J452" s="162" t="s">
        <v>160</v>
      </c>
      <c r="K452" s="162" t="s">
        <v>161</v>
      </c>
      <c r="L452" s="162" t="s">
        <v>162</v>
      </c>
      <c r="M452" s="162" t="s">
        <v>163</v>
      </c>
      <c r="N452" s="162" t="s">
        <v>166</v>
      </c>
      <c r="O452" s="162" t="s">
        <v>167</v>
      </c>
      <c r="P452" s="162" t="s">
        <v>168</v>
      </c>
      <c r="Q452" s="162" t="s">
        <v>169</v>
      </c>
      <c r="R452" s="246"/>
      <c r="S452" s="247"/>
    </row>
    <row r="453" spans="2:19" s="265" customFormat="1" ht="15.75" x14ac:dyDescent="0.25">
      <c r="B453" s="175" t="s">
        <v>270</v>
      </c>
      <c r="C453" s="160">
        <v>1175766</v>
      </c>
      <c r="D453" s="160">
        <v>1169165</v>
      </c>
      <c r="E453" s="161">
        <f>(D453/C453)</f>
        <v>0.9943857876482225</v>
      </c>
      <c r="F453" s="160">
        <v>326049</v>
      </c>
      <c r="G453" s="159">
        <f>F453/D453</f>
        <v>0.27887338399627082</v>
      </c>
      <c r="H453" s="160">
        <v>226371</v>
      </c>
      <c r="I453" s="159">
        <f>H453/D453</f>
        <v>0.19361766730957564</v>
      </c>
      <c r="J453" s="160">
        <v>4637</v>
      </c>
      <c r="K453" s="159">
        <f>J453/D453</f>
        <v>3.9660783550653674E-3</v>
      </c>
      <c r="L453" s="160">
        <v>4052</v>
      </c>
      <c r="M453" s="159">
        <f>L453/D453</f>
        <v>3.4657212626104956E-3</v>
      </c>
      <c r="N453" s="160">
        <v>6601</v>
      </c>
      <c r="O453" s="159">
        <f>N453/C453</f>
        <v>5.6142123517774799E-3</v>
      </c>
      <c r="P453" s="160">
        <v>0</v>
      </c>
      <c r="Q453" s="159">
        <f>P453/D453</f>
        <v>0</v>
      </c>
      <c r="R453" s="246">
        <f t="shared" ref="R453" si="7">SUM(H453,L453)</f>
        <v>230423</v>
      </c>
      <c r="S453" s="247">
        <f t="shared" ref="S453" si="8">(R453/D453)</f>
        <v>0.19708338857218613</v>
      </c>
    </row>
    <row r="454" spans="2:19" s="265" customFormat="1" x14ac:dyDescent="0.2">
      <c r="B454" s="264"/>
      <c r="C454" s="264"/>
      <c r="D454" s="264"/>
      <c r="E454" s="264"/>
      <c r="F454" s="264"/>
      <c r="G454" s="264"/>
      <c r="H454" s="264"/>
      <c r="I454" s="264"/>
      <c r="J454" s="264"/>
      <c r="K454" s="264"/>
      <c r="L454" s="264"/>
      <c r="M454" s="264"/>
      <c r="N454" s="264"/>
      <c r="O454" s="264"/>
      <c r="P454" s="264"/>
      <c r="Q454" s="264"/>
      <c r="R454" s="246"/>
      <c r="S454" s="247"/>
    </row>
    <row r="455" spans="2:19" s="265" customFormat="1" ht="31.5" x14ac:dyDescent="0.25">
      <c r="B455" s="138" t="s">
        <v>362</v>
      </c>
      <c r="C455" s="164"/>
      <c r="D455" s="163"/>
      <c r="E455" s="163"/>
      <c r="F455" s="163"/>
      <c r="G455" s="163"/>
      <c r="H455" s="163"/>
      <c r="I455" s="163"/>
      <c r="J455" s="163"/>
      <c r="K455" s="163"/>
      <c r="L455" s="163"/>
      <c r="M455" s="163"/>
      <c r="N455" s="163"/>
      <c r="O455" s="163"/>
      <c r="P455" s="163"/>
      <c r="Q455" s="163"/>
      <c r="R455" s="246"/>
      <c r="S455" s="247"/>
    </row>
    <row r="456" spans="2:19" s="265" customFormat="1" ht="15.75" x14ac:dyDescent="0.25">
      <c r="B456" s="170" t="s">
        <v>118</v>
      </c>
      <c r="C456" s="162" t="s">
        <v>153</v>
      </c>
      <c r="D456" s="162" t="s">
        <v>154</v>
      </c>
      <c r="E456" s="162" t="s">
        <v>155</v>
      </c>
      <c r="F456" s="162" t="s">
        <v>156</v>
      </c>
      <c r="G456" s="162" t="s">
        <v>157</v>
      </c>
      <c r="H456" s="162" t="s">
        <v>158</v>
      </c>
      <c r="I456" s="162" t="s">
        <v>159</v>
      </c>
      <c r="J456" s="162" t="s">
        <v>160</v>
      </c>
      <c r="K456" s="162" t="s">
        <v>161</v>
      </c>
      <c r="L456" s="162" t="s">
        <v>162</v>
      </c>
      <c r="M456" s="162" t="s">
        <v>163</v>
      </c>
      <c r="N456" s="162" t="s">
        <v>166</v>
      </c>
      <c r="O456" s="162" t="s">
        <v>167</v>
      </c>
      <c r="P456" s="162" t="s">
        <v>168</v>
      </c>
      <c r="Q456" s="162" t="s">
        <v>169</v>
      </c>
      <c r="R456" s="246"/>
      <c r="S456" s="247"/>
    </row>
    <row r="457" spans="2:19" s="265" customFormat="1" ht="15.75" x14ac:dyDescent="0.25">
      <c r="B457" s="175" t="s">
        <v>360</v>
      </c>
      <c r="C457" s="160">
        <v>757</v>
      </c>
      <c r="D457" s="160">
        <v>740</v>
      </c>
      <c r="E457" s="161">
        <f>(D457/C457)</f>
        <v>0.97754293262879788</v>
      </c>
      <c r="F457" s="160">
        <v>645</v>
      </c>
      <c r="G457" s="159">
        <f>F457/D457</f>
        <v>0.8716216216216216</v>
      </c>
      <c r="H457" s="160">
        <v>303</v>
      </c>
      <c r="I457" s="159">
        <f>H457/D457</f>
        <v>0.40945945945945944</v>
      </c>
      <c r="J457" s="160">
        <v>126</v>
      </c>
      <c r="K457" s="159">
        <f>J457/D457</f>
        <v>0.17027027027027028</v>
      </c>
      <c r="L457" s="160">
        <v>80</v>
      </c>
      <c r="M457" s="159">
        <f>L457/D457</f>
        <v>0.10810810810810811</v>
      </c>
      <c r="N457" s="160">
        <v>17</v>
      </c>
      <c r="O457" s="159">
        <f>N457/C457</f>
        <v>2.2457067371202115E-2</v>
      </c>
      <c r="P457" s="160">
        <v>1</v>
      </c>
      <c r="Q457" s="159">
        <f>P457/D457</f>
        <v>1.3513513513513514E-3</v>
      </c>
      <c r="R457" s="246">
        <f t="shared" ref="R457" si="9">SUM(H457,L457)</f>
        <v>383</v>
      </c>
      <c r="S457" s="247">
        <f t="shared" ref="S457" si="10">(R457/D457)</f>
        <v>0.51756756756756761</v>
      </c>
    </row>
    <row r="458" spans="2:19" s="265" customFormat="1" x14ac:dyDescent="0.2">
      <c r="R458" s="246"/>
      <c r="S458" s="247"/>
    </row>
    <row r="459" spans="2:19" s="265" customFormat="1" ht="31.5" x14ac:dyDescent="0.25">
      <c r="B459" s="138" t="s">
        <v>361</v>
      </c>
      <c r="C459" s="164"/>
      <c r="D459" s="163"/>
      <c r="E459" s="163"/>
      <c r="F459" s="163"/>
      <c r="G459" s="163"/>
      <c r="H459" s="163"/>
      <c r="I459" s="163"/>
      <c r="J459" s="163"/>
      <c r="K459" s="163"/>
      <c r="L459" s="163"/>
      <c r="M459" s="163"/>
      <c r="N459" s="163"/>
      <c r="O459" s="163"/>
      <c r="P459" s="163"/>
      <c r="Q459" s="163"/>
      <c r="R459" s="246"/>
      <c r="S459" s="247"/>
    </row>
    <row r="460" spans="2:19" s="265" customFormat="1" ht="15.75" x14ac:dyDescent="0.25">
      <c r="B460" s="170" t="s">
        <v>118</v>
      </c>
      <c r="C460" s="162" t="s">
        <v>153</v>
      </c>
      <c r="D460" s="162" t="s">
        <v>154</v>
      </c>
      <c r="E460" s="162" t="s">
        <v>155</v>
      </c>
      <c r="F460" s="162" t="s">
        <v>156</v>
      </c>
      <c r="G460" s="162" t="s">
        <v>157</v>
      </c>
      <c r="H460" s="162" t="s">
        <v>158</v>
      </c>
      <c r="I460" s="162" t="s">
        <v>159</v>
      </c>
      <c r="J460" s="162" t="s">
        <v>160</v>
      </c>
      <c r="K460" s="162" t="s">
        <v>161</v>
      </c>
      <c r="L460" s="162" t="s">
        <v>162</v>
      </c>
      <c r="M460" s="162" t="s">
        <v>163</v>
      </c>
      <c r="N460" s="162" t="s">
        <v>166</v>
      </c>
      <c r="O460" s="162" t="s">
        <v>167</v>
      </c>
      <c r="P460" s="162" t="s">
        <v>168</v>
      </c>
      <c r="Q460" s="162" t="s">
        <v>169</v>
      </c>
      <c r="R460" s="246"/>
      <c r="S460" s="247"/>
    </row>
    <row r="461" spans="2:19" s="265" customFormat="1" ht="15.75" x14ac:dyDescent="0.25">
      <c r="B461" s="175" t="s">
        <v>270</v>
      </c>
      <c r="C461" s="160">
        <v>1176752</v>
      </c>
      <c r="D461" s="160">
        <v>1163049</v>
      </c>
      <c r="E461" s="161">
        <f>(D461/C461)</f>
        <v>0.98835523542768566</v>
      </c>
      <c r="F461" s="160">
        <v>297066</v>
      </c>
      <c r="G461" s="159">
        <f>F461/D461</f>
        <v>0.25542002099653582</v>
      </c>
      <c r="H461" s="160">
        <v>192774</v>
      </c>
      <c r="I461" s="159">
        <f>H461/D461</f>
        <v>0.16574882055700146</v>
      </c>
      <c r="J461" s="160">
        <v>6596</v>
      </c>
      <c r="K461" s="159">
        <f>J461/D461</f>
        <v>5.6713001773785968E-3</v>
      </c>
      <c r="L461" s="160">
        <v>5951</v>
      </c>
      <c r="M461" s="159">
        <f>L461/D461</f>
        <v>5.1167233710703508E-3</v>
      </c>
      <c r="N461" s="160">
        <v>13703</v>
      </c>
      <c r="O461" s="159">
        <f>N461/C461</f>
        <v>1.1644764572314302E-2</v>
      </c>
      <c r="P461" s="160">
        <v>594</v>
      </c>
      <c r="Q461" s="159">
        <f>P461/D461</f>
        <v>5.1072654720480391E-4</v>
      </c>
      <c r="R461" s="246"/>
      <c r="S461" s="247"/>
    </row>
    <row r="462" spans="2:19" s="265" customFormat="1" x14ac:dyDescent="0.2">
      <c r="R462" s="246"/>
      <c r="S462" s="247"/>
    </row>
    <row r="463" spans="2:19" s="265" customFormat="1" ht="31.5" x14ac:dyDescent="0.25">
      <c r="B463" s="185" t="s">
        <v>358</v>
      </c>
      <c r="C463" s="158" t="s">
        <v>153</v>
      </c>
      <c r="D463" s="158" t="s">
        <v>154</v>
      </c>
      <c r="E463" s="158" t="s">
        <v>155</v>
      </c>
      <c r="F463" s="158" t="s">
        <v>156</v>
      </c>
      <c r="G463" s="158" t="s">
        <v>157</v>
      </c>
      <c r="H463" s="158" t="s">
        <v>158</v>
      </c>
      <c r="I463" s="158" t="s">
        <v>159</v>
      </c>
      <c r="J463" s="158" t="s">
        <v>160</v>
      </c>
      <c r="K463" s="158" t="s">
        <v>161</v>
      </c>
      <c r="L463" s="158" t="s">
        <v>162</v>
      </c>
      <c r="M463" s="158" t="s">
        <v>163</v>
      </c>
      <c r="N463" s="158" t="s">
        <v>166</v>
      </c>
      <c r="O463" s="158" t="s">
        <v>167</v>
      </c>
      <c r="P463" s="158" t="s">
        <v>168</v>
      </c>
      <c r="Q463" s="158" t="s">
        <v>169</v>
      </c>
      <c r="R463" s="246"/>
      <c r="S463" s="247"/>
    </row>
    <row r="464" spans="2:19" s="265" customFormat="1" x14ac:dyDescent="0.2">
      <c r="B464" s="133"/>
      <c r="C464" s="157">
        <f>SUM(C453,C457,C461)</f>
        <v>2353275</v>
      </c>
      <c r="D464" s="157">
        <f>SUM(D453,D457,D461)</f>
        <v>2332954</v>
      </c>
      <c r="E464" s="156">
        <f>D464/C464</f>
        <v>0.99136480011898309</v>
      </c>
      <c r="F464" s="157">
        <f>SUM(F453,F457,F461)</f>
        <v>623760</v>
      </c>
      <c r="G464" s="156">
        <f>F464/D464</f>
        <v>0.26736918087540518</v>
      </c>
      <c r="H464" s="157">
        <f>SUM(H453,H457,H461)</f>
        <v>419448</v>
      </c>
      <c r="I464" s="156">
        <f>H464/D464</f>
        <v>0.17979265772064087</v>
      </c>
      <c r="J464" s="157">
        <f>SUM(J453,J457,J461)</f>
        <v>11359</v>
      </c>
      <c r="K464" s="156">
        <f>J464/D464</f>
        <v>4.8689344067649855E-3</v>
      </c>
      <c r="L464" s="157">
        <f>SUM(L453,L457,L461)</f>
        <v>10083</v>
      </c>
      <c r="M464" s="156">
        <f>L464/D464</f>
        <v>4.3219883461054097E-3</v>
      </c>
      <c r="N464" s="157">
        <f>SUM(N453,N457,N461)</f>
        <v>20321</v>
      </c>
      <c r="O464" s="156">
        <f>N464/C464</f>
        <v>8.6351998810168806E-3</v>
      </c>
      <c r="P464" s="157">
        <f>SUM(P453,P457,P461)</f>
        <v>595</v>
      </c>
      <c r="Q464" s="156">
        <f>P464/D464</f>
        <v>2.5504146245489622E-4</v>
      </c>
      <c r="R464" s="246">
        <f t="shared" ref="R464" si="11">SUM(H464,L464)</f>
        <v>429531</v>
      </c>
      <c r="S464" s="247">
        <f t="shared" ref="S464" si="12">(R464/D464)</f>
        <v>0.18411464606674627</v>
      </c>
    </row>
    <row r="466" spans="2:17" ht="31.5" x14ac:dyDescent="0.25">
      <c r="B466" s="138" t="s">
        <v>369</v>
      </c>
      <c r="C466" s="164"/>
      <c r="D466" s="163"/>
      <c r="E466" s="163"/>
      <c r="F466" s="163"/>
      <c r="G466" s="163"/>
      <c r="H466" s="163"/>
      <c r="I466" s="163"/>
      <c r="J466" s="163"/>
      <c r="K466" s="163"/>
      <c r="L466" s="163"/>
      <c r="M466" s="163"/>
      <c r="N466" s="163"/>
      <c r="O466" s="163"/>
      <c r="P466" s="163"/>
      <c r="Q466" s="163"/>
    </row>
    <row r="467" spans="2:17" ht="15.75" x14ac:dyDescent="0.25">
      <c r="B467" s="170" t="s">
        <v>118</v>
      </c>
      <c r="C467" s="162" t="s">
        <v>153</v>
      </c>
      <c r="D467" s="162" t="s">
        <v>154</v>
      </c>
      <c r="E467" s="162" t="s">
        <v>155</v>
      </c>
      <c r="F467" s="162" t="s">
        <v>156</v>
      </c>
      <c r="G467" s="162" t="s">
        <v>157</v>
      </c>
      <c r="H467" s="162" t="s">
        <v>158</v>
      </c>
      <c r="I467" s="162" t="s">
        <v>159</v>
      </c>
      <c r="J467" s="162" t="s">
        <v>160</v>
      </c>
      <c r="K467" s="162" t="s">
        <v>161</v>
      </c>
      <c r="L467" s="162" t="s">
        <v>162</v>
      </c>
      <c r="M467" s="162" t="s">
        <v>163</v>
      </c>
      <c r="N467" s="162" t="s">
        <v>166</v>
      </c>
      <c r="O467" s="162" t="s">
        <v>167</v>
      </c>
      <c r="P467" s="162" t="s">
        <v>168</v>
      </c>
      <c r="Q467" s="162" t="s">
        <v>169</v>
      </c>
    </row>
    <row r="468" spans="2:17" ht="15.75" x14ac:dyDescent="0.25">
      <c r="B468" s="175" t="s">
        <v>270</v>
      </c>
      <c r="C468" s="160">
        <v>1177988</v>
      </c>
      <c r="D468" s="160">
        <v>1170403</v>
      </c>
      <c r="E468" s="161">
        <f>(D468/C468)</f>
        <v>0.99356105495132374</v>
      </c>
      <c r="F468" s="288">
        <v>520520</v>
      </c>
      <c r="G468" s="159">
        <f>F468/D468</f>
        <v>0.44473570214703823</v>
      </c>
      <c r="H468" s="160">
        <v>299758</v>
      </c>
      <c r="I468" s="159">
        <f>H468/D468</f>
        <v>0.25611520134517768</v>
      </c>
      <c r="J468" s="160">
        <v>70955</v>
      </c>
      <c r="K468" s="159">
        <f>J468/D468</f>
        <v>6.0624417401527506E-2</v>
      </c>
      <c r="L468" s="160">
        <v>65833</v>
      </c>
      <c r="M468" s="159">
        <f>L468/D468</f>
        <v>5.6248147005774934E-2</v>
      </c>
      <c r="N468" s="160">
        <v>7585</v>
      </c>
      <c r="O468" s="159">
        <f>N468/C468</f>
        <v>6.4389450486762173E-3</v>
      </c>
      <c r="P468" s="160">
        <v>350</v>
      </c>
      <c r="Q468" s="159">
        <f>P468/D468</f>
        <v>2.9904229568789552E-4</v>
      </c>
    </row>
    <row r="469" spans="2:17" x14ac:dyDescent="0.2">
      <c r="B469" s="286"/>
      <c r="C469" s="286"/>
      <c r="D469" s="286"/>
      <c r="E469" s="286"/>
      <c r="F469" s="286"/>
      <c r="G469" s="286"/>
      <c r="H469" s="286"/>
      <c r="I469" s="286"/>
      <c r="J469" s="286"/>
      <c r="K469" s="286"/>
      <c r="L469" s="286"/>
      <c r="M469" s="286"/>
      <c r="N469" s="286"/>
      <c r="O469" s="286"/>
      <c r="P469" s="286"/>
      <c r="Q469" s="286"/>
    </row>
    <row r="470" spans="2:17" ht="31.5" x14ac:dyDescent="0.25">
      <c r="B470" s="185" t="s">
        <v>266</v>
      </c>
      <c r="C470" s="158" t="s">
        <v>153</v>
      </c>
      <c r="D470" s="158" t="s">
        <v>154</v>
      </c>
      <c r="E470" s="158" t="s">
        <v>155</v>
      </c>
      <c r="F470" s="158" t="s">
        <v>156</v>
      </c>
      <c r="G470" s="158" t="s">
        <v>157</v>
      </c>
      <c r="H470" s="158" t="s">
        <v>158</v>
      </c>
      <c r="I470" s="158" t="s">
        <v>159</v>
      </c>
      <c r="J470" s="158" t="s">
        <v>160</v>
      </c>
      <c r="K470" s="158" t="s">
        <v>161</v>
      </c>
      <c r="L470" s="158" t="s">
        <v>162</v>
      </c>
      <c r="M470" s="158" t="s">
        <v>163</v>
      </c>
      <c r="N470" s="158" t="s">
        <v>166</v>
      </c>
      <c r="O470" s="158" t="s">
        <v>167</v>
      </c>
      <c r="P470" s="158" t="s">
        <v>168</v>
      </c>
      <c r="Q470" s="158" t="s">
        <v>169</v>
      </c>
    </row>
    <row r="471" spans="2:17" x14ac:dyDescent="0.2">
      <c r="B471" s="133"/>
      <c r="C471" s="157">
        <f>SUM(C468)</f>
        <v>1177988</v>
      </c>
      <c r="D471" s="157">
        <f>SUM(D468)</f>
        <v>1170403</v>
      </c>
      <c r="E471" s="156">
        <f>D471/C471</f>
        <v>0.99356105495132374</v>
      </c>
      <c r="F471" s="157">
        <v>520520</v>
      </c>
      <c r="G471" s="156">
        <f>F471/D471</f>
        <v>0.44473570214703823</v>
      </c>
      <c r="H471" s="157">
        <v>299758</v>
      </c>
      <c r="I471" s="156">
        <f>H471/D471</f>
        <v>0.25611520134517768</v>
      </c>
      <c r="J471" s="157">
        <v>70955</v>
      </c>
      <c r="K471" s="156">
        <f>J471/D471</f>
        <v>6.0624417401527506E-2</v>
      </c>
      <c r="L471" s="157">
        <v>65833</v>
      </c>
      <c r="M471" s="156">
        <f>L471/D471</f>
        <v>5.6248147005774934E-2</v>
      </c>
      <c r="N471" s="157">
        <v>7585</v>
      </c>
      <c r="O471" s="156">
        <f>N471/C471</f>
        <v>6.4389450486762173E-3</v>
      </c>
      <c r="P471" s="157">
        <v>350</v>
      </c>
      <c r="Q471" s="156">
        <f>P471/D471</f>
        <v>2.9904229568789552E-4</v>
      </c>
    </row>
    <row r="473" spans="2:17" ht="31.5" x14ac:dyDescent="0.25">
      <c r="B473" s="138" t="s">
        <v>431</v>
      </c>
      <c r="C473" s="164"/>
      <c r="D473" s="163"/>
      <c r="E473" s="163"/>
      <c r="F473" s="163"/>
      <c r="G473" s="163"/>
      <c r="H473" s="163"/>
      <c r="I473" s="163"/>
      <c r="J473" s="163"/>
      <c r="K473" s="163"/>
      <c r="L473" s="163"/>
      <c r="M473" s="163"/>
      <c r="N473" s="163"/>
      <c r="O473" s="163"/>
      <c r="P473" s="163"/>
      <c r="Q473" s="163"/>
    </row>
    <row r="474" spans="2:17" ht="15.75" x14ac:dyDescent="0.25">
      <c r="B474" s="170" t="s">
        <v>118</v>
      </c>
      <c r="C474" s="162" t="s">
        <v>153</v>
      </c>
      <c r="D474" s="162" t="s">
        <v>154</v>
      </c>
      <c r="E474" s="162" t="s">
        <v>155</v>
      </c>
      <c r="F474" s="162" t="s">
        <v>156</v>
      </c>
      <c r="G474" s="162" t="s">
        <v>157</v>
      </c>
      <c r="H474" s="162" t="s">
        <v>158</v>
      </c>
      <c r="I474" s="162" t="s">
        <v>159</v>
      </c>
      <c r="J474" s="162" t="s">
        <v>160</v>
      </c>
      <c r="K474" s="162" t="s">
        <v>161</v>
      </c>
      <c r="L474" s="162" t="s">
        <v>162</v>
      </c>
      <c r="M474" s="162" t="s">
        <v>163</v>
      </c>
      <c r="N474" s="162" t="s">
        <v>166</v>
      </c>
      <c r="O474" s="162" t="s">
        <v>167</v>
      </c>
      <c r="P474" s="162" t="s">
        <v>168</v>
      </c>
      <c r="Q474" s="162" t="s">
        <v>169</v>
      </c>
    </row>
    <row r="475" spans="2:17" ht="15.75" x14ac:dyDescent="0.25">
      <c r="B475" s="175" t="s">
        <v>270</v>
      </c>
      <c r="C475" s="160">
        <v>1187079</v>
      </c>
      <c r="D475" s="160">
        <v>1165555</v>
      </c>
      <c r="E475" s="161">
        <f>(D475/C475)</f>
        <v>0.98186809807940334</v>
      </c>
      <c r="F475" s="288">
        <v>408823</v>
      </c>
      <c r="G475" s="159">
        <f>F475/D475</f>
        <v>0.3507539326758497</v>
      </c>
      <c r="H475" s="160">
        <v>265311</v>
      </c>
      <c r="I475" s="159">
        <f>H475/D475</f>
        <v>0.22762632394009721</v>
      </c>
      <c r="J475" s="160">
        <v>13009</v>
      </c>
      <c r="K475" s="159">
        <f>J475/D475</f>
        <v>1.1161206463873434E-2</v>
      </c>
      <c r="L475" s="160">
        <v>11946</v>
      </c>
      <c r="M475" s="159">
        <f>L475/D475</f>
        <v>1.0249194589701902E-2</v>
      </c>
      <c r="N475" s="160">
        <v>21524</v>
      </c>
      <c r="O475" s="159">
        <f>N475/C475</f>
        <v>1.8131901920596692E-2</v>
      </c>
      <c r="P475" s="160">
        <v>344</v>
      </c>
      <c r="Q475" s="159">
        <f>P475/D475</f>
        <v>2.9513836755880248E-4</v>
      </c>
    </row>
    <row r="476" spans="2:17" s="359" customFormat="1" ht="15.75" x14ac:dyDescent="0.25">
      <c r="B476" s="134"/>
      <c r="C476" s="183"/>
      <c r="D476" s="183"/>
      <c r="E476" s="184"/>
      <c r="F476" s="491"/>
      <c r="G476" s="182"/>
      <c r="H476" s="183"/>
      <c r="I476" s="182"/>
      <c r="J476" s="183"/>
      <c r="K476" s="182"/>
      <c r="L476" s="183"/>
      <c r="M476" s="182"/>
      <c r="N476" s="183"/>
      <c r="O476" s="182"/>
      <c r="P476" s="183"/>
      <c r="Q476" s="182"/>
    </row>
    <row r="477" spans="2:17" ht="31.5" x14ac:dyDescent="0.25">
      <c r="B477" s="185" t="s">
        <v>185</v>
      </c>
      <c r="C477" s="158" t="s">
        <v>153</v>
      </c>
      <c r="D477" s="158" t="s">
        <v>154</v>
      </c>
      <c r="E477" s="158" t="s">
        <v>155</v>
      </c>
      <c r="F477" s="158" t="s">
        <v>156</v>
      </c>
      <c r="G477" s="158" t="s">
        <v>157</v>
      </c>
      <c r="H477" s="158" t="s">
        <v>158</v>
      </c>
      <c r="I477" s="158" t="s">
        <v>159</v>
      </c>
      <c r="J477" s="158" t="s">
        <v>160</v>
      </c>
      <c r="K477" s="158" t="s">
        <v>161</v>
      </c>
      <c r="L477" s="158" t="s">
        <v>162</v>
      </c>
      <c r="M477" s="158" t="s">
        <v>163</v>
      </c>
      <c r="N477" s="158" t="s">
        <v>166</v>
      </c>
      <c r="O477" s="158" t="s">
        <v>167</v>
      </c>
      <c r="P477" s="158" t="s">
        <v>168</v>
      </c>
      <c r="Q477" s="158" t="s">
        <v>169</v>
      </c>
    </row>
    <row r="478" spans="2:17" x14ac:dyDescent="0.2">
      <c r="B478" s="133"/>
      <c r="C478" s="157">
        <f>SUM(C475)</f>
        <v>1187079</v>
      </c>
      <c r="D478" s="157">
        <f>SUM(D475)</f>
        <v>1165555</v>
      </c>
      <c r="E478" s="156">
        <f>D478/C478</f>
        <v>0.98186809807940334</v>
      </c>
      <c r="F478" s="157">
        <f>SUM(F475:F476)</f>
        <v>408823</v>
      </c>
      <c r="G478" s="156">
        <f>F478/D478</f>
        <v>0.3507539326758497</v>
      </c>
      <c r="H478" s="157">
        <f>SUM(H475:H476)</f>
        <v>265311</v>
      </c>
      <c r="I478" s="156">
        <f>H478/D478</f>
        <v>0.22762632394009721</v>
      </c>
      <c r="J478" s="157">
        <f>SUM(J475:J476)</f>
        <v>13009</v>
      </c>
      <c r="K478" s="156">
        <f>J478/D478</f>
        <v>1.1161206463873434E-2</v>
      </c>
      <c r="L478" s="157">
        <f>SUM(L475:L476)</f>
        <v>11946</v>
      </c>
      <c r="M478" s="156">
        <f>L478/D478</f>
        <v>1.0249194589701902E-2</v>
      </c>
      <c r="N478" s="157">
        <f>SUM(N475:N476)</f>
        <v>21524</v>
      </c>
      <c r="O478" s="156">
        <f>N478/C478</f>
        <v>1.8131901920596692E-2</v>
      </c>
      <c r="P478" s="157">
        <v>344</v>
      </c>
      <c r="Q478" s="156">
        <f>P478/D478</f>
        <v>2.9513836755880248E-4</v>
      </c>
    </row>
    <row r="479" spans="2:17" x14ac:dyDescent="0.2">
      <c r="B479" s="359"/>
      <c r="C479" s="359"/>
      <c r="D479" s="359"/>
      <c r="E479" s="359"/>
      <c r="F479" s="359"/>
      <c r="G479" s="359"/>
      <c r="H479" s="359"/>
      <c r="I479" s="359"/>
      <c r="J479" s="359"/>
      <c r="K479" s="359"/>
      <c r="L479" s="359"/>
      <c r="M479" s="359"/>
      <c r="N479" s="359"/>
      <c r="O479" s="359"/>
      <c r="P479" s="359"/>
      <c r="Q479" s="359"/>
    </row>
    <row r="480" spans="2:17" ht="15.75" x14ac:dyDescent="0.25">
      <c r="B480" s="138" t="s">
        <v>442</v>
      </c>
      <c r="C480" s="164"/>
      <c r="D480" s="163"/>
      <c r="E480" s="163"/>
      <c r="F480" s="163"/>
      <c r="G480" s="163"/>
      <c r="H480" s="163"/>
      <c r="I480" s="163"/>
      <c r="J480" s="163"/>
      <c r="K480" s="163"/>
      <c r="L480" s="163"/>
      <c r="M480" s="163"/>
      <c r="N480" s="163"/>
      <c r="O480" s="163"/>
      <c r="P480" s="163"/>
      <c r="Q480" s="163"/>
    </row>
    <row r="481" spans="2:17" ht="15.75" x14ac:dyDescent="0.25">
      <c r="B481" s="170" t="s">
        <v>118</v>
      </c>
      <c r="C481" s="162" t="s">
        <v>153</v>
      </c>
      <c r="D481" s="162" t="s">
        <v>154</v>
      </c>
      <c r="E481" s="162" t="s">
        <v>155</v>
      </c>
      <c r="F481" s="162" t="s">
        <v>156</v>
      </c>
      <c r="G481" s="162" t="s">
        <v>157</v>
      </c>
      <c r="H481" s="162" t="s">
        <v>158</v>
      </c>
      <c r="I481" s="162" t="s">
        <v>159</v>
      </c>
      <c r="J481" s="162" t="s">
        <v>160</v>
      </c>
      <c r="K481" s="162" t="s">
        <v>161</v>
      </c>
      <c r="L481" s="162" t="s">
        <v>162</v>
      </c>
      <c r="M481" s="162" t="s">
        <v>163</v>
      </c>
      <c r="N481" s="162" t="s">
        <v>166</v>
      </c>
      <c r="O481" s="162" t="s">
        <v>167</v>
      </c>
      <c r="P481" s="162" t="s">
        <v>168</v>
      </c>
      <c r="Q481" s="162" t="s">
        <v>169</v>
      </c>
    </row>
    <row r="482" spans="2:17" ht="15.75" x14ac:dyDescent="0.25">
      <c r="B482" s="175" t="s">
        <v>270</v>
      </c>
      <c r="C482" s="160">
        <v>1187576</v>
      </c>
      <c r="D482" s="160">
        <v>1162464</v>
      </c>
      <c r="E482" s="161">
        <f>(D482/C482)</f>
        <v>0.97885440594959816</v>
      </c>
      <c r="F482" s="288">
        <v>468986</v>
      </c>
      <c r="G482" s="159">
        <f>F482/D482</f>
        <v>0.40344131087070223</v>
      </c>
      <c r="H482" s="160">
        <v>285827</v>
      </c>
      <c r="I482" s="159">
        <f>H482/D482</f>
        <v>0.24588030252979878</v>
      </c>
      <c r="J482" s="160">
        <v>16554</v>
      </c>
      <c r="K482" s="159">
        <f>J482/D482</f>
        <v>1.4240440994301759E-2</v>
      </c>
      <c r="L482" s="160">
        <v>15238</v>
      </c>
      <c r="M482" s="159">
        <f>L482/D482</f>
        <v>1.310836292564759E-2</v>
      </c>
      <c r="N482" s="160">
        <v>25112</v>
      </c>
      <c r="O482" s="159">
        <f>N482/C482</f>
        <v>2.1145594050401825E-2</v>
      </c>
      <c r="P482" s="160">
        <v>634</v>
      </c>
      <c r="Q482" s="159">
        <f>P482/D482</f>
        <v>5.4539323368293555E-4</v>
      </c>
    </row>
    <row r="484" spans="2:17" ht="31.5" x14ac:dyDescent="0.25">
      <c r="B484" s="138" t="s">
        <v>443</v>
      </c>
      <c r="C484" s="164"/>
      <c r="D484" s="163"/>
      <c r="E484" s="163"/>
      <c r="F484" s="163"/>
      <c r="G484" s="163"/>
      <c r="H484" s="163"/>
      <c r="I484" s="163"/>
      <c r="J484" s="163"/>
      <c r="K484" s="163"/>
      <c r="L484" s="163"/>
      <c r="M484" s="163"/>
      <c r="N484" s="163"/>
      <c r="O484" s="163"/>
      <c r="P484" s="163"/>
      <c r="Q484" s="163"/>
    </row>
    <row r="485" spans="2:17" ht="15.75" x14ac:dyDescent="0.25">
      <c r="B485" s="170" t="s">
        <v>118</v>
      </c>
      <c r="C485" s="162" t="s">
        <v>153</v>
      </c>
      <c r="D485" s="162" t="s">
        <v>154</v>
      </c>
      <c r="E485" s="162" t="s">
        <v>155</v>
      </c>
      <c r="F485" s="162" t="s">
        <v>156</v>
      </c>
      <c r="G485" s="162" t="s">
        <v>157</v>
      </c>
      <c r="H485" s="162" t="s">
        <v>158</v>
      </c>
      <c r="I485" s="162" t="s">
        <v>159</v>
      </c>
      <c r="J485" s="162" t="s">
        <v>160</v>
      </c>
      <c r="K485" s="162" t="s">
        <v>161</v>
      </c>
      <c r="L485" s="162" t="s">
        <v>162</v>
      </c>
      <c r="M485" s="162" t="s">
        <v>163</v>
      </c>
      <c r="N485" s="162" t="s">
        <v>166</v>
      </c>
      <c r="O485" s="162" t="s">
        <v>167</v>
      </c>
      <c r="P485" s="162" t="s">
        <v>168</v>
      </c>
      <c r="Q485" s="162" t="s">
        <v>169</v>
      </c>
    </row>
    <row r="486" spans="2:17" ht="15.75" x14ac:dyDescent="0.25">
      <c r="B486" s="175" t="s">
        <v>270</v>
      </c>
      <c r="C486" s="160">
        <v>1188120</v>
      </c>
      <c r="D486" s="160">
        <v>1166426</v>
      </c>
      <c r="E486" s="161">
        <f>(D486/C486)</f>
        <v>0.98174090159243177</v>
      </c>
      <c r="F486" s="288">
        <v>297490</v>
      </c>
      <c r="G486" s="159">
        <f>F486/D486</f>
        <v>0.25504404051350021</v>
      </c>
      <c r="H486" s="160">
        <v>201920</v>
      </c>
      <c r="I486" s="159">
        <f>H486/D486</f>
        <v>0.17310999583342621</v>
      </c>
      <c r="J486" s="160">
        <v>9562</v>
      </c>
      <c r="K486" s="159">
        <f>J486/D486</f>
        <v>8.1976910665571591E-3</v>
      </c>
      <c r="L486" s="160">
        <v>7844</v>
      </c>
      <c r="M486" s="159">
        <f>L486/D486</f>
        <v>6.7248158048603167E-3</v>
      </c>
      <c r="N486" s="160">
        <v>21694</v>
      </c>
      <c r="O486" s="159">
        <f>N486/C486</f>
        <v>1.8259098407568258E-2</v>
      </c>
      <c r="P486" s="160">
        <v>522</v>
      </c>
      <c r="Q486" s="159">
        <f>P486/D486</f>
        <v>4.4752088859473298E-4</v>
      </c>
    </row>
    <row r="488" spans="2:17" ht="47.25" x14ac:dyDescent="0.25">
      <c r="B488" s="138" t="s">
        <v>444</v>
      </c>
      <c r="C488" s="164"/>
      <c r="D488" s="163"/>
      <c r="E488" s="163"/>
      <c r="F488" s="163"/>
      <c r="G488" s="163"/>
      <c r="H488" s="163"/>
      <c r="I488" s="163"/>
      <c r="J488" s="163"/>
      <c r="K488" s="163"/>
      <c r="L488" s="163"/>
      <c r="M488" s="163"/>
      <c r="N488" s="163"/>
      <c r="O488" s="163"/>
      <c r="P488" s="163"/>
      <c r="Q488" s="163"/>
    </row>
    <row r="489" spans="2:17" ht="15.75" x14ac:dyDescent="0.25">
      <c r="B489" s="170" t="s">
        <v>118</v>
      </c>
      <c r="C489" s="162" t="s">
        <v>153</v>
      </c>
      <c r="D489" s="162" t="s">
        <v>154</v>
      </c>
      <c r="E489" s="162" t="s">
        <v>155</v>
      </c>
      <c r="F489" s="162" t="s">
        <v>156</v>
      </c>
      <c r="G489" s="162" t="s">
        <v>157</v>
      </c>
      <c r="H489" s="162" t="s">
        <v>158</v>
      </c>
      <c r="I489" s="162" t="s">
        <v>159</v>
      </c>
      <c r="J489" s="162" t="s">
        <v>160</v>
      </c>
      <c r="K489" s="162" t="s">
        <v>161</v>
      </c>
      <c r="L489" s="162" t="s">
        <v>162</v>
      </c>
      <c r="M489" s="162" t="s">
        <v>163</v>
      </c>
      <c r="N489" s="162" t="s">
        <v>166</v>
      </c>
      <c r="O489" s="162" t="s">
        <v>167</v>
      </c>
      <c r="P489" s="162" t="s">
        <v>168</v>
      </c>
      <c r="Q489" s="162" t="s">
        <v>169</v>
      </c>
    </row>
    <row r="490" spans="2:17" ht="15.75" x14ac:dyDescent="0.25">
      <c r="B490" s="175" t="s">
        <v>270</v>
      </c>
      <c r="C490" s="160">
        <f>594841+594824</f>
        <v>1189665</v>
      </c>
      <c r="D490" s="160">
        <f>589796+589134</f>
        <v>1178930</v>
      </c>
      <c r="E490" s="161">
        <f>(D490/C490)</f>
        <v>0.99097645135395263</v>
      </c>
      <c r="F490" s="288">
        <f>223017+219601</f>
        <v>442618</v>
      </c>
      <c r="G490" s="159">
        <f>F490/D490</f>
        <v>0.37544044175650804</v>
      </c>
      <c r="H490" s="160">
        <f>139742+141008</f>
        <v>280750</v>
      </c>
      <c r="I490" s="159">
        <f>H490/D490</f>
        <v>0.23813966902190969</v>
      </c>
      <c r="J490" s="160">
        <f>8395+7281</f>
        <v>15676</v>
      </c>
      <c r="K490" s="159">
        <f>J490/D490</f>
        <v>1.3296803033258971E-2</v>
      </c>
      <c r="L490" s="160">
        <f>7685+6647</f>
        <v>14332</v>
      </c>
      <c r="M490" s="159">
        <f>L490/D490</f>
        <v>1.215678623836869E-2</v>
      </c>
      <c r="N490" s="160">
        <f>5045+5690</f>
        <v>10735</v>
      </c>
      <c r="O490" s="159">
        <f>N490/C490</f>
        <v>9.0235486460474162E-3</v>
      </c>
      <c r="P490" s="160">
        <f>333+323</f>
        <v>656</v>
      </c>
      <c r="Q490" s="159">
        <f>P490/D490</f>
        <v>5.5643676893454234E-4</v>
      </c>
    </row>
    <row r="491" spans="2:17" s="504" customFormat="1" ht="15.75" x14ac:dyDescent="0.25">
      <c r="B491" s="134"/>
      <c r="C491" s="183"/>
      <c r="D491" s="183"/>
      <c r="E491" s="184"/>
      <c r="F491" s="491"/>
      <c r="G491" s="182"/>
      <c r="H491" s="183"/>
      <c r="I491" s="182"/>
      <c r="J491" s="183"/>
      <c r="K491" s="182"/>
      <c r="L491" s="183"/>
      <c r="M491" s="182"/>
      <c r="N491" s="183"/>
      <c r="O491" s="182"/>
      <c r="P491" s="183"/>
      <c r="Q491" s="182"/>
    </row>
    <row r="492" spans="2:17" s="359" customFormat="1" ht="31.5" x14ac:dyDescent="0.25">
      <c r="B492" s="185" t="s">
        <v>189</v>
      </c>
      <c r="C492" s="158" t="s">
        <v>153</v>
      </c>
      <c r="D492" s="158" t="s">
        <v>154</v>
      </c>
      <c r="E492" s="158" t="s">
        <v>155</v>
      </c>
      <c r="F492" s="158" t="s">
        <v>156</v>
      </c>
      <c r="G492" s="158" t="s">
        <v>157</v>
      </c>
      <c r="H492" s="158" t="s">
        <v>158</v>
      </c>
      <c r="I492" s="158" t="s">
        <v>159</v>
      </c>
      <c r="J492" s="158" t="s">
        <v>160</v>
      </c>
      <c r="K492" s="158" t="s">
        <v>161</v>
      </c>
      <c r="L492" s="158" t="s">
        <v>162</v>
      </c>
      <c r="M492" s="158" t="s">
        <v>163</v>
      </c>
      <c r="N492" s="158" t="s">
        <v>166</v>
      </c>
      <c r="O492" s="158" t="s">
        <v>167</v>
      </c>
      <c r="P492" s="158" t="s">
        <v>168</v>
      </c>
      <c r="Q492" s="158" t="s">
        <v>169</v>
      </c>
    </row>
    <row r="493" spans="2:17" s="359" customFormat="1" x14ac:dyDescent="0.2">
      <c r="B493" s="133"/>
      <c r="C493" s="157">
        <f>SUM(C482:C490)</f>
        <v>3565361</v>
      </c>
      <c r="D493" s="157">
        <f>SUM(D482:D490)</f>
        <v>3507820</v>
      </c>
      <c r="E493" s="156">
        <f>D493/C493</f>
        <v>0.98386110130222437</v>
      </c>
      <c r="F493" s="157">
        <f>SUM(F482:F490)</f>
        <v>1209094</v>
      </c>
      <c r="G493" s="156">
        <f>F493/D493</f>
        <v>0.34468530312273721</v>
      </c>
      <c r="H493" s="157">
        <f>SUM(H482:H490)</f>
        <v>768497</v>
      </c>
      <c r="I493" s="156">
        <f>H493/D493</f>
        <v>0.21908108169746451</v>
      </c>
      <c r="J493" s="157">
        <f>SUM(J482:J490)</f>
        <v>41792</v>
      </c>
      <c r="K493" s="156">
        <f>J493/D493</f>
        <v>1.1913952255246848E-2</v>
      </c>
      <c r="L493" s="157">
        <f>SUM(L482:L490)</f>
        <v>37414</v>
      </c>
      <c r="M493" s="156">
        <f>L493/D493</f>
        <v>1.0665883654235394E-2</v>
      </c>
      <c r="N493" s="157">
        <f>SUM(N482:N490)</f>
        <v>57541</v>
      </c>
      <c r="O493" s="156">
        <f>N493/C493</f>
        <v>1.6138898697775624E-2</v>
      </c>
      <c r="P493" s="157">
        <f>SUM(P482:P490)</f>
        <v>1812</v>
      </c>
      <c r="Q493" s="156">
        <f>P493/D493</f>
        <v>5.1656014276673257E-4</v>
      </c>
    </row>
    <row r="494" spans="2:17" s="503" customFormat="1" ht="15.75" x14ac:dyDescent="0.25">
      <c r="B494" s="134"/>
      <c r="C494" s="183"/>
      <c r="D494" s="183"/>
      <c r="E494" s="184"/>
      <c r="F494" s="491"/>
      <c r="G494" s="182"/>
      <c r="H494" s="183"/>
      <c r="I494" s="182"/>
      <c r="J494" s="183"/>
      <c r="K494" s="182"/>
      <c r="L494" s="183"/>
      <c r="M494" s="182"/>
      <c r="N494" s="183"/>
      <c r="O494" s="182"/>
      <c r="P494" s="183"/>
      <c r="Q494" s="182"/>
    </row>
    <row r="495" spans="2:17" s="503" customFormat="1" ht="47.25" x14ac:dyDescent="0.25">
      <c r="B495" s="172" t="s">
        <v>453</v>
      </c>
      <c r="C495" s="183"/>
      <c r="D495" s="183"/>
      <c r="E495" s="184"/>
      <c r="F495" s="491"/>
      <c r="G495" s="182"/>
      <c r="H495" s="183"/>
      <c r="I495" s="182"/>
      <c r="J495" s="183"/>
      <c r="K495" s="182"/>
      <c r="L495" s="183"/>
      <c r="M495" s="182"/>
      <c r="N495" s="183"/>
      <c r="O495" s="182"/>
      <c r="P495" s="183"/>
      <c r="Q495" s="182"/>
    </row>
    <row r="496" spans="2:17" s="359" customFormat="1" ht="15.75" x14ac:dyDescent="0.25">
      <c r="B496" s="170" t="s">
        <v>118</v>
      </c>
      <c r="C496" s="162" t="s">
        <v>153</v>
      </c>
      <c r="D496" s="162" t="s">
        <v>154</v>
      </c>
      <c r="E496" s="162" t="s">
        <v>155</v>
      </c>
      <c r="F496" s="162" t="s">
        <v>156</v>
      </c>
      <c r="G496" s="162" t="s">
        <v>157</v>
      </c>
      <c r="H496" s="162" t="s">
        <v>158</v>
      </c>
      <c r="I496" s="162" t="s">
        <v>159</v>
      </c>
      <c r="J496" s="162" t="s">
        <v>160</v>
      </c>
      <c r="K496" s="162" t="s">
        <v>161</v>
      </c>
      <c r="L496" s="162" t="s">
        <v>162</v>
      </c>
      <c r="M496" s="162" t="s">
        <v>163</v>
      </c>
      <c r="N496" s="162" t="s">
        <v>166</v>
      </c>
      <c r="O496" s="162" t="s">
        <v>167</v>
      </c>
      <c r="P496" s="162" t="s">
        <v>168</v>
      </c>
      <c r="Q496" s="162" t="s">
        <v>169</v>
      </c>
    </row>
    <row r="497" spans="2:17" s="359" customFormat="1" ht="15.75" x14ac:dyDescent="0.25">
      <c r="B497" s="175" t="s">
        <v>270</v>
      </c>
      <c r="C497" s="160">
        <v>1279</v>
      </c>
      <c r="D497" s="160">
        <v>1106</v>
      </c>
      <c r="E497" s="161">
        <f>(D497/C497)</f>
        <v>0.86473807662236124</v>
      </c>
      <c r="F497" s="288">
        <v>729</v>
      </c>
      <c r="G497" s="159">
        <f>F497/D497</f>
        <v>0.65913200723327303</v>
      </c>
      <c r="H497" s="160">
        <v>217</v>
      </c>
      <c r="I497" s="159">
        <f>H497/D497</f>
        <v>0.19620253164556961</v>
      </c>
      <c r="J497" s="160">
        <v>36</v>
      </c>
      <c r="K497" s="159">
        <f>J497/D497</f>
        <v>3.25497287522604E-2</v>
      </c>
      <c r="L497" s="160">
        <v>26</v>
      </c>
      <c r="M497" s="159">
        <f>L497/D497</f>
        <v>2.3508137432188065E-2</v>
      </c>
      <c r="N497" s="160">
        <v>173</v>
      </c>
      <c r="O497" s="159">
        <f>N497/C497</f>
        <v>0.13526192337763879</v>
      </c>
      <c r="P497" s="160">
        <v>9</v>
      </c>
      <c r="Q497" s="159">
        <f>P497/D497</f>
        <v>8.1374321880651E-3</v>
      </c>
    </row>
    <row r="498" spans="2:17" s="504" customFormat="1" ht="15.75" x14ac:dyDescent="0.25">
      <c r="B498" s="134"/>
      <c r="C498" s="183"/>
      <c r="D498" s="183"/>
      <c r="E498" s="184"/>
      <c r="F498" s="491"/>
      <c r="G498" s="182"/>
      <c r="H498" s="183"/>
      <c r="I498" s="182"/>
      <c r="J498" s="183"/>
      <c r="K498" s="182"/>
      <c r="L498" s="183"/>
      <c r="M498" s="182"/>
      <c r="N498" s="183"/>
      <c r="O498" s="182"/>
      <c r="P498" s="183"/>
    </row>
    <row r="499" spans="2:17" s="504" customFormat="1" ht="31.5" x14ac:dyDescent="0.25">
      <c r="B499" s="505" t="s">
        <v>447</v>
      </c>
      <c r="C499" s="183"/>
      <c r="D499" s="183"/>
      <c r="E499" s="184"/>
      <c r="F499" s="491"/>
      <c r="G499" s="182"/>
      <c r="H499" s="183"/>
      <c r="I499" s="182"/>
      <c r="J499" s="183"/>
      <c r="K499" s="182"/>
      <c r="L499" s="183"/>
      <c r="M499" s="182"/>
      <c r="N499" s="183"/>
      <c r="O499" s="182"/>
      <c r="P499" s="183"/>
      <c r="Q499" s="182"/>
    </row>
    <row r="500" spans="2:17" s="359" customFormat="1" ht="15.75" x14ac:dyDescent="0.25">
      <c r="B500" s="170" t="s">
        <v>118</v>
      </c>
      <c r="C500" s="162" t="s">
        <v>153</v>
      </c>
      <c r="D500" s="162" t="s">
        <v>154</v>
      </c>
      <c r="E500" s="162" t="s">
        <v>155</v>
      </c>
      <c r="F500" s="162" t="s">
        <v>156</v>
      </c>
      <c r="G500" s="162" t="s">
        <v>157</v>
      </c>
      <c r="H500" s="162" t="s">
        <v>158</v>
      </c>
      <c r="I500" s="162" t="s">
        <v>159</v>
      </c>
      <c r="J500" s="162" t="s">
        <v>160</v>
      </c>
      <c r="K500" s="162" t="s">
        <v>161</v>
      </c>
      <c r="L500" s="162" t="s">
        <v>162</v>
      </c>
      <c r="M500" s="162" t="s">
        <v>163</v>
      </c>
      <c r="N500" s="162" t="s">
        <v>166</v>
      </c>
      <c r="O500" s="162" t="s">
        <v>167</v>
      </c>
      <c r="P500" s="162" t="s">
        <v>168</v>
      </c>
      <c r="Q500" s="162" t="s">
        <v>169</v>
      </c>
    </row>
    <row r="501" spans="2:17" s="359" customFormat="1" ht="15.75" x14ac:dyDescent="0.25">
      <c r="B501" s="175" t="s">
        <v>270</v>
      </c>
      <c r="C501" s="160">
        <v>1190467</v>
      </c>
      <c r="D501" s="160">
        <v>1181654</v>
      </c>
      <c r="E501" s="161">
        <f t="shared" ref="E501:E505" si="13">(D501/C501)</f>
        <v>0.99259702284901641</v>
      </c>
      <c r="F501" s="288">
        <v>377841</v>
      </c>
      <c r="G501" s="159">
        <f t="shared" ref="G501:G505" si="14">F501/D501</f>
        <v>0.31975603687712306</v>
      </c>
      <c r="H501" s="160">
        <v>248153</v>
      </c>
      <c r="I501" s="159">
        <f t="shared" ref="I501:I505" si="15">H501/D501</f>
        <v>0.21000478989619634</v>
      </c>
      <c r="J501" s="160">
        <v>6827</v>
      </c>
      <c r="K501" s="159">
        <f t="shared" ref="K501:K505" si="16">J501/D501</f>
        <v>5.7774949350655946E-3</v>
      </c>
      <c r="L501" s="160">
        <v>6014</v>
      </c>
      <c r="M501" s="159">
        <f t="shared" ref="M501:M505" si="17">L501/D501</f>
        <v>5.0894762764734855E-3</v>
      </c>
      <c r="N501" s="160">
        <v>8813</v>
      </c>
      <c r="O501" s="159">
        <f t="shared" ref="O501:O505" si="18">N501/C501</f>
        <v>7.4029771509836056E-3</v>
      </c>
      <c r="P501" s="160">
        <v>592</v>
      </c>
      <c r="Q501" s="159">
        <f t="shared" ref="Q501:Q505" si="19">P501/D501</f>
        <v>5.0099267636719382E-4</v>
      </c>
    </row>
    <row r="502" spans="2:17" s="504" customFormat="1" ht="15.75" x14ac:dyDescent="0.25">
      <c r="B502" s="134"/>
      <c r="C502" s="183"/>
      <c r="D502" s="183"/>
      <c r="E502" s="184"/>
      <c r="F502" s="491"/>
      <c r="G502" s="182"/>
      <c r="H502" s="183"/>
      <c r="I502" s="182"/>
      <c r="J502" s="183"/>
      <c r="K502" s="182"/>
      <c r="L502" s="183"/>
      <c r="M502" s="182"/>
      <c r="N502" s="183"/>
      <c r="O502" s="182"/>
      <c r="P502" s="183"/>
      <c r="Q502" s="182"/>
    </row>
    <row r="503" spans="2:17" s="504" customFormat="1" ht="31.5" x14ac:dyDescent="0.25">
      <c r="B503" s="172" t="s">
        <v>448</v>
      </c>
      <c r="C503" s="183"/>
      <c r="D503" s="183"/>
      <c r="E503" s="184"/>
      <c r="F503" s="491"/>
      <c r="G503" s="182"/>
      <c r="H503" s="183"/>
      <c r="I503" s="182"/>
      <c r="J503" s="183"/>
      <c r="K503" s="182"/>
      <c r="L503" s="183"/>
      <c r="M503" s="182"/>
      <c r="N503" s="183"/>
      <c r="O503" s="182"/>
      <c r="P503" s="183"/>
      <c r="Q503" s="182"/>
    </row>
    <row r="504" spans="2:17" s="359" customFormat="1" ht="15.75" x14ac:dyDescent="0.25">
      <c r="B504" s="170" t="s">
        <v>118</v>
      </c>
      <c r="C504" s="162" t="s">
        <v>153</v>
      </c>
      <c r="D504" s="162" t="s">
        <v>154</v>
      </c>
      <c r="E504" s="162" t="s">
        <v>155</v>
      </c>
      <c r="F504" s="162" t="s">
        <v>156</v>
      </c>
      <c r="G504" s="162" t="s">
        <v>157</v>
      </c>
      <c r="H504" s="162" t="s">
        <v>158</v>
      </c>
      <c r="I504" s="162" t="s">
        <v>159</v>
      </c>
      <c r="J504" s="162" t="s">
        <v>160</v>
      </c>
      <c r="K504" s="162" t="s">
        <v>161</v>
      </c>
      <c r="L504" s="162" t="s">
        <v>162</v>
      </c>
      <c r="M504" s="162" t="s">
        <v>163</v>
      </c>
      <c r="N504" s="162" t="s">
        <v>166</v>
      </c>
      <c r="O504" s="162" t="s">
        <v>167</v>
      </c>
      <c r="P504" s="162" t="s">
        <v>168</v>
      </c>
      <c r="Q504" s="162" t="s">
        <v>169</v>
      </c>
    </row>
    <row r="505" spans="2:17" s="359" customFormat="1" ht="15.75" x14ac:dyDescent="0.25">
      <c r="B505" s="175" t="s">
        <v>270</v>
      </c>
      <c r="C505" s="160">
        <v>1189741</v>
      </c>
      <c r="D505" s="160">
        <v>1167143</v>
      </c>
      <c r="E505" s="161">
        <f t="shared" si="13"/>
        <v>0.9810059500345033</v>
      </c>
      <c r="F505" s="288">
        <v>332267</v>
      </c>
      <c r="G505" s="159">
        <f t="shared" si="14"/>
        <v>0.28468405328224561</v>
      </c>
      <c r="H505" s="160">
        <v>223907</v>
      </c>
      <c r="I505" s="159">
        <f t="shared" si="15"/>
        <v>0.1918419593828691</v>
      </c>
      <c r="J505" s="160">
        <v>5284</v>
      </c>
      <c r="K505" s="159">
        <f t="shared" si="16"/>
        <v>4.5272944275037419E-3</v>
      </c>
      <c r="L505" s="160">
        <v>4604</v>
      </c>
      <c r="M505" s="159">
        <f t="shared" si="17"/>
        <v>3.9446751597704824E-3</v>
      </c>
      <c r="N505" s="160">
        <v>22598</v>
      </c>
      <c r="O505" s="159">
        <f t="shared" si="18"/>
        <v>1.8994049965496692E-2</v>
      </c>
      <c r="P505" s="160">
        <v>526</v>
      </c>
      <c r="Q505" s="159">
        <f t="shared" si="19"/>
        <v>4.506731394524921E-4</v>
      </c>
    </row>
    <row r="506" spans="2:17" s="504" customFormat="1" ht="15.75" x14ac:dyDescent="0.25">
      <c r="B506" s="134"/>
      <c r="C506" s="183"/>
      <c r="D506" s="183"/>
      <c r="E506" s="184"/>
      <c r="F506" s="491"/>
      <c r="G506" s="182"/>
      <c r="H506" s="183"/>
      <c r="I506" s="182"/>
      <c r="J506" s="183"/>
      <c r="K506" s="182"/>
      <c r="L506" s="183"/>
      <c r="M506" s="182"/>
      <c r="N506" s="183"/>
      <c r="O506" s="182"/>
      <c r="P506" s="183"/>
      <c r="Q506" s="182"/>
    </row>
    <row r="507" spans="2:17" ht="31.5" x14ac:dyDescent="0.25">
      <c r="B507" s="185" t="s">
        <v>208</v>
      </c>
      <c r="C507" s="158" t="s">
        <v>153</v>
      </c>
      <c r="D507" s="158" t="s">
        <v>154</v>
      </c>
      <c r="E507" s="158" t="s">
        <v>155</v>
      </c>
      <c r="F507" s="158" t="s">
        <v>156</v>
      </c>
      <c r="G507" s="158" t="s">
        <v>157</v>
      </c>
      <c r="H507" s="158" t="s">
        <v>158</v>
      </c>
      <c r="I507" s="158" t="s">
        <v>159</v>
      </c>
      <c r="J507" s="158" t="s">
        <v>160</v>
      </c>
      <c r="K507" s="158" t="s">
        <v>161</v>
      </c>
      <c r="L507" s="158" t="s">
        <v>162</v>
      </c>
      <c r="M507" s="158" t="s">
        <v>163</v>
      </c>
      <c r="N507" s="158" t="s">
        <v>166</v>
      </c>
      <c r="O507" s="158" t="s">
        <v>167</v>
      </c>
      <c r="P507" s="158" t="s">
        <v>168</v>
      </c>
      <c r="Q507" s="158" t="s">
        <v>169</v>
      </c>
    </row>
    <row r="508" spans="2:17" x14ac:dyDescent="0.2">
      <c r="B508" s="133"/>
      <c r="C508" s="157">
        <f>SUM(C495:C505)</f>
        <v>2381487</v>
      </c>
      <c r="D508" s="157">
        <f>SUM(D495:D505)</f>
        <v>2349903</v>
      </c>
      <c r="E508" s="156">
        <f>D508/C508</f>
        <v>0.9867376979173097</v>
      </c>
      <c r="F508" s="157">
        <f>SUM(F495:F505)</f>
        <v>710837</v>
      </c>
      <c r="G508" s="156">
        <f>F508/D508</f>
        <v>0.30249631580537578</v>
      </c>
      <c r="H508" s="157">
        <f>SUM(H495:H505)</f>
        <v>472277</v>
      </c>
      <c r="I508" s="156">
        <f>H508/D508</f>
        <v>0.20097723182616473</v>
      </c>
      <c r="J508" s="157">
        <f>SUM(J495:J505)</f>
        <v>12147</v>
      </c>
      <c r="K508" s="156">
        <f>J508/D508</f>
        <v>5.1691495351084702E-3</v>
      </c>
      <c r="L508" s="157">
        <f>SUM(L495:L505)</f>
        <v>10644</v>
      </c>
      <c r="M508" s="156">
        <f>L508/D508</f>
        <v>4.5295486664768715E-3</v>
      </c>
      <c r="N508" s="157">
        <f>SUM(N495:N505)</f>
        <v>31584</v>
      </c>
      <c r="O508" s="156">
        <f>N508/C508</f>
        <v>1.3262302082690353E-2</v>
      </c>
      <c r="P508" s="157">
        <f>SUM(P495:P505)</f>
        <v>1127</v>
      </c>
      <c r="Q508" s="156">
        <f>P508/D508</f>
        <v>4.7959426410366728E-4</v>
      </c>
    </row>
    <row r="510" spans="2:17" ht="31.5" x14ac:dyDescent="0.25">
      <c r="B510" s="172" t="s">
        <v>460</v>
      </c>
    </row>
    <row r="511" spans="2:17" ht="15.75" x14ac:dyDescent="0.25">
      <c r="B511" s="170" t="s">
        <v>118</v>
      </c>
      <c r="C511" s="162" t="s">
        <v>153</v>
      </c>
      <c r="D511" s="162" t="s">
        <v>154</v>
      </c>
      <c r="E511" s="162" t="s">
        <v>155</v>
      </c>
      <c r="F511" s="162" t="s">
        <v>156</v>
      </c>
      <c r="G511" s="162" t="s">
        <v>157</v>
      </c>
      <c r="H511" s="162" t="s">
        <v>158</v>
      </c>
      <c r="I511" s="162" t="s">
        <v>159</v>
      </c>
      <c r="J511" s="162" t="s">
        <v>160</v>
      </c>
      <c r="K511" s="162" t="s">
        <v>161</v>
      </c>
      <c r="L511" s="162" t="s">
        <v>162</v>
      </c>
      <c r="M511" s="162" t="s">
        <v>163</v>
      </c>
      <c r="N511" s="162" t="s">
        <v>166</v>
      </c>
      <c r="O511" s="162" t="s">
        <v>167</v>
      </c>
      <c r="P511" s="162" t="s">
        <v>168</v>
      </c>
      <c r="Q511" s="162" t="s">
        <v>169</v>
      </c>
    </row>
    <row r="512" spans="2:17" ht="15.75" x14ac:dyDescent="0.25">
      <c r="B512" s="175" t="s">
        <v>270</v>
      </c>
      <c r="C512" s="160">
        <v>1189468</v>
      </c>
      <c r="D512" s="160">
        <v>1170158</v>
      </c>
      <c r="E512" s="161">
        <f t="shared" ref="E512" si="20">(D512/C512)</f>
        <v>0.98376585162442365</v>
      </c>
      <c r="F512" s="288">
        <v>694721</v>
      </c>
      <c r="G512" s="159">
        <f t="shared" ref="G512" si="21">F512/D512</f>
        <v>0.59369845781509845</v>
      </c>
      <c r="H512" s="160">
        <v>308905</v>
      </c>
      <c r="I512" s="159">
        <f t="shared" ref="I512" si="22">H512/D512</f>
        <v>0.26398571816797389</v>
      </c>
      <c r="J512" s="160">
        <v>87178</v>
      </c>
      <c r="K512" s="159">
        <f t="shared" ref="K512" si="23">J512/D512</f>
        <v>7.4501050285516998E-2</v>
      </c>
      <c r="L512" s="160">
        <v>75176</v>
      </c>
      <c r="M512" s="159">
        <f t="shared" ref="M512" si="24">L512/D512</f>
        <v>6.4244315724885009E-2</v>
      </c>
      <c r="N512" s="160">
        <v>16310</v>
      </c>
      <c r="O512" s="159">
        <f t="shared" ref="O512" si="25">N512/C512</f>
        <v>1.3712012429085945E-2</v>
      </c>
      <c r="P512" s="160">
        <v>439</v>
      </c>
      <c r="Q512" s="159">
        <f t="shared" ref="Q512" si="26">P512/D512</f>
        <v>3.7516301217442431E-4</v>
      </c>
    </row>
    <row r="514" spans="2:17" ht="31.5" x14ac:dyDescent="0.25">
      <c r="B514" s="172" t="s">
        <v>459</v>
      </c>
    </row>
    <row r="515" spans="2:17" ht="15.75" x14ac:dyDescent="0.25">
      <c r="B515" s="170" t="s">
        <v>118</v>
      </c>
      <c r="C515" s="162" t="s">
        <v>153</v>
      </c>
      <c r="D515" s="162" t="s">
        <v>154</v>
      </c>
      <c r="E515" s="162" t="s">
        <v>155</v>
      </c>
      <c r="F515" s="162" t="s">
        <v>156</v>
      </c>
      <c r="G515" s="162" t="s">
        <v>157</v>
      </c>
      <c r="H515" s="162" t="s">
        <v>158</v>
      </c>
      <c r="I515" s="162" t="s">
        <v>159</v>
      </c>
      <c r="J515" s="162" t="s">
        <v>160</v>
      </c>
      <c r="K515" s="162" t="s">
        <v>161</v>
      </c>
      <c r="L515" s="162" t="s">
        <v>162</v>
      </c>
      <c r="M515" s="162" t="s">
        <v>163</v>
      </c>
      <c r="N515" s="162" t="s">
        <v>166</v>
      </c>
      <c r="O515" s="162" t="s">
        <v>167</v>
      </c>
      <c r="P515" s="162" t="s">
        <v>168</v>
      </c>
      <c r="Q515" s="162" t="s">
        <v>169</v>
      </c>
    </row>
    <row r="516" spans="2:17" ht="15.75" x14ac:dyDescent="0.25">
      <c r="B516" s="175" t="s">
        <v>270</v>
      </c>
      <c r="C516" s="160">
        <v>1185672</v>
      </c>
      <c r="D516" s="160">
        <v>1167763</v>
      </c>
      <c r="E516" s="161">
        <f t="shared" ref="E516" si="27">(D516/C516)</f>
        <v>0.9848954854293599</v>
      </c>
      <c r="F516" s="288">
        <v>419688</v>
      </c>
      <c r="G516" s="159">
        <f t="shared" ref="G516" si="28">F516/D516</f>
        <v>0.35939484296042945</v>
      </c>
      <c r="H516" s="160">
        <v>253290</v>
      </c>
      <c r="I516" s="159">
        <f t="shared" ref="I516" si="29">H516/D516</f>
        <v>0.21690188848250885</v>
      </c>
      <c r="J516" s="160">
        <v>17822</v>
      </c>
      <c r="K516" s="159">
        <f t="shared" ref="K516" si="30">J516/D516</f>
        <v>1.5261658401576348E-2</v>
      </c>
      <c r="L516" s="160">
        <v>15758</v>
      </c>
      <c r="M516" s="159">
        <f t="shared" ref="M516" si="31">L516/D516</f>
        <v>1.3494176472452031E-2</v>
      </c>
      <c r="N516" s="160">
        <v>17909</v>
      </c>
      <c r="O516" s="159">
        <f t="shared" ref="O516" si="32">N516/C516</f>
        <v>1.5104514570640109E-2</v>
      </c>
      <c r="P516" s="160">
        <v>435</v>
      </c>
      <c r="Q516" s="159">
        <f t="shared" ref="Q516" si="33">P516/D516</f>
        <v>3.725070926206773E-4</v>
      </c>
    </row>
    <row r="518" spans="2:17" ht="63" x14ac:dyDescent="0.25">
      <c r="B518" s="172" t="s">
        <v>462</v>
      </c>
    </row>
    <row r="519" spans="2:17" ht="15.75" x14ac:dyDescent="0.25">
      <c r="B519" s="170" t="s">
        <v>118</v>
      </c>
      <c r="C519" s="162" t="s">
        <v>153</v>
      </c>
      <c r="D519" s="162" t="s">
        <v>154</v>
      </c>
      <c r="E519" s="162" t="s">
        <v>155</v>
      </c>
      <c r="F519" s="162" t="s">
        <v>156</v>
      </c>
      <c r="G519" s="162" t="s">
        <v>157</v>
      </c>
      <c r="H519" s="162" t="s">
        <v>158</v>
      </c>
      <c r="I519" s="162" t="s">
        <v>159</v>
      </c>
      <c r="J519" s="162" t="s">
        <v>160</v>
      </c>
      <c r="K519" s="162" t="s">
        <v>161</v>
      </c>
      <c r="L519" s="162" t="s">
        <v>162</v>
      </c>
      <c r="M519" s="162" t="s">
        <v>163</v>
      </c>
      <c r="N519" s="162" t="s">
        <v>166</v>
      </c>
      <c r="O519" s="162" t="s">
        <v>167</v>
      </c>
      <c r="P519" s="162" t="s">
        <v>168</v>
      </c>
      <c r="Q519" s="162" t="s">
        <v>169</v>
      </c>
    </row>
    <row r="520" spans="2:17" ht="15.75" x14ac:dyDescent="0.25">
      <c r="B520" s="175" t="s">
        <v>270</v>
      </c>
      <c r="C520" s="160">
        <v>2249</v>
      </c>
      <c r="D520" s="160">
        <v>2211</v>
      </c>
      <c r="E520" s="161">
        <f t="shared" ref="E520" si="34">(D520/C520)</f>
        <v>0.98310360160071142</v>
      </c>
      <c r="F520" s="288">
        <v>2374</v>
      </c>
      <c r="G520" s="159">
        <f t="shared" ref="G520" si="35">F520/D520</f>
        <v>1.0737222976028946</v>
      </c>
      <c r="H520" s="160">
        <v>1171</v>
      </c>
      <c r="I520" s="159">
        <f t="shared" ref="I520" si="36">H520/D520</f>
        <v>0.52962460425146995</v>
      </c>
      <c r="J520" s="160">
        <v>815</v>
      </c>
      <c r="K520" s="159">
        <f t="shared" ref="K520" si="37">J520/D520</f>
        <v>0.36861148801447308</v>
      </c>
      <c r="L520" s="160">
        <v>429</v>
      </c>
      <c r="M520" s="159">
        <f t="shared" ref="M520" si="38">L520/D520</f>
        <v>0.19402985074626866</v>
      </c>
      <c r="N520" s="160">
        <v>38</v>
      </c>
      <c r="O520" s="159">
        <f t="shared" ref="O520" si="39">N520/C520</f>
        <v>1.6896398399288574E-2</v>
      </c>
      <c r="P520" s="160">
        <v>0</v>
      </c>
      <c r="Q520" s="159">
        <f t="shared" ref="Q520" si="40">P520/D520</f>
        <v>0</v>
      </c>
    </row>
    <row r="522" spans="2:17" ht="31.5" x14ac:dyDescent="0.25">
      <c r="B522" s="172" t="s">
        <v>461</v>
      </c>
    </row>
    <row r="523" spans="2:17" ht="15.75" x14ac:dyDescent="0.25">
      <c r="B523" s="170" t="s">
        <v>118</v>
      </c>
      <c r="C523" s="162" t="s">
        <v>153</v>
      </c>
      <c r="D523" s="162" t="s">
        <v>154</v>
      </c>
      <c r="E523" s="162" t="s">
        <v>155</v>
      </c>
      <c r="F523" s="162" t="s">
        <v>156</v>
      </c>
      <c r="G523" s="162" t="s">
        <v>157</v>
      </c>
      <c r="H523" s="162" t="s">
        <v>158</v>
      </c>
      <c r="I523" s="162" t="s">
        <v>159</v>
      </c>
      <c r="J523" s="162" t="s">
        <v>160</v>
      </c>
      <c r="K523" s="162" t="s">
        <v>161</v>
      </c>
      <c r="L523" s="162" t="s">
        <v>162</v>
      </c>
      <c r="M523" s="162" t="s">
        <v>163</v>
      </c>
      <c r="N523" s="162" t="s">
        <v>166</v>
      </c>
      <c r="O523" s="162" t="s">
        <v>167</v>
      </c>
      <c r="P523" s="162" t="s">
        <v>168</v>
      </c>
      <c r="Q523" s="162" t="s">
        <v>169</v>
      </c>
    </row>
    <row r="524" spans="2:17" ht="15.75" x14ac:dyDescent="0.25">
      <c r="B524" s="175" t="s">
        <v>270</v>
      </c>
      <c r="C524" s="160">
        <v>1180750</v>
      </c>
      <c r="D524" s="160">
        <v>1155904</v>
      </c>
      <c r="E524" s="161">
        <f t="shared" ref="E524" si="41">(D524/C524)</f>
        <v>0.97895744230362058</v>
      </c>
      <c r="F524" s="288">
        <v>307624</v>
      </c>
      <c r="G524" s="159">
        <f t="shared" ref="G524" si="42">F524/D524</f>
        <v>0.26613282763966556</v>
      </c>
      <c r="H524" s="160">
        <v>200501</v>
      </c>
      <c r="I524" s="159">
        <f t="shared" ref="I524" si="43">H524/D524</f>
        <v>0.17345817645756048</v>
      </c>
      <c r="J524" s="160">
        <v>11144</v>
      </c>
      <c r="K524" s="159">
        <f t="shared" ref="K524" si="44">J524/D524</f>
        <v>9.6409390399202696E-3</v>
      </c>
      <c r="L524" s="160">
        <v>8800</v>
      </c>
      <c r="M524" s="159">
        <f t="shared" ref="M524" si="45">L524/D524</f>
        <v>7.6130889762471626E-3</v>
      </c>
      <c r="N524" s="160">
        <v>24846</v>
      </c>
      <c r="O524" s="159">
        <f t="shared" ref="O524" si="46">N524/C524</f>
        <v>2.1042557696379419E-2</v>
      </c>
      <c r="P524" s="160">
        <v>392</v>
      </c>
      <c r="Q524" s="159">
        <f t="shared" ref="Q524" si="47">P524/D524</f>
        <v>3.3912850894191905E-4</v>
      </c>
    </row>
    <row r="526" spans="2:17" ht="31.5" x14ac:dyDescent="0.25">
      <c r="B526" s="185" t="s">
        <v>244</v>
      </c>
      <c r="C526" s="158" t="s">
        <v>153</v>
      </c>
      <c r="D526" s="158" t="s">
        <v>154</v>
      </c>
      <c r="E526" s="158" t="s">
        <v>155</v>
      </c>
      <c r="F526" s="158" t="s">
        <v>156</v>
      </c>
      <c r="G526" s="158" t="s">
        <v>157</v>
      </c>
      <c r="H526" s="158" t="s">
        <v>158</v>
      </c>
      <c r="I526" s="158" t="s">
        <v>159</v>
      </c>
      <c r="J526" s="158" t="s">
        <v>160</v>
      </c>
      <c r="K526" s="158" t="s">
        <v>161</v>
      </c>
      <c r="L526" s="158" t="s">
        <v>162</v>
      </c>
      <c r="M526" s="158" t="s">
        <v>163</v>
      </c>
      <c r="N526" s="158" t="s">
        <v>166</v>
      </c>
      <c r="O526" s="158" t="s">
        <v>167</v>
      </c>
      <c r="P526" s="158" t="s">
        <v>168</v>
      </c>
      <c r="Q526" s="158" t="s">
        <v>169</v>
      </c>
    </row>
    <row r="527" spans="2:17" x14ac:dyDescent="0.2">
      <c r="B527" s="133"/>
      <c r="C527" s="157">
        <f>SUM(C512:C524)</f>
        <v>3558139</v>
      </c>
      <c r="D527" s="157">
        <f>SUM(D512:D524)</f>
        <v>3496036</v>
      </c>
      <c r="E527" s="156">
        <f>D527/C527</f>
        <v>0.98254621306250267</v>
      </c>
      <c r="F527" s="157">
        <f>SUM(F512:F524)</f>
        <v>1424407</v>
      </c>
      <c r="G527" s="156">
        <f>F527/D527</f>
        <v>0.40743487767288439</v>
      </c>
      <c r="H527" s="157">
        <f>SUM(H512:H524)</f>
        <v>763867</v>
      </c>
      <c r="I527" s="156">
        <f>H527/D527</f>
        <v>0.21849517567896898</v>
      </c>
      <c r="J527" s="157">
        <f>SUM(J512:J524)</f>
        <v>116959</v>
      </c>
      <c r="K527" s="156">
        <f>J527/D527</f>
        <v>3.3454747033497365E-2</v>
      </c>
      <c r="L527" s="157">
        <f>SUM(L512:L524)</f>
        <v>100163</v>
      </c>
      <c r="M527" s="156">
        <f>L527/D527</f>
        <v>2.8650448679590258E-2</v>
      </c>
      <c r="N527" s="157">
        <f>SUM(N512:N524)</f>
        <v>59103</v>
      </c>
      <c r="O527" s="156">
        <f>N527/C527</f>
        <v>1.6610649555849278E-2</v>
      </c>
      <c r="P527" s="157">
        <f>SUM(P512:P524)</f>
        <v>1266</v>
      </c>
      <c r="Q527" s="156">
        <f>P527/D527</f>
        <v>3.6212441748311515E-4</v>
      </c>
    </row>
    <row r="529" spans="2:17" ht="31.5" x14ac:dyDescent="0.25">
      <c r="B529" s="172" t="s">
        <v>469</v>
      </c>
      <c r="C529" s="359"/>
      <c r="D529" s="359"/>
      <c r="E529" s="359"/>
      <c r="F529" s="359"/>
      <c r="G529" s="359"/>
      <c r="H529" s="359"/>
      <c r="I529" s="359"/>
      <c r="J529" s="359"/>
      <c r="K529" s="359"/>
      <c r="L529" s="359"/>
      <c r="M529" s="359"/>
      <c r="N529" s="359"/>
      <c r="O529" s="359"/>
      <c r="P529" s="359"/>
      <c r="Q529" s="359"/>
    </row>
    <row r="530" spans="2:17" ht="15.75" x14ac:dyDescent="0.25">
      <c r="B530" s="170" t="s">
        <v>118</v>
      </c>
      <c r="C530" s="162" t="s">
        <v>153</v>
      </c>
      <c r="D530" s="162" t="s">
        <v>154</v>
      </c>
      <c r="E530" s="162" t="s">
        <v>155</v>
      </c>
      <c r="F530" s="162" t="s">
        <v>156</v>
      </c>
      <c r="G530" s="162" t="s">
        <v>157</v>
      </c>
      <c r="H530" s="162" t="s">
        <v>158</v>
      </c>
      <c r="I530" s="162" t="s">
        <v>159</v>
      </c>
      <c r="J530" s="162" t="s">
        <v>160</v>
      </c>
      <c r="K530" s="162" t="s">
        <v>161</v>
      </c>
      <c r="L530" s="162" t="s">
        <v>162</v>
      </c>
      <c r="M530" s="162" t="s">
        <v>163</v>
      </c>
      <c r="N530" s="162" t="s">
        <v>166</v>
      </c>
      <c r="O530" s="162" t="s">
        <v>167</v>
      </c>
      <c r="P530" s="162" t="s">
        <v>168</v>
      </c>
      <c r="Q530" s="162" t="s">
        <v>169</v>
      </c>
    </row>
    <row r="531" spans="2:17" ht="15.75" x14ac:dyDescent="0.25">
      <c r="B531" s="175" t="s">
        <v>270</v>
      </c>
      <c r="C531" s="160">
        <v>1181719</v>
      </c>
      <c r="D531" s="160">
        <v>1157093</v>
      </c>
      <c r="E531" s="161">
        <f t="shared" ref="E531" si="48">(D531/C531)</f>
        <v>0.97916086650041168</v>
      </c>
      <c r="F531" s="288">
        <v>460655</v>
      </c>
      <c r="G531" s="159">
        <f t="shared" ref="G531" si="49">F531/D531</f>
        <v>0.39811406689004253</v>
      </c>
      <c r="H531" s="160">
        <v>277886</v>
      </c>
      <c r="I531" s="159">
        <f t="shared" ref="I531" si="50">H531/D531</f>
        <v>0.24015874264212125</v>
      </c>
      <c r="J531" s="160">
        <v>31458</v>
      </c>
      <c r="K531" s="159">
        <f t="shared" ref="K531" si="51">J531/D531</f>
        <v>2.718709732061295E-2</v>
      </c>
      <c r="L531" s="160">
        <v>29112</v>
      </c>
      <c r="M531" s="159">
        <f t="shared" ref="M531" si="52">L531/D531</f>
        <v>2.5159602555715053E-2</v>
      </c>
      <c r="N531" s="160">
        <v>24626</v>
      </c>
      <c r="O531" s="159">
        <f t="shared" ref="O531" si="53">N531/C531</f>
        <v>2.0839133499588311E-2</v>
      </c>
      <c r="P531" s="160">
        <v>465</v>
      </c>
      <c r="Q531" s="159">
        <f t="shared" ref="Q531" si="54">P531/D531</f>
        <v>4.0186916695546514E-4</v>
      </c>
    </row>
    <row r="533" spans="2:17" ht="31.5" x14ac:dyDescent="0.25">
      <c r="B533" s="172" t="s">
        <v>470</v>
      </c>
      <c r="C533" s="359"/>
      <c r="D533" s="359"/>
      <c r="E533" s="359"/>
      <c r="F533" s="359"/>
      <c r="G533" s="359"/>
      <c r="H533" s="359"/>
      <c r="I533" s="359"/>
      <c r="J533" s="359"/>
      <c r="K533" s="359"/>
      <c r="L533" s="359"/>
      <c r="M533" s="359"/>
      <c r="N533" s="359"/>
      <c r="O533" s="359"/>
      <c r="P533" s="359"/>
      <c r="Q533" s="359"/>
    </row>
    <row r="534" spans="2:17" ht="15.75" x14ac:dyDescent="0.25">
      <c r="B534" s="170" t="s">
        <v>118</v>
      </c>
      <c r="C534" s="162" t="s">
        <v>153</v>
      </c>
      <c r="D534" s="162" t="s">
        <v>154</v>
      </c>
      <c r="E534" s="162" t="s">
        <v>155</v>
      </c>
      <c r="F534" s="162" t="s">
        <v>156</v>
      </c>
      <c r="G534" s="162" t="s">
        <v>157</v>
      </c>
      <c r="H534" s="162" t="s">
        <v>158</v>
      </c>
      <c r="I534" s="162" t="s">
        <v>159</v>
      </c>
      <c r="J534" s="162" t="s">
        <v>160</v>
      </c>
      <c r="K534" s="162" t="s">
        <v>161</v>
      </c>
      <c r="L534" s="162" t="s">
        <v>162</v>
      </c>
      <c r="M534" s="162" t="s">
        <v>163</v>
      </c>
      <c r="N534" s="162" t="s">
        <v>166</v>
      </c>
      <c r="O534" s="162" t="s">
        <v>167</v>
      </c>
      <c r="P534" s="162" t="s">
        <v>168</v>
      </c>
      <c r="Q534" s="162" t="s">
        <v>169</v>
      </c>
    </row>
    <row r="535" spans="2:17" ht="15.75" x14ac:dyDescent="0.25">
      <c r="B535" s="175" t="s">
        <v>270</v>
      </c>
      <c r="C535" s="160">
        <v>1181611</v>
      </c>
      <c r="D535" s="160">
        <v>1158128</v>
      </c>
      <c r="E535" s="161">
        <f t="shared" ref="E535" si="55">(D535/C535)</f>
        <v>0.98012628521569278</v>
      </c>
      <c r="F535" s="288">
        <v>414893</v>
      </c>
      <c r="G535" s="159">
        <f t="shared" ref="G535" si="56">F535/D535</f>
        <v>0.35824451183288891</v>
      </c>
      <c r="H535" s="160">
        <v>242263</v>
      </c>
      <c r="I535" s="159">
        <f t="shared" ref="I535" si="57">H535/D535</f>
        <v>0.20918499509553348</v>
      </c>
      <c r="J535" s="160">
        <v>17001</v>
      </c>
      <c r="K535" s="159">
        <f t="shared" ref="K535" si="58">J535/D535</f>
        <v>1.4679724520951051E-2</v>
      </c>
      <c r="L535" s="160">
        <v>15717</v>
      </c>
      <c r="M535" s="159">
        <f t="shared" ref="M535" si="59">L535/D535</f>
        <v>1.3571038779823992E-2</v>
      </c>
      <c r="N535" s="160">
        <v>23483</v>
      </c>
      <c r="O535" s="159">
        <f t="shared" ref="O535" si="60">N535/C535</f>
        <v>1.9873714784307186E-2</v>
      </c>
      <c r="P535" s="160">
        <v>0</v>
      </c>
      <c r="Q535" s="159">
        <f t="shared" ref="Q535" si="61">P535/D535</f>
        <v>0</v>
      </c>
    </row>
    <row r="537" spans="2:17" ht="47.25" x14ac:dyDescent="0.25">
      <c r="B537" s="172" t="s">
        <v>471</v>
      </c>
      <c r="C537" s="359"/>
      <c r="D537" s="359"/>
      <c r="E537" s="359"/>
      <c r="F537" s="359"/>
      <c r="G537" s="359"/>
      <c r="H537" s="359"/>
      <c r="I537" s="359"/>
      <c r="J537" s="359"/>
      <c r="K537" s="359"/>
      <c r="L537" s="359"/>
      <c r="M537" s="359"/>
      <c r="N537" s="359"/>
      <c r="O537" s="359"/>
      <c r="P537" s="359"/>
      <c r="Q537" s="359"/>
    </row>
    <row r="538" spans="2:17" ht="15.75" x14ac:dyDescent="0.25">
      <c r="B538" s="170" t="s">
        <v>118</v>
      </c>
      <c r="C538" s="162" t="s">
        <v>153</v>
      </c>
      <c r="D538" s="162" t="s">
        <v>154</v>
      </c>
      <c r="E538" s="162" t="s">
        <v>155</v>
      </c>
      <c r="F538" s="162" t="s">
        <v>156</v>
      </c>
      <c r="G538" s="162" t="s">
        <v>157</v>
      </c>
      <c r="H538" s="162" t="s">
        <v>158</v>
      </c>
      <c r="I538" s="162" t="s">
        <v>159</v>
      </c>
      <c r="J538" s="162" t="s">
        <v>160</v>
      </c>
      <c r="K538" s="162" t="s">
        <v>161</v>
      </c>
      <c r="L538" s="162" t="s">
        <v>162</v>
      </c>
      <c r="M538" s="162" t="s">
        <v>163</v>
      </c>
      <c r="N538" s="162" t="s">
        <v>166</v>
      </c>
      <c r="O538" s="162" t="s">
        <v>167</v>
      </c>
      <c r="P538" s="162" t="s">
        <v>168</v>
      </c>
      <c r="Q538" s="162" t="s">
        <v>169</v>
      </c>
    </row>
    <row r="539" spans="2:17" ht="15.75" x14ac:dyDescent="0.25">
      <c r="B539" s="175" t="s">
        <v>270</v>
      </c>
      <c r="C539" s="160">
        <v>593197</v>
      </c>
      <c r="D539" s="160">
        <v>586913</v>
      </c>
      <c r="E539" s="161">
        <f t="shared" ref="E539" si="62">(D539/C539)</f>
        <v>0.98940655465216443</v>
      </c>
      <c r="F539" s="288">
        <v>244284</v>
      </c>
      <c r="G539" s="159">
        <f t="shared" ref="G539" si="63">F539/D539</f>
        <v>0.41621841738042947</v>
      </c>
      <c r="H539" s="160">
        <v>129608</v>
      </c>
      <c r="I539" s="159">
        <f t="shared" ref="I539" si="64">H539/D539</f>
        <v>0.22083000376546438</v>
      </c>
      <c r="J539" s="160">
        <v>29112</v>
      </c>
      <c r="K539" s="159">
        <f t="shared" ref="K539" si="65">J539/D539</f>
        <v>4.9601900111260103E-2</v>
      </c>
      <c r="L539" s="160">
        <v>25879</v>
      </c>
      <c r="M539" s="159">
        <f t="shared" ref="M539" si="66">L539/D539</f>
        <v>4.4093417593408221E-2</v>
      </c>
      <c r="N539" s="160">
        <v>6284</v>
      </c>
      <c r="O539" s="159">
        <f t="shared" ref="O539" si="67">N539/C539</f>
        <v>1.0593445347835542E-2</v>
      </c>
      <c r="P539" s="160">
        <v>0</v>
      </c>
      <c r="Q539" s="159">
        <f t="shared" ref="Q539" si="68">P539/D539</f>
        <v>0</v>
      </c>
    </row>
    <row r="541" spans="2:17" ht="47.25" x14ac:dyDescent="0.25">
      <c r="B541" s="172" t="s">
        <v>472</v>
      </c>
      <c r="C541" s="359"/>
      <c r="D541" s="359"/>
      <c r="E541" s="359"/>
      <c r="F541" s="359"/>
      <c r="G541" s="359"/>
      <c r="H541" s="359"/>
      <c r="I541" s="359"/>
      <c r="J541" s="359"/>
      <c r="K541" s="359"/>
      <c r="L541" s="359"/>
      <c r="M541" s="359"/>
      <c r="N541" s="359"/>
      <c r="O541" s="359"/>
      <c r="P541" s="359"/>
      <c r="Q541" s="359"/>
    </row>
    <row r="542" spans="2:17" ht="15.75" x14ac:dyDescent="0.25">
      <c r="B542" s="170" t="s">
        <v>118</v>
      </c>
      <c r="C542" s="162" t="s">
        <v>153</v>
      </c>
      <c r="D542" s="162" t="s">
        <v>154</v>
      </c>
      <c r="E542" s="162" t="s">
        <v>155</v>
      </c>
      <c r="F542" s="162" t="s">
        <v>156</v>
      </c>
      <c r="G542" s="162" t="s">
        <v>157</v>
      </c>
      <c r="H542" s="162" t="s">
        <v>158</v>
      </c>
      <c r="I542" s="162" t="s">
        <v>159</v>
      </c>
      <c r="J542" s="162" t="s">
        <v>160</v>
      </c>
      <c r="K542" s="162" t="s">
        <v>161</v>
      </c>
      <c r="L542" s="162" t="s">
        <v>162</v>
      </c>
      <c r="M542" s="162" t="s">
        <v>163</v>
      </c>
      <c r="N542" s="162" t="s">
        <v>166</v>
      </c>
      <c r="O542" s="162" t="s">
        <v>167</v>
      </c>
      <c r="P542" s="162" t="s">
        <v>168</v>
      </c>
      <c r="Q542" s="162" t="s">
        <v>169</v>
      </c>
    </row>
    <row r="543" spans="2:17" ht="15.75" x14ac:dyDescent="0.25">
      <c r="B543" s="175" t="s">
        <v>270</v>
      </c>
      <c r="C543" s="160">
        <v>588651</v>
      </c>
      <c r="D543" s="160">
        <v>583640</v>
      </c>
      <c r="E543" s="161">
        <f t="shared" ref="E543" si="69">(D543/C543)</f>
        <v>0.99148731591384365</v>
      </c>
      <c r="F543" s="288">
        <v>261477</v>
      </c>
      <c r="G543" s="159">
        <f t="shared" ref="G543" si="70">F543/D543</f>
        <v>0.44801076005756973</v>
      </c>
      <c r="H543" s="160">
        <v>132025</v>
      </c>
      <c r="I543" s="159">
        <f t="shared" ref="I543" si="71">H543/D543</f>
        <v>0.22620964978411348</v>
      </c>
      <c r="J543" s="160">
        <v>29865</v>
      </c>
      <c r="K543" s="159">
        <f t="shared" ref="K543" si="72">J543/D543</f>
        <v>5.1170241929956825E-2</v>
      </c>
      <c r="L543" s="160">
        <v>26681</v>
      </c>
      <c r="M543" s="159">
        <f t="shared" ref="M543" si="73">L543/D543</f>
        <v>4.571482420670276E-2</v>
      </c>
      <c r="N543" s="160">
        <v>5011</v>
      </c>
      <c r="O543" s="159">
        <f t="shared" ref="O543" si="74">N543/C543</f>
        <v>8.5126840861563125E-3</v>
      </c>
      <c r="P543" s="160">
        <v>0</v>
      </c>
      <c r="Q543" s="159">
        <f t="shared" ref="Q543" si="75">P543/D543</f>
        <v>0</v>
      </c>
    </row>
    <row r="545" spans="2:17" ht="47.25" x14ac:dyDescent="0.25">
      <c r="B545" s="172" t="s">
        <v>473</v>
      </c>
      <c r="C545" s="359"/>
      <c r="D545" s="359"/>
      <c r="E545" s="359"/>
      <c r="F545" s="359"/>
      <c r="G545" s="359"/>
      <c r="H545" s="359"/>
      <c r="I545" s="359"/>
      <c r="J545" s="359"/>
      <c r="K545" s="359"/>
      <c r="L545" s="359"/>
      <c r="M545" s="359"/>
      <c r="N545" s="359"/>
      <c r="O545" s="359"/>
      <c r="P545" s="359"/>
      <c r="Q545" s="359"/>
    </row>
    <row r="546" spans="2:17" ht="15.75" x14ac:dyDescent="0.25">
      <c r="B546" s="170" t="s">
        <v>118</v>
      </c>
      <c r="C546" s="162" t="s">
        <v>153</v>
      </c>
      <c r="D546" s="162" t="s">
        <v>154</v>
      </c>
      <c r="E546" s="162" t="s">
        <v>155</v>
      </c>
      <c r="F546" s="162" t="s">
        <v>156</v>
      </c>
      <c r="G546" s="162" t="s">
        <v>157</v>
      </c>
      <c r="H546" s="162" t="s">
        <v>158</v>
      </c>
      <c r="I546" s="162" t="s">
        <v>159</v>
      </c>
      <c r="J546" s="162" t="s">
        <v>160</v>
      </c>
      <c r="K546" s="162" t="s">
        <v>161</v>
      </c>
      <c r="L546" s="162" t="s">
        <v>162</v>
      </c>
      <c r="M546" s="162" t="s">
        <v>163</v>
      </c>
      <c r="N546" s="162" t="s">
        <v>166</v>
      </c>
      <c r="O546" s="162" t="s">
        <v>167</v>
      </c>
      <c r="P546" s="162" t="s">
        <v>168</v>
      </c>
      <c r="Q546" s="162" t="s">
        <v>169</v>
      </c>
    </row>
    <row r="547" spans="2:17" ht="15.75" x14ac:dyDescent="0.25">
      <c r="B547" s="175" t="s">
        <v>270</v>
      </c>
      <c r="C547" s="160">
        <v>1182057</v>
      </c>
      <c r="D547" s="160">
        <v>1165942</v>
      </c>
      <c r="E547" s="161">
        <f t="shared" ref="E547" si="76">(D547/C547)</f>
        <v>0.98636698568681547</v>
      </c>
      <c r="F547" s="288">
        <v>319504</v>
      </c>
      <c r="G547" s="159">
        <f t="shared" ref="G547" si="77">F547/D547</f>
        <v>0.27403078369249928</v>
      </c>
      <c r="H547" s="160">
        <v>214308</v>
      </c>
      <c r="I547" s="159">
        <f t="shared" ref="I547" si="78">H547/D547</f>
        <v>0.18380674167325647</v>
      </c>
      <c r="J547" s="160">
        <v>9141</v>
      </c>
      <c r="K547" s="159">
        <f t="shared" ref="K547" si="79">J547/D547</f>
        <v>7.8400126249847761E-3</v>
      </c>
      <c r="L547" s="160">
        <v>7555</v>
      </c>
      <c r="M547" s="159">
        <f t="shared" ref="M547" si="80">L547/D547</f>
        <v>6.4797391293906562E-3</v>
      </c>
      <c r="N547" s="160">
        <v>16115</v>
      </c>
      <c r="O547" s="159">
        <f t="shared" ref="O547" si="81">N547/C547</f>
        <v>1.3633014313184559E-2</v>
      </c>
      <c r="P547" s="160">
        <v>0</v>
      </c>
      <c r="Q547" s="159">
        <f t="shared" ref="Q547" si="82">P547/D547</f>
        <v>0</v>
      </c>
    </row>
    <row r="549" spans="2:17" ht="63" x14ac:dyDescent="0.25">
      <c r="B549" s="172" t="s">
        <v>474</v>
      </c>
      <c r="C549" s="359"/>
      <c r="D549" s="359"/>
      <c r="E549" s="359"/>
      <c r="F549" s="359"/>
      <c r="G549" s="359"/>
      <c r="H549" s="359"/>
      <c r="I549" s="359"/>
      <c r="J549" s="359"/>
      <c r="K549" s="359"/>
      <c r="L549" s="359"/>
      <c r="M549" s="359"/>
      <c r="N549" s="359"/>
      <c r="O549" s="359"/>
      <c r="P549" s="359"/>
      <c r="Q549" s="359"/>
    </row>
    <row r="550" spans="2:17" ht="15.75" x14ac:dyDescent="0.25">
      <c r="B550" s="170" t="s">
        <v>118</v>
      </c>
      <c r="C550" s="162" t="s">
        <v>153</v>
      </c>
      <c r="D550" s="162" t="s">
        <v>154</v>
      </c>
      <c r="E550" s="162" t="s">
        <v>155</v>
      </c>
      <c r="F550" s="162" t="s">
        <v>156</v>
      </c>
      <c r="G550" s="162" t="s">
        <v>157</v>
      </c>
      <c r="H550" s="162" t="s">
        <v>158</v>
      </c>
      <c r="I550" s="162" t="s">
        <v>159</v>
      </c>
      <c r="J550" s="162" t="s">
        <v>160</v>
      </c>
      <c r="K550" s="162" t="s">
        <v>161</v>
      </c>
      <c r="L550" s="162" t="s">
        <v>162</v>
      </c>
      <c r="M550" s="162" t="s">
        <v>163</v>
      </c>
      <c r="N550" s="162" t="s">
        <v>166</v>
      </c>
      <c r="O550" s="162" t="s">
        <v>167</v>
      </c>
      <c r="P550" s="162" t="s">
        <v>168</v>
      </c>
      <c r="Q550" s="162" t="s">
        <v>169</v>
      </c>
    </row>
    <row r="551" spans="2:17" ht="15.75" x14ac:dyDescent="0.25">
      <c r="B551" s="175" t="s">
        <v>270</v>
      </c>
      <c r="C551" s="160">
        <v>103</v>
      </c>
      <c r="D551" s="160">
        <v>92</v>
      </c>
      <c r="E551" s="161">
        <f t="shared" ref="E551" si="83">(D551/C551)</f>
        <v>0.89320388349514568</v>
      </c>
      <c r="F551" s="288">
        <v>112</v>
      </c>
      <c r="G551" s="159">
        <f t="shared" ref="G551" si="84">F551/D551</f>
        <v>1.2173913043478262</v>
      </c>
      <c r="H551" s="160">
        <v>32</v>
      </c>
      <c r="I551" s="159">
        <f t="shared" ref="I551" si="85">H551/D551</f>
        <v>0.34782608695652173</v>
      </c>
      <c r="J551" s="160">
        <v>16</v>
      </c>
      <c r="K551" s="159">
        <f t="shared" ref="K551" si="86">J551/D551</f>
        <v>0.17391304347826086</v>
      </c>
      <c r="L551" s="160">
        <v>11</v>
      </c>
      <c r="M551" s="159">
        <f t="shared" ref="M551" si="87">L551/D551</f>
        <v>0.11956521739130435</v>
      </c>
      <c r="N551" s="160">
        <v>11</v>
      </c>
      <c r="O551" s="159">
        <f t="shared" ref="O551" si="88">N551/C551</f>
        <v>0.10679611650485436</v>
      </c>
      <c r="P551" s="160">
        <v>0</v>
      </c>
      <c r="Q551" s="159">
        <f t="shared" ref="Q551" si="89">P551/D551</f>
        <v>0</v>
      </c>
    </row>
    <row r="553" spans="2:17" ht="31.5" x14ac:dyDescent="0.25">
      <c r="B553" s="185" t="s">
        <v>245</v>
      </c>
      <c r="C553" s="158" t="s">
        <v>153</v>
      </c>
      <c r="D553" s="158" t="s">
        <v>154</v>
      </c>
      <c r="E553" s="158" t="s">
        <v>155</v>
      </c>
      <c r="F553" s="158" t="s">
        <v>156</v>
      </c>
      <c r="G553" s="158" t="s">
        <v>157</v>
      </c>
      <c r="H553" s="158" t="s">
        <v>158</v>
      </c>
      <c r="I553" s="158" t="s">
        <v>159</v>
      </c>
      <c r="J553" s="158" t="s">
        <v>160</v>
      </c>
      <c r="K553" s="158" t="s">
        <v>161</v>
      </c>
      <c r="L553" s="158" t="s">
        <v>162</v>
      </c>
      <c r="M553" s="158" t="s">
        <v>163</v>
      </c>
      <c r="N553" s="158" t="s">
        <v>166</v>
      </c>
      <c r="O553" s="158" t="s">
        <v>167</v>
      </c>
      <c r="P553" s="158" t="s">
        <v>168</v>
      </c>
      <c r="Q553" s="158" t="s">
        <v>169</v>
      </c>
    </row>
    <row r="554" spans="2:17" x14ac:dyDescent="0.2">
      <c r="B554" s="133"/>
      <c r="C554" s="157">
        <f>SUM(C531:C551)</f>
        <v>4727338</v>
      </c>
      <c r="D554" s="157">
        <f>SUM(D531:D551)</f>
        <v>4651808</v>
      </c>
      <c r="E554" s="156">
        <f>D554/C554</f>
        <v>0.98402272060935769</v>
      </c>
      <c r="F554" s="157">
        <f>SUM(F531:F551)</f>
        <v>1700925</v>
      </c>
      <c r="G554" s="156">
        <f>F554/D554</f>
        <v>0.36564815228831454</v>
      </c>
      <c r="H554" s="157">
        <f>SUM(H531:H551)</f>
        <v>996122</v>
      </c>
      <c r="I554" s="156">
        <f>H554/D554</f>
        <v>0.2141365249812546</v>
      </c>
      <c r="J554" s="157">
        <f>SUM(J531:J551)</f>
        <v>116593</v>
      </c>
      <c r="K554" s="156">
        <f>J554/D554</f>
        <v>2.5064018119406475E-2</v>
      </c>
      <c r="L554" s="157">
        <f>SUM(L531:L551)</f>
        <v>104955</v>
      </c>
      <c r="M554" s="156">
        <f>L554/D554</f>
        <v>2.25621951722857E-2</v>
      </c>
      <c r="N554" s="157">
        <f>SUM(N531:N551)</f>
        <v>75530</v>
      </c>
      <c r="O554" s="156">
        <f>N554/C554</f>
        <v>1.5977279390642259E-2</v>
      </c>
      <c r="P554" s="157">
        <f>SUM(P531:P551)</f>
        <v>465</v>
      </c>
      <c r="Q554" s="156">
        <f>P554/D554</f>
        <v>9.9961133391575916E-5</v>
      </c>
    </row>
    <row r="556" spans="2:17" ht="31.5" x14ac:dyDescent="0.25">
      <c r="B556" s="172" t="s">
        <v>480</v>
      </c>
      <c r="C556" s="359"/>
      <c r="D556" s="359"/>
      <c r="E556" s="359"/>
      <c r="F556" s="359"/>
      <c r="G556" s="359"/>
      <c r="H556" s="359"/>
      <c r="I556" s="359"/>
      <c r="J556" s="359"/>
      <c r="K556" s="359"/>
      <c r="L556" s="359"/>
      <c r="M556" s="359"/>
      <c r="N556" s="359"/>
      <c r="O556" s="359"/>
      <c r="P556" s="359"/>
      <c r="Q556" s="359"/>
    </row>
    <row r="557" spans="2:17" ht="15.75" x14ac:dyDescent="0.25">
      <c r="B557" s="170" t="s">
        <v>118</v>
      </c>
      <c r="C557" s="162" t="s">
        <v>153</v>
      </c>
      <c r="D557" s="162" t="s">
        <v>154</v>
      </c>
      <c r="E557" s="162" t="s">
        <v>155</v>
      </c>
      <c r="F557" s="162" t="s">
        <v>156</v>
      </c>
      <c r="G557" s="162" t="s">
        <v>157</v>
      </c>
      <c r="H557" s="162" t="s">
        <v>158</v>
      </c>
      <c r="I557" s="162" t="s">
        <v>159</v>
      </c>
      <c r="J557" s="162" t="s">
        <v>160</v>
      </c>
      <c r="K557" s="162" t="s">
        <v>161</v>
      </c>
      <c r="L557" s="162" t="s">
        <v>162</v>
      </c>
      <c r="M557" s="162" t="s">
        <v>163</v>
      </c>
      <c r="N557" s="162" t="s">
        <v>166</v>
      </c>
      <c r="O557" s="162" t="s">
        <v>167</v>
      </c>
      <c r="P557" s="162" t="s">
        <v>168</v>
      </c>
      <c r="Q557" s="162" t="s">
        <v>169</v>
      </c>
    </row>
    <row r="558" spans="2:17" ht="15.75" x14ac:dyDescent="0.25">
      <c r="B558" s="175" t="s">
        <v>270</v>
      </c>
      <c r="C558" s="160">
        <v>391854</v>
      </c>
      <c r="D558" s="160">
        <v>387792</v>
      </c>
      <c r="E558" s="161">
        <f t="shared" ref="E558" si="90">(D558/C558)</f>
        <v>0.98963389425653436</v>
      </c>
      <c r="F558" s="288">
        <v>166686</v>
      </c>
      <c r="G558" s="159">
        <f t="shared" ref="G558" si="91">F558/D558</f>
        <v>0.42983351899987621</v>
      </c>
      <c r="H558" s="160">
        <v>97211</v>
      </c>
      <c r="I558" s="159">
        <f t="shared" ref="I558" si="92">H558/D558</f>
        <v>0.25067819862194168</v>
      </c>
      <c r="J558" s="160">
        <v>13286</v>
      </c>
      <c r="K558" s="159">
        <f t="shared" ref="K558" si="93">J558/D558</f>
        <v>3.426063456698436E-2</v>
      </c>
      <c r="L558" s="160">
        <v>11918</v>
      </c>
      <c r="M558" s="159">
        <f t="shared" ref="M558" si="94">L558/D558</f>
        <v>3.0732970252093907E-2</v>
      </c>
      <c r="N558" s="160">
        <v>4062</v>
      </c>
      <c r="O558" s="159">
        <f t="shared" ref="O558" si="95">N558/C558</f>
        <v>1.0366105743465678E-2</v>
      </c>
      <c r="P558" s="160">
        <v>0</v>
      </c>
      <c r="Q558" s="159">
        <f t="shared" ref="Q558" si="96">P558/D558</f>
        <v>0</v>
      </c>
    </row>
    <row r="560" spans="2:17" ht="31.5" x14ac:dyDescent="0.25">
      <c r="B560" s="172" t="s">
        <v>481</v>
      </c>
    </row>
    <row r="561" spans="2:17" s="359" customFormat="1" ht="15.75" x14ac:dyDescent="0.25">
      <c r="B561" s="170" t="s">
        <v>118</v>
      </c>
      <c r="C561" s="162" t="s">
        <v>153</v>
      </c>
      <c r="D561" s="162" t="s">
        <v>154</v>
      </c>
      <c r="E561" s="162" t="s">
        <v>155</v>
      </c>
      <c r="F561" s="162" t="s">
        <v>156</v>
      </c>
      <c r="G561" s="162" t="s">
        <v>157</v>
      </c>
      <c r="H561" s="162" t="s">
        <v>158</v>
      </c>
      <c r="I561" s="162" t="s">
        <v>159</v>
      </c>
      <c r="J561" s="162" t="s">
        <v>160</v>
      </c>
      <c r="K561" s="162" t="s">
        <v>161</v>
      </c>
      <c r="L561" s="162" t="s">
        <v>162</v>
      </c>
      <c r="M561" s="162" t="s">
        <v>163</v>
      </c>
      <c r="N561" s="162" t="s">
        <v>166</v>
      </c>
      <c r="O561" s="162" t="s">
        <v>167</v>
      </c>
      <c r="P561" s="162" t="s">
        <v>168</v>
      </c>
      <c r="Q561" s="162" t="s">
        <v>169</v>
      </c>
    </row>
    <row r="562" spans="2:17" s="359" customFormat="1" ht="15.75" x14ac:dyDescent="0.25">
      <c r="B562" s="175" t="s">
        <v>270</v>
      </c>
      <c r="C562" s="160">
        <v>397935</v>
      </c>
      <c r="D562" s="160">
        <v>392306</v>
      </c>
      <c r="E562" s="161">
        <f t="shared" ref="E562" si="97">(D562/C562)</f>
        <v>0.98585447372058255</v>
      </c>
      <c r="F562" s="288">
        <v>174378</v>
      </c>
      <c r="G562" s="159">
        <f t="shared" ref="G562" si="98">F562/D562</f>
        <v>0.44449485860527244</v>
      </c>
      <c r="H562" s="160">
        <v>95586</v>
      </c>
      <c r="I562" s="159">
        <f t="shared" ref="I562" si="99">H562/D562</f>
        <v>0.24365163928158121</v>
      </c>
      <c r="J562" s="160">
        <v>12841</v>
      </c>
      <c r="K562" s="159">
        <f t="shared" ref="K562" si="100">J562/D562</f>
        <v>3.2732101981616392E-2</v>
      </c>
      <c r="L562" s="160">
        <v>11555</v>
      </c>
      <c r="M562" s="159">
        <f t="shared" ref="M562" si="101">L562/D562</f>
        <v>2.9454048625307795E-2</v>
      </c>
      <c r="N562" s="160">
        <v>5629</v>
      </c>
      <c r="O562" s="159">
        <f t="shared" ref="O562" si="102">N562/C562</f>
        <v>1.4145526279417493E-2</v>
      </c>
      <c r="P562" s="160">
        <v>0</v>
      </c>
      <c r="Q562" s="159">
        <f t="shared" ref="Q562" si="103">P562/D562</f>
        <v>0</v>
      </c>
    </row>
    <row r="564" spans="2:17" ht="31.5" x14ac:dyDescent="0.25">
      <c r="B564" s="172" t="s">
        <v>482</v>
      </c>
    </row>
    <row r="565" spans="2:17" ht="15.75" x14ac:dyDescent="0.25">
      <c r="B565" s="170" t="s">
        <v>118</v>
      </c>
      <c r="C565" s="162" t="s">
        <v>153</v>
      </c>
      <c r="D565" s="162" t="s">
        <v>154</v>
      </c>
      <c r="E565" s="162" t="s">
        <v>155</v>
      </c>
      <c r="F565" s="162" t="s">
        <v>156</v>
      </c>
      <c r="G565" s="162" t="s">
        <v>157</v>
      </c>
      <c r="H565" s="162" t="s">
        <v>158</v>
      </c>
      <c r="I565" s="162" t="s">
        <v>159</v>
      </c>
      <c r="J565" s="162" t="s">
        <v>160</v>
      </c>
      <c r="K565" s="162" t="s">
        <v>161</v>
      </c>
      <c r="L565" s="162" t="s">
        <v>162</v>
      </c>
      <c r="M565" s="162" t="s">
        <v>163</v>
      </c>
      <c r="N565" s="162" t="s">
        <v>166</v>
      </c>
      <c r="O565" s="162" t="s">
        <v>167</v>
      </c>
      <c r="P565" s="162" t="s">
        <v>168</v>
      </c>
      <c r="Q565" s="162" t="s">
        <v>169</v>
      </c>
    </row>
    <row r="566" spans="2:17" ht="15.75" x14ac:dyDescent="0.25">
      <c r="B566" s="175" t="s">
        <v>270</v>
      </c>
      <c r="C566" s="160">
        <v>393628</v>
      </c>
      <c r="D566" s="160">
        <v>388872</v>
      </c>
      <c r="E566" s="161">
        <f t="shared" ref="E566" si="104">(D566/C566)</f>
        <v>0.98791752619224238</v>
      </c>
      <c r="F566" s="288">
        <v>166466</v>
      </c>
      <c r="G566" s="159">
        <f t="shared" ref="G566" si="105">F566/D566</f>
        <v>0.42807401921454874</v>
      </c>
      <c r="H566" s="160">
        <v>93382</v>
      </c>
      <c r="I566" s="159">
        <f t="shared" ref="I566" si="106">H566/D566</f>
        <v>0.24013557160196672</v>
      </c>
      <c r="J566" s="160">
        <v>12119</v>
      </c>
      <c r="K566" s="159">
        <f t="shared" ref="K566" si="107">J566/D566</f>
        <v>3.1164496286695879E-2</v>
      </c>
      <c r="L566" s="160">
        <v>10980</v>
      </c>
      <c r="M566" s="159">
        <f t="shared" ref="M566" si="108">L566/D566</f>
        <v>2.8235511942232921E-2</v>
      </c>
      <c r="N566" s="160">
        <v>4756</v>
      </c>
      <c r="O566" s="159">
        <f t="shared" ref="O566" si="109">N566/C566</f>
        <v>1.2082473807757578E-2</v>
      </c>
      <c r="P566" s="160">
        <v>0</v>
      </c>
      <c r="Q566" s="159">
        <f t="shared" ref="Q566" si="110">P566/D566</f>
        <v>0</v>
      </c>
    </row>
    <row r="568" spans="2:17" ht="31.5" x14ac:dyDescent="0.25">
      <c r="B568" s="510" t="s">
        <v>483</v>
      </c>
    </row>
    <row r="569" spans="2:17" ht="15.75" x14ac:dyDescent="0.25">
      <c r="B569" s="170" t="s">
        <v>118</v>
      </c>
      <c r="C569" s="162" t="s">
        <v>153</v>
      </c>
      <c r="D569" s="162" t="s">
        <v>154</v>
      </c>
      <c r="E569" s="162" t="s">
        <v>155</v>
      </c>
      <c r="F569" s="162" t="s">
        <v>156</v>
      </c>
      <c r="G569" s="162" t="s">
        <v>157</v>
      </c>
      <c r="H569" s="162" t="s">
        <v>158</v>
      </c>
      <c r="I569" s="162" t="s">
        <v>159</v>
      </c>
      <c r="J569" s="162" t="s">
        <v>160</v>
      </c>
      <c r="K569" s="162" t="s">
        <v>161</v>
      </c>
      <c r="L569" s="162" t="s">
        <v>162</v>
      </c>
      <c r="M569" s="162" t="s">
        <v>163</v>
      </c>
      <c r="N569" s="162" t="s">
        <v>166</v>
      </c>
      <c r="O569" s="162" t="s">
        <v>167</v>
      </c>
      <c r="P569" s="162" t="s">
        <v>168</v>
      </c>
      <c r="Q569" s="162" t="s">
        <v>169</v>
      </c>
    </row>
    <row r="570" spans="2:17" ht="15.75" x14ac:dyDescent="0.25">
      <c r="B570" s="175" t="s">
        <v>270</v>
      </c>
      <c r="C570" s="160">
        <v>594013</v>
      </c>
      <c r="D570" s="160">
        <v>587927</v>
      </c>
      <c r="E570" s="161">
        <f t="shared" ref="E570" si="111">(D570/C570)</f>
        <v>0.98975443298378996</v>
      </c>
      <c r="F570" s="288">
        <v>116554</v>
      </c>
      <c r="G570" s="159">
        <f t="shared" ref="G570" si="112">F570/D570</f>
        <v>0.19824570057166963</v>
      </c>
      <c r="H570" s="160">
        <v>82256</v>
      </c>
      <c r="I570" s="159">
        <f t="shared" ref="I570" si="113">H570/D570</f>
        <v>0.13990852605850726</v>
      </c>
      <c r="J570" s="160">
        <v>4936</v>
      </c>
      <c r="K570" s="159">
        <f t="shared" ref="K570" si="114">J570/D570</f>
        <v>8.3956001340302448E-3</v>
      </c>
      <c r="L570" s="160">
        <v>4407</v>
      </c>
      <c r="M570" s="159">
        <f t="shared" ref="M570" si="115">L570/D570</f>
        <v>7.4958285637502613E-3</v>
      </c>
      <c r="N570" s="160">
        <v>6086</v>
      </c>
      <c r="O570" s="159">
        <f t="shared" ref="O570" si="116">N570/C570</f>
        <v>1.0245567016210082E-2</v>
      </c>
      <c r="P570" s="160">
        <v>0</v>
      </c>
      <c r="Q570" s="159">
        <f t="shared" ref="Q570" si="117">P570/D570</f>
        <v>0</v>
      </c>
    </row>
    <row r="572" spans="2:17" ht="31.5" x14ac:dyDescent="0.25">
      <c r="B572" s="510" t="s">
        <v>484</v>
      </c>
      <c r="C572" s="359"/>
      <c r="D572" s="359"/>
      <c r="E572" s="359"/>
      <c r="F572" s="359"/>
      <c r="G572" s="359"/>
      <c r="H572" s="359"/>
      <c r="I572" s="359"/>
      <c r="J572" s="359"/>
      <c r="K572" s="359"/>
      <c r="L572" s="359"/>
      <c r="M572" s="359"/>
      <c r="N572" s="359"/>
      <c r="O572" s="359"/>
      <c r="P572" s="359"/>
      <c r="Q572" s="359"/>
    </row>
    <row r="573" spans="2:17" ht="15.75" x14ac:dyDescent="0.25">
      <c r="B573" s="170" t="s">
        <v>118</v>
      </c>
      <c r="C573" s="162" t="s">
        <v>153</v>
      </c>
      <c r="D573" s="162" t="s">
        <v>154</v>
      </c>
      <c r="E573" s="162" t="s">
        <v>155</v>
      </c>
      <c r="F573" s="162" t="s">
        <v>156</v>
      </c>
      <c r="G573" s="162" t="s">
        <v>157</v>
      </c>
      <c r="H573" s="162" t="s">
        <v>158</v>
      </c>
      <c r="I573" s="162" t="s">
        <v>159</v>
      </c>
      <c r="J573" s="162" t="s">
        <v>160</v>
      </c>
      <c r="K573" s="162" t="s">
        <v>161</v>
      </c>
      <c r="L573" s="162" t="s">
        <v>162</v>
      </c>
      <c r="M573" s="162" t="s">
        <v>163</v>
      </c>
      <c r="N573" s="162" t="s">
        <v>166</v>
      </c>
      <c r="O573" s="162" t="s">
        <v>167</v>
      </c>
      <c r="P573" s="162" t="s">
        <v>168</v>
      </c>
      <c r="Q573" s="162" t="s">
        <v>169</v>
      </c>
    </row>
    <row r="574" spans="2:17" ht="15.75" x14ac:dyDescent="0.25">
      <c r="B574" s="175" t="s">
        <v>270</v>
      </c>
      <c r="C574" s="160">
        <v>589539</v>
      </c>
      <c r="D574" s="160">
        <v>581530</v>
      </c>
      <c r="E574" s="161">
        <f t="shared" ref="E574" si="118">(D574/C574)</f>
        <v>0.98641480885912547</v>
      </c>
      <c r="F574" s="288">
        <v>130555</v>
      </c>
      <c r="G574" s="159">
        <f t="shared" ref="G574" si="119">F574/D574</f>
        <v>0.22450260519663645</v>
      </c>
      <c r="H574" s="160">
        <v>88921</v>
      </c>
      <c r="I574" s="159">
        <f t="shared" ref="I574" si="120">H574/D574</f>
        <v>0.15290870634361081</v>
      </c>
      <c r="J574" s="160">
        <v>5825</v>
      </c>
      <c r="K574" s="159">
        <f t="shared" ref="K574" si="121">J574/D574</f>
        <v>1.0016680136880299E-2</v>
      </c>
      <c r="L574" s="160">
        <v>5263</v>
      </c>
      <c r="M574" s="159">
        <f t="shared" ref="M574" si="122">L574/D574</f>
        <v>9.0502639588671257E-3</v>
      </c>
      <c r="N574" s="160">
        <v>8009</v>
      </c>
      <c r="O574" s="159">
        <f t="shared" ref="O574" si="123">N574/C574</f>
        <v>1.358519114087448E-2</v>
      </c>
      <c r="P574" s="160">
        <v>0</v>
      </c>
      <c r="Q574" s="159">
        <f t="shared" ref="Q574" si="124">P574/D574</f>
        <v>0</v>
      </c>
    </row>
    <row r="576" spans="2:17" ht="31.5" x14ac:dyDescent="0.25">
      <c r="B576" s="510" t="s">
        <v>485</v>
      </c>
    </row>
    <row r="577" spans="2:17" ht="15.75" x14ac:dyDescent="0.25">
      <c r="B577" s="170" t="s">
        <v>118</v>
      </c>
      <c r="C577" s="162" t="s">
        <v>153</v>
      </c>
      <c r="D577" s="162" t="s">
        <v>154</v>
      </c>
      <c r="E577" s="162" t="s">
        <v>155</v>
      </c>
      <c r="F577" s="162" t="s">
        <v>156</v>
      </c>
      <c r="G577" s="162" t="s">
        <v>157</v>
      </c>
      <c r="H577" s="162" t="s">
        <v>158</v>
      </c>
      <c r="I577" s="162" t="s">
        <v>159</v>
      </c>
      <c r="J577" s="162" t="s">
        <v>160</v>
      </c>
      <c r="K577" s="162" t="s">
        <v>161</v>
      </c>
      <c r="L577" s="162" t="s">
        <v>162</v>
      </c>
      <c r="M577" s="162" t="s">
        <v>163</v>
      </c>
      <c r="N577" s="162" t="s">
        <v>166</v>
      </c>
      <c r="O577" s="162" t="s">
        <v>167</v>
      </c>
      <c r="P577" s="162" t="s">
        <v>168</v>
      </c>
      <c r="Q577" s="162" t="s">
        <v>169</v>
      </c>
    </row>
    <row r="578" spans="2:17" ht="15.75" x14ac:dyDescent="0.25">
      <c r="B578" s="175" t="s">
        <v>270</v>
      </c>
      <c r="C578" s="160">
        <v>594277</v>
      </c>
      <c r="D578" s="160">
        <v>588670</v>
      </c>
      <c r="E578" s="161">
        <f t="shared" ref="E578" si="125">(D578/C578)</f>
        <v>0.99056500588109586</v>
      </c>
      <c r="F578" s="288">
        <v>245374</v>
      </c>
      <c r="G578" s="159">
        <f t="shared" ref="G578" si="126">F578/D578</f>
        <v>0.41682776428219548</v>
      </c>
      <c r="H578" s="160">
        <v>135804</v>
      </c>
      <c r="I578" s="159">
        <f t="shared" ref="I578" si="127">H578/D578</f>
        <v>0.23069631542290248</v>
      </c>
      <c r="J578" s="160">
        <v>19417</v>
      </c>
      <c r="K578" s="159">
        <f t="shared" ref="K578" si="128">J578/D578</f>
        <v>3.2984524436441467E-2</v>
      </c>
      <c r="L578" s="160">
        <v>17005</v>
      </c>
      <c r="M578" s="159">
        <f t="shared" ref="M578" si="129">L578/D578</f>
        <v>2.8887152394380552E-2</v>
      </c>
      <c r="N578" s="160">
        <v>5607</v>
      </c>
      <c r="O578" s="159">
        <f t="shared" ref="O578" si="130">N578/C578</f>
        <v>9.4349941189041473E-3</v>
      </c>
      <c r="P578" s="160">
        <v>0</v>
      </c>
      <c r="Q578" s="159">
        <f t="shared" ref="Q578" si="131">P578/D578</f>
        <v>0</v>
      </c>
    </row>
    <row r="580" spans="2:17" ht="31.5" x14ac:dyDescent="0.25">
      <c r="B580" s="510" t="s">
        <v>486</v>
      </c>
      <c r="C580" s="359"/>
      <c r="D580" s="359"/>
      <c r="E580" s="359"/>
      <c r="F580" s="359"/>
      <c r="G580" s="359"/>
      <c r="H580" s="359"/>
      <c r="I580" s="359"/>
      <c r="J580" s="359"/>
      <c r="K580" s="359"/>
      <c r="L580" s="359"/>
      <c r="M580" s="359"/>
      <c r="N580" s="359"/>
      <c r="O580" s="359"/>
      <c r="P580" s="359"/>
      <c r="Q580" s="359"/>
    </row>
    <row r="581" spans="2:17" ht="15.75" x14ac:dyDescent="0.25">
      <c r="B581" s="170" t="s">
        <v>118</v>
      </c>
      <c r="C581" s="162" t="s">
        <v>153</v>
      </c>
      <c r="D581" s="162" t="s">
        <v>154</v>
      </c>
      <c r="E581" s="162" t="s">
        <v>155</v>
      </c>
      <c r="F581" s="162" t="s">
        <v>156</v>
      </c>
      <c r="G581" s="162" t="s">
        <v>157</v>
      </c>
      <c r="H581" s="162" t="s">
        <v>158</v>
      </c>
      <c r="I581" s="162" t="s">
        <v>159</v>
      </c>
      <c r="J581" s="162" t="s">
        <v>160</v>
      </c>
      <c r="K581" s="162" t="s">
        <v>161</v>
      </c>
      <c r="L581" s="162" t="s">
        <v>162</v>
      </c>
      <c r="M581" s="162" t="s">
        <v>163</v>
      </c>
      <c r="N581" s="162" t="s">
        <v>166</v>
      </c>
      <c r="O581" s="162" t="s">
        <v>167</v>
      </c>
      <c r="P581" s="162" t="s">
        <v>168</v>
      </c>
      <c r="Q581" s="162" t="s">
        <v>169</v>
      </c>
    </row>
    <row r="582" spans="2:17" ht="15.75" x14ac:dyDescent="0.25">
      <c r="B582" s="175" t="s">
        <v>270</v>
      </c>
      <c r="C582" s="160">
        <v>590241</v>
      </c>
      <c r="D582" s="160">
        <v>581202</v>
      </c>
      <c r="E582" s="161">
        <f t="shared" ref="E582" si="132">(D582/C582)</f>
        <v>0.9846859164307461</v>
      </c>
      <c r="F582" s="288">
        <v>214675</v>
      </c>
      <c r="G582" s="159">
        <f t="shared" ref="G582" si="133">F582/D582</f>
        <v>0.36936383563717951</v>
      </c>
      <c r="H582" s="160">
        <v>120413</v>
      </c>
      <c r="I582" s="159">
        <f t="shared" ref="I582" si="134">H582/D582</f>
        <v>0.2071792595345508</v>
      </c>
      <c r="J582" s="160">
        <v>17777</v>
      </c>
      <c r="K582" s="159">
        <f t="shared" ref="K582" si="135">J582/D582</f>
        <v>3.0586611883648026E-2</v>
      </c>
      <c r="L582" s="160">
        <v>15767</v>
      </c>
      <c r="M582" s="159">
        <f t="shared" ref="M582" si="136">L582/D582</f>
        <v>2.7128261774735807E-2</v>
      </c>
      <c r="N582" s="160">
        <v>9039</v>
      </c>
      <c r="O582" s="159">
        <f t="shared" ref="O582" si="137">N582/C582</f>
        <v>1.5314083569253916E-2</v>
      </c>
      <c r="P582" s="160">
        <v>0</v>
      </c>
      <c r="Q582" s="159">
        <f t="shared" ref="Q582" si="138">P582/D582</f>
        <v>0</v>
      </c>
    </row>
    <row r="584" spans="2:17" ht="31.5" x14ac:dyDescent="0.25">
      <c r="B584" s="510" t="s">
        <v>487</v>
      </c>
      <c r="C584" s="359"/>
      <c r="D584" s="359"/>
      <c r="E584" s="359"/>
      <c r="F584" s="359"/>
      <c r="G584" s="359"/>
      <c r="H584" s="359"/>
      <c r="I584" s="359"/>
      <c r="J584" s="359"/>
      <c r="K584" s="359"/>
      <c r="L584" s="359"/>
      <c r="M584" s="359"/>
      <c r="N584" s="359"/>
      <c r="O584" s="359"/>
      <c r="P584" s="359"/>
      <c r="Q584" s="359"/>
    </row>
    <row r="585" spans="2:17" ht="15.75" x14ac:dyDescent="0.25">
      <c r="B585" s="170" t="s">
        <v>118</v>
      </c>
      <c r="C585" s="162" t="s">
        <v>153</v>
      </c>
      <c r="D585" s="162" t="s">
        <v>154</v>
      </c>
      <c r="E585" s="162" t="s">
        <v>155</v>
      </c>
      <c r="F585" s="162" t="s">
        <v>156</v>
      </c>
      <c r="G585" s="162" t="s">
        <v>157</v>
      </c>
      <c r="H585" s="162" t="s">
        <v>158</v>
      </c>
      <c r="I585" s="162" t="s">
        <v>159</v>
      </c>
      <c r="J585" s="162" t="s">
        <v>160</v>
      </c>
      <c r="K585" s="162" t="s">
        <v>161</v>
      </c>
      <c r="L585" s="162" t="s">
        <v>162</v>
      </c>
      <c r="M585" s="162" t="s">
        <v>163</v>
      </c>
      <c r="N585" s="162" t="s">
        <v>166</v>
      </c>
      <c r="O585" s="162" t="s">
        <v>167</v>
      </c>
      <c r="P585" s="162" t="s">
        <v>168</v>
      </c>
      <c r="Q585" s="162" t="s">
        <v>169</v>
      </c>
    </row>
    <row r="586" spans="2:17" ht="15.75" x14ac:dyDescent="0.25">
      <c r="B586" s="175" t="s">
        <v>270</v>
      </c>
      <c r="C586" s="160">
        <v>595000</v>
      </c>
      <c r="D586" s="160">
        <v>588428</v>
      </c>
      <c r="E586" s="161">
        <f t="shared" ref="E586" si="139">(D586/C586)</f>
        <v>0.9889546218487395</v>
      </c>
      <c r="F586" s="288">
        <v>202049</v>
      </c>
      <c r="G586" s="159">
        <f t="shared" ref="G586" si="140">F586/D586</f>
        <v>0.34337081172207984</v>
      </c>
      <c r="H586" s="160">
        <v>122732</v>
      </c>
      <c r="I586" s="159">
        <f t="shared" ref="I586" si="141">H586/D586</f>
        <v>0.20857607047931098</v>
      </c>
      <c r="J586" s="160">
        <v>11653</v>
      </c>
      <c r="K586" s="159">
        <f t="shared" ref="K586" si="142">J586/D586</f>
        <v>1.9803612336598532E-2</v>
      </c>
      <c r="L586" s="160">
        <v>10469</v>
      </c>
      <c r="M586" s="159">
        <f t="shared" ref="M586" si="143">L586/D586</f>
        <v>1.7791471513932035E-2</v>
      </c>
      <c r="N586" s="160">
        <v>6572</v>
      </c>
      <c r="O586" s="159">
        <f t="shared" ref="O586" si="144">N586/C586</f>
        <v>1.1045378151260504E-2</v>
      </c>
      <c r="P586" s="160">
        <v>0</v>
      </c>
      <c r="Q586" s="159">
        <f t="shared" ref="Q586" si="145">P586/D586</f>
        <v>0</v>
      </c>
    </row>
    <row r="588" spans="2:17" ht="31.5" x14ac:dyDescent="0.25">
      <c r="B588" s="510" t="s">
        <v>488</v>
      </c>
      <c r="C588" s="359"/>
      <c r="D588" s="359"/>
      <c r="E588" s="359"/>
      <c r="F588" s="359"/>
      <c r="G588" s="359"/>
      <c r="H588" s="359"/>
      <c r="I588" s="359"/>
      <c r="J588" s="359"/>
      <c r="K588" s="359"/>
      <c r="L588" s="359"/>
      <c r="M588" s="359"/>
      <c r="N588" s="359"/>
      <c r="O588" s="359"/>
      <c r="P588" s="359"/>
      <c r="Q588" s="359"/>
    </row>
    <row r="589" spans="2:17" ht="15.75" x14ac:dyDescent="0.25">
      <c r="B589" s="170" t="s">
        <v>118</v>
      </c>
      <c r="C589" s="162" t="s">
        <v>153</v>
      </c>
      <c r="D589" s="162" t="s">
        <v>154</v>
      </c>
      <c r="E589" s="162" t="s">
        <v>155</v>
      </c>
      <c r="F589" s="162" t="s">
        <v>156</v>
      </c>
      <c r="G589" s="162" t="s">
        <v>157</v>
      </c>
      <c r="H589" s="162" t="s">
        <v>158</v>
      </c>
      <c r="I589" s="162" t="s">
        <v>159</v>
      </c>
      <c r="J589" s="162" t="s">
        <v>160</v>
      </c>
      <c r="K589" s="162" t="s">
        <v>161</v>
      </c>
      <c r="L589" s="162" t="s">
        <v>162</v>
      </c>
      <c r="M589" s="162" t="s">
        <v>163</v>
      </c>
      <c r="N589" s="162" t="s">
        <v>166</v>
      </c>
      <c r="O589" s="162" t="s">
        <v>167</v>
      </c>
      <c r="P589" s="162" t="s">
        <v>168</v>
      </c>
      <c r="Q589" s="162" t="s">
        <v>169</v>
      </c>
    </row>
    <row r="590" spans="2:17" ht="15.75" x14ac:dyDescent="0.25">
      <c r="B590" s="175" t="s">
        <v>270</v>
      </c>
      <c r="C590" s="160">
        <v>590298</v>
      </c>
      <c r="D590" s="160">
        <v>579380</v>
      </c>
      <c r="E590" s="161">
        <f t="shared" ref="E590" si="146">(D590/C590)</f>
        <v>0.98150425717180134</v>
      </c>
      <c r="F590" s="288">
        <v>173249</v>
      </c>
      <c r="G590" s="159">
        <f t="shared" ref="G590" si="147">F590/D590</f>
        <v>0.299024819634782</v>
      </c>
      <c r="H590" s="160">
        <v>113166</v>
      </c>
      <c r="I590" s="159">
        <f t="shared" ref="I590" si="148">H590/D590</f>
        <v>0.1953225862128482</v>
      </c>
      <c r="J590" s="160">
        <v>7584</v>
      </c>
      <c r="K590" s="159">
        <f t="shared" ref="K590" si="149">J590/D590</f>
        <v>1.3089854672235838E-2</v>
      </c>
      <c r="L590" s="160">
        <v>6876</v>
      </c>
      <c r="M590" s="159">
        <f t="shared" ref="M590" si="150">L590/D590</f>
        <v>1.1867858745555593E-2</v>
      </c>
      <c r="N590" s="160">
        <v>10918</v>
      </c>
      <c r="O590" s="159">
        <f t="shared" ref="O590" si="151">N590/C590</f>
        <v>1.8495742828198637E-2</v>
      </c>
      <c r="P590" s="160">
        <v>0</v>
      </c>
      <c r="Q590" s="159">
        <f t="shared" ref="Q590" si="152">P590/D590</f>
        <v>0</v>
      </c>
    </row>
    <row r="592" spans="2:17" ht="31.5" x14ac:dyDescent="0.25">
      <c r="B592" s="185" t="s">
        <v>254</v>
      </c>
      <c r="C592" s="158" t="s">
        <v>153</v>
      </c>
      <c r="D592" s="158" t="s">
        <v>154</v>
      </c>
      <c r="E592" s="158" t="s">
        <v>155</v>
      </c>
      <c r="F592" s="158" t="s">
        <v>156</v>
      </c>
      <c r="G592" s="158" t="s">
        <v>157</v>
      </c>
      <c r="H592" s="158" t="s">
        <v>158</v>
      </c>
      <c r="I592" s="158" t="s">
        <v>159</v>
      </c>
      <c r="J592" s="158" t="s">
        <v>160</v>
      </c>
      <c r="K592" s="158" t="s">
        <v>161</v>
      </c>
      <c r="L592" s="158" t="s">
        <v>162</v>
      </c>
      <c r="M592" s="158" t="s">
        <v>163</v>
      </c>
      <c r="N592" s="158" t="s">
        <v>166</v>
      </c>
      <c r="O592" s="158" t="s">
        <v>167</v>
      </c>
      <c r="P592" s="158" t="s">
        <v>168</v>
      </c>
      <c r="Q592" s="158" t="s">
        <v>169</v>
      </c>
    </row>
    <row r="593" spans="2:17" x14ac:dyDescent="0.2">
      <c r="B593" s="133"/>
      <c r="C593" s="157">
        <f>SUM(C558:C590)</f>
        <v>4736785</v>
      </c>
      <c r="D593" s="157">
        <f>SUM(D558:D590)</f>
        <v>4676107</v>
      </c>
      <c r="E593" s="156">
        <f>D593/C593</f>
        <v>0.98719004556888268</v>
      </c>
      <c r="F593" s="157">
        <f>SUM(F558:F590)</f>
        <v>1589986</v>
      </c>
      <c r="G593" s="156">
        <f>F593/D593</f>
        <v>0.34002344257734052</v>
      </c>
      <c r="H593" s="157">
        <f>SUM(H558:H590)</f>
        <v>949471</v>
      </c>
      <c r="I593" s="156">
        <f>H593/D593</f>
        <v>0.20304732120116156</v>
      </c>
      <c r="J593" s="157">
        <f>SUM(J558:J590)</f>
        <v>105438</v>
      </c>
      <c r="K593" s="156">
        <f>J593/D593</f>
        <v>2.2548243656528816E-2</v>
      </c>
      <c r="L593" s="157">
        <f>SUM(L558:L590)</f>
        <v>94240</v>
      </c>
      <c r="M593" s="156">
        <f>L593/D593</f>
        <v>2.0153516589761528E-2</v>
      </c>
      <c r="N593" s="157">
        <f>SUM(N558:N590)</f>
        <v>60678</v>
      </c>
      <c r="O593" s="156">
        <f>N593/C593</f>
        <v>1.2809954431117309E-2</v>
      </c>
      <c r="P593" s="157">
        <f>SUM(P558:P590)</f>
        <v>0</v>
      </c>
      <c r="Q593" s="156">
        <f>P593/D593</f>
        <v>0</v>
      </c>
    </row>
    <row r="595" spans="2:17" ht="31.5" x14ac:dyDescent="0.25">
      <c r="B595" s="172" t="s">
        <v>495</v>
      </c>
      <c r="C595" s="359"/>
      <c r="D595" s="359"/>
      <c r="E595" s="359"/>
      <c r="F595" s="359"/>
      <c r="G595" s="359"/>
      <c r="H595" s="359"/>
      <c r="I595" s="359"/>
      <c r="J595" s="359"/>
      <c r="K595" s="359"/>
      <c r="L595" s="359"/>
      <c r="M595" s="359"/>
      <c r="N595" s="359"/>
      <c r="O595" s="359"/>
      <c r="P595" s="359"/>
      <c r="Q595" s="359"/>
    </row>
    <row r="596" spans="2:17" ht="15.75" x14ac:dyDescent="0.25">
      <c r="B596" s="170" t="s">
        <v>118</v>
      </c>
      <c r="C596" s="162" t="s">
        <v>153</v>
      </c>
      <c r="D596" s="162" t="s">
        <v>154</v>
      </c>
      <c r="E596" s="162" t="s">
        <v>155</v>
      </c>
      <c r="F596" s="162" t="s">
        <v>156</v>
      </c>
      <c r="G596" s="162" t="s">
        <v>157</v>
      </c>
      <c r="H596" s="162" t="s">
        <v>158</v>
      </c>
      <c r="I596" s="162" t="s">
        <v>159</v>
      </c>
      <c r="J596" s="162" t="s">
        <v>160</v>
      </c>
      <c r="K596" s="162" t="s">
        <v>161</v>
      </c>
      <c r="L596" s="162" t="s">
        <v>162</v>
      </c>
      <c r="M596" s="162" t="s">
        <v>163</v>
      </c>
      <c r="N596" s="162" t="s">
        <v>166</v>
      </c>
      <c r="O596" s="162" t="s">
        <v>167</v>
      </c>
      <c r="P596" s="162" t="s">
        <v>168</v>
      </c>
      <c r="Q596" s="162" t="s">
        <v>169</v>
      </c>
    </row>
    <row r="597" spans="2:17" ht="15.75" x14ac:dyDescent="0.25">
      <c r="B597" s="175" t="s">
        <v>270</v>
      </c>
      <c r="C597" s="160">
        <v>594841</v>
      </c>
      <c r="D597" s="160">
        <v>589732</v>
      </c>
      <c r="E597" s="161">
        <f t="shared" ref="E597" si="153">(D597/C597)</f>
        <v>0.99141115020652582</v>
      </c>
      <c r="F597" s="288">
        <v>224132</v>
      </c>
      <c r="G597" s="159">
        <f t="shared" ref="G597" si="154">F597/D597</f>
        <v>0.3800573819972462</v>
      </c>
      <c r="H597" s="160">
        <v>125632</v>
      </c>
      <c r="I597" s="159">
        <f t="shared" ref="I597" si="155">H597/D597</f>
        <v>0.21303236046204038</v>
      </c>
      <c r="J597" s="160">
        <v>31570</v>
      </c>
      <c r="K597" s="159">
        <f t="shared" ref="K597" si="156">J597/D597</f>
        <v>5.3532791166156828E-2</v>
      </c>
      <c r="L597" s="160">
        <v>27699</v>
      </c>
      <c r="M597" s="159">
        <f t="shared" ref="M597" si="157">L597/D597</f>
        <v>4.6968792604098135E-2</v>
      </c>
      <c r="N597" s="160">
        <v>5109</v>
      </c>
      <c r="O597" s="159">
        <f t="shared" ref="O597" si="158">N597/C597</f>
        <v>8.5888497934742229E-3</v>
      </c>
      <c r="P597" s="160">
        <v>0</v>
      </c>
      <c r="Q597" s="159">
        <f t="shared" ref="Q597" si="159">P597/D597</f>
        <v>0</v>
      </c>
    </row>
    <row r="599" spans="2:17" ht="31.5" x14ac:dyDescent="0.25">
      <c r="B599" s="172" t="s">
        <v>496</v>
      </c>
      <c r="C599" s="359"/>
      <c r="D599" s="359"/>
      <c r="E599" s="359"/>
      <c r="F599" s="359"/>
      <c r="G599" s="359"/>
      <c r="H599" s="359"/>
      <c r="I599" s="359"/>
      <c r="J599" s="359"/>
      <c r="K599" s="359"/>
      <c r="L599" s="359"/>
      <c r="M599" s="359"/>
      <c r="N599" s="359"/>
      <c r="O599" s="359"/>
      <c r="P599" s="359"/>
      <c r="Q599" s="359"/>
    </row>
    <row r="600" spans="2:17" ht="15.75" x14ac:dyDescent="0.25">
      <c r="B600" s="170" t="s">
        <v>118</v>
      </c>
      <c r="C600" s="162" t="s">
        <v>153</v>
      </c>
      <c r="D600" s="162" t="s">
        <v>154</v>
      </c>
      <c r="E600" s="162" t="s">
        <v>155</v>
      </c>
      <c r="F600" s="162" t="s">
        <v>156</v>
      </c>
      <c r="G600" s="162" t="s">
        <v>157</v>
      </c>
      <c r="H600" s="162" t="s">
        <v>158</v>
      </c>
      <c r="I600" s="162" t="s">
        <v>159</v>
      </c>
      <c r="J600" s="162" t="s">
        <v>160</v>
      </c>
      <c r="K600" s="162" t="s">
        <v>161</v>
      </c>
      <c r="L600" s="162" t="s">
        <v>162</v>
      </c>
      <c r="M600" s="162" t="s">
        <v>163</v>
      </c>
      <c r="N600" s="162" t="s">
        <v>166</v>
      </c>
      <c r="O600" s="162" t="s">
        <v>167</v>
      </c>
      <c r="P600" s="162" t="s">
        <v>168</v>
      </c>
      <c r="Q600" s="162" t="s">
        <v>169</v>
      </c>
    </row>
    <row r="601" spans="2:17" ht="15.75" x14ac:dyDescent="0.25">
      <c r="B601" s="175" t="s">
        <v>270</v>
      </c>
      <c r="C601" s="160">
        <v>589323</v>
      </c>
      <c r="D601" s="160">
        <v>584578</v>
      </c>
      <c r="E601" s="161">
        <f t="shared" ref="E601" si="160">(D601/C601)</f>
        <v>0.99194838823531406</v>
      </c>
      <c r="F601" s="288">
        <v>223888</v>
      </c>
      <c r="G601" s="159">
        <f t="shared" ref="G601" si="161">F601/D601</f>
        <v>0.38299080704371358</v>
      </c>
      <c r="H601" s="160">
        <v>127144</v>
      </c>
      <c r="I601" s="159">
        <f t="shared" ref="I601" si="162">H601/D601</f>
        <v>0.21749706625976345</v>
      </c>
      <c r="J601" s="160">
        <v>34639</v>
      </c>
      <c r="K601" s="159">
        <f t="shared" ref="K601" si="163">J601/D601</f>
        <v>5.9254710235417687E-2</v>
      </c>
      <c r="L601" s="160">
        <v>26385</v>
      </c>
      <c r="M601" s="159">
        <f t="shared" ref="M601" si="164">L601/D601</f>
        <v>4.5135123114451794E-2</v>
      </c>
      <c r="N601" s="160">
        <v>4745</v>
      </c>
      <c r="O601" s="159">
        <f t="shared" ref="O601" si="165">N601/C601</f>
        <v>8.0516117646859189E-3</v>
      </c>
      <c r="P601" s="160">
        <v>0</v>
      </c>
      <c r="Q601" s="159">
        <f t="shared" ref="Q601" si="166">P601/D601</f>
        <v>0</v>
      </c>
    </row>
    <row r="603" spans="2:17" ht="31.5" x14ac:dyDescent="0.25">
      <c r="B603" s="172" t="s">
        <v>497</v>
      </c>
      <c r="C603" s="359"/>
      <c r="D603" s="359"/>
      <c r="E603" s="359"/>
      <c r="F603" s="359"/>
      <c r="G603" s="359"/>
      <c r="H603" s="359"/>
      <c r="I603" s="359"/>
      <c r="J603" s="359"/>
      <c r="K603" s="359"/>
      <c r="L603" s="359"/>
      <c r="M603" s="359"/>
      <c r="N603" s="359"/>
      <c r="O603" s="359"/>
      <c r="P603" s="359"/>
      <c r="Q603" s="359"/>
    </row>
    <row r="604" spans="2:17" ht="15.75" x14ac:dyDescent="0.25">
      <c r="B604" s="170" t="s">
        <v>118</v>
      </c>
      <c r="C604" s="162" t="s">
        <v>153</v>
      </c>
      <c r="D604" s="162" t="s">
        <v>154</v>
      </c>
      <c r="E604" s="162" t="s">
        <v>155</v>
      </c>
      <c r="F604" s="162" t="s">
        <v>156</v>
      </c>
      <c r="G604" s="162" t="s">
        <v>157</v>
      </c>
      <c r="H604" s="162" t="s">
        <v>158</v>
      </c>
      <c r="I604" s="162" t="s">
        <v>159</v>
      </c>
      <c r="J604" s="162" t="s">
        <v>160</v>
      </c>
      <c r="K604" s="162" t="s">
        <v>161</v>
      </c>
      <c r="L604" s="162" t="s">
        <v>162</v>
      </c>
      <c r="M604" s="162" t="s">
        <v>163</v>
      </c>
      <c r="N604" s="162" t="s">
        <v>166</v>
      </c>
      <c r="O604" s="162" t="s">
        <v>167</v>
      </c>
      <c r="P604" s="162" t="s">
        <v>168</v>
      </c>
      <c r="Q604" s="162" t="s">
        <v>169</v>
      </c>
    </row>
    <row r="605" spans="2:17" ht="15.75" x14ac:dyDescent="0.25">
      <c r="B605" s="175" t="s">
        <v>270</v>
      </c>
      <c r="C605" s="160">
        <v>592074</v>
      </c>
      <c r="D605" s="160">
        <v>584557</v>
      </c>
      <c r="E605" s="161">
        <f t="shared" ref="E605" si="167">(D605/C605)</f>
        <v>0.98730395187088105</v>
      </c>
      <c r="F605" s="288">
        <v>205176</v>
      </c>
      <c r="G605" s="159">
        <f t="shared" ref="G605" si="168">F605/D605</f>
        <v>0.35099400058505842</v>
      </c>
      <c r="H605" s="160">
        <v>124911</v>
      </c>
      <c r="I605" s="159">
        <f t="shared" ref="I605" si="169">H605/D605</f>
        <v>0.2136848930044461</v>
      </c>
      <c r="J605" s="160">
        <v>21830</v>
      </c>
      <c r="K605" s="159">
        <f t="shared" ref="K605" si="170">J605/D605</f>
        <v>3.7344519011832895E-2</v>
      </c>
      <c r="L605" s="160">
        <v>20365</v>
      </c>
      <c r="M605" s="159">
        <f t="shared" ref="M605" si="171">L605/D605</f>
        <v>3.4838347671826697E-2</v>
      </c>
      <c r="N605" s="160">
        <v>7517</v>
      </c>
      <c r="O605" s="159">
        <f t="shared" ref="O605" si="172">N605/C605</f>
        <v>1.2696048129118995E-2</v>
      </c>
      <c r="P605" s="160">
        <v>121</v>
      </c>
      <c r="Q605" s="159">
        <f t="shared" ref="Q605" si="173">P605/D605</f>
        <v>2.069943564100678E-4</v>
      </c>
    </row>
    <row r="607" spans="2:17" ht="31.5" x14ac:dyDescent="0.25">
      <c r="B607" s="172" t="s">
        <v>498</v>
      </c>
      <c r="C607" s="359"/>
      <c r="D607" s="359"/>
      <c r="E607" s="359"/>
      <c r="F607" s="359"/>
      <c r="G607" s="359"/>
      <c r="H607" s="359"/>
      <c r="I607" s="359"/>
      <c r="J607" s="359"/>
      <c r="K607" s="359"/>
      <c r="L607" s="359"/>
      <c r="M607" s="359"/>
      <c r="N607" s="359"/>
      <c r="O607" s="359"/>
      <c r="P607" s="359"/>
      <c r="Q607" s="359"/>
    </row>
    <row r="608" spans="2:17" ht="15.75" x14ac:dyDescent="0.25">
      <c r="B608" s="170" t="s">
        <v>118</v>
      </c>
      <c r="C608" s="162" t="s">
        <v>153</v>
      </c>
      <c r="D608" s="162" t="s">
        <v>154</v>
      </c>
      <c r="E608" s="162" t="s">
        <v>155</v>
      </c>
      <c r="F608" s="162" t="s">
        <v>156</v>
      </c>
      <c r="G608" s="162" t="s">
        <v>157</v>
      </c>
      <c r="H608" s="162" t="s">
        <v>158</v>
      </c>
      <c r="I608" s="162" t="s">
        <v>159</v>
      </c>
      <c r="J608" s="162" t="s">
        <v>160</v>
      </c>
      <c r="K608" s="162" t="s">
        <v>161</v>
      </c>
      <c r="L608" s="162" t="s">
        <v>162</v>
      </c>
      <c r="M608" s="162" t="s">
        <v>163</v>
      </c>
      <c r="N608" s="162" t="s">
        <v>166</v>
      </c>
      <c r="O608" s="162" t="s">
        <v>167</v>
      </c>
      <c r="P608" s="162" t="s">
        <v>168</v>
      </c>
      <c r="Q608" s="162" t="s">
        <v>169</v>
      </c>
    </row>
    <row r="609" spans="2:17" ht="15.75" x14ac:dyDescent="0.25">
      <c r="B609" s="175" t="s">
        <v>270</v>
      </c>
      <c r="C609" s="160">
        <v>591899</v>
      </c>
      <c r="D609" s="160">
        <v>586429</v>
      </c>
      <c r="E609" s="161">
        <f t="shared" ref="E609" si="174">(D609/C609)</f>
        <v>0.9907585584702796</v>
      </c>
      <c r="F609" s="288">
        <v>232760</v>
      </c>
      <c r="G609" s="159">
        <f t="shared" ref="G609" si="175">F609/D609</f>
        <v>0.39691079397505924</v>
      </c>
      <c r="H609" s="160">
        <v>132513</v>
      </c>
      <c r="I609" s="159">
        <f t="shared" ref="I609" si="176">H609/D609</f>
        <v>0.22596597371548816</v>
      </c>
      <c r="J609" s="160">
        <v>21757</v>
      </c>
      <c r="K609" s="159">
        <f t="shared" ref="K609" si="177">J609/D609</f>
        <v>3.7100825504877831E-2</v>
      </c>
      <c r="L609" s="160">
        <v>20249</v>
      </c>
      <c r="M609" s="159">
        <f t="shared" ref="M609" si="178">L609/D609</f>
        <v>3.452932921120886E-2</v>
      </c>
      <c r="N609" s="160">
        <v>5470</v>
      </c>
      <c r="O609" s="159">
        <f t="shared" ref="O609" si="179">N609/C609</f>
        <v>9.2414415297204424E-3</v>
      </c>
      <c r="P609" s="160">
        <v>137</v>
      </c>
      <c r="Q609" s="159">
        <f t="shared" ref="Q609" si="180">P609/D609</f>
        <v>2.3361736885454165E-4</v>
      </c>
    </row>
    <row r="611" spans="2:17" ht="31.5" x14ac:dyDescent="0.25">
      <c r="B611" s="172" t="s">
        <v>499</v>
      </c>
      <c r="C611" s="359"/>
      <c r="D611" s="359"/>
      <c r="E611" s="359"/>
      <c r="F611" s="359"/>
      <c r="G611" s="359"/>
      <c r="H611" s="359"/>
      <c r="I611" s="359"/>
      <c r="J611" s="359"/>
      <c r="K611" s="359"/>
      <c r="L611" s="359"/>
      <c r="M611" s="359"/>
      <c r="N611" s="359"/>
      <c r="O611" s="359"/>
      <c r="P611" s="359"/>
      <c r="Q611" s="359"/>
    </row>
    <row r="612" spans="2:17" ht="15.75" x14ac:dyDescent="0.25">
      <c r="B612" s="170" t="s">
        <v>118</v>
      </c>
      <c r="C612" s="162" t="s">
        <v>153</v>
      </c>
      <c r="D612" s="162" t="s">
        <v>154</v>
      </c>
      <c r="E612" s="162" t="s">
        <v>155</v>
      </c>
      <c r="F612" s="162" t="s">
        <v>156</v>
      </c>
      <c r="G612" s="162" t="s">
        <v>157</v>
      </c>
      <c r="H612" s="162" t="s">
        <v>158</v>
      </c>
      <c r="I612" s="162" t="s">
        <v>159</v>
      </c>
      <c r="J612" s="162" t="s">
        <v>160</v>
      </c>
      <c r="K612" s="162" t="s">
        <v>161</v>
      </c>
      <c r="L612" s="162" t="s">
        <v>162</v>
      </c>
      <c r="M612" s="162" t="s">
        <v>163</v>
      </c>
      <c r="N612" s="162" t="s">
        <v>166</v>
      </c>
      <c r="O612" s="162" t="s">
        <v>167</v>
      </c>
      <c r="P612" s="162" t="s">
        <v>168</v>
      </c>
      <c r="Q612" s="162" t="s">
        <v>169</v>
      </c>
    </row>
    <row r="613" spans="2:17" ht="15.75" x14ac:dyDescent="0.25">
      <c r="B613" s="175" t="s">
        <v>270</v>
      </c>
      <c r="C613" s="160">
        <v>592191</v>
      </c>
      <c r="D613" s="160">
        <v>586260</v>
      </c>
      <c r="E613" s="161">
        <f t="shared" ref="E613" si="181">(D613/C613)</f>
        <v>0.98998465022264781</v>
      </c>
      <c r="F613" s="288">
        <v>135083</v>
      </c>
      <c r="G613" s="159">
        <f t="shared" ref="G613" si="182">F613/D613</f>
        <v>0.23041483300924503</v>
      </c>
      <c r="H613" s="160">
        <v>95928</v>
      </c>
      <c r="I613" s="159">
        <f t="shared" ref="I613" si="183">H613/D613</f>
        <v>0.16362705966635963</v>
      </c>
      <c r="J613" s="160">
        <v>3522</v>
      </c>
      <c r="K613" s="159">
        <f t="shared" ref="K613" si="184">J613/D613</f>
        <v>6.0075734315832565E-3</v>
      </c>
      <c r="L613" s="160">
        <v>3207</v>
      </c>
      <c r="M613" s="159">
        <f t="shared" ref="M613" si="185">L613/D613</f>
        <v>5.4702691638522155E-3</v>
      </c>
      <c r="N613" s="160">
        <v>5931</v>
      </c>
      <c r="O613" s="159">
        <f t="shared" ref="O613" si="186">N613/C613</f>
        <v>1.001534977735224E-2</v>
      </c>
      <c r="P613" s="160">
        <v>215</v>
      </c>
      <c r="Q613" s="159">
        <f t="shared" ref="Q613" si="187">P613/D613</f>
        <v>3.6673148432436118E-4</v>
      </c>
    </row>
    <row r="615" spans="2:17" ht="31.5" x14ac:dyDescent="0.25">
      <c r="B615" s="172" t="s">
        <v>500</v>
      </c>
      <c r="C615" s="359"/>
      <c r="D615" s="359"/>
      <c r="E615" s="359"/>
      <c r="F615" s="359"/>
      <c r="G615" s="359"/>
      <c r="H615" s="359"/>
      <c r="I615" s="359"/>
      <c r="J615" s="359"/>
      <c r="K615" s="359"/>
      <c r="L615" s="359"/>
      <c r="M615" s="359"/>
      <c r="N615" s="359"/>
      <c r="O615" s="359"/>
      <c r="P615" s="359"/>
      <c r="Q615" s="359"/>
    </row>
    <row r="616" spans="2:17" ht="15.75" x14ac:dyDescent="0.25">
      <c r="B616" s="170" t="s">
        <v>118</v>
      </c>
      <c r="C616" s="162" t="s">
        <v>153</v>
      </c>
      <c r="D616" s="162" t="s">
        <v>154</v>
      </c>
      <c r="E616" s="162" t="s">
        <v>155</v>
      </c>
      <c r="F616" s="162" t="s">
        <v>156</v>
      </c>
      <c r="G616" s="162" t="s">
        <v>157</v>
      </c>
      <c r="H616" s="162" t="s">
        <v>158</v>
      </c>
      <c r="I616" s="162" t="s">
        <v>159</v>
      </c>
      <c r="J616" s="162" t="s">
        <v>160</v>
      </c>
      <c r="K616" s="162" t="s">
        <v>161</v>
      </c>
      <c r="L616" s="162" t="s">
        <v>162</v>
      </c>
      <c r="M616" s="162" t="s">
        <v>163</v>
      </c>
      <c r="N616" s="162" t="s">
        <v>166</v>
      </c>
      <c r="O616" s="162" t="s">
        <v>167</v>
      </c>
      <c r="P616" s="162" t="s">
        <v>168</v>
      </c>
      <c r="Q616" s="162" t="s">
        <v>169</v>
      </c>
    </row>
    <row r="617" spans="2:17" ht="15.75" x14ac:dyDescent="0.25">
      <c r="B617" s="175" t="s">
        <v>270</v>
      </c>
      <c r="C617" s="160">
        <v>592226</v>
      </c>
      <c r="D617" s="160">
        <v>581285</v>
      </c>
      <c r="E617" s="161">
        <f t="shared" ref="E617" si="188">(D617/C617)</f>
        <v>0.98152563379520652</v>
      </c>
      <c r="F617" s="288">
        <v>168038</v>
      </c>
      <c r="G617" s="159">
        <f t="shared" ref="G617" si="189">F617/D617</f>
        <v>0.28908022742716566</v>
      </c>
      <c r="H617" s="160">
        <v>113116</v>
      </c>
      <c r="I617" s="159">
        <f t="shared" ref="I617" si="190">H617/D617</f>
        <v>0.19459645440704645</v>
      </c>
      <c r="J617" s="160">
        <v>3747</v>
      </c>
      <c r="K617" s="159">
        <f t="shared" ref="K617" si="191">J617/D617</f>
        <v>6.4460634628452484E-3</v>
      </c>
      <c r="L617" s="160">
        <v>3398</v>
      </c>
      <c r="M617" s="159">
        <f t="shared" ref="M617" si="192">L617/D617</f>
        <v>5.8456695080726321E-3</v>
      </c>
      <c r="N617" s="160">
        <v>10941</v>
      </c>
      <c r="O617" s="159">
        <f t="shared" ref="O617" si="193">N617/C617</f>
        <v>1.8474366204793442E-2</v>
      </c>
      <c r="P617" s="160">
        <v>223</v>
      </c>
      <c r="Q617" s="159">
        <f t="shared" ref="Q617" si="194">P617/D617</f>
        <v>3.8363281350800382E-4</v>
      </c>
    </row>
    <row r="619" spans="2:17" ht="47.25" x14ac:dyDescent="0.25">
      <c r="B619" s="172" t="s">
        <v>501</v>
      </c>
      <c r="C619" s="359"/>
      <c r="D619" s="359"/>
      <c r="E619" s="359"/>
      <c r="F619" s="359"/>
      <c r="G619" s="359"/>
      <c r="H619" s="359"/>
      <c r="I619" s="359"/>
      <c r="J619" s="359"/>
      <c r="K619" s="359"/>
      <c r="L619" s="359"/>
      <c r="M619" s="359"/>
      <c r="N619" s="359"/>
      <c r="O619" s="359"/>
      <c r="P619" s="359"/>
      <c r="Q619" s="359"/>
    </row>
    <row r="620" spans="2:17" ht="15.75" x14ac:dyDescent="0.25">
      <c r="B620" s="170" t="s">
        <v>118</v>
      </c>
      <c r="C620" s="162" t="s">
        <v>153</v>
      </c>
      <c r="D620" s="162" t="s">
        <v>154</v>
      </c>
      <c r="E620" s="162" t="s">
        <v>155</v>
      </c>
      <c r="F620" s="162" t="s">
        <v>156</v>
      </c>
      <c r="G620" s="162" t="s">
        <v>157</v>
      </c>
      <c r="H620" s="162" t="s">
        <v>158</v>
      </c>
      <c r="I620" s="162" t="s">
        <v>159</v>
      </c>
      <c r="J620" s="162" t="s">
        <v>160</v>
      </c>
      <c r="K620" s="162" t="s">
        <v>161</v>
      </c>
      <c r="L620" s="162" t="s">
        <v>162</v>
      </c>
      <c r="M620" s="162" t="s">
        <v>163</v>
      </c>
      <c r="N620" s="162" t="s">
        <v>166</v>
      </c>
      <c r="O620" s="162" t="s">
        <v>167</v>
      </c>
      <c r="P620" s="162" t="s">
        <v>168</v>
      </c>
      <c r="Q620" s="162" t="s">
        <v>169</v>
      </c>
    </row>
    <row r="621" spans="2:17" ht="15.75" x14ac:dyDescent="0.25">
      <c r="B621" s="175" t="s">
        <v>270</v>
      </c>
      <c r="C621" s="160">
        <v>592531</v>
      </c>
      <c r="D621" s="160">
        <v>586967</v>
      </c>
      <c r="E621" s="161">
        <f t="shared" ref="E621" si="195">(D621/C621)</f>
        <v>0.99060977400338546</v>
      </c>
      <c r="F621" s="288">
        <v>168623</v>
      </c>
      <c r="G621" s="159">
        <f t="shared" ref="G621" si="196">F621/D621</f>
        <v>0.28727850117638642</v>
      </c>
      <c r="H621" s="160">
        <v>115025</v>
      </c>
      <c r="I621" s="159">
        <f t="shared" ref="I621" si="197">H621/D621</f>
        <v>0.19596502018001011</v>
      </c>
      <c r="J621" s="160">
        <v>5084</v>
      </c>
      <c r="K621" s="159">
        <f t="shared" ref="K621" si="198">J621/D621</f>
        <v>8.6614750062609987E-3</v>
      </c>
      <c r="L621" s="160">
        <v>4724</v>
      </c>
      <c r="M621" s="159">
        <f t="shared" ref="M621" si="199">L621/D621</f>
        <v>8.0481526218680096E-3</v>
      </c>
      <c r="N621" s="160">
        <v>5564</v>
      </c>
      <c r="O621" s="159">
        <f t="shared" ref="O621" si="200">N621/C621</f>
        <v>9.3902259966145239E-3</v>
      </c>
      <c r="P621" s="160">
        <v>247</v>
      </c>
      <c r="Q621" s="159">
        <f t="shared" ref="Q621" si="201">P621/D621</f>
        <v>4.2080730262519019E-4</v>
      </c>
    </row>
    <row r="623" spans="2:17" ht="47.25" x14ac:dyDescent="0.25">
      <c r="B623" s="172" t="s">
        <v>502</v>
      </c>
      <c r="C623" s="359"/>
      <c r="D623" s="359"/>
      <c r="E623" s="359"/>
      <c r="F623" s="359"/>
      <c r="G623" s="359"/>
      <c r="H623" s="359"/>
      <c r="I623" s="359"/>
      <c r="J623" s="359"/>
      <c r="K623" s="359"/>
      <c r="L623" s="359"/>
      <c r="M623" s="359"/>
      <c r="N623" s="359"/>
      <c r="O623" s="359"/>
      <c r="P623" s="359"/>
      <c r="Q623" s="359"/>
    </row>
    <row r="624" spans="2:17" ht="15.75" x14ac:dyDescent="0.25">
      <c r="B624" s="170" t="s">
        <v>118</v>
      </c>
      <c r="C624" s="162" t="s">
        <v>153</v>
      </c>
      <c r="D624" s="162" t="s">
        <v>154</v>
      </c>
      <c r="E624" s="162" t="s">
        <v>155</v>
      </c>
      <c r="F624" s="162" t="s">
        <v>156</v>
      </c>
      <c r="G624" s="162" t="s">
        <v>157</v>
      </c>
      <c r="H624" s="162" t="s">
        <v>158</v>
      </c>
      <c r="I624" s="162" t="s">
        <v>159</v>
      </c>
      <c r="J624" s="162" t="s">
        <v>160</v>
      </c>
      <c r="K624" s="162" t="s">
        <v>161</v>
      </c>
      <c r="L624" s="162" t="s">
        <v>162</v>
      </c>
      <c r="M624" s="162" t="s">
        <v>163</v>
      </c>
      <c r="N624" s="162" t="s">
        <v>166</v>
      </c>
      <c r="O624" s="162" t="s">
        <v>167</v>
      </c>
      <c r="P624" s="162" t="s">
        <v>168</v>
      </c>
      <c r="Q624" s="162" t="s">
        <v>169</v>
      </c>
    </row>
    <row r="625" spans="2:17" ht="15.75" x14ac:dyDescent="0.25">
      <c r="B625" s="175" t="s">
        <v>270</v>
      </c>
      <c r="C625" s="160">
        <v>592563</v>
      </c>
      <c r="D625" s="160">
        <v>581625</v>
      </c>
      <c r="E625" s="161">
        <f t="shared" ref="E625" si="202">(D625/C625)</f>
        <v>0.98154120321383553</v>
      </c>
      <c r="F625" s="288">
        <v>164131</v>
      </c>
      <c r="G625" s="159">
        <f t="shared" ref="G625" si="203">F625/D625</f>
        <v>0.28219385342789599</v>
      </c>
      <c r="H625" s="160">
        <v>110491</v>
      </c>
      <c r="I625" s="159">
        <f t="shared" ref="I625" si="204">H625/D625</f>
        <v>0.18996948205458844</v>
      </c>
      <c r="J625" s="160">
        <v>6238</v>
      </c>
      <c r="K625" s="159">
        <f t="shared" ref="K625" si="205">J625/D625</f>
        <v>1.0725123576187406E-2</v>
      </c>
      <c r="L625" s="160">
        <v>5843</v>
      </c>
      <c r="M625" s="159">
        <f t="shared" ref="M625" si="206">L625/D625</f>
        <v>1.0045991833225876E-2</v>
      </c>
      <c r="N625" s="160">
        <v>10938</v>
      </c>
      <c r="O625" s="159">
        <f t="shared" ref="O625" si="207">N625/C625</f>
        <v>1.8458796786164508E-2</v>
      </c>
      <c r="P625" s="160">
        <v>199</v>
      </c>
      <c r="Q625" s="159">
        <f t="shared" ref="Q625" si="208">P625/D625</f>
        <v>3.4214485278315064E-4</v>
      </c>
    </row>
    <row r="627" spans="2:17" ht="31.5" x14ac:dyDescent="0.25">
      <c r="B627" s="185" t="s">
        <v>263</v>
      </c>
      <c r="C627" s="158" t="s">
        <v>153</v>
      </c>
      <c r="D627" s="158" t="s">
        <v>154</v>
      </c>
      <c r="E627" s="158" t="s">
        <v>155</v>
      </c>
      <c r="F627" s="158" t="s">
        <v>156</v>
      </c>
      <c r="G627" s="158" t="s">
        <v>157</v>
      </c>
      <c r="H627" s="158" t="s">
        <v>158</v>
      </c>
      <c r="I627" s="158" t="s">
        <v>159</v>
      </c>
      <c r="J627" s="158" t="s">
        <v>160</v>
      </c>
      <c r="K627" s="158" t="s">
        <v>161</v>
      </c>
      <c r="L627" s="158" t="s">
        <v>162</v>
      </c>
      <c r="M627" s="158" t="s">
        <v>163</v>
      </c>
      <c r="N627" s="158" t="s">
        <v>166</v>
      </c>
      <c r="O627" s="158" t="s">
        <v>167</v>
      </c>
      <c r="P627" s="158" t="s">
        <v>168</v>
      </c>
      <c r="Q627" s="158" t="s">
        <v>169</v>
      </c>
    </row>
    <row r="628" spans="2:17" x14ac:dyDescent="0.2">
      <c r="B628" s="133"/>
      <c r="C628" s="157">
        <f>SUM(C597:C625)</f>
        <v>4737648</v>
      </c>
      <c r="D628" s="157">
        <f>SUM(D597:D625)</f>
        <v>4681433</v>
      </c>
      <c r="E628" s="156">
        <f>D628/C628</f>
        <v>0.98813440762167215</v>
      </c>
      <c r="F628" s="157">
        <f>SUM(F597:F625)</f>
        <v>1521831</v>
      </c>
      <c r="G628" s="156">
        <f>F628/D628</f>
        <v>0.32507802632228211</v>
      </c>
      <c r="H628" s="157">
        <f>SUM(H597:H625)</f>
        <v>944760</v>
      </c>
      <c r="I628" s="156">
        <f>H628/D628</f>
        <v>0.20181000133933349</v>
      </c>
      <c r="J628" s="157">
        <f>SUM(J597:J625)</f>
        <v>128387</v>
      </c>
      <c r="K628" s="156">
        <f>J628/D628</f>
        <v>2.7424722301910547E-2</v>
      </c>
      <c r="L628" s="157">
        <f>SUM(L597:L625)</f>
        <v>111870</v>
      </c>
      <c r="M628" s="156">
        <f>L628/D628</f>
        <v>2.3896529118327656E-2</v>
      </c>
      <c r="N628" s="157">
        <f>SUM(N597:N625)</f>
        <v>56215</v>
      </c>
      <c r="O628" s="156">
        <f>N628/C628</f>
        <v>1.1865592378327811E-2</v>
      </c>
      <c r="P628" s="157">
        <f>SUM(P597:P625)</f>
        <v>1142</v>
      </c>
      <c r="Q628" s="156">
        <f>P628/D628</f>
        <v>2.4394239968830058E-4</v>
      </c>
    </row>
    <row r="630" spans="2:17" s="359" customFormat="1" ht="31.5" x14ac:dyDescent="0.25">
      <c r="B630" s="172" t="s">
        <v>512</v>
      </c>
    </row>
    <row r="631" spans="2:17" s="359" customFormat="1" ht="15.75" x14ac:dyDescent="0.25">
      <c r="B631" s="170" t="s">
        <v>118</v>
      </c>
      <c r="C631" s="162" t="s">
        <v>153</v>
      </c>
      <c r="D631" s="162" t="s">
        <v>154</v>
      </c>
      <c r="E631" s="162" t="s">
        <v>155</v>
      </c>
      <c r="F631" s="162" t="s">
        <v>156</v>
      </c>
      <c r="G631" s="162" t="s">
        <v>157</v>
      </c>
      <c r="H631" s="162" t="s">
        <v>158</v>
      </c>
      <c r="I631" s="162" t="s">
        <v>159</v>
      </c>
      <c r="J631" s="162" t="s">
        <v>160</v>
      </c>
      <c r="K631" s="162" t="s">
        <v>161</v>
      </c>
      <c r="L631" s="162" t="s">
        <v>162</v>
      </c>
      <c r="M631" s="162" t="s">
        <v>163</v>
      </c>
      <c r="N631" s="162" t="s">
        <v>166</v>
      </c>
      <c r="O631" s="162" t="s">
        <v>167</v>
      </c>
      <c r="P631" s="162" t="s">
        <v>168</v>
      </c>
      <c r="Q631" s="162" t="s">
        <v>169</v>
      </c>
    </row>
    <row r="632" spans="2:17" s="359" customFormat="1" ht="15.75" x14ac:dyDescent="0.25">
      <c r="B632" s="175" t="s">
        <v>270</v>
      </c>
      <c r="C632" s="160">
        <v>1185275</v>
      </c>
      <c r="D632" s="160">
        <v>1171512</v>
      </c>
      <c r="E632" s="161">
        <v>0.99099999999999999</v>
      </c>
      <c r="F632" s="288">
        <v>335336</v>
      </c>
      <c r="G632" s="159">
        <f t="shared" ref="G632" si="209">F632/D632</f>
        <v>0.28624205300500549</v>
      </c>
      <c r="H632" s="160">
        <v>222522</v>
      </c>
      <c r="I632" s="159">
        <f t="shared" ref="I632" si="210">H632/D632</f>
        <v>0.18994427713928666</v>
      </c>
      <c r="J632" s="160">
        <v>13144</v>
      </c>
      <c r="K632" s="159">
        <f t="shared" ref="K632" si="211">J632/D632</f>
        <v>1.1219688744118711E-2</v>
      </c>
      <c r="L632" s="160">
        <v>11934</v>
      </c>
      <c r="M632" s="159">
        <f t="shared" ref="M632" si="212">L632/D632</f>
        <v>1.0186835474156474E-2</v>
      </c>
      <c r="N632" s="160">
        <v>13763</v>
      </c>
      <c r="O632" s="159">
        <f t="shared" ref="O632" si="213">N632/C632</f>
        <v>1.1611651304549577E-2</v>
      </c>
      <c r="P632" s="160">
        <v>404</v>
      </c>
      <c r="Q632" s="159">
        <f t="shared" ref="Q632" si="214">P632/D632</f>
        <v>3.4485348848325927E-4</v>
      </c>
    </row>
    <row r="633" spans="2:17" s="359" customFormat="1" x14ac:dyDescent="0.2"/>
    <row r="634" spans="2:17" ht="47.25" x14ac:dyDescent="0.25">
      <c r="B634" s="172" t="s">
        <v>507</v>
      </c>
      <c r="C634" s="359"/>
      <c r="D634" s="359"/>
      <c r="E634" s="359"/>
      <c r="F634" s="359"/>
      <c r="G634" s="359"/>
      <c r="H634" s="359"/>
      <c r="I634" s="359"/>
      <c r="J634" s="359"/>
      <c r="K634" s="359"/>
      <c r="L634" s="359"/>
      <c r="M634" s="359"/>
      <c r="N634" s="359"/>
      <c r="O634" s="359"/>
      <c r="P634" s="359"/>
      <c r="Q634" s="359"/>
    </row>
    <row r="635" spans="2:17" ht="15.75" x14ac:dyDescent="0.25">
      <c r="B635" s="170" t="s">
        <v>118</v>
      </c>
      <c r="C635" s="162" t="s">
        <v>153</v>
      </c>
      <c r="D635" s="162" t="s">
        <v>154</v>
      </c>
      <c r="E635" s="162" t="s">
        <v>155</v>
      </c>
      <c r="F635" s="162" t="s">
        <v>156</v>
      </c>
      <c r="G635" s="162" t="s">
        <v>157</v>
      </c>
      <c r="H635" s="162" t="s">
        <v>158</v>
      </c>
      <c r="I635" s="162" t="s">
        <v>159</v>
      </c>
      <c r="J635" s="162" t="s">
        <v>160</v>
      </c>
      <c r="K635" s="162" t="s">
        <v>161</v>
      </c>
      <c r="L635" s="162" t="s">
        <v>162</v>
      </c>
      <c r="M635" s="162" t="s">
        <v>163</v>
      </c>
      <c r="N635" s="162" t="s">
        <v>166</v>
      </c>
      <c r="O635" s="162" t="s">
        <v>167</v>
      </c>
      <c r="P635" s="162" t="s">
        <v>168</v>
      </c>
      <c r="Q635" s="162" t="s">
        <v>169</v>
      </c>
    </row>
    <row r="636" spans="2:17" ht="15.75" x14ac:dyDescent="0.25">
      <c r="B636" s="175" t="s">
        <v>270</v>
      </c>
      <c r="C636" s="160">
        <v>592158</v>
      </c>
      <c r="D636" s="160">
        <v>586921</v>
      </c>
      <c r="E636" s="161">
        <v>0.99099999999999999</v>
      </c>
      <c r="F636" s="288">
        <v>254158</v>
      </c>
      <c r="G636" s="159">
        <f t="shared" ref="G636" si="215">F636/D636</f>
        <v>0.43303613263113777</v>
      </c>
      <c r="H636" s="160">
        <v>146085</v>
      </c>
      <c r="I636" s="159">
        <f t="shared" ref="I636" si="216">H636/D636</f>
        <v>0.24890061865225474</v>
      </c>
      <c r="J636" s="160">
        <v>17748</v>
      </c>
      <c r="K636" s="159">
        <f t="shared" ref="K636" si="217">J636/D636</f>
        <v>3.0239163362701285E-2</v>
      </c>
      <c r="L636" s="160">
        <v>16088</v>
      </c>
      <c r="M636" s="159">
        <f t="shared" ref="M636" si="218">L636/D636</f>
        <v>2.7410844048858365E-2</v>
      </c>
      <c r="N636" s="160">
        <v>5237</v>
      </c>
      <c r="O636" s="159">
        <f t="shared" ref="O636" si="219">N636/C636</f>
        <v>8.8439234123325189E-3</v>
      </c>
      <c r="P636" s="160">
        <v>216</v>
      </c>
      <c r="Q636" s="159">
        <f t="shared" ref="Q636" si="220">P636/D636</f>
        <v>3.6802227216269312E-4</v>
      </c>
    </row>
    <row r="638" spans="2:17" ht="47.25" x14ac:dyDescent="0.25">
      <c r="B638" s="172" t="s">
        <v>508</v>
      </c>
      <c r="C638" s="359"/>
      <c r="D638" s="359"/>
      <c r="E638" s="359"/>
      <c r="F638" s="359"/>
      <c r="G638" s="359"/>
      <c r="H638" s="359"/>
      <c r="I638" s="359"/>
      <c r="J638" s="359"/>
      <c r="K638" s="359"/>
      <c r="L638" s="359"/>
      <c r="M638" s="359"/>
      <c r="N638" s="359"/>
      <c r="O638" s="359"/>
      <c r="P638" s="359"/>
      <c r="Q638" s="359"/>
    </row>
    <row r="639" spans="2:17" ht="15.75" x14ac:dyDescent="0.25">
      <c r="B639" s="170" t="s">
        <v>118</v>
      </c>
      <c r="C639" s="162" t="s">
        <v>153</v>
      </c>
      <c r="D639" s="162" t="s">
        <v>154</v>
      </c>
      <c r="E639" s="162" t="s">
        <v>155</v>
      </c>
      <c r="F639" s="162" t="s">
        <v>156</v>
      </c>
      <c r="G639" s="162" t="s">
        <v>157</v>
      </c>
      <c r="H639" s="162" t="s">
        <v>158</v>
      </c>
      <c r="I639" s="162" t="s">
        <v>159</v>
      </c>
      <c r="J639" s="162" t="s">
        <v>160</v>
      </c>
      <c r="K639" s="162" t="s">
        <v>161</v>
      </c>
      <c r="L639" s="162" t="s">
        <v>162</v>
      </c>
      <c r="M639" s="162" t="s">
        <v>163</v>
      </c>
      <c r="N639" s="162" t="s">
        <v>166</v>
      </c>
      <c r="O639" s="162" t="s">
        <v>167</v>
      </c>
      <c r="P639" s="162" t="s">
        <v>168</v>
      </c>
      <c r="Q639" s="162" t="s">
        <v>169</v>
      </c>
    </row>
    <row r="640" spans="2:17" ht="15.75" x14ac:dyDescent="0.25">
      <c r="B640" s="175" t="s">
        <v>270</v>
      </c>
      <c r="C640" s="160">
        <v>592192</v>
      </c>
      <c r="D640" s="160">
        <v>586125</v>
      </c>
      <c r="E640" s="161">
        <v>0.99</v>
      </c>
      <c r="F640" s="288">
        <v>240130</v>
      </c>
      <c r="G640" s="159">
        <f t="shared" ref="G640" si="221">F640/D640</f>
        <v>0.40969076562166773</v>
      </c>
      <c r="H640" s="160">
        <v>138971</v>
      </c>
      <c r="I640" s="159">
        <f t="shared" ref="I640" si="222">H640/D640</f>
        <v>0.23710130091703988</v>
      </c>
      <c r="J640" s="160">
        <v>12619</v>
      </c>
      <c r="K640" s="159">
        <f t="shared" ref="K640" si="223">J640/D640</f>
        <v>2.1529537214757945E-2</v>
      </c>
      <c r="L640" s="160">
        <v>11356</v>
      </c>
      <c r="M640" s="159">
        <f t="shared" ref="M640" si="224">L640/D640</f>
        <v>1.9374706760503305E-2</v>
      </c>
      <c r="N640" s="160">
        <v>6067</v>
      </c>
      <c r="O640" s="159">
        <f t="shared" ref="O640" si="225">N640/C640</f>
        <v>1.0244988111963687E-2</v>
      </c>
      <c r="P640" s="160">
        <v>208</v>
      </c>
      <c r="Q640" s="159">
        <f t="shared" ref="Q640" si="226">P640/D640</f>
        <v>3.5487310727233952E-4</v>
      </c>
    </row>
    <row r="642" spans="2:17" ht="31.5" x14ac:dyDescent="0.25">
      <c r="B642" s="172" t="s">
        <v>509</v>
      </c>
      <c r="C642" s="359"/>
      <c r="D642" s="359"/>
      <c r="E642" s="359"/>
      <c r="F642" s="359"/>
      <c r="G642" s="359"/>
      <c r="H642" s="359"/>
      <c r="I642" s="359"/>
      <c r="J642" s="359"/>
      <c r="K642" s="359"/>
      <c r="L642" s="359"/>
      <c r="M642" s="359"/>
      <c r="N642" s="359"/>
      <c r="O642" s="359"/>
      <c r="P642" s="359"/>
      <c r="Q642" s="359"/>
    </row>
    <row r="643" spans="2:17" ht="15.75" x14ac:dyDescent="0.25">
      <c r="B643" s="170" t="s">
        <v>118</v>
      </c>
      <c r="C643" s="162" t="s">
        <v>153</v>
      </c>
      <c r="D643" s="162" t="s">
        <v>154</v>
      </c>
      <c r="E643" s="162" t="s">
        <v>155</v>
      </c>
      <c r="F643" s="162" t="s">
        <v>156</v>
      </c>
      <c r="G643" s="162" t="s">
        <v>157</v>
      </c>
      <c r="H643" s="162" t="s">
        <v>158</v>
      </c>
      <c r="I643" s="162" t="s">
        <v>159</v>
      </c>
      <c r="J643" s="162" t="s">
        <v>160</v>
      </c>
      <c r="K643" s="162" t="s">
        <v>161</v>
      </c>
      <c r="L643" s="162" t="s">
        <v>162</v>
      </c>
      <c r="M643" s="162" t="s">
        <v>163</v>
      </c>
      <c r="N643" s="162" t="s">
        <v>166</v>
      </c>
      <c r="O643" s="162" t="s">
        <v>167</v>
      </c>
      <c r="P643" s="162" t="s">
        <v>168</v>
      </c>
      <c r="Q643" s="162" t="s">
        <v>169</v>
      </c>
    </row>
    <row r="644" spans="2:17" ht="15.75" x14ac:dyDescent="0.25">
      <c r="B644" s="175" t="s">
        <v>270</v>
      </c>
      <c r="C644" s="160">
        <v>592549</v>
      </c>
      <c r="D644" s="160">
        <v>586893</v>
      </c>
      <c r="E644" s="161">
        <v>0.99</v>
      </c>
      <c r="F644" s="288">
        <v>197219</v>
      </c>
      <c r="G644" s="159">
        <f t="shared" ref="G644" si="227">F644/D644</f>
        <v>0.33603910763972311</v>
      </c>
      <c r="H644" s="160">
        <v>122338</v>
      </c>
      <c r="I644" s="159">
        <f t="shared" ref="I644" si="228">H644/D644</f>
        <v>0.20845026265435096</v>
      </c>
      <c r="J644" s="160">
        <v>7979</v>
      </c>
      <c r="K644" s="159">
        <f t="shared" ref="K644" si="229">J644/D644</f>
        <v>1.3595323167936916E-2</v>
      </c>
      <c r="L644" s="160">
        <v>5894</v>
      </c>
      <c r="M644" s="159">
        <f t="shared" ref="M644" si="230">L644/D644</f>
        <v>1.0042716474723672E-2</v>
      </c>
      <c r="N644" s="160">
        <v>5656</v>
      </c>
      <c r="O644" s="159">
        <f t="shared" ref="O644" si="231">N644/C644</f>
        <v>9.545202168934553E-3</v>
      </c>
      <c r="P644" s="160">
        <v>203</v>
      </c>
      <c r="Q644" s="159">
        <f t="shared" ref="Q644" si="232">P644/D644</f>
        <v>3.4588928475889132E-4</v>
      </c>
    </row>
    <row r="646" spans="2:17" ht="31.5" x14ac:dyDescent="0.25">
      <c r="B646" s="172" t="s">
        <v>510</v>
      </c>
      <c r="C646" s="359"/>
      <c r="D646" s="359"/>
      <c r="E646" s="359"/>
      <c r="F646" s="359"/>
      <c r="G646" s="359"/>
      <c r="H646" s="359"/>
      <c r="I646" s="359"/>
      <c r="J646" s="359"/>
      <c r="K646" s="359"/>
      <c r="L646" s="359"/>
      <c r="M646" s="359"/>
      <c r="N646" s="359"/>
      <c r="O646" s="359"/>
      <c r="P646" s="359"/>
      <c r="Q646" s="359"/>
    </row>
    <row r="647" spans="2:17" ht="15.75" x14ac:dyDescent="0.25">
      <c r="B647" s="170" t="s">
        <v>118</v>
      </c>
      <c r="C647" s="162" t="s">
        <v>153</v>
      </c>
      <c r="D647" s="162" t="s">
        <v>154</v>
      </c>
      <c r="E647" s="162" t="s">
        <v>155</v>
      </c>
      <c r="F647" s="162" t="s">
        <v>156</v>
      </c>
      <c r="G647" s="162" t="s">
        <v>157</v>
      </c>
      <c r="H647" s="162" t="s">
        <v>158</v>
      </c>
      <c r="I647" s="162" t="s">
        <v>159</v>
      </c>
      <c r="J647" s="162" t="s">
        <v>160</v>
      </c>
      <c r="K647" s="162" t="s">
        <v>161</v>
      </c>
      <c r="L647" s="162" t="s">
        <v>162</v>
      </c>
      <c r="M647" s="162" t="s">
        <v>163</v>
      </c>
      <c r="N647" s="162" t="s">
        <v>166</v>
      </c>
      <c r="O647" s="162" t="s">
        <v>167</v>
      </c>
      <c r="P647" s="162" t="s">
        <v>168</v>
      </c>
      <c r="Q647" s="162" t="s">
        <v>169</v>
      </c>
    </row>
    <row r="648" spans="2:17" ht="15.75" x14ac:dyDescent="0.25">
      <c r="B648" s="175" t="s">
        <v>270</v>
      </c>
      <c r="C648" s="160">
        <v>592820</v>
      </c>
      <c r="D648" s="160">
        <v>584978</v>
      </c>
      <c r="E648" s="161">
        <v>0.98699999999999999</v>
      </c>
      <c r="F648" s="288">
        <v>185258</v>
      </c>
      <c r="G648" s="159">
        <f t="shared" ref="G648" si="233">F648/D648</f>
        <v>0.31669225167442194</v>
      </c>
      <c r="H648" s="288">
        <v>119282</v>
      </c>
      <c r="I648" s="159">
        <f t="shared" ref="I648" si="234">H648/D648</f>
        <v>0.20390852305556789</v>
      </c>
      <c r="J648" s="160">
        <v>7772</v>
      </c>
      <c r="K648" s="159">
        <f t="shared" ref="K648" si="235">J648/D648</f>
        <v>1.3285969728776124E-2</v>
      </c>
      <c r="L648" s="160">
        <v>5894</v>
      </c>
      <c r="M648" s="159">
        <f t="shared" ref="M648" si="236">L648/D648</f>
        <v>1.0075592586387865E-2</v>
      </c>
      <c r="N648" s="160">
        <v>7842</v>
      </c>
      <c r="O648" s="159">
        <f t="shared" ref="O648" si="237">N648/C648</f>
        <v>1.3228298640396747E-2</v>
      </c>
      <c r="P648" s="160">
        <v>188</v>
      </c>
      <c r="Q648" s="159">
        <f t="shared" ref="Q648" si="238">P648/D648</f>
        <v>3.2137960743822846E-4</v>
      </c>
    </row>
    <row r="651" spans="2:17" ht="31.5" x14ac:dyDescent="0.25">
      <c r="B651" s="185" t="s">
        <v>350</v>
      </c>
      <c r="C651" s="158" t="s">
        <v>153</v>
      </c>
      <c r="D651" s="158" t="s">
        <v>154</v>
      </c>
      <c r="E651" s="158" t="s">
        <v>155</v>
      </c>
      <c r="F651" s="158" t="s">
        <v>156</v>
      </c>
      <c r="G651" s="158" t="s">
        <v>157</v>
      </c>
      <c r="H651" s="158" t="s">
        <v>158</v>
      </c>
      <c r="I651" s="158" t="s">
        <v>159</v>
      </c>
      <c r="J651" s="158" t="s">
        <v>160</v>
      </c>
      <c r="K651" s="158" t="s">
        <v>161</v>
      </c>
      <c r="L651" s="158" t="s">
        <v>162</v>
      </c>
      <c r="M651" s="158" t="s">
        <v>163</v>
      </c>
      <c r="N651" s="158" t="s">
        <v>166</v>
      </c>
      <c r="O651" s="158" t="s">
        <v>167</v>
      </c>
      <c r="P651" s="158" t="s">
        <v>168</v>
      </c>
      <c r="Q651" s="158" t="s">
        <v>169</v>
      </c>
    </row>
    <row r="652" spans="2:17" x14ac:dyDescent="0.2">
      <c r="B652" s="133"/>
      <c r="C652" s="157">
        <f>SUM(C632:C648)</f>
        <v>3554994</v>
      </c>
      <c r="D652" s="157">
        <f>SUM(D632:D648)</f>
        <v>3516429</v>
      </c>
      <c r="E652" s="156">
        <f>D652/C652</f>
        <v>0.98915188042511459</v>
      </c>
      <c r="F652" s="157">
        <f>SUM(F632:F648)</f>
        <v>1212101</v>
      </c>
      <c r="G652" s="156">
        <f>F652/D652</f>
        <v>0.34469656574894586</v>
      </c>
      <c r="H652" s="157">
        <f>SUM(H632:H648)</f>
        <v>749198</v>
      </c>
      <c r="I652" s="156">
        <f>H652/D652</f>
        <v>0.21305648429130802</v>
      </c>
      <c r="J652" s="157">
        <f>SUM(J632:J648)</f>
        <v>59262</v>
      </c>
      <c r="K652" s="156">
        <f>J652/D652</f>
        <v>1.6852892522499389E-2</v>
      </c>
      <c r="L652" s="157">
        <f>SUM(L632:L648)</f>
        <v>51166</v>
      </c>
      <c r="M652" s="156">
        <f>L652/D652</f>
        <v>1.4550556829101341E-2</v>
      </c>
      <c r="N652" s="157">
        <f>SUM(N632:N648)</f>
        <v>38565</v>
      </c>
      <c r="O652" s="156">
        <f>N652/C652</f>
        <v>1.0848119574885358E-2</v>
      </c>
      <c r="P652" s="157">
        <f>SUM(P632:P648)</f>
        <v>1219</v>
      </c>
      <c r="Q652" s="156">
        <f>P652/D652</f>
        <v>3.4665849929004682E-4</v>
      </c>
    </row>
  </sheetData>
  <mergeCells count="15">
    <mergeCell ref="C179:R179"/>
    <mergeCell ref="C183:R183"/>
    <mergeCell ref="C155:R155"/>
    <mergeCell ref="C159:R159"/>
    <mergeCell ref="C163:R163"/>
    <mergeCell ref="C167:R167"/>
    <mergeCell ref="C171:R171"/>
    <mergeCell ref="C175:R175"/>
    <mergeCell ref="B14:G14"/>
    <mergeCell ref="C151:R151"/>
    <mergeCell ref="B45:J45"/>
    <mergeCell ref="B71:J71"/>
    <mergeCell ref="B85:J85"/>
    <mergeCell ref="B89:C89"/>
    <mergeCell ref="B100:J101"/>
  </mergeCells>
  <pageMargins left="0.7" right="0.7" top="0.75" bottom="0.75" header="0.3" footer="0.3"/>
  <pageSetup orientation="portrait" horizontalDpi="4294967293" verticalDpi="4294967293" r:id="rId1"/>
  <ignoredErrors>
    <ignoredError sqref="I508"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T51"/>
  <sheetViews>
    <sheetView topLeftCell="A18" zoomScale="85" zoomScaleNormal="85" zoomScalePageLayoutView="80" workbookViewId="0">
      <selection activeCell="O63" sqref="O63"/>
    </sheetView>
  </sheetViews>
  <sheetFormatPr defaultColWidth="10.85546875" defaultRowHeight="15.75" x14ac:dyDescent="0.25"/>
  <cols>
    <col min="1" max="1" width="10.85546875" style="303"/>
    <col min="2" max="2" width="13.85546875" style="303" customWidth="1"/>
    <col min="3" max="3" width="15.85546875" style="303" customWidth="1"/>
    <col min="4" max="4" width="15.140625" style="303" customWidth="1"/>
    <col min="5" max="5" width="13.42578125" style="303" bestFit="1" customWidth="1"/>
    <col min="6" max="6" width="15.85546875" style="303" customWidth="1"/>
    <col min="7" max="7" width="17.28515625" style="303" customWidth="1"/>
    <col min="8" max="8" width="17.42578125" style="303" customWidth="1"/>
    <col min="9" max="9" width="20.42578125" style="303" customWidth="1"/>
    <col min="10" max="10" width="16.85546875" style="303" customWidth="1"/>
    <col min="11" max="11" width="13.42578125" style="303" customWidth="1"/>
    <col min="12" max="13" width="0" style="303" hidden="1" customWidth="1"/>
    <col min="14" max="14" width="16.42578125" style="304" customWidth="1"/>
    <col min="15" max="15" width="14.7109375" style="304" customWidth="1"/>
    <col min="16" max="16" width="16.28515625" style="304" customWidth="1"/>
    <col min="17" max="17" width="17" style="304" customWidth="1"/>
    <col min="18" max="19" width="13.7109375" style="304" customWidth="1"/>
    <col min="20" max="20" width="5" style="62" customWidth="1"/>
    <col min="21" max="16384" width="10.85546875" style="62"/>
  </cols>
  <sheetData>
    <row r="1" spans="1:20" hidden="1" x14ac:dyDescent="0.25">
      <c r="A1" s="300" t="s">
        <v>215</v>
      </c>
      <c r="B1" s="542" t="s">
        <v>216</v>
      </c>
      <c r="C1" s="543"/>
      <c r="D1" s="543"/>
      <c r="E1" s="543"/>
      <c r="F1" s="543"/>
      <c r="G1" s="543"/>
      <c r="H1" s="543"/>
      <c r="I1" s="543"/>
      <c r="J1" s="543"/>
      <c r="K1" s="301"/>
      <c r="L1" s="61"/>
      <c r="M1" s="61"/>
      <c r="N1" s="538" t="s">
        <v>217</v>
      </c>
      <c r="O1" s="539"/>
      <c r="P1" s="539"/>
      <c r="Q1" s="539"/>
      <c r="R1" s="539"/>
      <c r="S1" s="539"/>
    </row>
    <row r="2" spans="1:20" ht="15" hidden="1" customHeight="1" x14ac:dyDescent="0.25">
      <c r="A2" s="78"/>
      <c r="B2" s="79"/>
      <c r="C2" s="80"/>
      <c r="D2" s="80"/>
      <c r="E2" s="544" t="s">
        <v>218</v>
      </c>
      <c r="F2" s="545"/>
      <c r="G2" s="546"/>
      <c r="H2" s="81"/>
      <c r="I2" s="547" t="s">
        <v>219</v>
      </c>
      <c r="J2" s="548"/>
      <c r="K2" s="549"/>
      <c r="L2" s="550" t="s">
        <v>220</v>
      </c>
      <c r="M2" s="551"/>
      <c r="N2" s="540" t="s">
        <v>221</v>
      </c>
      <c r="O2" s="541"/>
      <c r="P2" s="541"/>
      <c r="Q2" s="541"/>
      <c r="R2" s="541"/>
      <c r="S2" s="541"/>
    </row>
    <row r="3" spans="1:20" ht="27.95" hidden="1" customHeight="1" x14ac:dyDescent="0.25">
      <c r="A3" s="63" t="s">
        <v>222</v>
      </c>
      <c r="B3" s="65" t="s">
        <v>223</v>
      </c>
      <c r="C3" s="65" t="s">
        <v>224</v>
      </c>
      <c r="D3" s="64"/>
      <c r="E3" s="327" t="s">
        <v>225</v>
      </c>
      <c r="F3" s="327" t="s">
        <v>226</v>
      </c>
      <c r="G3" s="327" t="s">
        <v>227</v>
      </c>
      <c r="H3" s="64"/>
      <c r="I3" s="65" t="s">
        <v>228</v>
      </c>
      <c r="J3" s="65" t="s">
        <v>229</v>
      </c>
      <c r="K3" s="65" t="s">
        <v>230</v>
      </c>
      <c r="L3" s="328" t="s">
        <v>231</v>
      </c>
      <c r="M3" s="329" t="s">
        <v>232</v>
      </c>
      <c r="N3" s="330" t="s">
        <v>226</v>
      </c>
      <c r="O3" s="330" t="s">
        <v>225</v>
      </c>
      <c r="P3" s="330" t="s">
        <v>213</v>
      </c>
      <c r="Q3" s="331" t="s">
        <v>214</v>
      </c>
      <c r="R3" s="331" t="s">
        <v>239</v>
      </c>
      <c r="S3" s="331" t="s">
        <v>240</v>
      </c>
    </row>
    <row r="4" spans="1:20" ht="27" hidden="1" customHeight="1" x14ac:dyDescent="0.25">
      <c r="A4" s="66">
        <v>41913</v>
      </c>
      <c r="B4" s="67">
        <v>82</v>
      </c>
      <c r="C4" s="67">
        <v>37</v>
      </c>
      <c r="D4" s="81"/>
      <c r="E4" s="68">
        <v>65</v>
      </c>
      <c r="F4" s="67">
        <v>16</v>
      </c>
      <c r="G4" s="67">
        <v>0</v>
      </c>
      <c r="H4" s="81"/>
      <c r="I4" s="67">
        <v>11</v>
      </c>
      <c r="J4" s="67">
        <v>0</v>
      </c>
      <c r="K4" s="67">
        <v>0</v>
      </c>
      <c r="L4" s="69"/>
      <c r="M4" s="67"/>
      <c r="N4" s="75">
        <v>0</v>
      </c>
      <c r="O4" s="75">
        <v>0</v>
      </c>
      <c r="P4" s="75">
        <v>0</v>
      </c>
      <c r="Q4" s="75">
        <v>0</v>
      </c>
      <c r="R4" s="75">
        <v>0</v>
      </c>
      <c r="S4" s="75">
        <v>0</v>
      </c>
      <c r="T4" s="81"/>
    </row>
    <row r="5" spans="1:20" ht="30" hidden="1" customHeight="1" x14ac:dyDescent="0.25">
      <c r="A5" s="66">
        <v>41944</v>
      </c>
      <c r="B5" s="67">
        <v>297</v>
      </c>
      <c r="C5" s="67">
        <v>229</v>
      </c>
      <c r="D5" s="81"/>
      <c r="E5" s="68">
        <v>119</v>
      </c>
      <c r="F5" s="67">
        <v>175</v>
      </c>
      <c r="G5" s="67">
        <v>3</v>
      </c>
      <c r="H5" s="81"/>
      <c r="I5" s="67">
        <v>250</v>
      </c>
      <c r="J5" s="67">
        <v>232</v>
      </c>
      <c r="K5" s="70">
        <v>0.78114478114478114</v>
      </c>
      <c r="L5" s="71"/>
      <c r="M5" s="71"/>
      <c r="N5" s="75">
        <v>0</v>
      </c>
      <c r="O5" s="75">
        <v>0</v>
      </c>
      <c r="P5" s="75">
        <v>314</v>
      </c>
      <c r="Q5" s="75">
        <v>82</v>
      </c>
      <c r="R5" s="75">
        <v>7</v>
      </c>
      <c r="S5" s="75">
        <v>12</v>
      </c>
      <c r="T5" s="81"/>
    </row>
    <row r="6" spans="1:20" ht="54.95" hidden="1" customHeight="1" x14ac:dyDescent="0.25">
      <c r="A6" s="66">
        <v>41974</v>
      </c>
      <c r="B6" s="67">
        <v>1006</v>
      </c>
      <c r="C6" s="67">
        <v>884</v>
      </c>
      <c r="D6" s="81"/>
      <c r="E6" s="68">
        <v>214</v>
      </c>
      <c r="F6" s="67">
        <v>791</v>
      </c>
      <c r="G6" s="67">
        <v>1</v>
      </c>
      <c r="H6" s="81"/>
      <c r="I6" s="67">
        <v>871</v>
      </c>
      <c r="J6" s="67">
        <v>808</v>
      </c>
      <c r="K6" s="70">
        <v>0.80318091451292251</v>
      </c>
      <c r="L6" s="71"/>
      <c r="M6" s="71"/>
      <c r="N6" s="75">
        <v>0</v>
      </c>
      <c r="O6" s="75">
        <v>0</v>
      </c>
      <c r="P6" s="75">
        <v>1232</v>
      </c>
      <c r="Q6" s="75">
        <v>164</v>
      </c>
      <c r="R6" s="75">
        <v>2</v>
      </c>
      <c r="S6" s="75">
        <v>0</v>
      </c>
      <c r="T6" s="81"/>
    </row>
    <row r="7" spans="1:20" hidden="1" x14ac:dyDescent="0.25">
      <c r="A7" s="66">
        <v>42005</v>
      </c>
      <c r="B7" s="82">
        <v>1162</v>
      </c>
      <c r="C7" s="82">
        <v>1000</v>
      </c>
      <c r="D7" s="81"/>
      <c r="E7" s="83">
        <v>400</v>
      </c>
      <c r="F7" s="83">
        <v>756</v>
      </c>
      <c r="G7" s="83">
        <v>3</v>
      </c>
      <c r="H7" s="81"/>
      <c r="I7" s="83">
        <v>994</v>
      </c>
      <c r="J7" s="83">
        <v>273</v>
      </c>
      <c r="K7" s="70">
        <v>0.23493975903614459</v>
      </c>
      <c r="L7" s="81"/>
      <c r="M7" s="81"/>
      <c r="N7" s="84">
        <v>113</v>
      </c>
      <c r="O7" s="85">
        <v>64</v>
      </c>
      <c r="P7" s="86">
        <v>1916</v>
      </c>
      <c r="Q7" s="85">
        <v>343</v>
      </c>
      <c r="R7" s="85">
        <v>4</v>
      </c>
      <c r="S7" s="85">
        <v>0</v>
      </c>
      <c r="T7" s="81"/>
    </row>
    <row r="8" spans="1:20" hidden="1" x14ac:dyDescent="0.25">
      <c r="A8" s="66">
        <v>42036</v>
      </c>
      <c r="B8" s="82">
        <v>328</v>
      </c>
      <c r="C8" s="82">
        <v>240</v>
      </c>
      <c r="D8" s="81"/>
      <c r="E8" s="83">
        <v>144</v>
      </c>
      <c r="F8" s="83">
        <v>182</v>
      </c>
      <c r="G8" s="82">
        <v>2</v>
      </c>
      <c r="H8" s="81"/>
      <c r="I8" s="83">
        <v>279</v>
      </c>
      <c r="J8" s="83">
        <v>173</v>
      </c>
      <c r="K8" s="70">
        <v>0.52743902439024393</v>
      </c>
      <c r="L8" s="81"/>
      <c r="M8" s="81"/>
      <c r="N8" s="84">
        <v>6</v>
      </c>
      <c r="O8" s="85">
        <v>4</v>
      </c>
      <c r="P8" s="86">
        <v>179</v>
      </c>
      <c r="Q8" s="85">
        <v>32</v>
      </c>
      <c r="R8" s="85">
        <v>4</v>
      </c>
      <c r="S8" s="85">
        <v>0</v>
      </c>
      <c r="T8" s="81"/>
    </row>
    <row r="9" spans="1:20" hidden="1" x14ac:dyDescent="0.25">
      <c r="A9" s="66">
        <v>42064</v>
      </c>
      <c r="B9" s="82">
        <v>396</v>
      </c>
      <c r="C9" s="82">
        <v>309</v>
      </c>
      <c r="D9" s="81"/>
      <c r="E9" s="83">
        <v>198</v>
      </c>
      <c r="F9" s="83">
        <v>170</v>
      </c>
      <c r="G9" s="82">
        <v>28</v>
      </c>
      <c r="H9" s="81"/>
      <c r="I9" s="83">
        <v>104</v>
      </c>
      <c r="J9" s="83">
        <v>56</v>
      </c>
      <c r="K9" s="70">
        <v>0.14141414141414141</v>
      </c>
      <c r="L9" s="81"/>
      <c r="M9" s="81"/>
      <c r="N9" s="84">
        <v>20</v>
      </c>
      <c r="O9" s="93">
        <v>43</v>
      </c>
      <c r="P9" s="302">
        <v>39</v>
      </c>
      <c r="Q9" s="302">
        <v>12</v>
      </c>
      <c r="R9" s="95">
        <v>0</v>
      </c>
      <c r="S9" s="75">
        <v>0</v>
      </c>
      <c r="T9" s="81"/>
    </row>
    <row r="10" spans="1:20" hidden="1" x14ac:dyDescent="0.25">
      <c r="A10" s="66">
        <v>42095</v>
      </c>
      <c r="B10" s="82">
        <v>414</v>
      </c>
      <c r="C10" s="82">
        <f>B10-64</f>
        <v>350</v>
      </c>
      <c r="D10" s="81"/>
      <c r="E10" s="83">
        <v>153</v>
      </c>
      <c r="F10" s="83">
        <v>255</v>
      </c>
      <c r="G10" s="82">
        <f>B10-(E10+F10)</f>
        <v>6</v>
      </c>
      <c r="H10" s="81"/>
      <c r="I10" s="83">
        <v>284</v>
      </c>
      <c r="J10" s="83">
        <v>26</v>
      </c>
      <c r="K10" s="70">
        <f>J10/B10</f>
        <v>6.280193236714976E-2</v>
      </c>
      <c r="L10" s="81"/>
      <c r="M10" s="81"/>
      <c r="N10" s="76">
        <v>134</v>
      </c>
      <c r="O10" s="94">
        <v>56</v>
      </c>
      <c r="P10" s="302">
        <v>43</v>
      </c>
      <c r="Q10" s="302">
        <v>54</v>
      </c>
      <c r="R10" s="95">
        <v>7</v>
      </c>
      <c r="S10" s="75">
        <v>0</v>
      </c>
      <c r="T10" s="81"/>
    </row>
    <row r="11" spans="1:20" hidden="1" x14ac:dyDescent="0.25">
      <c r="A11" s="66">
        <v>42125</v>
      </c>
      <c r="B11" s="82">
        <v>2591</v>
      </c>
      <c r="C11" s="82">
        <f>B11-1545</f>
        <v>1046</v>
      </c>
      <c r="D11" s="81"/>
      <c r="E11" s="82">
        <v>2137</v>
      </c>
      <c r="F11" s="83">
        <v>441</v>
      </c>
      <c r="G11" s="82">
        <f>B11-(E11+F11)</f>
        <v>13</v>
      </c>
      <c r="H11" s="81"/>
      <c r="I11" s="83">
        <v>284</v>
      </c>
      <c r="J11" s="82">
        <v>1452</v>
      </c>
      <c r="K11" s="70">
        <f>J11/B11</f>
        <v>0.56040138942493245</v>
      </c>
      <c r="L11" s="81"/>
      <c r="M11" s="81"/>
      <c r="N11" s="85" t="s">
        <v>264</v>
      </c>
      <c r="O11" s="93" t="s">
        <v>264</v>
      </c>
      <c r="P11" s="302">
        <v>444</v>
      </c>
      <c r="Q11" s="302">
        <v>541</v>
      </c>
      <c r="R11" s="95">
        <v>0</v>
      </c>
      <c r="S11" s="75">
        <v>0</v>
      </c>
      <c r="T11" s="81"/>
    </row>
    <row r="12" spans="1:20" hidden="1" x14ac:dyDescent="0.25">
      <c r="A12" s="66">
        <v>42156</v>
      </c>
      <c r="B12" s="82">
        <v>1410</v>
      </c>
      <c r="C12" s="82">
        <f>B12-844</f>
        <v>566</v>
      </c>
      <c r="D12" s="81"/>
      <c r="E12" s="82">
        <v>1335</v>
      </c>
      <c r="F12" s="83">
        <v>70</v>
      </c>
      <c r="G12" s="82">
        <f>B12-(E12+F12)</f>
        <v>5</v>
      </c>
      <c r="H12" s="81"/>
      <c r="I12" s="82">
        <v>1360</v>
      </c>
      <c r="J12" s="82">
        <v>1360</v>
      </c>
      <c r="K12" s="70">
        <f>J12/B12</f>
        <v>0.96453900709219853</v>
      </c>
      <c r="L12" s="81"/>
      <c r="M12" s="81"/>
      <c r="N12" s="85">
        <v>0</v>
      </c>
      <c r="O12" s="93">
        <v>0</v>
      </c>
      <c r="P12" s="302">
        <v>60</v>
      </c>
      <c r="Q12" s="302">
        <v>277</v>
      </c>
      <c r="R12" s="95">
        <v>0</v>
      </c>
      <c r="S12" s="75">
        <v>0</v>
      </c>
      <c r="T12" s="81"/>
    </row>
    <row r="13" spans="1:20" ht="15" hidden="1" customHeight="1" x14ac:dyDescent="0.25">
      <c r="A13" s="66">
        <v>42186</v>
      </c>
      <c r="B13" s="87">
        <v>666</v>
      </c>
      <c r="C13" s="87">
        <f>B13-336</f>
        <v>330</v>
      </c>
      <c r="D13" s="88"/>
      <c r="E13" s="87">
        <v>586</v>
      </c>
      <c r="F13" s="87">
        <v>76</v>
      </c>
      <c r="G13" s="87">
        <f>B13-(E13+F13)</f>
        <v>4</v>
      </c>
      <c r="H13" s="88"/>
      <c r="I13" s="87">
        <v>278</v>
      </c>
      <c r="J13" s="89">
        <v>361</v>
      </c>
      <c r="K13" s="90">
        <f>J13/B13</f>
        <v>0.54204204204204209</v>
      </c>
      <c r="L13" s="62"/>
      <c r="M13" s="62"/>
      <c r="N13" s="76"/>
      <c r="O13" s="94"/>
      <c r="P13" s="302">
        <v>162</v>
      </c>
      <c r="Q13" s="302">
        <v>324</v>
      </c>
      <c r="R13" s="95">
        <v>0</v>
      </c>
      <c r="S13" s="75">
        <v>0</v>
      </c>
    </row>
    <row r="14" spans="1:20" ht="15" hidden="1" customHeight="1" x14ac:dyDescent="0.25">
      <c r="A14" s="66">
        <v>42339</v>
      </c>
      <c r="B14" s="87"/>
      <c r="C14" s="87"/>
      <c r="D14" s="88"/>
      <c r="E14" s="87"/>
      <c r="F14" s="87"/>
      <c r="G14" s="87"/>
      <c r="H14" s="88"/>
      <c r="I14" s="87"/>
      <c r="J14" s="89"/>
      <c r="K14" s="90"/>
      <c r="L14" s="62"/>
      <c r="M14" s="62"/>
      <c r="N14" s="76"/>
      <c r="O14" s="94"/>
      <c r="P14" s="302"/>
      <c r="Q14" s="302"/>
      <c r="R14" s="95"/>
      <c r="S14" s="75"/>
    </row>
    <row r="15" spans="1:20" ht="15" hidden="1" customHeight="1" x14ac:dyDescent="0.25">
      <c r="A15" s="62"/>
      <c r="B15" s="91"/>
      <c r="C15" s="91"/>
      <c r="D15" s="91"/>
      <c r="E15" s="91"/>
      <c r="F15" s="91"/>
      <c r="G15" s="91"/>
      <c r="H15" s="91"/>
      <c r="I15" s="91"/>
      <c r="J15" s="62"/>
      <c r="K15" s="92"/>
      <c r="L15" s="62"/>
      <c r="M15" s="62"/>
      <c r="N15" s="77"/>
      <c r="O15" s="77"/>
      <c r="P15" s="77"/>
      <c r="Q15" s="77"/>
      <c r="R15" s="77"/>
      <c r="S15" s="77"/>
    </row>
    <row r="16" spans="1:20" hidden="1" x14ac:dyDescent="0.25">
      <c r="A16" s="62"/>
      <c r="B16" s="62"/>
      <c r="C16" s="72"/>
      <c r="D16" s="62"/>
      <c r="E16" s="62"/>
      <c r="F16" s="62"/>
      <c r="G16" s="62"/>
      <c r="H16" s="62"/>
      <c r="I16" s="73"/>
      <c r="J16" s="62"/>
      <c r="K16" s="72"/>
      <c r="L16" s="62"/>
      <c r="M16" s="62"/>
      <c r="N16" s="77"/>
      <c r="O16" s="77"/>
      <c r="P16" s="77"/>
      <c r="Q16" s="77"/>
      <c r="R16" s="77"/>
      <c r="S16" s="77"/>
    </row>
    <row r="17" spans="1:16" hidden="1" x14ac:dyDescent="0.25"/>
    <row r="20" spans="1:16" ht="18.75" x14ac:dyDescent="0.3">
      <c r="A20" s="442" t="s">
        <v>374</v>
      </c>
    </row>
    <row r="22" spans="1:16" ht="44.25" customHeight="1" x14ac:dyDescent="0.25">
      <c r="A22" s="535" t="s">
        <v>375</v>
      </c>
      <c r="B22" s="535"/>
      <c r="C22" s="336" t="s">
        <v>380</v>
      </c>
      <c r="D22" s="336" t="s">
        <v>381</v>
      </c>
      <c r="E22" s="336" t="s">
        <v>382</v>
      </c>
      <c r="F22" s="336" t="s">
        <v>383</v>
      </c>
      <c r="G22" s="336" t="s">
        <v>384</v>
      </c>
      <c r="H22" s="336" t="s">
        <v>385</v>
      </c>
      <c r="I22" s="336" t="s">
        <v>386</v>
      </c>
      <c r="J22" s="336" t="s">
        <v>387</v>
      </c>
      <c r="K22" s="337" t="s">
        <v>388</v>
      </c>
      <c r="L22" s="337" t="s">
        <v>389</v>
      </c>
      <c r="M22" s="337" t="s">
        <v>390</v>
      </c>
      <c r="N22" s="337" t="s">
        <v>389</v>
      </c>
      <c r="O22" s="337" t="s">
        <v>390</v>
      </c>
      <c r="P22" s="344"/>
    </row>
    <row r="23" spans="1:16" x14ac:dyDescent="0.25">
      <c r="A23" s="535" t="s">
        <v>376</v>
      </c>
      <c r="B23" s="535"/>
      <c r="C23" s="333">
        <v>5901.18</v>
      </c>
      <c r="D23" s="342">
        <v>384376</v>
      </c>
      <c r="E23" s="342">
        <v>2564</v>
      </c>
      <c r="F23" s="342">
        <v>772</v>
      </c>
      <c r="G23" s="342">
        <v>282</v>
      </c>
      <c r="H23" s="342">
        <v>6358</v>
      </c>
      <c r="I23" s="332">
        <v>607</v>
      </c>
      <c r="J23" s="342">
        <v>79039</v>
      </c>
      <c r="K23" s="348">
        <v>7412</v>
      </c>
      <c r="L23" s="338">
        <v>0.79616567728008636</v>
      </c>
      <c r="M23" s="339">
        <v>1.9283201864840678E-2</v>
      </c>
      <c r="N23" s="338">
        <v>0.79616567728008636</v>
      </c>
      <c r="O23" s="339">
        <v>1.9283201864840678E-2</v>
      </c>
      <c r="P23" s="345"/>
    </row>
    <row r="24" spans="1:16" ht="30" customHeight="1" x14ac:dyDescent="0.25">
      <c r="A24" s="535" t="s">
        <v>377</v>
      </c>
      <c r="B24" s="535"/>
      <c r="C24" s="333">
        <v>2204.08</v>
      </c>
      <c r="D24" s="342">
        <v>280263</v>
      </c>
      <c r="E24" s="342">
        <v>4457</v>
      </c>
      <c r="F24" s="342">
        <v>458</v>
      </c>
      <c r="G24" s="342">
        <v>167</v>
      </c>
      <c r="H24" s="342">
        <v>3861</v>
      </c>
      <c r="I24" s="332"/>
      <c r="J24" s="332"/>
      <c r="K24" s="348">
        <v>4486</v>
      </c>
      <c r="L24" s="338">
        <v>0.4913241194828355</v>
      </c>
      <c r="M24" s="339">
        <v>1.6006393994212578E-2</v>
      </c>
      <c r="N24" s="338">
        <v>0.4913241194828355</v>
      </c>
      <c r="O24" s="339">
        <v>1.6006393994212578E-2</v>
      </c>
      <c r="P24" s="345"/>
    </row>
    <row r="25" spans="1:16" x14ac:dyDescent="0.25">
      <c r="A25" s="535" t="s">
        <v>378</v>
      </c>
      <c r="B25" s="535"/>
      <c r="C25" s="333">
        <v>1011.51</v>
      </c>
      <c r="D25" s="342">
        <v>132077</v>
      </c>
      <c r="E25" s="342">
        <v>2436</v>
      </c>
      <c r="F25" s="342">
        <v>159</v>
      </c>
      <c r="G25" s="342">
        <v>44</v>
      </c>
      <c r="H25" s="342">
        <v>1346</v>
      </c>
      <c r="I25" s="332"/>
      <c r="J25" s="332"/>
      <c r="K25" s="348">
        <v>1549</v>
      </c>
      <c r="L25" s="338">
        <v>0.65300839251129761</v>
      </c>
      <c r="M25" s="339">
        <v>1.1728007147345867E-2</v>
      </c>
      <c r="N25" s="338">
        <v>0.65300839251129761</v>
      </c>
      <c r="O25" s="339">
        <v>1.1728007147345867E-2</v>
      </c>
      <c r="P25" s="345"/>
    </row>
    <row r="26" spans="1:16" x14ac:dyDescent="0.25">
      <c r="A26" s="535" t="s">
        <v>379</v>
      </c>
      <c r="B26" s="535"/>
      <c r="C26" s="333">
        <v>883.23</v>
      </c>
      <c r="D26" s="342">
        <v>130045</v>
      </c>
      <c r="E26" s="342">
        <v>1515</v>
      </c>
      <c r="F26" s="342">
        <v>305</v>
      </c>
      <c r="G26" s="342">
        <v>98</v>
      </c>
      <c r="H26" s="342">
        <v>2992</v>
      </c>
      <c r="I26" s="332"/>
      <c r="J26" s="332"/>
      <c r="K26" s="348">
        <v>3395</v>
      </c>
      <c r="L26" s="338">
        <v>0.26015611192930782</v>
      </c>
      <c r="M26" s="339">
        <v>2.6106347802683685E-2</v>
      </c>
      <c r="N26" s="338">
        <v>0.26015611192930782</v>
      </c>
      <c r="O26" s="339">
        <v>2.6106347802683685E-2</v>
      </c>
      <c r="P26" s="345"/>
    </row>
    <row r="27" spans="1:16" x14ac:dyDescent="0.25">
      <c r="A27" s="552" t="s">
        <v>391</v>
      </c>
      <c r="B27" s="553"/>
      <c r="C27" s="334">
        <v>10000</v>
      </c>
      <c r="D27" s="343">
        <v>926761</v>
      </c>
      <c r="E27" s="343">
        <v>10972</v>
      </c>
      <c r="F27" s="343">
        <v>1694</v>
      </c>
      <c r="G27" s="343">
        <v>591</v>
      </c>
      <c r="H27" s="343">
        <v>14557</v>
      </c>
      <c r="I27" s="335">
        <v>607</v>
      </c>
      <c r="J27" s="343">
        <v>79039</v>
      </c>
      <c r="K27" s="347">
        <v>16842</v>
      </c>
      <c r="L27" s="340">
        <v>0.59375371096069351</v>
      </c>
      <c r="M27" s="341">
        <v>1.8172970161670594E-2</v>
      </c>
      <c r="N27" s="340">
        <v>0.59375371096069351</v>
      </c>
      <c r="O27" s="341">
        <v>1.8172970161670594E-2</v>
      </c>
      <c r="P27" s="346"/>
    </row>
    <row r="28" spans="1:16" x14ac:dyDescent="0.25">
      <c r="P28" s="305"/>
    </row>
    <row r="30" spans="1:16" ht="47.25" x14ac:dyDescent="0.25">
      <c r="A30" s="535" t="s">
        <v>375</v>
      </c>
      <c r="B30" s="535"/>
      <c r="C30" s="336" t="s">
        <v>380</v>
      </c>
      <c r="D30" s="336" t="s">
        <v>381</v>
      </c>
      <c r="E30" s="336" t="s">
        <v>382</v>
      </c>
      <c r="F30" s="336" t="s">
        <v>383</v>
      </c>
      <c r="G30" s="336" t="s">
        <v>384</v>
      </c>
      <c r="H30" s="336" t="s">
        <v>385</v>
      </c>
      <c r="I30" s="336" t="s">
        <v>386</v>
      </c>
      <c r="J30" s="336" t="s">
        <v>387</v>
      </c>
      <c r="K30" s="337" t="s">
        <v>388</v>
      </c>
      <c r="L30" s="337" t="s">
        <v>389</v>
      </c>
      <c r="M30" s="337" t="s">
        <v>390</v>
      </c>
      <c r="N30" s="337" t="s">
        <v>389</v>
      </c>
      <c r="O30" s="337" t="s">
        <v>390</v>
      </c>
    </row>
    <row r="31" spans="1:16" x14ac:dyDescent="0.25">
      <c r="A31" s="536" t="s">
        <v>445</v>
      </c>
      <c r="B31" s="537"/>
      <c r="C31" s="333">
        <v>566.03</v>
      </c>
      <c r="D31" s="342">
        <v>800351</v>
      </c>
      <c r="E31" s="342">
        <v>1435</v>
      </c>
      <c r="F31" s="342">
        <v>167</v>
      </c>
      <c r="G31" s="342">
        <v>27</v>
      </c>
      <c r="H31" s="342">
        <v>312</v>
      </c>
      <c r="I31" s="499">
        <v>109</v>
      </c>
      <c r="J31" s="342">
        <v>5785</v>
      </c>
      <c r="K31" s="342">
        <v>7726</v>
      </c>
      <c r="L31" s="499"/>
      <c r="M31" s="499"/>
      <c r="N31" s="500">
        <v>7.3263008024851153E-2</v>
      </c>
      <c r="O31" s="501">
        <f>K31/D31</f>
        <v>9.6532646301435241E-3</v>
      </c>
    </row>
    <row r="44" spans="1:19" x14ac:dyDescent="0.25">
      <c r="R44" s="305"/>
      <c r="S44" s="305"/>
    </row>
    <row r="45" spans="1:19" ht="21" x14ac:dyDescent="0.35">
      <c r="R45" s="306"/>
      <c r="S45" s="306"/>
    </row>
    <row r="46" spans="1:19" s="74" customFormat="1" ht="21" hidden="1" x14ac:dyDescent="0.35">
      <c r="A46" s="307" t="s">
        <v>233</v>
      </c>
      <c r="B46" s="308"/>
      <c r="C46" s="308"/>
      <c r="D46" s="308"/>
      <c r="E46" s="308"/>
      <c r="F46" s="308"/>
      <c r="G46" s="308"/>
      <c r="H46" s="308"/>
      <c r="I46" s="308"/>
      <c r="J46" s="309"/>
      <c r="K46" s="308"/>
      <c r="L46" s="310"/>
      <c r="M46" s="308"/>
      <c r="N46" s="311"/>
      <c r="O46" s="312"/>
      <c r="P46" s="312"/>
      <c r="Q46" s="313"/>
      <c r="R46" s="306"/>
      <c r="S46" s="306"/>
    </row>
    <row r="47" spans="1:19" s="74" customFormat="1" ht="21" hidden="1" x14ac:dyDescent="0.35">
      <c r="A47" s="314" t="s">
        <v>234</v>
      </c>
      <c r="B47" s="315"/>
      <c r="C47" s="316"/>
      <c r="D47" s="315"/>
      <c r="E47" s="315"/>
      <c r="F47" s="315"/>
      <c r="G47" s="315"/>
      <c r="H47" s="315"/>
      <c r="I47" s="315"/>
      <c r="J47" s="315"/>
      <c r="K47" s="315"/>
      <c r="L47" s="317"/>
      <c r="M47" s="315"/>
      <c r="N47" s="318"/>
      <c r="O47" s="306"/>
      <c r="P47" s="306"/>
      <c r="Q47" s="319"/>
      <c r="R47" s="306"/>
      <c r="S47" s="306"/>
    </row>
    <row r="48" spans="1:19" s="74" customFormat="1" ht="21" hidden="1" x14ac:dyDescent="0.35">
      <c r="A48" s="314" t="s">
        <v>235</v>
      </c>
      <c r="B48" s="315"/>
      <c r="C48" s="315"/>
      <c r="D48" s="315"/>
      <c r="E48" s="315"/>
      <c r="F48" s="315"/>
      <c r="G48" s="315"/>
      <c r="H48" s="315"/>
      <c r="I48" s="315"/>
      <c r="J48" s="315"/>
      <c r="K48" s="315"/>
      <c r="L48" s="317"/>
      <c r="M48" s="315"/>
      <c r="N48" s="318"/>
      <c r="O48" s="306"/>
      <c r="P48" s="306"/>
      <c r="Q48" s="319"/>
      <c r="R48" s="306"/>
      <c r="S48" s="306"/>
    </row>
    <row r="49" spans="1:19" s="74" customFormat="1" ht="21" hidden="1" x14ac:dyDescent="0.35">
      <c r="A49" s="314" t="s">
        <v>236</v>
      </c>
      <c r="B49" s="315"/>
      <c r="C49" s="315"/>
      <c r="D49" s="315"/>
      <c r="E49" s="315"/>
      <c r="F49" s="315"/>
      <c r="G49" s="315"/>
      <c r="H49" s="315"/>
      <c r="I49" s="315"/>
      <c r="J49" s="315"/>
      <c r="K49" s="315"/>
      <c r="L49" s="317"/>
      <c r="M49" s="315"/>
      <c r="N49" s="318"/>
      <c r="O49" s="306"/>
      <c r="P49" s="306"/>
      <c r="Q49" s="319"/>
      <c r="R49" s="306"/>
      <c r="S49" s="306"/>
    </row>
    <row r="50" spans="1:19" s="74" customFormat="1" ht="21" hidden="1" x14ac:dyDescent="0.35">
      <c r="A50" s="320" t="s">
        <v>237</v>
      </c>
      <c r="B50" s="315"/>
      <c r="C50" s="315"/>
      <c r="D50" s="315"/>
      <c r="E50" s="315"/>
      <c r="F50" s="315"/>
      <c r="G50" s="315"/>
      <c r="H50" s="315"/>
      <c r="I50" s="315"/>
      <c r="J50" s="315"/>
      <c r="K50" s="315"/>
      <c r="L50" s="317"/>
      <c r="M50" s="315"/>
      <c r="N50" s="318"/>
      <c r="O50" s="306"/>
      <c r="P50" s="306"/>
      <c r="Q50" s="319"/>
      <c r="R50" s="321"/>
      <c r="S50" s="321"/>
    </row>
    <row r="51" spans="1:19" s="74" customFormat="1" ht="21" hidden="1" x14ac:dyDescent="0.35">
      <c r="A51" s="322" t="s">
        <v>238</v>
      </c>
      <c r="B51" s="323"/>
      <c r="C51" s="323"/>
      <c r="D51" s="323"/>
      <c r="E51" s="323"/>
      <c r="F51" s="323"/>
      <c r="G51" s="323"/>
      <c r="H51" s="323"/>
      <c r="I51" s="323"/>
      <c r="J51" s="323"/>
      <c r="K51" s="323"/>
      <c r="L51" s="324"/>
      <c r="M51" s="323"/>
      <c r="N51" s="325"/>
      <c r="O51" s="321"/>
      <c r="P51" s="321"/>
      <c r="Q51" s="326"/>
      <c r="R51" s="304"/>
      <c r="S51" s="304"/>
    </row>
  </sheetData>
  <mergeCells count="14">
    <mergeCell ref="A30:B30"/>
    <mergeCell ref="A31:B31"/>
    <mergeCell ref="N1:S1"/>
    <mergeCell ref="N2:S2"/>
    <mergeCell ref="A22:B22"/>
    <mergeCell ref="B1:J1"/>
    <mergeCell ref="E2:G2"/>
    <mergeCell ref="I2:K2"/>
    <mergeCell ref="L2:M2"/>
    <mergeCell ref="A27:B27"/>
    <mergeCell ref="A23:B23"/>
    <mergeCell ref="A24:B24"/>
    <mergeCell ref="A25:B25"/>
    <mergeCell ref="A26:B26"/>
  </mergeCells>
  <pageMargins left="0.75" right="0.75" top="1" bottom="1" header="0.5" footer="0.5"/>
  <pageSetup scale="54" fitToWidth="2" orientation="landscape"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tint="-0.249977111117893"/>
  </sheetPr>
  <dimension ref="A1:AJ170"/>
  <sheetViews>
    <sheetView showGridLines="0" zoomScale="60" zoomScaleNormal="60" zoomScalePageLayoutView="85" workbookViewId="0">
      <selection activeCell="V43" sqref="V43"/>
    </sheetView>
  </sheetViews>
  <sheetFormatPr defaultColWidth="11.42578125" defaultRowHeight="12.75" x14ac:dyDescent="0.2"/>
  <cols>
    <col min="1" max="1" width="5.140625" style="235" customWidth="1"/>
    <col min="2" max="2" width="76.42578125" style="235" customWidth="1"/>
    <col min="3" max="3" width="11.42578125" style="235"/>
    <col min="4" max="4" width="38.42578125" style="235" customWidth="1"/>
    <col min="5" max="5" width="12" style="235" bestFit="1" customWidth="1"/>
    <col min="6" max="6" width="11.42578125" style="235" hidden="1" customWidth="1"/>
    <col min="7" max="16384" width="11.42578125" style="235"/>
  </cols>
  <sheetData>
    <row r="1" spans="2:25" s="285" customFormat="1" x14ac:dyDescent="0.2"/>
    <row r="2" spans="2:25" s="285" customFormat="1" x14ac:dyDescent="0.2"/>
    <row r="3" spans="2:25" s="285" customFormat="1" x14ac:dyDescent="0.2"/>
    <row r="4" spans="2:25" s="285" customFormat="1" x14ac:dyDescent="0.2"/>
    <row r="5" spans="2:25" s="285" customFormat="1" ht="26.25" x14ac:dyDescent="0.4">
      <c r="B5" s="383" t="s">
        <v>401</v>
      </c>
      <c r="D5" s="287"/>
    </row>
    <row r="6" spans="2:25" s="285" customFormat="1" x14ac:dyDescent="0.2"/>
    <row r="7" spans="2:25" s="285" customFormat="1" x14ac:dyDescent="0.2"/>
    <row r="8" spans="2:25" s="285" customFormat="1" x14ac:dyDescent="0.2"/>
    <row r="9" spans="2:25" s="285" customFormat="1" x14ac:dyDescent="0.2"/>
    <row r="10" spans="2:25" s="285" customFormat="1" x14ac:dyDescent="0.2"/>
    <row r="11" spans="2:25" s="285" customFormat="1" x14ac:dyDescent="0.2"/>
    <row r="12" spans="2:25" s="285" customFormat="1" x14ac:dyDescent="0.2">
      <c r="C12" s="483"/>
      <c r="D12" s="483"/>
      <c r="E12" s="483"/>
      <c r="F12" s="483"/>
      <c r="G12" s="483"/>
      <c r="H12" s="483"/>
      <c r="I12" s="483"/>
      <c r="J12" s="483"/>
    </row>
    <row r="13" spans="2:25" s="285" customFormat="1" x14ac:dyDescent="0.2">
      <c r="C13" s="483"/>
      <c r="D13" s="483"/>
      <c r="E13" s="483"/>
      <c r="F13" s="483"/>
      <c r="G13" s="483"/>
      <c r="H13" s="483"/>
      <c r="I13" s="483"/>
      <c r="J13" s="483"/>
    </row>
    <row r="14" spans="2:25" s="285" customFormat="1" x14ac:dyDescent="0.2">
      <c r="C14" s="483"/>
      <c r="D14" s="484" t="s">
        <v>416</v>
      </c>
      <c r="E14" s="484" t="s">
        <v>417</v>
      </c>
      <c r="F14" s="484" t="s">
        <v>400</v>
      </c>
      <c r="G14" s="484" t="s">
        <v>418</v>
      </c>
      <c r="H14" s="483"/>
      <c r="I14" s="483"/>
      <c r="J14" s="483"/>
    </row>
    <row r="15" spans="2:25" s="285" customFormat="1" ht="15.75" customHeight="1" x14ac:dyDescent="0.2">
      <c r="C15" s="483"/>
      <c r="D15" s="485" t="s">
        <v>419</v>
      </c>
      <c r="E15" s="486">
        <v>1794.66</v>
      </c>
      <c r="F15" s="487"/>
      <c r="G15" s="486">
        <v>2.2266253101736972</v>
      </c>
      <c r="H15" s="483"/>
      <c r="I15" s="483"/>
      <c r="J15" s="483"/>
      <c r="S15" s="556"/>
      <c r="T15" s="556"/>
      <c r="U15" s="556"/>
      <c r="V15" s="556"/>
      <c r="W15" s="556"/>
      <c r="X15" s="556"/>
      <c r="Y15" s="556"/>
    </row>
    <row r="16" spans="2:25" s="285" customFormat="1" x14ac:dyDescent="0.2">
      <c r="C16" s="483"/>
      <c r="D16" s="485" t="s">
        <v>420</v>
      </c>
      <c r="E16" s="486">
        <v>15486.71</v>
      </c>
      <c r="F16" s="487"/>
      <c r="G16" s="486">
        <v>10.549529972752042</v>
      </c>
      <c r="H16" s="483"/>
      <c r="I16" s="483"/>
      <c r="J16" s="483"/>
    </row>
    <row r="17" spans="3:25" s="285" customFormat="1" x14ac:dyDescent="0.2">
      <c r="C17" s="483"/>
      <c r="D17" s="485" t="s">
        <v>421</v>
      </c>
      <c r="E17" s="486">
        <v>15332.62</v>
      </c>
      <c r="F17" s="487"/>
      <c r="G17" s="486">
        <v>10.221746666666666</v>
      </c>
      <c r="H17" s="483"/>
      <c r="I17" s="483"/>
      <c r="J17" s="483"/>
    </row>
    <row r="18" spans="3:25" s="285" customFormat="1" x14ac:dyDescent="0.2">
      <c r="C18" s="483"/>
      <c r="D18" s="485" t="s">
        <v>422</v>
      </c>
      <c r="E18" s="486">
        <v>8658.11</v>
      </c>
      <c r="F18" s="487"/>
      <c r="G18" s="486">
        <v>8.41</v>
      </c>
      <c r="H18" s="483"/>
      <c r="I18" s="483"/>
      <c r="J18" s="483"/>
    </row>
    <row r="19" spans="3:25" s="285" customFormat="1" x14ac:dyDescent="0.2">
      <c r="C19" s="483"/>
      <c r="D19" s="485" t="s">
        <v>423</v>
      </c>
      <c r="E19" s="488">
        <v>16244.42</v>
      </c>
      <c r="F19" s="489">
        <v>2089</v>
      </c>
      <c r="G19" s="488">
        <f>E19/F19</f>
        <v>7.7761704164672096</v>
      </c>
      <c r="H19" s="483"/>
      <c r="I19" s="483"/>
      <c r="J19" s="483"/>
    </row>
    <row r="20" spans="3:25" s="285" customFormat="1" x14ac:dyDescent="0.2">
      <c r="C20" s="483"/>
      <c r="D20" s="485" t="s">
        <v>424</v>
      </c>
      <c r="E20" s="488">
        <v>15495.7</v>
      </c>
      <c r="F20" s="490">
        <v>2065</v>
      </c>
      <c r="G20" s="488">
        <f t="shared" ref="G20:G26" si="0">E20/F20</f>
        <v>7.5039709443099278</v>
      </c>
      <c r="H20" s="483"/>
      <c r="I20" s="483"/>
      <c r="J20" s="483"/>
    </row>
    <row r="21" spans="3:25" s="285" customFormat="1" x14ac:dyDescent="0.2">
      <c r="C21" s="483"/>
      <c r="D21" s="485" t="s">
        <v>425</v>
      </c>
      <c r="E21" s="488">
        <v>14548.59</v>
      </c>
      <c r="F21" s="490">
        <v>1906</v>
      </c>
      <c r="G21" s="488">
        <f t="shared" si="0"/>
        <v>7.6330482686253935</v>
      </c>
      <c r="H21" s="483"/>
      <c r="I21" s="483"/>
      <c r="J21" s="483"/>
    </row>
    <row r="22" spans="3:25" s="285" customFormat="1" ht="15" x14ac:dyDescent="0.2">
      <c r="C22" s="483"/>
      <c r="D22" s="485" t="s">
        <v>426</v>
      </c>
      <c r="E22" s="488">
        <v>13950.58</v>
      </c>
      <c r="F22" s="490">
        <v>2207</v>
      </c>
      <c r="G22" s="488">
        <f t="shared" si="0"/>
        <v>6.3210602628001809</v>
      </c>
      <c r="H22" s="483"/>
      <c r="I22" s="483"/>
      <c r="J22" s="483"/>
      <c r="S22" s="556"/>
      <c r="T22" s="556"/>
      <c r="U22" s="556"/>
      <c r="V22" s="556"/>
      <c r="W22" s="556"/>
      <c r="X22" s="556"/>
      <c r="Y22" s="556"/>
    </row>
    <row r="23" spans="3:25" s="285" customFormat="1" x14ac:dyDescent="0.2">
      <c r="C23" s="483"/>
      <c r="D23" s="485" t="s">
        <v>432</v>
      </c>
      <c r="E23" s="488">
        <v>15177.94</v>
      </c>
      <c r="F23" s="483">
        <v>2535</v>
      </c>
      <c r="G23" s="488">
        <f t="shared" si="0"/>
        <v>5.9873530571992113</v>
      </c>
      <c r="H23" s="483"/>
      <c r="I23" s="483"/>
      <c r="J23" s="483"/>
    </row>
    <row r="24" spans="3:25" s="285" customFormat="1" x14ac:dyDescent="0.2">
      <c r="C24" s="483"/>
      <c r="D24" s="485" t="s">
        <v>433</v>
      </c>
      <c r="E24" s="488">
        <v>14638.68</v>
      </c>
      <c r="F24" s="483">
        <v>2542</v>
      </c>
      <c r="G24" s="488">
        <f t="shared" si="0"/>
        <v>5.7587254130605823</v>
      </c>
      <c r="H24" s="483"/>
      <c r="I24" s="483"/>
      <c r="J24" s="483"/>
    </row>
    <row r="25" spans="3:25" s="285" customFormat="1" x14ac:dyDescent="0.2">
      <c r="C25" s="483"/>
      <c r="D25" s="485" t="s">
        <v>434</v>
      </c>
      <c r="E25" s="488">
        <v>14563.34</v>
      </c>
      <c r="F25" s="483">
        <v>2849</v>
      </c>
      <c r="G25" s="488">
        <f t="shared" si="0"/>
        <v>5.1117374517374516</v>
      </c>
      <c r="H25" s="483"/>
      <c r="I25" s="483"/>
      <c r="J25" s="483"/>
    </row>
    <row r="26" spans="3:25" s="285" customFormat="1" x14ac:dyDescent="0.2">
      <c r="C26" s="483"/>
      <c r="D26" s="485" t="s">
        <v>435</v>
      </c>
      <c r="E26" s="488">
        <v>14180.29</v>
      </c>
      <c r="F26" s="483">
        <v>2964</v>
      </c>
      <c r="G26" s="488">
        <f t="shared" si="0"/>
        <v>4.7841734143049939</v>
      </c>
      <c r="H26" s="483"/>
      <c r="I26" s="483"/>
      <c r="J26" s="483"/>
    </row>
    <row r="27" spans="3:25" s="285" customFormat="1" x14ac:dyDescent="0.2">
      <c r="D27" s="485" t="s">
        <v>436</v>
      </c>
      <c r="E27" s="488">
        <v>14832.63</v>
      </c>
      <c r="F27" s="285">
        <v>3188</v>
      </c>
      <c r="G27" s="488">
        <f t="shared" ref="G27:G38" si="1">E27/F27</f>
        <v>4.6526442910915931</v>
      </c>
    </row>
    <row r="28" spans="3:25" s="285" customFormat="1" x14ac:dyDescent="0.2">
      <c r="D28" s="285" t="s">
        <v>438</v>
      </c>
      <c r="E28" s="488">
        <v>15227.38</v>
      </c>
      <c r="F28" s="285">
        <v>3327</v>
      </c>
      <c r="G28" s="498">
        <f t="shared" si="1"/>
        <v>4.5769101292455661</v>
      </c>
    </row>
    <row r="29" spans="3:25" s="285" customFormat="1" x14ac:dyDescent="0.2">
      <c r="D29" s="285" t="s">
        <v>439</v>
      </c>
      <c r="E29" s="488">
        <v>15581.35</v>
      </c>
      <c r="F29" s="285">
        <v>3450</v>
      </c>
      <c r="G29" s="498">
        <f t="shared" si="1"/>
        <v>4.5163333333333338</v>
      </c>
    </row>
    <row r="30" spans="3:25" s="285" customFormat="1" x14ac:dyDescent="0.2">
      <c r="D30" s="285" t="s">
        <v>440</v>
      </c>
      <c r="E30" s="488">
        <v>15305.01</v>
      </c>
      <c r="F30" s="285">
        <v>3607</v>
      </c>
      <c r="G30" s="498">
        <f t="shared" si="1"/>
        <v>4.2431411144995845</v>
      </c>
    </row>
    <row r="31" spans="3:25" s="285" customFormat="1" x14ac:dyDescent="0.2">
      <c r="D31" s="285" t="s">
        <v>441</v>
      </c>
      <c r="E31" s="488">
        <v>14904.69</v>
      </c>
      <c r="F31" s="285">
        <v>3511</v>
      </c>
      <c r="G31" s="498">
        <f t="shared" si="1"/>
        <v>4.2451409854742241</v>
      </c>
    </row>
    <row r="32" spans="3:25" s="285" customFormat="1" x14ac:dyDescent="0.2">
      <c r="D32" s="482" t="s">
        <v>449</v>
      </c>
      <c r="E32" s="488">
        <v>15354.87</v>
      </c>
      <c r="F32" s="359">
        <v>3716</v>
      </c>
      <c r="G32" s="498">
        <f t="shared" si="1"/>
        <v>4.1320963401507003</v>
      </c>
    </row>
    <row r="33" spans="2:14" s="285" customFormat="1" x14ac:dyDescent="0.2">
      <c r="D33" s="482" t="s">
        <v>450</v>
      </c>
      <c r="E33" s="488">
        <v>15380.61</v>
      </c>
      <c r="F33" s="359">
        <v>3315</v>
      </c>
      <c r="G33" s="498">
        <f t="shared" si="1"/>
        <v>4.6397013574660635</v>
      </c>
    </row>
    <row r="34" spans="2:14" x14ac:dyDescent="0.2">
      <c r="D34" s="482" t="s">
        <v>451</v>
      </c>
      <c r="E34" s="488">
        <v>15362.66</v>
      </c>
      <c r="F34" s="359">
        <v>3267</v>
      </c>
      <c r="G34" s="498">
        <f t="shared" si="1"/>
        <v>4.7023752678298134</v>
      </c>
    </row>
    <row r="35" spans="2:14" x14ac:dyDescent="0.2">
      <c r="D35" s="482" t="s">
        <v>452</v>
      </c>
      <c r="E35" s="488">
        <v>10044.69</v>
      </c>
      <c r="F35" s="359">
        <v>1787</v>
      </c>
      <c r="G35" s="498">
        <f t="shared" si="1"/>
        <v>5.6209792949076665</v>
      </c>
    </row>
    <row r="36" spans="2:14" s="294" customFormat="1" x14ac:dyDescent="0.2">
      <c r="D36" s="294" t="s">
        <v>455</v>
      </c>
      <c r="E36" s="488">
        <v>15167.179999999998</v>
      </c>
      <c r="F36" s="294">
        <v>2821</v>
      </c>
      <c r="G36" s="498">
        <f t="shared" si="1"/>
        <v>5.3765260545905704</v>
      </c>
    </row>
    <row r="37" spans="2:14" s="359" customFormat="1" x14ac:dyDescent="0.2">
      <c r="D37" s="359" t="s">
        <v>456</v>
      </c>
      <c r="E37" s="488">
        <v>19800.3</v>
      </c>
      <c r="F37" s="359">
        <v>4082</v>
      </c>
      <c r="G37" s="498">
        <f t="shared" si="1"/>
        <v>4.850636942675159</v>
      </c>
    </row>
    <row r="38" spans="2:14" s="359" customFormat="1" x14ac:dyDescent="0.2">
      <c r="D38" s="359" t="s">
        <v>457</v>
      </c>
      <c r="E38" s="488">
        <v>21707.370000000003</v>
      </c>
      <c r="F38" s="359">
        <v>4809</v>
      </c>
      <c r="G38" s="498">
        <f t="shared" si="1"/>
        <v>4.5139051777916412</v>
      </c>
    </row>
    <row r="39" spans="2:14" s="359" customFormat="1" x14ac:dyDescent="0.2">
      <c r="D39" s="359" t="s">
        <v>458</v>
      </c>
      <c r="E39" s="488">
        <v>21030.21</v>
      </c>
      <c r="F39" s="359">
        <v>5072</v>
      </c>
      <c r="G39" s="498">
        <f>E39/F39</f>
        <v>4.1463347791798109</v>
      </c>
    </row>
    <row r="40" spans="2:14" ht="18.75" x14ac:dyDescent="0.2">
      <c r="B40" s="278"/>
      <c r="C40" s="278"/>
      <c r="D40" s="235" t="s">
        <v>464</v>
      </c>
      <c r="E40" s="488">
        <f>18572.85+2065.65</f>
        <v>20638.5</v>
      </c>
      <c r="F40" s="359">
        <v>5026</v>
      </c>
      <c r="G40" s="498">
        <f t="shared" ref="G40:G57" si="2">E40/F40</f>
        <v>4.1063469956227614</v>
      </c>
      <c r="H40" s="278"/>
      <c r="I40" s="278"/>
      <c r="J40" s="279"/>
      <c r="K40" s="279"/>
      <c r="L40" s="279"/>
      <c r="M40" s="279"/>
      <c r="N40" s="279"/>
    </row>
    <row r="41" spans="2:14" s="359" customFormat="1" ht="18.75" x14ac:dyDescent="0.2">
      <c r="B41" s="278"/>
      <c r="C41" s="278"/>
      <c r="D41" s="509" t="s">
        <v>465</v>
      </c>
      <c r="E41" s="488">
        <f>17823.57+1895.85</f>
        <v>19719.419999999998</v>
      </c>
      <c r="F41" s="359">
        <v>4757</v>
      </c>
      <c r="G41" s="498">
        <f t="shared" si="2"/>
        <v>4.1453479083455953</v>
      </c>
      <c r="H41" s="278"/>
      <c r="I41" s="278"/>
    </row>
    <row r="42" spans="2:14" s="359" customFormat="1" ht="18.75" x14ac:dyDescent="0.2">
      <c r="B42" s="278"/>
      <c r="C42" s="278"/>
      <c r="D42" s="359" t="s">
        <v>466</v>
      </c>
      <c r="E42" s="488">
        <f>13987.47+1850.76</f>
        <v>15838.23</v>
      </c>
      <c r="F42" s="359">
        <v>3804</v>
      </c>
      <c r="G42" s="498">
        <f t="shared" si="2"/>
        <v>4.1635725552050475</v>
      </c>
      <c r="H42" s="278"/>
      <c r="I42" s="278"/>
    </row>
    <row r="43" spans="2:14" s="359" customFormat="1" ht="18.75" x14ac:dyDescent="0.2">
      <c r="B43" s="278"/>
      <c r="C43" s="278"/>
      <c r="D43" s="359" t="s">
        <v>467</v>
      </c>
      <c r="E43" s="488">
        <f>18119.95+2010.45</f>
        <v>20130.400000000001</v>
      </c>
      <c r="F43" s="359">
        <v>4883</v>
      </c>
      <c r="G43" s="498">
        <f t="shared" si="2"/>
        <v>4.1225476141716157</v>
      </c>
      <c r="H43" s="278"/>
      <c r="I43" s="278"/>
    </row>
    <row r="44" spans="2:14" s="359" customFormat="1" ht="18.75" x14ac:dyDescent="0.2">
      <c r="B44" s="278"/>
      <c r="C44" s="278"/>
      <c r="D44" s="359" t="s">
        <v>468</v>
      </c>
      <c r="E44" s="488">
        <f>17566.17+2077.27</f>
        <v>19643.439999999999</v>
      </c>
      <c r="F44" s="359">
        <v>4730</v>
      </c>
      <c r="G44" s="498">
        <f t="shared" si="2"/>
        <v>4.1529471458773779</v>
      </c>
      <c r="H44" s="278"/>
      <c r="I44" s="278"/>
    </row>
    <row r="45" spans="2:14" s="359" customFormat="1" ht="18.75" x14ac:dyDescent="0.2">
      <c r="B45" s="278"/>
      <c r="C45" s="278"/>
      <c r="D45" s="359" t="s">
        <v>476</v>
      </c>
      <c r="E45" s="488">
        <f>19803.57+2325.63</f>
        <v>22129.200000000001</v>
      </c>
      <c r="F45" s="359">
        <v>5704</v>
      </c>
      <c r="G45" s="498">
        <f t="shared" si="2"/>
        <v>3.8795932678821883</v>
      </c>
      <c r="H45" s="278"/>
      <c r="I45" s="278"/>
    </row>
    <row r="46" spans="2:14" s="359" customFormat="1" ht="18.75" x14ac:dyDescent="0.2">
      <c r="B46" s="278"/>
      <c r="C46" s="278"/>
      <c r="D46" s="359" t="s">
        <v>477</v>
      </c>
      <c r="E46" s="488">
        <f>17440.3+2212.11</f>
        <v>19652.41</v>
      </c>
      <c r="F46" s="359">
        <v>4876</v>
      </c>
      <c r="G46" s="498">
        <f t="shared" si="2"/>
        <v>4.0304368334700573</v>
      </c>
      <c r="H46" s="278"/>
      <c r="I46" s="278"/>
    </row>
    <row r="47" spans="2:14" s="359" customFormat="1" ht="18.75" x14ac:dyDescent="0.2">
      <c r="B47" s="278"/>
      <c r="C47" s="278"/>
      <c r="D47" s="359" t="s">
        <v>478</v>
      </c>
      <c r="E47" s="488">
        <f>25012.74+4993.15</f>
        <v>30005.89</v>
      </c>
      <c r="F47" s="359">
        <v>7400</v>
      </c>
      <c r="G47" s="498">
        <f t="shared" si="2"/>
        <v>4.0548500000000001</v>
      </c>
      <c r="H47" s="278"/>
      <c r="I47" s="278"/>
    </row>
    <row r="48" spans="2:14" s="359" customFormat="1" ht="18.75" x14ac:dyDescent="0.2">
      <c r="B48" s="278"/>
      <c r="C48" s="278"/>
      <c r="D48" s="359" t="s">
        <v>479</v>
      </c>
      <c r="E48" s="488">
        <f>25567.94+5257.55</f>
        <v>30825.489999999998</v>
      </c>
      <c r="F48" s="359">
        <v>7418</v>
      </c>
      <c r="G48" s="498">
        <f t="shared" si="2"/>
        <v>4.1554987867349684</v>
      </c>
      <c r="H48" s="278"/>
      <c r="I48" s="278"/>
    </row>
    <row r="49" spans="1:36" s="359" customFormat="1" ht="18.75" x14ac:dyDescent="0.2">
      <c r="B49" s="278"/>
      <c r="C49" s="278"/>
      <c r="D49" s="482" t="s">
        <v>490</v>
      </c>
      <c r="E49" s="488">
        <f>25486.32+5125.41</f>
        <v>30611.73</v>
      </c>
      <c r="F49" s="359">
        <v>7114</v>
      </c>
      <c r="G49" s="498">
        <f t="shared" si="2"/>
        <v>4.3030264267641272</v>
      </c>
      <c r="H49" s="278"/>
      <c r="I49" s="278"/>
    </row>
    <row r="50" spans="1:36" s="359" customFormat="1" ht="18.75" x14ac:dyDescent="0.2">
      <c r="B50" s="278"/>
      <c r="C50" s="278"/>
      <c r="D50" s="482" t="s">
        <v>491</v>
      </c>
      <c r="E50" s="488">
        <f>27166.49+6067.18</f>
        <v>33233.67</v>
      </c>
      <c r="F50" s="359">
        <v>8552</v>
      </c>
      <c r="G50" s="498">
        <f t="shared" si="2"/>
        <v>3.8860699251637043</v>
      </c>
      <c r="H50" s="278"/>
      <c r="I50" s="278"/>
    </row>
    <row r="51" spans="1:36" s="359" customFormat="1" ht="18.75" x14ac:dyDescent="0.2">
      <c r="B51" s="278"/>
      <c r="C51" s="278"/>
      <c r="D51" s="482" t="s">
        <v>492</v>
      </c>
      <c r="E51" s="488">
        <f>27476.05+6503.18</f>
        <v>33979.229999999996</v>
      </c>
      <c r="F51" s="359">
        <v>8964</v>
      </c>
      <c r="G51" s="498">
        <f t="shared" si="2"/>
        <v>3.7906325301204813</v>
      </c>
      <c r="H51" s="278"/>
      <c r="I51" s="278"/>
    </row>
    <row r="52" spans="1:36" s="359" customFormat="1" ht="18.75" x14ac:dyDescent="0.2">
      <c r="B52" s="278"/>
      <c r="C52" s="278"/>
      <c r="D52" s="482" t="s">
        <v>493</v>
      </c>
      <c r="E52" s="488">
        <f>27379.27+6755.94</f>
        <v>34135.21</v>
      </c>
      <c r="F52" s="359">
        <v>9419</v>
      </c>
      <c r="G52" s="498">
        <f t="shared" si="2"/>
        <v>3.6240800509608238</v>
      </c>
      <c r="H52" s="278"/>
      <c r="I52" s="278"/>
    </row>
    <row r="53" spans="1:36" s="359" customFormat="1" ht="18.75" x14ac:dyDescent="0.2">
      <c r="B53" s="278"/>
      <c r="C53" s="278"/>
      <c r="D53" s="482" t="s">
        <v>494</v>
      </c>
      <c r="E53" s="488">
        <f>26344.39+6568.94</f>
        <v>32913.33</v>
      </c>
      <c r="F53" s="359">
        <v>8882</v>
      </c>
      <c r="G53" s="498">
        <f t="shared" ref="G53" si="3">E53/F53</f>
        <v>3.7056214816482775</v>
      </c>
      <c r="H53" s="278"/>
      <c r="I53" s="278"/>
    </row>
    <row r="54" spans="1:36" s="359" customFormat="1" ht="18.75" x14ac:dyDescent="0.2">
      <c r="B54" s="278"/>
      <c r="C54" s="278"/>
      <c r="D54" s="513" t="s">
        <v>503</v>
      </c>
      <c r="E54" s="488">
        <f>6620.79+27297.89</f>
        <v>33918.68</v>
      </c>
      <c r="F54" s="359">
        <f>1834+7339</f>
        <v>9173</v>
      </c>
      <c r="G54" s="498">
        <f t="shared" si="2"/>
        <v>3.6976648860787091</v>
      </c>
      <c r="H54" s="278"/>
      <c r="I54" s="278"/>
    </row>
    <row r="55" spans="1:36" s="359" customFormat="1" ht="18.75" x14ac:dyDescent="0.2">
      <c r="B55" s="278"/>
      <c r="C55" s="278"/>
      <c r="D55" s="513" t="s">
        <v>504</v>
      </c>
      <c r="E55" s="488">
        <f>27571.77+6523.87</f>
        <v>34095.64</v>
      </c>
      <c r="F55" s="359">
        <f>7346+1842</f>
        <v>9188</v>
      </c>
      <c r="G55" s="498">
        <f t="shared" si="2"/>
        <v>3.7108881149325206</v>
      </c>
      <c r="H55" s="278"/>
      <c r="I55" s="278"/>
    </row>
    <row r="56" spans="1:36" s="359" customFormat="1" ht="18.75" x14ac:dyDescent="0.2">
      <c r="B56" s="278"/>
      <c r="C56" s="278"/>
      <c r="D56" s="513" t="s">
        <v>505</v>
      </c>
      <c r="E56" s="488">
        <f>6605.24+26572.54</f>
        <v>33177.78</v>
      </c>
      <c r="F56" s="359">
        <f>1909+7081</f>
        <v>8990</v>
      </c>
      <c r="G56" s="498">
        <f t="shared" si="2"/>
        <v>3.6905205784204669</v>
      </c>
      <c r="H56" s="278"/>
      <c r="I56" s="278"/>
    </row>
    <row r="57" spans="1:36" s="359" customFormat="1" ht="18.75" x14ac:dyDescent="0.2">
      <c r="B57" s="278"/>
      <c r="C57" s="278"/>
      <c r="D57" s="513" t="s">
        <v>506</v>
      </c>
      <c r="E57" s="488">
        <f>27535.44+7293.61</f>
        <v>34829.049999999996</v>
      </c>
      <c r="F57" s="359">
        <f>7475+1969</f>
        <v>9444</v>
      </c>
      <c r="G57" s="498">
        <f t="shared" si="2"/>
        <v>3.6879553155442606</v>
      </c>
      <c r="H57" s="278"/>
      <c r="I57" s="278"/>
    </row>
    <row r="58" spans="1:36" s="359" customFormat="1" ht="18.75" x14ac:dyDescent="0.2">
      <c r="B58" s="278"/>
      <c r="C58" s="278"/>
      <c r="D58" s="513"/>
      <c r="E58" s="488"/>
      <c r="G58" s="498"/>
      <c r="H58" s="278"/>
      <c r="I58" s="278"/>
    </row>
    <row r="59" spans="1:36" ht="82.5" customHeight="1" x14ac:dyDescent="0.2">
      <c r="B59" s="280"/>
      <c r="C59" s="280"/>
      <c r="D59" s="280"/>
      <c r="E59" s="280"/>
      <c r="F59" s="280"/>
      <c r="G59" s="280"/>
      <c r="H59" s="280"/>
      <c r="I59" s="280"/>
      <c r="J59" s="281"/>
      <c r="K59" s="281"/>
      <c r="L59" s="281"/>
      <c r="M59" s="281"/>
      <c r="N59" s="281"/>
    </row>
    <row r="60" spans="1:36" ht="26.25" x14ac:dyDescent="0.4">
      <c r="A60" s="384"/>
      <c r="B60" s="385" t="s">
        <v>402</v>
      </c>
      <c r="C60" s="386"/>
      <c r="D60" s="386"/>
      <c r="E60" s="386"/>
      <c r="F60" s="386"/>
      <c r="G60" s="386"/>
      <c r="H60" s="386"/>
      <c r="I60" s="386"/>
      <c r="J60" s="387"/>
      <c r="K60" s="387"/>
      <c r="L60" s="387"/>
      <c r="M60" s="387"/>
      <c r="N60" s="387"/>
      <c r="O60" s="384"/>
      <c r="P60" s="384"/>
      <c r="Q60" s="384"/>
      <c r="R60" s="384"/>
      <c r="S60" s="384"/>
      <c r="T60" s="384"/>
      <c r="U60" s="384"/>
      <c r="V60" s="384"/>
      <c r="W60" s="384"/>
      <c r="X60" s="384"/>
      <c r="Y60" s="384"/>
      <c r="Z60" s="384"/>
      <c r="AA60" s="384"/>
      <c r="AB60" s="384"/>
      <c r="AC60" s="384"/>
      <c r="AD60" s="384"/>
      <c r="AE60" s="384"/>
      <c r="AF60" s="384"/>
      <c r="AG60" s="384"/>
      <c r="AH60" s="384"/>
      <c r="AI60" s="384"/>
      <c r="AJ60" s="384"/>
    </row>
    <row r="61" spans="1:36" x14ac:dyDescent="0.2">
      <c r="A61" s="384"/>
      <c r="B61" s="386"/>
      <c r="C61" s="386"/>
      <c r="D61" s="386"/>
      <c r="E61" s="386"/>
      <c r="F61" s="386"/>
      <c r="G61" s="386"/>
      <c r="H61" s="386"/>
      <c r="I61" s="386"/>
      <c r="J61" s="387"/>
      <c r="K61" s="387"/>
      <c r="L61" s="387"/>
      <c r="M61" s="387"/>
      <c r="N61" s="387"/>
      <c r="O61" s="384"/>
      <c r="P61" s="384"/>
      <c r="Q61" s="384"/>
      <c r="R61" s="384"/>
      <c r="S61" s="384"/>
      <c r="T61" s="384"/>
      <c r="U61" s="384"/>
      <c r="V61" s="384"/>
      <c r="W61" s="384"/>
      <c r="X61" s="384"/>
      <c r="Y61" s="384"/>
      <c r="Z61" s="384"/>
      <c r="AA61" s="384"/>
      <c r="AB61" s="384"/>
      <c r="AC61" s="384"/>
      <c r="AD61" s="384"/>
      <c r="AE61" s="384"/>
      <c r="AF61" s="384"/>
      <c r="AG61" s="384"/>
      <c r="AH61" s="384"/>
      <c r="AI61" s="384"/>
      <c r="AJ61" s="384"/>
    </row>
    <row r="62" spans="1:36" x14ac:dyDescent="0.2">
      <c r="A62" s="384"/>
      <c r="B62" s="386"/>
      <c r="C62" s="386"/>
      <c r="D62" s="386"/>
      <c r="E62" s="386"/>
      <c r="F62" s="386"/>
      <c r="G62" s="386"/>
      <c r="H62" s="386"/>
      <c r="I62" s="386"/>
      <c r="J62" s="387"/>
      <c r="K62" s="387"/>
      <c r="L62" s="387"/>
      <c r="M62" s="387"/>
      <c r="N62" s="387"/>
      <c r="O62" s="384"/>
      <c r="P62" s="384"/>
      <c r="Q62" s="384"/>
      <c r="R62" s="384"/>
      <c r="S62" s="384"/>
      <c r="T62" s="384"/>
      <c r="U62" s="384"/>
      <c r="V62" s="384"/>
      <c r="W62" s="384"/>
      <c r="X62" s="384"/>
      <c r="Y62" s="384"/>
      <c r="Z62" s="384"/>
      <c r="AA62" s="384"/>
      <c r="AB62" s="384"/>
      <c r="AC62" s="384"/>
      <c r="AD62" s="384"/>
      <c r="AE62" s="384"/>
      <c r="AF62" s="384"/>
      <c r="AG62" s="384"/>
      <c r="AH62" s="384"/>
      <c r="AI62" s="384"/>
      <c r="AJ62" s="384"/>
    </row>
    <row r="63" spans="1:36" x14ac:dyDescent="0.2">
      <c r="A63" s="384"/>
      <c r="B63" s="386"/>
      <c r="C63" s="386"/>
      <c r="D63" s="386"/>
      <c r="E63" s="386"/>
      <c r="F63" s="386"/>
      <c r="G63" s="386"/>
      <c r="H63" s="386"/>
      <c r="I63" s="386"/>
      <c r="J63" s="387"/>
      <c r="K63" s="387"/>
      <c r="L63" s="387"/>
      <c r="M63" s="387"/>
      <c r="N63" s="387"/>
      <c r="O63" s="384"/>
      <c r="P63" s="384"/>
      <c r="Q63" s="384"/>
      <c r="R63" s="384"/>
      <c r="S63" s="384"/>
      <c r="T63" s="384"/>
      <c r="U63" s="384"/>
      <c r="V63" s="384"/>
      <c r="W63" s="384"/>
      <c r="X63" s="384"/>
      <c r="Y63" s="384"/>
      <c r="Z63" s="384"/>
      <c r="AA63" s="384"/>
      <c r="AB63" s="384"/>
      <c r="AC63" s="384"/>
      <c r="AD63" s="384"/>
      <c r="AE63" s="384"/>
      <c r="AF63" s="384"/>
      <c r="AG63" s="384"/>
      <c r="AH63" s="384"/>
      <c r="AI63" s="384"/>
      <c r="AJ63" s="384"/>
    </row>
    <row r="64" spans="1:36" x14ac:dyDescent="0.2">
      <c r="A64" s="384"/>
      <c r="B64" s="386"/>
      <c r="C64" s="386"/>
      <c r="D64" s="386"/>
      <c r="E64" s="386"/>
      <c r="F64" s="386"/>
      <c r="G64" s="386"/>
      <c r="H64" s="386"/>
      <c r="I64" s="386"/>
      <c r="J64" s="387"/>
      <c r="K64" s="387"/>
      <c r="L64" s="387"/>
      <c r="M64" s="387"/>
      <c r="N64" s="387"/>
      <c r="O64" s="384"/>
      <c r="P64" s="384"/>
      <c r="Q64" s="384"/>
      <c r="R64" s="384"/>
      <c r="S64" s="384"/>
      <c r="T64" s="384"/>
      <c r="U64" s="384"/>
      <c r="V64" s="384"/>
      <c r="W64" s="384"/>
      <c r="X64" s="384"/>
      <c r="Y64" s="384"/>
      <c r="Z64" s="384"/>
      <c r="AA64" s="384"/>
      <c r="AB64" s="384"/>
      <c r="AC64" s="384"/>
      <c r="AD64" s="384"/>
      <c r="AE64" s="384"/>
      <c r="AF64" s="384"/>
      <c r="AG64" s="384"/>
      <c r="AH64" s="384"/>
      <c r="AI64" s="384"/>
      <c r="AJ64" s="384"/>
    </row>
    <row r="65" spans="1:36" x14ac:dyDescent="0.2">
      <c r="A65" s="384"/>
      <c r="B65" s="386"/>
      <c r="C65" s="386"/>
      <c r="D65" s="386"/>
      <c r="E65" s="386"/>
      <c r="F65" s="386"/>
      <c r="G65" s="386"/>
      <c r="H65" s="386"/>
      <c r="I65" s="386"/>
      <c r="J65" s="387"/>
      <c r="K65" s="387"/>
      <c r="L65" s="387"/>
      <c r="M65" s="387"/>
      <c r="N65" s="387"/>
      <c r="O65" s="384"/>
      <c r="P65" s="384"/>
      <c r="Q65" s="384"/>
      <c r="R65" s="384"/>
      <c r="S65" s="384"/>
      <c r="T65" s="384"/>
      <c r="U65" s="384"/>
      <c r="V65" s="384"/>
      <c r="W65" s="384"/>
      <c r="X65" s="384"/>
      <c r="Y65" s="384"/>
      <c r="Z65" s="384"/>
      <c r="AA65" s="384"/>
      <c r="AB65" s="384"/>
      <c r="AC65" s="384"/>
      <c r="AD65" s="384"/>
      <c r="AE65" s="384"/>
      <c r="AF65" s="384"/>
      <c r="AG65" s="384"/>
      <c r="AH65" s="384"/>
      <c r="AI65" s="384"/>
      <c r="AJ65" s="384"/>
    </row>
    <row r="66" spans="1:36" x14ac:dyDescent="0.2">
      <c r="A66" s="384"/>
      <c r="B66" s="386"/>
      <c r="C66" s="386"/>
      <c r="D66" s="386"/>
      <c r="E66" s="386"/>
      <c r="F66" s="386"/>
      <c r="G66" s="386"/>
      <c r="H66" s="386"/>
      <c r="I66" s="386"/>
      <c r="J66" s="387"/>
      <c r="K66" s="387"/>
      <c r="L66" s="387"/>
      <c r="M66" s="387"/>
      <c r="N66" s="387"/>
      <c r="O66" s="384"/>
      <c r="P66" s="384"/>
      <c r="Q66" s="384"/>
      <c r="R66" s="384"/>
      <c r="S66" s="384"/>
      <c r="T66" s="384"/>
      <c r="U66" s="384"/>
      <c r="V66" s="384"/>
      <c r="W66" s="384"/>
      <c r="X66" s="384"/>
      <c r="Y66" s="384"/>
      <c r="Z66" s="384"/>
      <c r="AA66" s="384"/>
      <c r="AB66" s="384"/>
      <c r="AC66" s="384"/>
      <c r="AD66" s="384"/>
      <c r="AE66" s="384"/>
      <c r="AF66" s="384"/>
      <c r="AG66" s="384"/>
      <c r="AH66" s="384"/>
      <c r="AI66" s="384"/>
      <c r="AJ66" s="384"/>
    </row>
    <row r="67" spans="1:36" x14ac:dyDescent="0.2">
      <c r="A67" s="384"/>
      <c r="B67" s="386"/>
      <c r="C67" s="386"/>
      <c r="D67" s="386"/>
      <c r="E67" s="386"/>
      <c r="F67" s="386"/>
      <c r="G67" s="386"/>
      <c r="H67" s="386"/>
      <c r="I67" s="386"/>
      <c r="J67" s="387"/>
      <c r="K67" s="387"/>
      <c r="L67" s="387"/>
      <c r="M67" s="387"/>
      <c r="N67" s="387"/>
      <c r="O67" s="384"/>
      <c r="P67" s="384"/>
      <c r="Q67" s="384"/>
      <c r="R67" s="384"/>
      <c r="S67" s="384"/>
      <c r="T67" s="384"/>
      <c r="U67" s="384"/>
      <c r="V67" s="384"/>
      <c r="W67" s="384"/>
      <c r="X67" s="384"/>
      <c r="Y67" s="384"/>
      <c r="Z67" s="384"/>
      <c r="AA67" s="384"/>
      <c r="AB67" s="384"/>
      <c r="AC67" s="384"/>
      <c r="AD67" s="384"/>
      <c r="AE67" s="384"/>
      <c r="AF67" s="384"/>
      <c r="AG67" s="384"/>
      <c r="AH67" s="384"/>
      <c r="AI67" s="384"/>
      <c r="AJ67" s="384"/>
    </row>
    <row r="68" spans="1:36" x14ac:dyDescent="0.2">
      <c r="A68" s="384"/>
      <c r="B68" s="386"/>
      <c r="C68" s="386"/>
      <c r="D68" s="386"/>
      <c r="E68" s="386"/>
      <c r="F68" s="386"/>
      <c r="G68" s="386"/>
      <c r="H68" s="386"/>
      <c r="I68" s="386"/>
      <c r="J68" s="387"/>
      <c r="K68" s="387"/>
      <c r="L68" s="387"/>
      <c r="M68" s="387"/>
      <c r="N68" s="387"/>
      <c r="O68" s="384"/>
      <c r="P68" s="384"/>
      <c r="Q68" s="384"/>
      <c r="R68" s="384"/>
      <c r="S68" s="384"/>
      <c r="T68" s="384"/>
      <c r="U68" s="384"/>
      <c r="V68" s="384"/>
      <c r="W68" s="384"/>
      <c r="X68" s="384"/>
      <c r="Y68" s="384"/>
      <c r="Z68" s="384"/>
      <c r="AA68" s="384"/>
      <c r="AB68" s="384"/>
      <c r="AC68" s="384"/>
      <c r="AD68" s="384"/>
      <c r="AE68" s="384"/>
      <c r="AF68" s="384"/>
      <c r="AG68" s="384"/>
      <c r="AH68" s="384"/>
      <c r="AI68" s="384"/>
      <c r="AJ68" s="384"/>
    </row>
    <row r="69" spans="1:36" x14ac:dyDescent="0.2">
      <c r="A69" s="384"/>
      <c r="B69" s="386"/>
      <c r="C69" s="386"/>
      <c r="D69" s="386"/>
      <c r="E69" s="386"/>
      <c r="F69" s="386"/>
      <c r="G69" s="386"/>
      <c r="H69" s="386"/>
      <c r="I69" s="386"/>
      <c r="J69" s="387"/>
      <c r="K69" s="387"/>
      <c r="L69" s="387"/>
      <c r="M69" s="387"/>
      <c r="N69" s="387"/>
      <c r="O69" s="384"/>
      <c r="P69" s="384"/>
      <c r="Q69" s="384"/>
      <c r="R69" s="384"/>
      <c r="S69" s="384"/>
      <c r="T69" s="384"/>
      <c r="U69" s="384"/>
      <c r="V69" s="384"/>
      <c r="W69" s="384"/>
      <c r="X69" s="384"/>
      <c r="Y69" s="384"/>
      <c r="Z69" s="384"/>
      <c r="AA69" s="384"/>
      <c r="AB69" s="384"/>
      <c r="AC69" s="384"/>
      <c r="AD69" s="384"/>
      <c r="AE69" s="384"/>
      <c r="AF69" s="384"/>
      <c r="AG69" s="384"/>
      <c r="AH69" s="384"/>
      <c r="AI69" s="384"/>
      <c r="AJ69" s="384"/>
    </row>
    <row r="70" spans="1:36" x14ac:dyDescent="0.2">
      <c r="A70" s="384"/>
      <c r="B70" s="386"/>
      <c r="C70" s="386"/>
      <c r="D70" s="386"/>
      <c r="E70" s="386"/>
      <c r="F70" s="386"/>
      <c r="G70" s="386"/>
      <c r="H70" s="386"/>
      <c r="I70" s="386"/>
      <c r="J70" s="387"/>
      <c r="K70" s="387"/>
      <c r="L70" s="387"/>
      <c r="M70" s="387"/>
      <c r="N70" s="387"/>
      <c r="O70" s="384"/>
      <c r="P70" s="384"/>
      <c r="Q70" s="384"/>
      <c r="R70" s="384"/>
      <c r="S70" s="384"/>
      <c r="T70" s="384"/>
      <c r="U70" s="384"/>
      <c r="V70" s="384"/>
      <c r="W70" s="384"/>
      <c r="X70" s="384"/>
      <c r="Y70" s="384"/>
      <c r="Z70" s="384"/>
      <c r="AA70" s="384"/>
      <c r="AB70" s="384"/>
      <c r="AC70" s="384"/>
      <c r="AD70" s="384"/>
      <c r="AE70" s="384"/>
      <c r="AF70" s="384"/>
      <c r="AG70" s="384"/>
      <c r="AH70" s="384"/>
      <c r="AI70" s="384"/>
      <c r="AJ70" s="384"/>
    </row>
    <row r="71" spans="1:36" x14ac:dyDescent="0.2">
      <c r="A71" s="384"/>
      <c r="B71" s="386"/>
      <c r="C71" s="386"/>
      <c r="D71" s="386"/>
      <c r="E71" s="386"/>
      <c r="F71" s="386"/>
      <c r="G71" s="386"/>
      <c r="H71" s="386"/>
      <c r="I71" s="386"/>
      <c r="J71" s="387"/>
      <c r="K71" s="387"/>
      <c r="L71" s="387"/>
      <c r="M71" s="387"/>
      <c r="N71" s="387"/>
      <c r="O71" s="384"/>
      <c r="P71" s="384"/>
      <c r="Q71" s="384"/>
      <c r="R71" s="384"/>
      <c r="S71" s="384"/>
      <c r="T71" s="384"/>
      <c r="U71" s="384"/>
      <c r="V71" s="384"/>
      <c r="W71" s="384"/>
      <c r="X71" s="384"/>
      <c r="Y71" s="384"/>
      <c r="Z71" s="384"/>
      <c r="AA71" s="384"/>
      <c r="AB71" s="384"/>
      <c r="AC71" s="384"/>
      <c r="AD71" s="384"/>
      <c r="AE71" s="384"/>
      <c r="AF71" s="384"/>
      <c r="AG71" s="384"/>
      <c r="AH71" s="384"/>
      <c r="AI71" s="384"/>
      <c r="AJ71" s="384"/>
    </row>
    <row r="72" spans="1:36" x14ac:dyDescent="0.2">
      <c r="A72" s="384"/>
      <c r="B72" s="386"/>
      <c r="C72" s="386"/>
      <c r="D72" s="386"/>
      <c r="E72" s="386"/>
      <c r="F72" s="386"/>
      <c r="G72" s="386"/>
      <c r="H72" s="386"/>
      <c r="I72" s="386"/>
      <c r="J72" s="387"/>
      <c r="K72" s="387"/>
      <c r="L72" s="387"/>
      <c r="M72" s="387"/>
      <c r="N72" s="387"/>
      <c r="O72" s="384"/>
      <c r="P72" s="384"/>
      <c r="Q72" s="384"/>
      <c r="R72" s="384"/>
      <c r="S72" s="384"/>
      <c r="T72" s="384"/>
      <c r="U72" s="384"/>
      <c r="V72" s="384"/>
      <c r="W72" s="384"/>
      <c r="X72" s="384"/>
      <c r="Y72" s="384"/>
      <c r="Z72" s="384"/>
      <c r="AA72" s="384"/>
      <c r="AB72" s="384"/>
      <c r="AC72" s="384"/>
      <c r="AD72" s="384"/>
      <c r="AE72" s="384"/>
      <c r="AF72" s="384"/>
      <c r="AG72" s="384"/>
      <c r="AH72" s="384"/>
      <c r="AI72" s="384"/>
      <c r="AJ72" s="384"/>
    </row>
    <row r="73" spans="1:36" x14ac:dyDescent="0.2">
      <c r="A73" s="384"/>
      <c r="B73" s="386"/>
      <c r="C73" s="386"/>
      <c r="D73" s="386"/>
      <c r="E73" s="386"/>
      <c r="F73" s="386"/>
      <c r="G73" s="386"/>
      <c r="H73" s="386"/>
      <c r="I73" s="386"/>
      <c r="J73" s="387"/>
      <c r="K73" s="387"/>
      <c r="L73" s="387"/>
      <c r="M73" s="387"/>
      <c r="N73" s="387"/>
      <c r="O73" s="384"/>
      <c r="P73" s="384"/>
      <c r="Q73" s="384"/>
      <c r="R73" s="384"/>
      <c r="S73" s="384"/>
      <c r="T73" s="384"/>
      <c r="U73" s="384"/>
      <c r="V73" s="384"/>
      <c r="W73" s="384"/>
      <c r="X73" s="384"/>
      <c r="Y73" s="384"/>
      <c r="Z73" s="384"/>
      <c r="AA73" s="384"/>
      <c r="AB73" s="384"/>
      <c r="AC73" s="384"/>
      <c r="AD73" s="384"/>
      <c r="AE73" s="384"/>
      <c r="AF73" s="384"/>
      <c r="AG73" s="384"/>
      <c r="AH73" s="384"/>
      <c r="AI73" s="384"/>
      <c r="AJ73" s="384"/>
    </row>
    <row r="74" spans="1:36" x14ac:dyDescent="0.2">
      <c r="A74" s="384"/>
      <c r="B74" s="386"/>
      <c r="C74" s="386"/>
      <c r="D74" s="386"/>
      <c r="E74" s="386"/>
      <c r="F74" s="386"/>
      <c r="G74" s="386"/>
      <c r="H74" s="386"/>
      <c r="I74" s="386"/>
      <c r="J74" s="387"/>
      <c r="K74" s="387"/>
      <c r="L74" s="387"/>
      <c r="M74" s="387"/>
      <c r="N74" s="387"/>
      <c r="O74" s="384"/>
      <c r="P74" s="384"/>
      <c r="Q74" s="384"/>
      <c r="R74" s="384"/>
      <c r="S74" s="384"/>
      <c r="T74" s="384"/>
      <c r="U74" s="384"/>
      <c r="V74" s="384"/>
      <c r="W74" s="384"/>
      <c r="X74" s="384"/>
      <c r="Y74" s="384"/>
      <c r="Z74" s="384"/>
      <c r="AA74" s="384"/>
      <c r="AB74" s="384"/>
      <c r="AC74" s="384"/>
      <c r="AD74" s="384"/>
      <c r="AE74" s="384"/>
      <c r="AF74" s="384"/>
      <c r="AG74" s="384"/>
      <c r="AH74" s="384"/>
      <c r="AI74" s="384"/>
      <c r="AJ74" s="384"/>
    </row>
    <row r="75" spans="1:36" x14ac:dyDescent="0.2">
      <c r="A75" s="384"/>
      <c r="B75" s="386"/>
      <c r="C75" s="386"/>
      <c r="D75" s="386"/>
      <c r="E75" s="386"/>
      <c r="F75" s="386"/>
      <c r="G75" s="386"/>
      <c r="H75" s="386"/>
      <c r="I75" s="386"/>
      <c r="J75" s="387"/>
      <c r="K75" s="387"/>
      <c r="L75" s="387"/>
      <c r="M75" s="387"/>
      <c r="N75" s="387"/>
      <c r="O75" s="384"/>
      <c r="P75" s="384"/>
      <c r="Q75" s="384"/>
      <c r="R75" s="384"/>
      <c r="S75" s="384"/>
      <c r="T75" s="384"/>
      <c r="U75" s="384"/>
      <c r="V75" s="384"/>
      <c r="W75" s="384"/>
      <c r="X75" s="384"/>
      <c r="Y75" s="384"/>
      <c r="Z75" s="384"/>
      <c r="AA75" s="384"/>
      <c r="AB75" s="384"/>
      <c r="AC75" s="384"/>
      <c r="AD75" s="384"/>
      <c r="AE75" s="384"/>
      <c r="AF75" s="384"/>
      <c r="AG75" s="384"/>
      <c r="AH75" s="384"/>
      <c r="AI75" s="384"/>
      <c r="AJ75" s="384"/>
    </row>
    <row r="76" spans="1:36" x14ac:dyDescent="0.2">
      <c r="A76" s="384"/>
      <c r="B76" s="386"/>
      <c r="C76" s="386"/>
      <c r="D76" s="386"/>
      <c r="E76" s="386"/>
      <c r="F76" s="386"/>
      <c r="G76" s="386"/>
      <c r="H76" s="386"/>
      <c r="I76" s="386"/>
      <c r="J76" s="387"/>
      <c r="K76" s="387"/>
      <c r="L76" s="387"/>
      <c r="M76" s="387"/>
      <c r="N76" s="387"/>
      <c r="O76" s="384"/>
      <c r="P76" s="384"/>
      <c r="Q76" s="384"/>
      <c r="R76" s="384"/>
      <c r="S76" s="384"/>
      <c r="T76" s="384"/>
      <c r="U76" s="384"/>
      <c r="V76" s="384"/>
      <c r="W76" s="384"/>
      <c r="X76" s="384"/>
      <c r="Y76" s="384"/>
      <c r="Z76" s="384"/>
      <c r="AA76" s="384"/>
      <c r="AB76" s="384"/>
      <c r="AC76" s="384"/>
      <c r="AD76" s="384"/>
      <c r="AE76" s="384"/>
      <c r="AF76" s="384"/>
      <c r="AG76" s="384"/>
      <c r="AH76" s="384"/>
      <c r="AI76" s="384"/>
      <c r="AJ76" s="384"/>
    </row>
    <row r="77" spans="1:36" x14ac:dyDescent="0.2">
      <c r="A77" s="384"/>
      <c r="B77" s="384"/>
      <c r="C77" s="384"/>
      <c r="D77" s="384"/>
      <c r="E77" s="384"/>
      <c r="F77" s="384"/>
      <c r="G77" s="384"/>
      <c r="H77" s="384"/>
      <c r="I77" s="384"/>
      <c r="J77" s="384"/>
      <c r="K77" s="384"/>
      <c r="L77" s="384"/>
      <c r="M77" s="384"/>
      <c r="N77" s="384"/>
      <c r="O77" s="384"/>
      <c r="P77" s="384"/>
      <c r="Q77" s="384"/>
      <c r="R77" s="384"/>
      <c r="S77" s="384"/>
      <c r="T77" s="384"/>
      <c r="U77" s="384"/>
      <c r="V77" s="384"/>
      <c r="W77" s="384"/>
      <c r="X77" s="384"/>
      <c r="Y77" s="384"/>
      <c r="Z77" s="384"/>
      <c r="AA77" s="384"/>
      <c r="AB77" s="384"/>
      <c r="AC77" s="384"/>
      <c r="AD77" s="384"/>
      <c r="AE77" s="384"/>
      <c r="AF77" s="384"/>
      <c r="AG77" s="384"/>
      <c r="AH77" s="384"/>
      <c r="AI77" s="384"/>
      <c r="AJ77" s="384"/>
    </row>
    <row r="78" spans="1:36" x14ac:dyDescent="0.2">
      <c r="A78" s="384"/>
      <c r="B78" s="384"/>
      <c r="C78" s="384"/>
      <c r="D78" s="384"/>
      <c r="E78" s="384"/>
      <c r="F78" s="384"/>
      <c r="G78" s="384"/>
      <c r="H78" s="384"/>
      <c r="I78" s="384"/>
      <c r="J78" s="384"/>
      <c r="K78" s="384"/>
      <c r="L78" s="384"/>
      <c r="M78" s="384"/>
      <c r="N78" s="384"/>
      <c r="O78" s="384"/>
      <c r="P78" s="384"/>
      <c r="Q78" s="384"/>
      <c r="R78" s="384"/>
      <c r="S78" s="384"/>
      <c r="T78" s="384"/>
      <c r="U78" s="384"/>
      <c r="V78" s="384"/>
      <c r="W78" s="384"/>
      <c r="X78" s="384"/>
      <c r="Y78" s="384"/>
      <c r="Z78" s="384"/>
      <c r="AA78" s="384"/>
      <c r="AB78" s="384"/>
      <c r="AC78" s="384"/>
      <c r="AD78" s="384"/>
      <c r="AE78" s="384"/>
      <c r="AF78" s="384"/>
      <c r="AG78" s="384"/>
      <c r="AH78" s="384"/>
      <c r="AI78" s="384"/>
      <c r="AJ78" s="384"/>
    </row>
    <row r="79" spans="1:36" x14ac:dyDescent="0.2">
      <c r="A79" s="384"/>
      <c r="B79" s="384"/>
      <c r="C79" s="384"/>
      <c r="D79" s="384"/>
      <c r="E79" s="384"/>
      <c r="F79" s="384"/>
      <c r="G79" s="384"/>
      <c r="H79" s="384"/>
      <c r="I79" s="384"/>
      <c r="J79" s="384"/>
      <c r="K79" s="384"/>
      <c r="L79" s="384"/>
      <c r="M79" s="384"/>
      <c r="N79" s="384"/>
      <c r="O79" s="384"/>
      <c r="P79" s="384"/>
      <c r="Q79" s="384"/>
      <c r="R79" s="384"/>
      <c r="S79" s="384"/>
      <c r="T79" s="384"/>
      <c r="U79" s="384"/>
      <c r="V79" s="384"/>
      <c r="W79" s="384"/>
      <c r="X79" s="384"/>
      <c r="Y79" s="384"/>
      <c r="Z79" s="384"/>
      <c r="AA79" s="384"/>
      <c r="AB79" s="384"/>
      <c r="AC79" s="384"/>
      <c r="AD79" s="384"/>
      <c r="AE79" s="384"/>
      <c r="AF79" s="384"/>
      <c r="AG79" s="384"/>
      <c r="AH79" s="384"/>
      <c r="AI79" s="384"/>
      <c r="AJ79" s="384"/>
    </row>
    <row r="80" spans="1:36" x14ac:dyDescent="0.2">
      <c r="A80" s="384"/>
      <c r="B80" s="384"/>
      <c r="C80" s="384"/>
      <c r="D80" s="384"/>
      <c r="E80" s="384"/>
      <c r="F80" s="384"/>
      <c r="G80" s="384"/>
      <c r="H80" s="384"/>
      <c r="I80" s="384"/>
      <c r="J80" s="384"/>
      <c r="K80" s="384"/>
      <c r="L80" s="384"/>
      <c r="M80" s="384"/>
      <c r="N80" s="384"/>
      <c r="O80" s="384"/>
      <c r="P80" s="384"/>
      <c r="Q80" s="384"/>
      <c r="R80" s="384"/>
      <c r="S80" s="384"/>
      <c r="T80" s="384"/>
      <c r="U80" s="384"/>
      <c r="V80" s="384"/>
      <c r="W80" s="384"/>
      <c r="X80" s="384"/>
      <c r="Y80" s="384"/>
      <c r="Z80" s="384"/>
      <c r="AA80" s="384"/>
      <c r="AB80" s="384"/>
      <c r="AC80" s="384"/>
      <c r="AD80" s="384"/>
      <c r="AE80" s="384"/>
      <c r="AF80" s="384"/>
      <c r="AG80" s="384"/>
      <c r="AH80" s="384"/>
      <c r="AI80" s="384"/>
      <c r="AJ80" s="384"/>
    </row>
    <row r="81" spans="1:36" x14ac:dyDescent="0.2">
      <c r="A81" s="384"/>
      <c r="B81" s="384"/>
      <c r="C81" s="384"/>
      <c r="D81" s="384"/>
      <c r="E81" s="384"/>
      <c r="F81" s="384"/>
      <c r="G81" s="384"/>
      <c r="H81" s="384"/>
      <c r="I81" s="384"/>
      <c r="J81" s="384"/>
      <c r="K81" s="384"/>
      <c r="L81" s="384"/>
      <c r="M81" s="384"/>
      <c r="N81" s="384"/>
      <c r="O81" s="384"/>
      <c r="P81" s="384"/>
      <c r="Q81" s="384"/>
      <c r="R81" s="384"/>
      <c r="S81" s="384"/>
      <c r="T81" s="384"/>
      <c r="U81" s="384"/>
      <c r="V81" s="384"/>
      <c r="W81" s="384"/>
      <c r="X81" s="384"/>
      <c r="Y81" s="384"/>
      <c r="Z81" s="384"/>
      <c r="AA81" s="384"/>
      <c r="AB81" s="384"/>
      <c r="AC81" s="384"/>
      <c r="AD81" s="384"/>
      <c r="AE81" s="384"/>
      <c r="AF81" s="384"/>
      <c r="AG81" s="384"/>
      <c r="AH81" s="384"/>
      <c r="AI81" s="384"/>
      <c r="AJ81" s="384"/>
    </row>
    <row r="82" spans="1:36" x14ac:dyDescent="0.2">
      <c r="A82" s="384"/>
      <c r="B82" s="384"/>
      <c r="C82" s="384"/>
      <c r="D82" s="384"/>
      <c r="E82" s="384"/>
      <c r="F82" s="384"/>
      <c r="G82" s="384"/>
      <c r="H82" s="384"/>
      <c r="I82" s="384"/>
      <c r="J82" s="384"/>
      <c r="K82" s="384"/>
      <c r="L82" s="384"/>
      <c r="M82" s="384"/>
      <c r="N82" s="384"/>
      <c r="O82" s="384"/>
      <c r="P82" s="384"/>
      <c r="Q82" s="384"/>
      <c r="R82" s="384"/>
      <c r="S82" s="384"/>
      <c r="T82" s="384"/>
      <c r="U82" s="384"/>
      <c r="V82" s="384"/>
      <c r="W82" s="384"/>
      <c r="X82" s="384"/>
      <c r="Y82" s="384"/>
      <c r="Z82" s="384"/>
      <c r="AA82" s="384"/>
      <c r="AB82" s="384"/>
      <c r="AC82" s="384"/>
      <c r="AD82" s="384"/>
      <c r="AE82" s="384"/>
      <c r="AF82" s="384"/>
      <c r="AG82" s="384"/>
      <c r="AH82" s="384"/>
      <c r="AI82" s="384"/>
      <c r="AJ82" s="384"/>
    </row>
    <row r="83" spans="1:36" x14ac:dyDescent="0.2">
      <c r="A83" s="384"/>
      <c r="B83" s="384"/>
      <c r="C83" s="384"/>
      <c r="D83" s="384"/>
      <c r="E83" s="384"/>
      <c r="F83" s="384"/>
      <c r="G83" s="384"/>
      <c r="H83" s="384"/>
      <c r="I83" s="384"/>
      <c r="J83" s="384"/>
      <c r="K83" s="384"/>
      <c r="L83" s="384"/>
      <c r="M83" s="384"/>
      <c r="N83" s="384"/>
      <c r="O83" s="384"/>
      <c r="P83" s="384"/>
      <c r="Q83" s="384"/>
      <c r="R83" s="384"/>
      <c r="S83" s="384"/>
      <c r="T83" s="384"/>
      <c r="U83" s="384"/>
      <c r="V83" s="384"/>
      <c r="W83" s="384"/>
      <c r="X83" s="384"/>
      <c r="Y83" s="384"/>
      <c r="Z83" s="384"/>
      <c r="AA83" s="384"/>
      <c r="AB83" s="384"/>
      <c r="AC83" s="384"/>
      <c r="AD83" s="384"/>
      <c r="AE83" s="384"/>
      <c r="AF83" s="384"/>
      <c r="AG83" s="384"/>
      <c r="AH83" s="384"/>
      <c r="AI83" s="384"/>
      <c r="AJ83" s="384"/>
    </row>
    <row r="84" spans="1:36" x14ac:dyDescent="0.2">
      <c r="A84" s="384"/>
      <c r="B84" s="384"/>
      <c r="C84" s="384"/>
      <c r="D84" s="384"/>
      <c r="E84" s="384"/>
      <c r="F84" s="384"/>
      <c r="G84" s="384"/>
      <c r="H84" s="384"/>
      <c r="I84" s="384"/>
      <c r="J84" s="384"/>
      <c r="K84" s="384"/>
      <c r="L84" s="384"/>
      <c r="M84" s="384"/>
      <c r="N84" s="384"/>
      <c r="O84" s="384"/>
      <c r="P84" s="384"/>
      <c r="Q84" s="384"/>
      <c r="R84" s="384"/>
      <c r="S84" s="384"/>
      <c r="T84" s="384"/>
      <c r="U84" s="384"/>
      <c r="V84" s="384"/>
      <c r="W84" s="384"/>
      <c r="X84" s="384"/>
      <c r="Y84" s="384"/>
      <c r="Z84" s="384"/>
      <c r="AA84" s="384"/>
      <c r="AB84" s="384"/>
      <c r="AC84" s="384"/>
      <c r="AD84" s="384"/>
      <c r="AE84" s="384"/>
      <c r="AF84" s="384"/>
      <c r="AG84" s="384"/>
      <c r="AH84" s="384"/>
      <c r="AI84" s="384"/>
      <c r="AJ84" s="384"/>
    </row>
    <row r="85" spans="1:36" x14ac:dyDescent="0.2">
      <c r="A85" s="384"/>
      <c r="B85" s="384"/>
      <c r="C85" s="384"/>
      <c r="D85" s="384"/>
      <c r="E85" s="384"/>
      <c r="F85" s="384"/>
      <c r="G85" s="384"/>
      <c r="H85" s="384"/>
      <c r="I85" s="384"/>
      <c r="J85" s="384"/>
      <c r="K85" s="384"/>
      <c r="L85" s="384"/>
      <c r="M85" s="384"/>
      <c r="N85" s="384"/>
      <c r="O85" s="384"/>
      <c r="P85" s="384"/>
      <c r="Q85" s="384"/>
      <c r="R85" s="384"/>
      <c r="S85" s="384"/>
      <c r="T85" s="384"/>
      <c r="U85" s="384"/>
      <c r="V85" s="384"/>
      <c r="W85" s="384"/>
      <c r="X85" s="384"/>
      <c r="Y85" s="384"/>
      <c r="Z85" s="384"/>
      <c r="AA85" s="384"/>
      <c r="AB85" s="384"/>
      <c r="AC85" s="384"/>
      <c r="AD85" s="384"/>
      <c r="AE85" s="384"/>
      <c r="AF85" s="384"/>
      <c r="AG85" s="384"/>
      <c r="AH85" s="384"/>
      <c r="AI85" s="384"/>
      <c r="AJ85" s="384"/>
    </row>
    <row r="86" spans="1:36" x14ac:dyDescent="0.2">
      <c r="A86" s="384"/>
      <c r="B86" s="384"/>
      <c r="C86" s="384"/>
      <c r="D86" s="384"/>
      <c r="E86" s="384"/>
      <c r="F86" s="384"/>
      <c r="G86" s="384"/>
      <c r="H86" s="384"/>
      <c r="I86" s="384"/>
      <c r="J86" s="384"/>
      <c r="K86" s="384"/>
      <c r="L86" s="384"/>
      <c r="M86" s="384"/>
      <c r="N86" s="384"/>
      <c r="O86" s="384"/>
      <c r="P86" s="384"/>
      <c r="Q86" s="384"/>
      <c r="R86" s="384"/>
      <c r="S86" s="384"/>
      <c r="T86" s="384"/>
      <c r="U86" s="384"/>
      <c r="V86" s="384"/>
      <c r="W86" s="384"/>
      <c r="X86" s="384"/>
      <c r="Y86" s="384"/>
      <c r="Z86" s="384"/>
      <c r="AA86" s="384"/>
      <c r="AB86" s="384"/>
      <c r="AC86" s="384"/>
      <c r="AD86" s="384"/>
      <c r="AE86" s="384"/>
      <c r="AF86" s="384"/>
      <c r="AG86" s="384"/>
      <c r="AH86" s="384"/>
      <c r="AI86" s="384"/>
      <c r="AJ86" s="384"/>
    </row>
    <row r="87" spans="1:36" x14ac:dyDescent="0.2">
      <c r="A87" s="384"/>
      <c r="B87" s="384"/>
      <c r="C87" s="384"/>
      <c r="D87" s="384"/>
      <c r="E87" s="384"/>
      <c r="F87" s="384"/>
      <c r="G87" s="384"/>
      <c r="H87" s="384"/>
      <c r="I87" s="384"/>
      <c r="J87" s="384"/>
      <c r="K87" s="384"/>
      <c r="L87" s="384"/>
      <c r="M87" s="384"/>
      <c r="N87" s="384"/>
      <c r="O87" s="384"/>
      <c r="P87" s="384"/>
      <c r="Q87" s="384"/>
      <c r="R87" s="384"/>
      <c r="S87" s="384"/>
      <c r="T87" s="384"/>
      <c r="U87" s="384"/>
      <c r="V87" s="384"/>
      <c r="W87" s="384"/>
      <c r="X87" s="384"/>
      <c r="Y87" s="384"/>
      <c r="Z87" s="384"/>
      <c r="AA87" s="384"/>
      <c r="AB87" s="384"/>
      <c r="AC87" s="384"/>
      <c r="AD87" s="384"/>
      <c r="AE87" s="384"/>
      <c r="AF87" s="384"/>
      <c r="AG87" s="384"/>
      <c r="AH87" s="384"/>
      <c r="AI87" s="384"/>
      <c r="AJ87" s="384"/>
    </row>
    <row r="88" spans="1:36" x14ac:dyDescent="0.2">
      <c r="A88" s="384"/>
      <c r="B88" s="384"/>
      <c r="C88" s="384"/>
      <c r="D88" s="384"/>
      <c r="E88" s="384"/>
      <c r="F88" s="384"/>
      <c r="G88" s="384"/>
      <c r="H88" s="384"/>
      <c r="I88" s="384"/>
      <c r="J88" s="384"/>
      <c r="K88" s="384"/>
      <c r="L88" s="384"/>
      <c r="M88" s="384"/>
      <c r="N88" s="384"/>
      <c r="O88" s="384"/>
      <c r="P88" s="384"/>
      <c r="Q88" s="384"/>
      <c r="R88" s="384"/>
      <c r="S88" s="384"/>
      <c r="T88" s="384"/>
      <c r="U88" s="384"/>
      <c r="V88" s="384"/>
      <c r="W88" s="384"/>
      <c r="X88" s="384"/>
      <c r="Y88" s="384"/>
      <c r="Z88" s="384"/>
      <c r="AA88" s="384"/>
      <c r="AB88" s="384"/>
      <c r="AC88" s="384"/>
      <c r="AD88" s="384"/>
      <c r="AE88" s="384"/>
      <c r="AF88" s="384"/>
      <c r="AG88" s="384"/>
      <c r="AH88" s="384"/>
      <c r="AI88" s="384"/>
      <c r="AJ88" s="384"/>
    </row>
    <row r="89" spans="1:36" x14ac:dyDescent="0.2">
      <c r="A89" s="384"/>
      <c r="B89" s="384"/>
      <c r="C89" s="384"/>
      <c r="D89" s="384"/>
      <c r="E89" s="384"/>
      <c r="F89" s="384"/>
      <c r="G89" s="384"/>
      <c r="H89" s="384"/>
      <c r="I89" s="384"/>
      <c r="J89" s="384"/>
      <c r="K89" s="384"/>
      <c r="L89" s="384"/>
      <c r="M89" s="384"/>
      <c r="N89" s="384"/>
      <c r="O89" s="384"/>
      <c r="P89" s="384"/>
      <c r="Q89" s="384"/>
      <c r="R89" s="384"/>
      <c r="S89" s="384"/>
      <c r="T89" s="384"/>
      <c r="U89" s="384"/>
      <c r="V89" s="384"/>
      <c r="W89" s="384"/>
      <c r="X89" s="384"/>
      <c r="Y89" s="384"/>
      <c r="Z89" s="384"/>
      <c r="AA89" s="384"/>
      <c r="AB89" s="384"/>
      <c r="AC89" s="384"/>
      <c r="AD89" s="384"/>
      <c r="AE89" s="384"/>
      <c r="AF89" s="384"/>
      <c r="AG89" s="384"/>
      <c r="AH89" s="384"/>
      <c r="AI89" s="384"/>
      <c r="AJ89" s="384"/>
    </row>
    <row r="90" spans="1:36" x14ac:dyDescent="0.2">
      <c r="A90" s="384"/>
      <c r="B90" s="384"/>
      <c r="C90" s="384"/>
      <c r="D90" s="384"/>
      <c r="E90" s="384"/>
      <c r="F90" s="384"/>
      <c r="G90" s="384"/>
      <c r="H90" s="384"/>
      <c r="I90" s="384"/>
      <c r="J90" s="384"/>
      <c r="K90" s="384"/>
      <c r="L90" s="384"/>
      <c r="M90" s="384"/>
      <c r="N90" s="388" t="s">
        <v>319</v>
      </c>
      <c r="O90" s="384"/>
      <c r="P90" s="384"/>
      <c r="Q90" s="384"/>
      <c r="R90" s="384"/>
      <c r="S90" s="384"/>
      <c r="T90" s="384"/>
      <c r="U90" s="384"/>
      <c r="V90" s="384"/>
      <c r="W90" s="384"/>
      <c r="X90" s="384"/>
      <c r="Y90" s="384"/>
      <c r="Z90" s="384"/>
      <c r="AA90" s="384"/>
      <c r="AB90" s="384"/>
      <c r="AC90" s="384"/>
      <c r="AD90" s="384"/>
      <c r="AE90" s="384"/>
      <c r="AF90" s="384"/>
      <c r="AG90" s="384"/>
      <c r="AH90" s="384"/>
      <c r="AI90" s="384"/>
      <c r="AJ90" s="384"/>
    </row>
    <row r="91" spans="1:36" x14ac:dyDescent="0.2">
      <c r="A91" s="384"/>
      <c r="B91" s="384"/>
      <c r="C91" s="384"/>
      <c r="D91" s="384"/>
      <c r="E91" s="384"/>
      <c r="F91" s="384"/>
      <c r="G91" s="384"/>
      <c r="H91" s="384"/>
      <c r="I91" s="384"/>
      <c r="J91" s="384"/>
      <c r="K91" s="384"/>
      <c r="L91" s="384"/>
      <c r="M91" s="384"/>
      <c r="N91" s="384"/>
      <c r="O91" s="384"/>
      <c r="P91" s="384"/>
      <c r="Q91" s="384"/>
      <c r="R91" s="384"/>
      <c r="S91" s="384"/>
      <c r="T91" s="384"/>
      <c r="U91" s="384"/>
      <c r="V91" s="384"/>
      <c r="W91" s="384"/>
      <c r="X91" s="384"/>
      <c r="Y91" s="384"/>
      <c r="Z91" s="384"/>
      <c r="AA91" s="384"/>
      <c r="AB91" s="384"/>
      <c r="AC91" s="384"/>
      <c r="AD91" s="384"/>
      <c r="AE91" s="384"/>
      <c r="AF91" s="384"/>
      <c r="AG91" s="384"/>
      <c r="AH91" s="384"/>
      <c r="AI91" s="384"/>
      <c r="AJ91" s="384"/>
    </row>
    <row r="92" spans="1:36" x14ac:dyDescent="0.2">
      <c r="A92" s="384"/>
      <c r="B92" s="384"/>
      <c r="C92" s="384"/>
      <c r="D92" s="384"/>
      <c r="E92" s="384"/>
      <c r="F92" s="384"/>
      <c r="G92" s="384"/>
      <c r="H92" s="384"/>
      <c r="I92" s="384"/>
      <c r="J92" s="384"/>
      <c r="K92" s="384"/>
      <c r="L92" s="384"/>
      <c r="M92" s="384"/>
      <c r="N92" s="384"/>
      <c r="O92" s="384"/>
      <c r="P92" s="384"/>
      <c r="Q92" s="384"/>
      <c r="R92" s="384"/>
      <c r="S92" s="384"/>
      <c r="T92" s="384"/>
      <c r="U92" s="384"/>
      <c r="V92" s="384"/>
      <c r="W92" s="384"/>
      <c r="X92" s="384"/>
      <c r="Y92" s="384"/>
      <c r="Z92" s="384"/>
      <c r="AA92" s="384"/>
      <c r="AB92" s="384"/>
      <c r="AC92" s="384"/>
      <c r="AD92" s="384"/>
      <c r="AE92" s="384"/>
      <c r="AF92" s="384"/>
      <c r="AG92" s="384"/>
      <c r="AH92" s="384"/>
      <c r="AI92" s="384"/>
      <c r="AJ92" s="384"/>
    </row>
    <row r="93" spans="1:36" x14ac:dyDescent="0.2">
      <c r="A93" s="384"/>
      <c r="B93" s="384"/>
      <c r="C93" s="384"/>
      <c r="D93" s="384"/>
      <c r="E93" s="384"/>
      <c r="F93" s="384"/>
      <c r="G93" s="384"/>
      <c r="H93" s="384"/>
      <c r="I93" s="384"/>
      <c r="J93" s="384"/>
      <c r="K93" s="384"/>
      <c r="L93" s="384"/>
      <c r="M93" s="384"/>
      <c r="N93" s="384"/>
      <c r="O93" s="384"/>
      <c r="P93" s="384"/>
      <c r="Q93" s="384"/>
      <c r="R93" s="384"/>
      <c r="S93" s="384"/>
      <c r="T93" s="384"/>
      <c r="U93" s="384"/>
      <c r="V93" s="384"/>
      <c r="W93" s="384"/>
      <c r="X93" s="384"/>
      <c r="Y93" s="384"/>
      <c r="Z93" s="384"/>
      <c r="AA93" s="384"/>
      <c r="AB93" s="384"/>
      <c r="AC93" s="384"/>
      <c r="AD93" s="384"/>
      <c r="AE93" s="384"/>
      <c r="AF93" s="384"/>
      <c r="AG93" s="384"/>
      <c r="AH93" s="384"/>
      <c r="AI93" s="384"/>
      <c r="AJ93" s="384"/>
    </row>
    <row r="94" spans="1:36" x14ac:dyDescent="0.2">
      <c r="A94" s="384"/>
      <c r="B94" s="388" t="s">
        <v>320</v>
      </c>
      <c r="C94" s="384"/>
      <c r="D94" s="384"/>
      <c r="E94" s="384"/>
      <c r="F94" s="384"/>
      <c r="G94" s="384"/>
      <c r="H94" s="384"/>
      <c r="I94" s="384"/>
      <c r="J94" s="384"/>
      <c r="K94" s="384"/>
      <c r="L94" s="384"/>
      <c r="M94" s="384"/>
      <c r="N94" s="384"/>
      <c r="O94" s="384"/>
      <c r="P94" s="384"/>
      <c r="Q94" s="384"/>
      <c r="R94" s="384"/>
      <c r="S94" s="384"/>
      <c r="T94" s="384"/>
      <c r="U94" s="384"/>
      <c r="V94" s="384"/>
      <c r="W94" s="384"/>
      <c r="X94" s="384"/>
      <c r="Y94" s="384"/>
      <c r="Z94" s="384"/>
      <c r="AA94" s="384"/>
      <c r="AB94" s="384"/>
      <c r="AC94" s="384"/>
      <c r="AD94" s="384"/>
      <c r="AE94" s="384"/>
      <c r="AF94" s="384"/>
      <c r="AG94" s="384"/>
      <c r="AH94" s="384"/>
      <c r="AI94" s="384"/>
      <c r="AJ94" s="384"/>
    </row>
    <row r="95" spans="1:36" x14ac:dyDescent="0.2">
      <c r="A95" s="384"/>
      <c r="B95" s="384"/>
      <c r="C95" s="384"/>
      <c r="D95" s="384"/>
      <c r="E95" s="384"/>
      <c r="F95" s="384"/>
      <c r="G95" s="384"/>
      <c r="H95" s="384"/>
      <c r="I95" s="384"/>
      <c r="J95" s="384"/>
      <c r="K95" s="384"/>
      <c r="L95" s="384"/>
      <c r="M95" s="384"/>
      <c r="N95" s="384"/>
      <c r="O95" s="384"/>
      <c r="P95" s="384"/>
      <c r="Q95" s="384"/>
      <c r="R95" s="384"/>
      <c r="S95" s="384"/>
      <c r="T95" s="384"/>
      <c r="U95" s="384"/>
      <c r="V95" s="384"/>
      <c r="W95" s="384"/>
      <c r="X95" s="384"/>
      <c r="Y95" s="384"/>
      <c r="Z95" s="384"/>
      <c r="AA95" s="384"/>
      <c r="AB95" s="384"/>
      <c r="AC95" s="384"/>
      <c r="AD95" s="384"/>
      <c r="AE95" s="384"/>
      <c r="AF95" s="384"/>
      <c r="AG95" s="384"/>
      <c r="AH95" s="384"/>
      <c r="AI95" s="384"/>
      <c r="AJ95" s="384"/>
    </row>
    <row r="96" spans="1:36" x14ac:dyDescent="0.2">
      <c r="A96" s="384"/>
      <c r="B96" s="384"/>
      <c r="C96" s="384"/>
      <c r="D96" s="384"/>
      <c r="E96" s="384"/>
      <c r="F96" s="384"/>
      <c r="G96" s="384"/>
      <c r="H96" s="384"/>
      <c r="I96" s="384"/>
      <c r="J96" s="384"/>
      <c r="K96" s="384"/>
      <c r="L96" s="384"/>
      <c r="M96" s="384"/>
      <c r="N96" s="384"/>
      <c r="O96" s="384"/>
      <c r="P96" s="384"/>
      <c r="Q96" s="384"/>
      <c r="R96" s="384"/>
      <c r="S96" s="384"/>
      <c r="T96" s="384"/>
      <c r="U96" s="384"/>
      <c r="V96" s="384"/>
      <c r="W96" s="384"/>
      <c r="X96" s="384"/>
      <c r="Y96" s="384"/>
      <c r="Z96" s="384"/>
      <c r="AA96" s="384"/>
      <c r="AB96" s="384"/>
      <c r="AC96" s="384"/>
      <c r="AD96" s="384"/>
      <c r="AE96" s="384"/>
      <c r="AF96" s="384"/>
      <c r="AG96" s="384"/>
      <c r="AH96" s="384"/>
      <c r="AI96" s="384"/>
      <c r="AJ96" s="384"/>
    </row>
    <row r="97" spans="1:36" x14ac:dyDescent="0.2">
      <c r="A97" s="384"/>
      <c r="B97" s="388"/>
      <c r="C97" s="384"/>
      <c r="D97" s="384"/>
      <c r="E97" s="384"/>
      <c r="F97" s="384"/>
      <c r="G97" s="384"/>
      <c r="H97" s="384"/>
      <c r="I97" s="384"/>
      <c r="J97" s="384"/>
      <c r="K97" s="384"/>
      <c r="L97" s="384"/>
      <c r="M97" s="384"/>
      <c r="N97" s="384"/>
      <c r="O97" s="384"/>
      <c r="P97" s="384"/>
      <c r="Q97" s="384"/>
      <c r="R97" s="384"/>
      <c r="S97" s="384"/>
      <c r="T97" s="384"/>
      <c r="U97" s="384"/>
      <c r="V97" s="384"/>
      <c r="W97" s="384"/>
      <c r="X97" s="384"/>
      <c r="Y97" s="384"/>
      <c r="Z97" s="384"/>
      <c r="AA97" s="384"/>
      <c r="AB97" s="384"/>
      <c r="AC97" s="384"/>
      <c r="AD97" s="384"/>
      <c r="AE97" s="384"/>
      <c r="AF97" s="384"/>
      <c r="AG97" s="384"/>
      <c r="AH97" s="384"/>
      <c r="AI97" s="384"/>
      <c r="AJ97" s="384"/>
    </row>
    <row r="98" spans="1:36" ht="18.75" x14ac:dyDescent="0.2">
      <c r="A98" s="384"/>
      <c r="B98" s="554" t="s">
        <v>49</v>
      </c>
      <c r="C98" s="554"/>
      <c r="D98" s="554"/>
      <c r="E98" s="554"/>
      <c r="F98" s="554"/>
      <c r="G98" s="554"/>
      <c r="H98" s="554"/>
      <c r="I98" s="554"/>
      <c r="J98" s="555"/>
      <c r="K98" s="555"/>
      <c r="L98" s="555"/>
      <c r="M98" s="555"/>
      <c r="N98" s="555"/>
      <c r="O98" s="384"/>
      <c r="P98" s="384"/>
      <c r="Q98" s="384"/>
      <c r="R98" s="384"/>
      <c r="S98" s="384"/>
      <c r="T98" s="384"/>
      <c r="U98" s="384"/>
      <c r="V98" s="384"/>
      <c r="W98" s="384"/>
      <c r="X98" s="384"/>
      <c r="Y98" s="384"/>
      <c r="Z98" s="384"/>
      <c r="AA98" s="384"/>
      <c r="AB98" s="384"/>
      <c r="AC98" s="384"/>
      <c r="AD98" s="384"/>
      <c r="AE98" s="384"/>
      <c r="AF98" s="384"/>
      <c r="AG98" s="384"/>
      <c r="AH98" s="384"/>
      <c r="AI98" s="384"/>
      <c r="AJ98" s="384"/>
    </row>
    <row r="99" spans="1:36" x14ac:dyDescent="0.2">
      <c r="A99" s="384"/>
      <c r="B99" s="384"/>
      <c r="C99" s="384"/>
      <c r="D99" s="384"/>
      <c r="E99" s="384"/>
      <c r="F99" s="384"/>
      <c r="G99" s="384"/>
      <c r="H99" s="384"/>
      <c r="I99" s="384"/>
      <c r="J99" s="384"/>
      <c r="K99" s="384"/>
      <c r="L99" s="384"/>
      <c r="M99" s="384"/>
      <c r="N99" s="384"/>
      <c r="O99" s="384"/>
      <c r="P99" s="384"/>
      <c r="Q99" s="384"/>
      <c r="R99" s="384"/>
      <c r="S99" s="384"/>
      <c r="T99" s="384"/>
      <c r="U99" s="384"/>
      <c r="V99" s="384"/>
      <c r="W99" s="384"/>
      <c r="X99" s="384"/>
      <c r="Y99" s="384"/>
      <c r="Z99" s="384"/>
      <c r="AA99" s="384"/>
      <c r="AB99" s="384"/>
      <c r="AC99" s="384"/>
      <c r="AD99" s="384"/>
      <c r="AE99" s="384"/>
      <c r="AF99" s="384"/>
      <c r="AG99" s="384"/>
      <c r="AH99" s="384"/>
      <c r="AI99" s="384"/>
      <c r="AJ99" s="384"/>
    </row>
    <row r="100" spans="1:36" x14ac:dyDescent="0.2">
      <c r="A100" s="384"/>
      <c r="B100" s="384"/>
      <c r="C100" s="384"/>
      <c r="D100" s="384"/>
      <c r="E100" s="384"/>
      <c r="F100" s="384"/>
      <c r="G100" s="384"/>
      <c r="H100" s="384"/>
      <c r="I100" s="384"/>
      <c r="J100" s="384"/>
      <c r="K100" s="384"/>
      <c r="L100" s="384"/>
      <c r="M100" s="384"/>
      <c r="N100" s="384"/>
      <c r="O100" s="384"/>
      <c r="P100" s="384"/>
      <c r="Q100" s="384"/>
      <c r="R100" s="384"/>
      <c r="S100" s="384"/>
      <c r="T100" s="384"/>
      <c r="U100" s="384"/>
      <c r="V100" s="384"/>
      <c r="W100" s="384"/>
      <c r="X100" s="384"/>
      <c r="Y100" s="384"/>
      <c r="Z100" s="384"/>
      <c r="AA100" s="384"/>
      <c r="AB100" s="384"/>
      <c r="AC100" s="384"/>
      <c r="AD100" s="384"/>
      <c r="AE100" s="384"/>
      <c r="AF100" s="384"/>
      <c r="AG100" s="384"/>
      <c r="AH100" s="384"/>
      <c r="AI100" s="384"/>
      <c r="AJ100" s="384"/>
    </row>
    <row r="101" spans="1:36" x14ac:dyDescent="0.2">
      <c r="A101" s="384"/>
      <c r="B101" s="384"/>
      <c r="C101" s="384"/>
      <c r="D101" s="384"/>
      <c r="E101" s="384"/>
      <c r="F101" s="384"/>
      <c r="G101" s="384"/>
      <c r="H101" s="384"/>
      <c r="I101" s="384"/>
      <c r="J101" s="384"/>
      <c r="K101" s="384"/>
      <c r="L101" s="384"/>
      <c r="M101" s="384"/>
      <c r="N101" s="384"/>
      <c r="O101" s="384"/>
      <c r="P101" s="384"/>
      <c r="Q101" s="384"/>
      <c r="R101" s="384"/>
      <c r="S101" s="384"/>
      <c r="T101" s="384"/>
      <c r="U101" s="384"/>
      <c r="V101" s="384"/>
      <c r="W101" s="384"/>
      <c r="X101" s="384"/>
      <c r="Y101" s="384"/>
      <c r="Z101" s="384"/>
      <c r="AA101" s="384"/>
      <c r="AB101" s="384"/>
      <c r="AC101" s="384"/>
      <c r="AD101" s="384"/>
      <c r="AE101" s="384"/>
      <c r="AF101" s="384"/>
      <c r="AG101" s="384"/>
      <c r="AH101" s="384"/>
      <c r="AI101" s="384"/>
      <c r="AJ101" s="384"/>
    </row>
    <row r="102" spans="1:36" x14ac:dyDescent="0.2">
      <c r="A102" s="384"/>
      <c r="B102" s="384"/>
      <c r="C102" s="384"/>
      <c r="D102" s="384"/>
      <c r="E102" s="384"/>
      <c r="F102" s="384"/>
      <c r="G102" s="384"/>
      <c r="H102" s="384"/>
      <c r="I102" s="384"/>
      <c r="J102" s="384"/>
      <c r="K102" s="384"/>
      <c r="L102" s="384"/>
      <c r="M102" s="384"/>
      <c r="N102" s="384"/>
      <c r="O102" s="384"/>
      <c r="P102" s="384"/>
      <c r="Q102" s="384"/>
      <c r="R102" s="384"/>
      <c r="S102" s="384"/>
      <c r="T102" s="384"/>
      <c r="U102" s="384"/>
      <c r="V102" s="384"/>
      <c r="W102" s="384"/>
      <c r="X102" s="384"/>
      <c r="Y102" s="384"/>
      <c r="Z102" s="384"/>
      <c r="AA102" s="384"/>
      <c r="AB102" s="384"/>
      <c r="AC102" s="384"/>
      <c r="AD102" s="384"/>
      <c r="AE102" s="384"/>
      <c r="AF102" s="384"/>
      <c r="AG102" s="384"/>
      <c r="AH102" s="384"/>
      <c r="AI102" s="384"/>
      <c r="AJ102" s="384"/>
    </row>
    <row r="103" spans="1:36" x14ac:dyDescent="0.2">
      <c r="A103" s="384"/>
      <c r="B103" s="384"/>
      <c r="C103" s="384"/>
      <c r="D103" s="384"/>
      <c r="E103" s="384"/>
      <c r="F103" s="384"/>
      <c r="G103" s="384"/>
      <c r="H103" s="384"/>
      <c r="I103" s="384"/>
      <c r="J103" s="384"/>
      <c r="K103" s="384"/>
      <c r="L103" s="384"/>
      <c r="M103" s="384"/>
      <c r="N103" s="384"/>
      <c r="O103" s="384"/>
      <c r="P103" s="384"/>
      <c r="Q103" s="384"/>
      <c r="R103" s="384"/>
      <c r="S103" s="384"/>
      <c r="T103" s="384"/>
      <c r="U103" s="384"/>
      <c r="V103" s="384"/>
      <c r="W103" s="384"/>
      <c r="X103" s="384"/>
      <c r="Y103" s="384"/>
      <c r="Z103" s="384"/>
      <c r="AA103" s="384"/>
      <c r="AB103" s="384"/>
      <c r="AC103" s="384"/>
      <c r="AD103" s="384"/>
      <c r="AE103" s="384"/>
      <c r="AF103" s="384"/>
      <c r="AG103" s="384"/>
      <c r="AH103" s="384"/>
      <c r="AI103" s="384"/>
      <c r="AJ103" s="384"/>
    </row>
    <row r="104" spans="1:36" x14ac:dyDescent="0.2">
      <c r="A104" s="384"/>
      <c r="B104" s="384"/>
      <c r="C104" s="384"/>
      <c r="D104" s="384"/>
      <c r="E104" s="384"/>
      <c r="F104" s="384"/>
      <c r="G104" s="384"/>
      <c r="H104" s="384"/>
      <c r="I104" s="384"/>
      <c r="J104" s="384"/>
      <c r="K104" s="384"/>
      <c r="L104" s="384"/>
      <c r="M104" s="384"/>
      <c r="N104" s="384"/>
      <c r="O104" s="384"/>
      <c r="P104" s="384"/>
      <c r="Q104" s="384"/>
      <c r="R104" s="384"/>
      <c r="S104" s="384"/>
      <c r="T104" s="384"/>
      <c r="U104" s="384"/>
      <c r="V104" s="384"/>
      <c r="W104" s="384"/>
      <c r="X104" s="384"/>
      <c r="Y104" s="384"/>
      <c r="Z104" s="384"/>
      <c r="AA104" s="384"/>
      <c r="AB104" s="384"/>
      <c r="AC104" s="384"/>
      <c r="AD104" s="384"/>
      <c r="AE104" s="384"/>
      <c r="AF104" s="384"/>
      <c r="AG104" s="384"/>
      <c r="AH104" s="384"/>
      <c r="AI104" s="384"/>
      <c r="AJ104" s="384"/>
    </row>
    <row r="105" spans="1:36" x14ac:dyDescent="0.2">
      <c r="A105" s="384"/>
      <c r="B105" s="384"/>
      <c r="C105" s="384"/>
      <c r="D105" s="384"/>
      <c r="E105" s="384"/>
      <c r="F105" s="384"/>
      <c r="G105" s="384"/>
      <c r="H105" s="384"/>
      <c r="I105" s="384"/>
      <c r="J105" s="384"/>
      <c r="K105" s="384"/>
      <c r="L105" s="384"/>
      <c r="M105" s="384"/>
      <c r="N105" s="384"/>
      <c r="O105" s="384"/>
      <c r="P105" s="384"/>
      <c r="Q105" s="384"/>
      <c r="R105" s="384"/>
      <c r="S105" s="384"/>
      <c r="T105" s="384"/>
      <c r="U105" s="384"/>
      <c r="V105" s="384"/>
      <c r="W105" s="384"/>
      <c r="X105" s="384"/>
      <c r="Y105" s="384"/>
      <c r="Z105" s="384"/>
      <c r="AA105" s="384"/>
      <c r="AB105" s="384"/>
      <c r="AC105" s="384"/>
      <c r="AD105" s="384"/>
      <c r="AE105" s="384"/>
      <c r="AF105" s="384"/>
      <c r="AG105" s="384"/>
      <c r="AH105" s="384"/>
      <c r="AI105" s="384"/>
      <c r="AJ105" s="384"/>
    </row>
    <row r="106" spans="1:36" x14ac:dyDescent="0.2">
      <c r="A106" s="384"/>
      <c r="B106" s="384"/>
      <c r="C106" s="384"/>
      <c r="D106" s="384"/>
      <c r="E106" s="384"/>
      <c r="F106" s="384"/>
      <c r="G106" s="384"/>
      <c r="H106" s="384"/>
      <c r="I106" s="384"/>
      <c r="J106" s="384"/>
      <c r="K106" s="384"/>
      <c r="L106" s="384"/>
      <c r="M106" s="384"/>
      <c r="N106" s="384"/>
      <c r="O106" s="384"/>
      <c r="P106" s="384"/>
      <c r="Q106" s="384"/>
      <c r="R106" s="384"/>
      <c r="S106" s="384"/>
      <c r="T106" s="384"/>
      <c r="U106" s="384"/>
      <c r="V106" s="384"/>
      <c r="W106" s="384"/>
      <c r="X106" s="384"/>
      <c r="Y106" s="384"/>
      <c r="Z106" s="384"/>
      <c r="AA106" s="384"/>
      <c r="AB106" s="384"/>
      <c r="AC106" s="384"/>
      <c r="AD106" s="384"/>
      <c r="AE106" s="384"/>
      <c r="AF106" s="384"/>
      <c r="AG106" s="384"/>
      <c r="AH106" s="384"/>
      <c r="AI106" s="384"/>
      <c r="AJ106" s="384"/>
    </row>
    <row r="107" spans="1:36" x14ac:dyDescent="0.2">
      <c r="A107" s="384"/>
      <c r="B107" s="384"/>
      <c r="C107" s="384"/>
      <c r="D107" s="384"/>
      <c r="E107" s="384"/>
      <c r="F107" s="384"/>
      <c r="G107" s="384"/>
      <c r="H107" s="384"/>
      <c r="I107" s="384"/>
      <c r="J107" s="384"/>
      <c r="K107" s="384"/>
      <c r="L107" s="384"/>
      <c r="M107" s="384"/>
      <c r="N107" s="384"/>
      <c r="O107" s="384"/>
      <c r="P107" s="384"/>
      <c r="Q107" s="384"/>
      <c r="R107" s="384"/>
      <c r="S107" s="384"/>
      <c r="T107" s="384"/>
      <c r="U107" s="384"/>
      <c r="V107" s="384"/>
      <c r="W107" s="384"/>
      <c r="X107" s="384"/>
      <c r="Y107" s="384"/>
      <c r="Z107" s="384"/>
      <c r="AA107" s="384"/>
      <c r="AB107" s="384"/>
      <c r="AC107" s="384"/>
      <c r="AD107" s="384"/>
      <c r="AE107" s="384"/>
      <c r="AF107" s="384"/>
      <c r="AG107" s="384"/>
      <c r="AH107" s="384"/>
      <c r="AI107" s="384"/>
      <c r="AJ107" s="384"/>
    </row>
    <row r="108" spans="1:36" x14ac:dyDescent="0.2">
      <c r="A108" s="384"/>
      <c r="B108" s="384"/>
      <c r="C108" s="384"/>
      <c r="D108" s="384"/>
      <c r="E108" s="384"/>
      <c r="F108" s="384"/>
      <c r="G108" s="384"/>
      <c r="H108" s="384"/>
      <c r="I108" s="384"/>
      <c r="J108" s="384"/>
      <c r="K108" s="384"/>
      <c r="L108" s="384"/>
      <c r="M108" s="384"/>
      <c r="N108" s="384"/>
      <c r="O108" s="384"/>
      <c r="P108" s="384"/>
      <c r="Q108" s="384"/>
      <c r="R108" s="384"/>
      <c r="S108" s="384"/>
      <c r="T108" s="384"/>
      <c r="U108" s="384"/>
      <c r="V108" s="384"/>
      <c r="W108" s="384"/>
      <c r="X108" s="384"/>
      <c r="Y108" s="384"/>
      <c r="Z108" s="384"/>
      <c r="AA108" s="384"/>
      <c r="AB108" s="384"/>
      <c r="AC108" s="384"/>
      <c r="AD108" s="384"/>
      <c r="AE108" s="384"/>
      <c r="AF108" s="384"/>
      <c r="AG108" s="384"/>
      <c r="AH108" s="384"/>
      <c r="AI108" s="384"/>
      <c r="AJ108" s="384"/>
    </row>
    <row r="109" spans="1:36" x14ac:dyDescent="0.2">
      <c r="A109" s="384"/>
      <c r="B109" s="384"/>
      <c r="C109" s="384"/>
      <c r="D109" s="384"/>
      <c r="E109" s="384"/>
      <c r="F109" s="384"/>
      <c r="G109" s="384"/>
      <c r="H109" s="384"/>
      <c r="I109" s="384"/>
      <c r="J109" s="384"/>
      <c r="K109" s="384"/>
      <c r="L109" s="384"/>
      <c r="M109" s="384"/>
      <c r="N109" s="384"/>
      <c r="O109" s="384"/>
      <c r="P109" s="384"/>
      <c r="Q109" s="384"/>
      <c r="R109" s="384"/>
      <c r="S109" s="384"/>
      <c r="T109" s="384"/>
      <c r="U109" s="384"/>
      <c r="V109" s="384"/>
      <c r="W109" s="384"/>
      <c r="X109" s="384"/>
      <c r="Y109" s="384"/>
      <c r="Z109" s="384"/>
      <c r="AA109" s="384"/>
      <c r="AB109" s="384"/>
      <c r="AC109" s="384"/>
      <c r="AD109" s="384"/>
      <c r="AE109" s="384"/>
      <c r="AF109" s="384"/>
      <c r="AG109" s="384"/>
      <c r="AH109" s="384"/>
      <c r="AI109" s="384"/>
      <c r="AJ109" s="384"/>
    </row>
    <row r="110" spans="1:36" x14ac:dyDescent="0.2">
      <c r="A110" s="384"/>
      <c r="B110" s="384"/>
      <c r="C110" s="384"/>
      <c r="D110" s="384"/>
      <c r="E110" s="384"/>
      <c r="F110" s="384"/>
      <c r="G110" s="384"/>
      <c r="H110" s="384"/>
      <c r="I110" s="384"/>
      <c r="J110" s="384"/>
      <c r="K110" s="384"/>
      <c r="L110" s="384"/>
      <c r="M110" s="384"/>
      <c r="N110" s="384"/>
      <c r="O110" s="384"/>
      <c r="P110" s="384"/>
      <c r="Q110" s="384"/>
      <c r="R110" s="384"/>
      <c r="S110" s="384"/>
      <c r="T110" s="384"/>
      <c r="U110" s="384"/>
      <c r="V110" s="384"/>
      <c r="W110" s="384"/>
      <c r="X110" s="384"/>
      <c r="Y110" s="384"/>
      <c r="Z110" s="384"/>
      <c r="AA110" s="384"/>
      <c r="AB110" s="384"/>
      <c r="AC110" s="384"/>
      <c r="AD110" s="384"/>
      <c r="AE110" s="384"/>
      <c r="AF110" s="384"/>
      <c r="AG110" s="384"/>
      <c r="AH110" s="384"/>
      <c r="AI110" s="384"/>
      <c r="AJ110" s="384"/>
    </row>
    <row r="111" spans="1:36" x14ac:dyDescent="0.2">
      <c r="A111" s="384"/>
      <c r="B111" s="384"/>
      <c r="C111" s="384"/>
      <c r="D111" s="384"/>
      <c r="E111" s="384"/>
      <c r="F111" s="384"/>
      <c r="G111" s="384"/>
      <c r="H111" s="384"/>
      <c r="I111" s="384"/>
      <c r="J111" s="384"/>
      <c r="K111" s="384"/>
      <c r="L111" s="384"/>
      <c r="M111" s="384"/>
      <c r="N111" s="384"/>
      <c r="O111" s="384"/>
      <c r="P111" s="384"/>
      <c r="Q111" s="384"/>
      <c r="R111" s="384"/>
      <c r="S111" s="384"/>
      <c r="T111" s="384"/>
      <c r="U111" s="384"/>
      <c r="V111" s="384"/>
      <c r="W111" s="384"/>
      <c r="X111" s="384"/>
      <c r="Y111" s="384"/>
      <c r="Z111" s="384"/>
      <c r="AA111" s="384"/>
      <c r="AB111" s="384"/>
      <c r="AC111" s="384"/>
      <c r="AD111" s="384"/>
      <c r="AE111" s="384"/>
      <c r="AF111" s="384"/>
      <c r="AG111" s="384"/>
      <c r="AH111" s="384"/>
      <c r="AI111" s="384"/>
      <c r="AJ111" s="384"/>
    </row>
    <row r="112" spans="1:36" x14ac:dyDescent="0.2">
      <c r="A112" s="384"/>
      <c r="B112" s="384"/>
      <c r="C112" s="384"/>
      <c r="D112" s="384"/>
      <c r="E112" s="384"/>
      <c r="F112" s="384"/>
      <c r="G112" s="384"/>
      <c r="H112" s="384"/>
      <c r="I112" s="384"/>
      <c r="J112" s="384"/>
      <c r="K112" s="384"/>
      <c r="L112" s="384"/>
      <c r="M112" s="384"/>
      <c r="N112" s="384"/>
      <c r="O112" s="384"/>
      <c r="P112" s="384"/>
      <c r="Q112" s="384"/>
      <c r="R112" s="384"/>
      <c r="S112" s="384"/>
      <c r="T112" s="384"/>
      <c r="U112" s="384"/>
      <c r="V112" s="384"/>
      <c r="W112" s="384"/>
      <c r="X112" s="384"/>
      <c r="Y112" s="384"/>
      <c r="Z112" s="384"/>
      <c r="AA112" s="384"/>
      <c r="AB112" s="384"/>
      <c r="AC112" s="384"/>
      <c r="AD112" s="384"/>
      <c r="AE112" s="384"/>
      <c r="AF112" s="384"/>
      <c r="AG112" s="384"/>
      <c r="AH112" s="384"/>
      <c r="AI112" s="384"/>
      <c r="AJ112" s="384"/>
    </row>
    <row r="113" spans="1:36" x14ac:dyDescent="0.2">
      <c r="A113" s="384"/>
      <c r="B113" s="384"/>
      <c r="C113" s="384"/>
      <c r="D113" s="384"/>
      <c r="E113" s="384"/>
      <c r="F113" s="384"/>
      <c r="G113" s="384"/>
      <c r="H113" s="384"/>
      <c r="I113" s="384"/>
      <c r="J113" s="384"/>
      <c r="K113" s="384"/>
      <c r="L113" s="384"/>
      <c r="M113" s="384"/>
      <c r="N113" s="384"/>
      <c r="O113" s="384"/>
      <c r="P113" s="384"/>
      <c r="Q113" s="384"/>
      <c r="R113" s="384"/>
      <c r="S113" s="384"/>
      <c r="T113" s="384"/>
      <c r="U113" s="384"/>
      <c r="V113" s="384"/>
      <c r="W113" s="384"/>
      <c r="X113" s="384"/>
      <c r="Y113" s="384"/>
      <c r="Z113" s="384"/>
      <c r="AA113" s="384"/>
      <c r="AB113" s="384"/>
      <c r="AC113" s="384"/>
      <c r="AD113" s="384"/>
      <c r="AE113" s="384"/>
      <c r="AF113" s="384"/>
      <c r="AG113" s="384"/>
      <c r="AH113" s="384"/>
      <c r="AI113" s="384"/>
      <c r="AJ113" s="384"/>
    </row>
    <row r="114" spans="1:36" x14ac:dyDescent="0.2">
      <c r="A114" s="384"/>
      <c r="B114" s="384"/>
      <c r="C114" s="384"/>
      <c r="D114" s="384"/>
      <c r="E114" s="384"/>
      <c r="F114" s="384"/>
      <c r="G114" s="384"/>
      <c r="H114" s="384"/>
      <c r="I114" s="384"/>
      <c r="J114" s="384"/>
      <c r="K114" s="384"/>
      <c r="L114" s="384"/>
      <c r="M114" s="384"/>
      <c r="N114" s="384"/>
      <c r="O114" s="384"/>
      <c r="P114" s="384"/>
      <c r="Q114" s="384"/>
      <c r="R114" s="384"/>
      <c r="S114" s="384"/>
      <c r="T114" s="384"/>
      <c r="U114" s="384"/>
      <c r="V114" s="384"/>
      <c r="W114" s="384"/>
      <c r="X114" s="384"/>
      <c r="Y114" s="384"/>
      <c r="Z114" s="384"/>
      <c r="AA114" s="384"/>
      <c r="AB114" s="384"/>
      <c r="AC114" s="384"/>
      <c r="AD114" s="384"/>
      <c r="AE114" s="384"/>
      <c r="AF114" s="384"/>
      <c r="AG114" s="384"/>
      <c r="AH114" s="384"/>
      <c r="AI114" s="384"/>
      <c r="AJ114" s="384"/>
    </row>
    <row r="115" spans="1:36" x14ac:dyDescent="0.2">
      <c r="A115" s="384"/>
      <c r="B115" s="384"/>
      <c r="C115" s="384"/>
      <c r="D115" s="384"/>
      <c r="E115" s="384"/>
      <c r="F115" s="384"/>
      <c r="G115" s="384"/>
      <c r="H115" s="384"/>
      <c r="I115" s="384"/>
      <c r="J115" s="384"/>
      <c r="K115" s="384"/>
      <c r="L115" s="384"/>
      <c r="M115" s="384"/>
      <c r="N115" s="384"/>
      <c r="O115" s="384"/>
      <c r="P115" s="384"/>
      <c r="Q115" s="384"/>
      <c r="R115" s="384"/>
      <c r="S115" s="384"/>
      <c r="T115" s="384"/>
      <c r="U115" s="384"/>
      <c r="V115" s="384"/>
      <c r="W115" s="384"/>
      <c r="X115" s="384"/>
      <c r="Y115" s="384"/>
      <c r="Z115" s="384"/>
      <c r="AA115" s="384"/>
      <c r="AB115" s="384"/>
      <c r="AC115" s="384"/>
      <c r="AD115" s="384"/>
      <c r="AE115" s="384"/>
      <c r="AF115" s="384"/>
      <c r="AG115" s="384"/>
      <c r="AH115" s="384"/>
      <c r="AI115" s="384"/>
      <c r="AJ115" s="384"/>
    </row>
    <row r="116" spans="1:36" x14ac:dyDescent="0.2">
      <c r="A116" s="384"/>
      <c r="B116" s="384"/>
      <c r="C116" s="384"/>
      <c r="D116" s="384"/>
      <c r="E116" s="384"/>
      <c r="F116" s="384"/>
      <c r="G116" s="384"/>
      <c r="H116" s="384"/>
      <c r="I116" s="384"/>
      <c r="J116" s="384"/>
      <c r="K116" s="384"/>
      <c r="L116" s="384"/>
      <c r="M116" s="384"/>
      <c r="N116" s="384"/>
      <c r="O116" s="384"/>
      <c r="P116" s="384"/>
      <c r="Q116" s="384"/>
      <c r="R116" s="384"/>
      <c r="S116" s="384"/>
      <c r="T116" s="384"/>
      <c r="U116" s="384"/>
      <c r="V116" s="384"/>
      <c r="W116" s="384"/>
      <c r="X116" s="384"/>
      <c r="Y116" s="384"/>
      <c r="Z116" s="384"/>
      <c r="AA116" s="384"/>
      <c r="AB116" s="384"/>
      <c r="AC116" s="384"/>
      <c r="AD116" s="384"/>
      <c r="AE116" s="384"/>
      <c r="AF116" s="384"/>
      <c r="AG116" s="384"/>
      <c r="AH116" s="384"/>
      <c r="AI116" s="384"/>
      <c r="AJ116" s="384"/>
    </row>
    <row r="117" spans="1:36" x14ac:dyDescent="0.2">
      <c r="A117" s="384"/>
      <c r="B117" s="384"/>
      <c r="C117" s="384"/>
      <c r="D117" s="384"/>
      <c r="E117" s="384"/>
      <c r="F117" s="384"/>
      <c r="G117" s="384"/>
      <c r="H117" s="384"/>
      <c r="I117" s="384"/>
      <c r="J117" s="384"/>
      <c r="K117" s="384"/>
      <c r="L117" s="384"/>
      <c r="M117" s="384"/>
      <c r="N117" s="384"/>
      <c r="O117" s="384"/>
      <c r="P117" s="384"/>
      <c r="Q117" s="384"/>
      <c r="R117" s="384"/>
      <c r="S117" s="384"/>
      <c r="T117" s="384"/>
      <c r="U117" s="384"/>
      <c r="V117" s="384"/>
      <c r="W117" s="384"/>
      <c r="X117" s="384"/>
      <c r="Y117" s="384"/>
      <c r="Z117" s="384"/>
      <c r="AA117" s="384"/>
      <c r="AB117" s="384"/>
      <c r="AC117" s="384"/>
      <c r="AD117" s="384"/>
      <c r="AE117" s="384"/>
      <c r="AF117" s="384"/>
      <c r="AG117" s="384"/>
      <c r="AH117" s="384"/>
      <c r="AI117" s="384"/>
      <c r="AJ117" s="384"/>
    </row>
    <row r="118" spans="1:36" x14ac:dyDescent="0.2">
      <c r="A118" s="384"/>
      <c r="B118" s="384"/>
      <c r="C118" s="384"/>
      <c r="D118" s="384"/>
      <c r="E118" s="384"/>
      <c r="F118" s="384"/>
      <c r="G118" s="384"/>
      <c r="H118" s="384"/>
      <c r="I118" s="384"/>
      <c r="J118" s="384"/>
      <c r="K118" s="384"/>
      <c r="L118" s="384"/>
      <c r="M118" s="384"/>
      <c r="N118" s="384"/>
      <c r="O118" s="384"/>
      <c r="P118" s="384"/>
      <c r="Q118" s="384"/>
      <c r="R118" s="384"/>
      <c r="S118" s="384"/>
      <c r="T118" s="384"/>
      <c r="U118" s="384"/>
      <c r="V118" s="384"/>
      <c r="W118" s="384"/>
      <c r="X118" s="384"/>
      <c r="Y118" s="384"/>
      <c r="Z118" s="384"/>
      <c r="AA118" s="384"/>
      <c r="AB118" s="384"/>
      <c r="AC118" s="384"/>
      <c r="AD118" s="384"/>
      <c r="AE118" s="384"/>
      <c r="AF118" s="384"/>
      <c r="AG118" s="384"/>
      <c r="AH118" s="384"/>
      <c r="AI118" s="384"/>
      <c r="AJ118" s="384"/>
    </row>
    <row r="119" spans="1:36" x14ac:dyDescent="0.2">
      <c r="A119" s="384"/>
      <c r="B119" s="384"/>
      <c r="C119" s="384"/>
      <c r="D119" s="384"/>
      <c r="E119" s="384"/>
      <c r="F119" s="384"/>
      <c r="G119" s="384"/>
      <c r="H119" s="384"/>
      <c r="I119" s="384"/>
      <c r="J119" s="384"/>
      <c r="K119" s="384"/>
      <c r="L119" s="384"/>
      <c r="M119" s="384"/>
      <c r="N119" s="384"/>
      <c r="O119" s="384"/>
      <c r="P119" s="384"/>
      <c r="Q119" s="384"/>
      <c r="R119" s="384"/>
      <c r="S119" s="384"/>
      <c r="T119" s="384"/>
      <c r="U119" s="384"/>
      <c r="V119" s="384"/>
      <c r="W119" s="384"/>
      <c r="X119" s="384"/>
      <c r="Y119" s="384"/>
      <c r="Z119" s="384"/>
      <c r="AA119" s="384"/>
      <c r="AB119" s="384"/>
      <c r="AC119" s="384"/>
      <c r="AD119" s="384"/>
      <c r="AE119" s="384"/>
      <c r="AF119" s="384"/>
      <c r="AG119" s="384"/>
      <c r="AH119" s="384"/>
      <c r="AI119" s="384"/>
      <c r="AJ119" s="384"/>
    </row>
    <row r="120" spans="1:36" x14ac:dyDescent="0.2">
      <c r="A120" s="384"/>
      <c r="B120" s="384"/>
      <c r="C120" s="384"/>
      <c r="D120" s="384"/>
      <c r="E120" s="384"/>
      <c r="F120" s="384"/>
      <c r="G120" s="384"/>
      <c r="H120" s="384"/>
      <c r="I120" s="384"/>
      <c r="J120" s="384"/>
      <c r="K120" s="384"/>
      <c r="L120" s="384"/>
      <c r="M120" s="384"/>
      <c r="N120" s="384"/>
      <c r="O120" s="384"/>
      <c r="P120" s="384"/>
      <c r="Q120" s="384"/>
      <c r="R120" s="384"/>
      <c r="S120" s="384"/>
      <c r="T120" s="384"/>
      <c r="U120" s="384"/>
      <c r="V120" s="384"/>
      <c r="W120" s="384"/>
      <c r="X120" s="384"/>
      <c r="Y120" s="384"/>
      <c r="Z120" s="384"/>
      <c r="AA120" s="384"/>
      <c r="AB120" s="384"/>
      <c r="AC120" s="384"/>
      <c r="AD120" s="384"/>
      <c r="AE120" s="384"/>
      <c r="AF120" s="384"/>
      <c r="AG120" s="384"/>
      <c r="AH120" s="384"/>
      <c r="AI120" s="384"/>
      <c r="AJ120" s="384"/>
    </row>
    <row r="121" spans="1:36" x14ac:dyDescent="0.2">
      <c r="A121" s="384"/>
      <c r="B121" s="384"/>
      <c r="C121" s="384"/>
      <c r="D121" s="384"/>
      <c r="E121" s="384"/>
      <c r="F121" s="384"/>
      <c r="G121" s="384"/>
      <c r="H121" s="384"/>
      <c r="I121" s="384"/>
      <c r="J121" s="384"/>
      <c r="K121" s="384"/>
      <c r="L121" s="384"/>
      <c r="M121" s="384"/>
      <c r="N121" s="384"/>
      <c r="O121" s="384"/>
      <c r="P121" s="384"/>
      <c r="Q121" s="384"/>
      <c r="R121" s="384"/>
      <c r="S121" s="384"/>
      <c r="T121" s="384"/>
      <c r="U121" s="384"/>
      <c r="V121" s="384"/>
      <c r="W121" s="384"/>
      <c r="X121" s="384"/>
      <c r="Y121" s="384"/>
      <c r="Z121" s="384"/>
      <c r="AA121" s="384"/>
      <c r="AB121" s="384"/>
      <c r="AC121" s="384"/>
      <c r="AD121" s="384"/>
      <c r="AE121" s="384"/>
      <c r="AF121" s="384"/>
      <c r="AG121" s="384"/>
      <c r="AH121" s="384"/>
      <c r="AI121" s="384"/>
      <c r="AJ121" s="384"/>
    </row>
    <row r="122" spans="1:36" x14ac:dyDescent="0.2">
      <c r="A122" s="384"/>
      <c r="B122" s="384"/>
      <c r="C122" s="384"/>
      <c r="D122" s="384"/>
      <c r="E122" s="384"/>
      <c r="F122" s="384"/>
      <c r="G122" s="384"/>
      <c r="H122" s="384"/>
      <c r="I122" s="384"/>
      <c r="J122" s="384"/>
      <c r="K122" s="384"/>
      <c r="L122" s="384"/>
      <c r="M122" s="384"/>
      <c r="N122" s="384"/>
      <c r="O122" s="384"/>
      <c r="P122" s="384"/>
      <c r="Q122" s="384"/>
      <c r="R122" s="384"/>
      <c r="S122" s="384"/>
      <c r="T122" s="384"/>
      <c r="U122" s="384"/>
      <c r="V122" s="384"/>
      <c r="W122" s="384"/>
      <c r="X122" s="384"/>
      <c r="Y122" s="384"/>
      <c r="Z122" s="384"/>
      <c r="AA122" s="384"/>
      <c r="AB122" s="384"/>
      <c r="AC122" s="384"/>
      <c r="AD122" s="384"/>
      <c r="AE122" s="384"/>
      <c r="AF122" s="384"/>
      <c r="AG122" s="384"/>
      <c r="AH122" s="384"/>
      <c r="AI122" s="384"/>
      <c r="AJ122" s="384"/>
    </row>
    <row r="123" spans="1:36" x14ac:dyDescent="0.2">
      <c r="A123" s="384"/>
      <c r="B123" s="384"/>
      <c r="C123" s="384"/>
      <c r="D123" s="384"/>
      <c r="E123" s="384"/>
      <c r="F123" s="384"/>
      <c r="G123" s="384"/>
      <c r="H123" s="384"/>
      <c r="I123" s="384"/>
      <c r="J123" s="384"/>
      <c r="K123" s="384"/>
      <c r="L123" s="384"/>
      <c r="M123" s="384"/>
      <c r="N123" s="384"/>
      <c r="O123" s="384"/>
      <c r="P123" s="384"/>
      <c r="Q123" s="384"/>
      <c r="R123" s="384"/>
      <c r="S123" s="384"/>
      <c r="T123" s="384"/>
      <c r="U123" s="384"/>
      <c r="V123" s="384"/>
      <c r="W123" s="384"/>
      <c r="X123" s="384"/>
      <c r="Y123" s="384"/>
      <c r="Z123" s="384"/>
      <c r="AA123" s="384"/>
      <c r="AB123" s="384"/>
      <c r="AC123" s="384"/>
      <c r="AD123" s="384"/>
      <c r="AE123" s="384"/>
      <c r="AF123" s="384"/>
      <c r="AG123" s="384"/>
      <c r="AH123" s="384"/>
      <c r="AI123" s="384"/>
      <c r="AJ123" s="384"/>
    </row>
    <row r="124" spans="1:36" x14ac:dyDescent="0.2">
      <c r="A124" s="384"/>
      <c r="B124" s="384"/>
      <c r="C124" s="384"/>
      <c r="D124" s="384"/>
      <c r="E124" s="384"/>
      <c r="F124" s="384"/>
      <c r="G124" s="384"/>
      <c r="H124" s="384"/>
      <c r="I124" s="384"/>
      <c r="J124" s="384"/>
      <c r="K124" s="384"/>
      <c r="L124" s="384"/>
      <c r="M124" s="384"/>
      <c r="N124" s="384"/>
      <c r="O124" s="384"/>
      <c r="P124" s="384"/>
      <c r="Q124" s="384"/>
      <c r="R124" s="384"/>
      <c r="S124" s="384"/>
      <c r="T124" s="384"/>
      <c r="U124" s="384"/>
      <c r="V124" s="384"/>
      <c r="W124" s="384"/>
      <c r="X124" s="384"/>
      <c r="Y124" s="384"/>
      <c r="Z124" s="384"/>
      <c r="AA124" s="384"/>
      <c r="AB124" s="384"/>
      <c r="AC124" s="384"/>
      <c r="AD124" s="384"/>
      <c r="AE124" s="384"/>
      <c r="AF124" s="384"/>
      <c r="AG124" s="384"/>
      <c r="AH124" s="384"/>
      <c r="AI124" s="384"/>
      <c r="AJ124" s="384"/>
    </row>
    <row r="125" spans="1:36" x14ac:dyDescent="0.2">
      <c r="A125" s="384"/>
      <c r="B125" s="384"/>
      <c r="C125" s="384"/>
      <c r="D125" s="384"/>
      <c r="E125" s="384"/>
      <c r="F125" s="384"/>
      <c r="G125" s="384"/>
      <c r="H125" s="384"/>
      <c r="I125" s="384"/>
      <c r="J125" s="384"/>
      <c r="K125" s="384"/>
      <c r="L125" s="384"/>
      <c r="M125" s="384"/>
      <c r="N125" s="384"/>
      <c r="O125" s="384"/>
      <c r="P125" s="384"/>
      <c r="Q125" s="384"/>
      <c r="R125" s="384"/>
      <c r="S125" s="384"/>
      <c r="T125" s="384"/>
      <c r="U125" s="384"/>
      <c r="V125" s="384"/>
      <c r="W125" s="384"/>
      <c r="X125" s="384"/>
      <c r="Y125" s="384"/>
      <c r="Z125" s="384"/>
      <c r="AA125" s="384"/>
      <c r="AB125" s="384"/>
      <c r="AC125" s="384"/>
      <c r="AD125" s="384"/>
      <c r="AE125" s="384"/>
      <c r="AF125" s="384"/>
      <c r="AG125" s="384"/>
      <c r="AH125" s="384"/>
      <c r="AI125" s="384"/>
      <c r="AJ125" s="384"/>
    </row>
    <row r="126" spans="1:36" x14ac:dyDescent="0.2">
      <c r="A126" s="384"/>
      <c r="B126" s="384"/>
      <c r="C126" s="384"/>
      <c r="D126" s="384"/>
      <c r="E126" s="384"/>
      <c r="F126" s="384"/>
      <c r="G126" s="384"/>
      <c r="H126" s="384"/>
      <c r="I126" s="384"/>
      <c r="J126" s="384"/>
      <c r="K126" s="384"/>
      <c r="L126" s="384"/>
      <c r="M126" s="384"/>
      <c r="N126" s="384"/>
      <c r="O126" s="384"/>
      <c r="P126" s="384"/>
      <c r="Q126" s="384"/>
      <c r="R126" s="384"/>
      <c r="S126" s="384"/>
      <c r="T126" s="384"/>
      <c r="U126" s="384"/>
      <c r="V126" s="384"/>
      <c r="W126" s="384"/>
      <c r="X126" s="384"/>
      <c r="Y126" s="384"/>
      <c r="Z126" s="384"/>
      <c r="AA126" s="384"/>
      <c r="AB126" s="384"/>
      <c r="AC126" s="384"/>
      <c r="AD126" s="384"/>
      <c r="AE126" s="384"/>
      <c r="AF126" s="384"/>
      <c r="AG126" s="384"/>
      <c r="AH126" s="384"/>
      <c r="AI126" s="384"/>
      <c r="AJ126" s="384"/>
    </row>
    <row r="127" spans="1:36" x14ac:dyDescent="0.2">
      <c r="A127" s="384"/>
      <c r="B127" s="384"/>
      <c r="C127" s="384"/>
      <c r="D127" s="384"/>
      <c r="E127" s="384"/>
      <c r="F127" s="384"/>
      <c r="G127" s="384"/>
      <c r="H127" s="384"/>
      <c r="I127" s="384"/>
      <c r="J127" s="384"/>
      <c r="K127" s="384"/>
      <c r="L127" s="384"/>
      <c r="M127" s="384"/>
      <c r="N127" s="384"/>
      <c r="O127" s="384"/>
      <c r="P127" s="384"/>
      <c r="Q127" s="384"/>
      <c r="R127" s="384"/>
      <c r="S127" s="384"/>
      <c r="T127" s="384"/>
      <c r="U127" s="384"/>
      <c r="V127" s="384"/>
      <c r="W127" s="384"/>
      <c r="X127" s="384"/>
      <c r="Y127" s="384"/>
      <c r="Z127" s="384"/>
      <c r="AA127" s="384"/>
      <c r="AB127" s="384"/>
      <c r="AC127" s="384"/>
      <c r="AD127" s="384"/>
      <c r="AE127" s="384"/>
      <c r="AF127" s="384"/>
      <c r="AG127" s="384"/>
      <c r="AH127" s="384"/>
      <c r="AI127" s="384"/>
      <c r="AJ127" s="384"/>
    </row>
    <row r="128" spans="1:36" x14ac:dyDescent="0.2">
      <c r="A128" s="384"/>
      <c r="B128" s="384"/>
      <c r="C128" s="384"/>
      <c r="D128" s="384"/>
      <c r="E128" s="384"/>
      <c r="F128" s="384"/>
      <c r="G128" s="384"/>
      <c r="H128" s="384"/>
      <c r="I128" s="384"/>
      <c r="J128" s="384"/>
      <c r="K128" s="384"/>
      <c r="L128" s="384"/>
      <c r="M128" s="384"/>
      <c r="N128" s="384"/>
      <c r="O128" s="384"/>
      <c r="P128" s="384"/>
      <c r="Q128" s="384"/>
      <c r="R128" s="384"/>
      <c r="S128" s="384"/>
      <c r="T128" s="384"/>
      <c r="U128" s="384"/>
      <c r="V128" s="384"/>
      <c r="W128" s="384"/>
      <c r="X128" s="384"/>
      <c r="Y128" s="384"/>
      <c r="Z128" s="384"/>
      <c r="AA128" s="384"/>
      <c r="AB128" s="384"/>
      <c r="AC128" s="384"/>
      <c r="AD128" s="384"/>
      <c r="AE128" s="384"/>
      <c r="AF128" s="384"/>
      <c r="AG128" s="384"/>
      <c r="AH128" s="384"/>
      <c r="AI128" s="384"/>
      <c r="AJ128" s="384"/>
    </row>
    <row r="129" spans="1:36" x14ac:dyDescent="0.2">
      <c r="A129" s="384"/>
      <c r="B129" s="384"/>
      <c r="C129" s="384"/>
      <c r="D129" s="384"/>
      <c r="E129" s="384"/>
      <c r="F129" s="384"/>
      <c r="G129" s="384"/>
      <c r="H129" s="384"/>
      <c r="I129" s="384"/>
      <c r="J129" s="384"/>
      <c r="K129" s="384"/>
      <c r="L129" s="384"/>
      <c r="M129" s="384"/>
      <c r="N129" s="384"/>
      <c r="O129" s="384"/>
      <c r="P129" s="384"/>
      <c r="Q129" s="384"/>
      <c r="R129" s="384"/>
      <c r="S129" s="384"/>
      <c r="T129" s="384"/>
      <c r="U129" s="384"/>
      <c r="V129" s="384"/>
      <c r="W129" s="384"/>
      <c r="X129" s="384"/>
      <c r="Y129" s="384"/>
      <c r="Z129" s="384"/>
      <c r="AA129" s="384"/>
      <c r="AB129" s="384"/>
      <c r="AC129" s="384"/>
      <c r="AD129" s="384"/>
      <c r="AE129" s="384"/>
      <c r="AF129" s="384"/>
      <c r="AG129" s="384"/>
      <c r="AH129" s="384"/>
      <c r="AI129" s="384"/>
      <c r="AJ129" s="384"/>
    </row>
    <row r="130" spans="1:36" x14ac:dyDescent="0.2">
      <c r="A130" s="384"/>
      <c r="B130" s="384"/>
      <c r="C130" s="384"/>
      <c r="D130" s="384"/>
      <c r="E130" s="384"/>
      <c r="F130" s="384"/>
      <c r="G130" s="384"/>
      <c r="H130" s="384"/>
      <c r="I130" s="384"/>
      <c r="J130" s="384"/>
      <c r="K130" s="384"/>
      <c r="L130" s="384"/>
      <c r="M130" s="384"/>
      <c r="N130" s="384"/>
      <c r="O130" s="384"/>
      <c r="P130" s="384"/>
      <c r="Q130" s="384"/>
      <c r="R130" s="384"/>
      <c r="S130" s="384"/>
      <c r="T130" s="384"/>
      <c r="U130" s="384"/>
      <c r="V130" s="384"/>
      <c r="W130" s="384"/>
      <c r="X130" s="384"/>
      <c r="Y130" s="384"/>
      <c r="Z130" s="384"/>
      <c r="AA130" s="384"/>
      <c r="AB130" s="384"/>
      <c r="AC130" s="384"/>
      <c r="AD130" s="384"/>
      <c r="AE130" s="384"/>
      <c r="AF130" s="384"/>
      <c r="AG130" s="384"/>
      <c r="AH130" s="384"/>
      <c r="AI130" s="384"/>
      <c r="AJ130" s="384"/>
    </row>
    <row r="131" spans="1:36" x14ac:dyDescent="0.2">
      <c r="A131" s="384"/>
      <c r="B131" s="384"/>
      <c r="C131" s="384"/>
      <c r="D131" s="384"/>
      <c r="E131" s="384"/>
      <c r="F131" s="384"/>
      <c r="G131" s="384"/>
      <c r="H131" s="384"/>
      <c r="I131" s="384"/>
      <c r="J131" s="384"/>
      <c r="K131" s="384"/>
      <c r="L131" s="384"/>
      <c r="M131" s="384"/>
      <c r="N131" s="384"/>
      <c r="O131" s="384"/>
      <c r="P131" s="384"/>
      <c r="Q131" s="384"/>
      <c r="R131" s="384"/>
      <c r="S131" s="384"/>
      <c r="T131" s="384"/>
      <c r="U131" s="384"/>
      <c r="V131" s="384"/>
      <c r="W131" s="384"/>
      <c r="X131" s="384"/>
      <c r="Y131" s="384"/>
      <c r="Z131" s="384"/>
      <c r="AA131" s="384"/>
      <c r="AB131" s="384"/>
      <c r="AC131" s="384"/>
      <c r="AD131" s="384"/>
      <c r="AE131" s="384"/>
      <c r="AF131" s="384"/>
      <c r="AG131" s="384"/>
      <c r="AH131" s="384"/>
      <c r="AI131" s="384"/>
      <c r="AJ131" s="384"/>
    </row>
    <row r="132" spans="1:36" x14ac:dyDescent="0.2">
      <c r="A132" s="384"/>
      <c r="B132" s="384"/>
      <c r="C132" s="384"/>
      <c r="D132" s="384"/>
      <c r="E132" s="384"/>
      <c r="F132" s="384"/>
      <c r="G132" s="384"/>
      <c r="H132" s="384"/>
      <c r="I132" s="384"/>
      <c r="J132" s="384"/>
      <c r="K132" s="384"/>
      <c r="L132" s="384"/>
      <c r="M132" s="384"/>
      <c r="N132" s="384"/>
      <c r="O132" s="384"/>
      <c r="P132" s="384"/>
      <c r="Q132" s="384"/>
      <c r="R132" s="384"/>
      <c r="S132" s="384"/>
      <c r="T132" s="384"/>
      <c r="U132" s="384"/>
      <c r="V132" s="384"/>
      <c r="W132" s="384"/>
      <c r="X132" s="384"/>
      <c r="Y132" s="384"/>
      <c r="Z132" s="384"/>
      <c r="AA132" s="384"/>
      <c r="AB132" s="384"/>
      <c r="AC132" s="384"/>
      <c r="AD132" s="384"/>
      <c r="AE132" s="384"/>
      <c r="AF132" s="384"/>
      <c r="AG132" s="384"/>
      <c r="AH132" s="384"/>
      <c r="AI132" s="384"/>
      <c r="AJ132" s="384"/>
    </row>
    <row r="133" spans="1:36" x14ac:dyDescent="0.2">
      <c r="A133" s="384"/>
      <c r="B133" s="384"/>
      <c r="C133" s="384"/>
      <c r="D133" s="384"/>
      <c r="E133" s="384"/>
      <c r="F133" s="384"/>
      <c r="G133" s="384"/>
      <c r="H133" s="384"/>
      <c r="I133" s="384"/>
      <c r="J133" s="384"/>
      <c r="K133" s="384"/>
      <c r="L133" s="384"/>
      <c r="M133" s="384"/>
      <c r="N133" s="384"/>
      <c r="O133" s="384"/>
      <c r="P133" s="384"/>
      <c r="Q133" s="384"/>
      <c r="R133" s="384"/>
      <c r="S133" s="384"/>
      <c r="T133" s="384"/>
      <c r="U133" s="384"/>
      <c r="V133" s="384"/>
      <c r="W133" s="384"/>
      <c r="X133" s="384"/>
      <c r="Y133" s="384"/>
      <c r="Z133" s="384"/>
      <c r="AA133" s="384"/>
      <c r="AB133" s="384"/>
      <c r="AC133" s="384"/>
      <c r="AD133" s="384"/>
      <c r="AE133" s="384"/>
      <c r="AF133" s="384"/>
      <c r="AG133" s="384"/>
      <c r="AH133" s="384"/>
      <c r="AI133" s="384"/>
      <c r="AJ133" s="384"/>
    </row>
    <row r="134" spans="1:36" x14ac:dyDescent="0.2">
      <c r="A134" s="384"/>
      <c r="B134" s="384"/>
      <c r="C134" s="384"/>
      <c r="D134" s="384"/>
      <c r="E134" s="384"/>
      <c r="F134" s="384"/>
      <c r="G134" s="384"/>
      <c r="H134" s="384"/>
      <c r="I134" s="384"/>
      <c r="J134" s="384"/>
      <c r="K134" s="384"/>
      <c r="L134" s="384"/>
      <c r="M134" s="384"/>
      <c r="N134" s="384"/>
      <c r="O134" s="384"/>
      <c r="P134" s="384"/>
      <c r="Q134" s="384"/>
      <c r="R134" s="384"/>
      <c r="S134" s="384"/>
      <c r="T134" s="384"/>
      <c r="U134" s="384"/>
      <c r="V134" s="384"/>
      <c r="W134" s="384"/>
      <c r="X134" s="384"/>
      <c r="Y134" s="384"/>
      <c r="Z134" s="384"/>
      <c r="AA134" s="384"/>
      <c r="AB134" s="384"/>
      <c r="AC134" s="384"/>
      <c r="AD134" s="384"/>
      <c r="AE134" s="384"/>
      <c r="AF134" s="384"/>
      <c r="AG134" s="384"/>
      <c r="AH134" s="384"/>
      <c r="AI134" s="384"/>
      <c r="AJ134" s="384"/>
    </row>
    <row r="135" spans="1:36" x14ac:dyDescent="0.2">
      <c r="A135" s="384"/>
      <c r="B135" s="384"/>
      <c r="C135" s="384"/>
      <c r="D135" s="384"/>
      <c r="E135" s="384"/>
      <c r="F135" s="384"/>
      <c r="G135" s="384"/>
      <c r="H135" s="384"/>
      <c r="I135" s="384"/>
      <c r="J135" s="384"/>
      <c r="K135" s="384"/>
      <c r="L135" s="384"/>
      <c r="M135" s="384"/>
      <c r="N135" s="384"/>
      <c r="O135" s="384"/>
      <c r="P135" s="384"/>
      <c r="Q135" s="384"/>
      <c r="R135" s="384"/>
      <c r="S135" s="384"/>
      <c r="T135" s="384"/>
      <c r="U135" s="384"/>
      <c r="V135" s="384"/>
      <c r="W135" s="384"/>
      <c r="X135" s="384"/>
      <c r="Y135" s="384"/>
      <c r="Z135" s="384"/>
      <c r="AA135" s="384"/>
      <c r="AB135" s="384"/>
      <c r="AC135" s="384"/>
      <c r="AD135" s="384"/>
      <c r="AE135" s="384"/>
      <c r="AF135" s="384"/>
      <c r="AG135" s="384"/>
      <c r="AH135" s="384"/>
      <c r="AI135" s="384"/>
      <c r="AJ135" s="384"/>
    </row>
    <row r="136" spans="1:36" x14ac:dyDescent="0.2">
      <c r="A136" s="384"/>
      <c r="B136" s="384"/>
      <c r="C136" s="384"/>
      <c r="D136" s="384"/>
      <c r="E136" s="384"/>
      <c r="F136" s="384"/>
      <c r="G136" s="384"/>
      <c r="H136" s="384"/>
      <c r="I136" s="384"/>
      <c r="J136" s="384"/>
      <c r="K136" s="384"/>
      <c r="L136" s="384"/>
      <c r="M136" s="384"/>
      <c r="N136" s="384"/>
      <c r="O136" s="384"/>
      <c r="P136" s="384"/>
      <c r="Q136" s="384"/>
      <c r="R136" s="384"/>
      <c r="S136" s="384"/>
      <c r="T136" s="384"/>
      <c r="U136" s="384"/>
      <c r="V136" s="384"/>
      <c r="W136" s="384"/>
      <c r="X136" s="384"/>
      <c r="Y136" s="384"/>
      <c r="Z136" s="384"/>
      <c r="AA136" s="384"/>
      <c r="AB136" s="384"/>
      <c r="AC136" s="384"/>
      <c r="AD136" s="384"/>
      <c r="AE136" s="384"/>
      <c r="AF136" s="384"/>
      <c r="AG136" s="384"/>
      <c r="AH136" s="384"/>
      <c r="AI136" s="384"/>
      <c r="AJ136" s="384"/>
    </row>
    <row r="137" spans="1:36" x14ac:dyDescent="0.2">
      <c r="A137" s="384"/>
      <c r="B137" s="384"/>
      <c r="C137" s="384"/>
      <c r="D137" s="384"/>
      <c r="E137" s="384"/>
      <c r="F137" s="384"/>
      <c r="G137" s="384"/>
      <c r="H137" s="384"/>
      <c r="I137" s="384"/>
      <c r="J137" s="384"/>
      <c r="K137" s="384"/>
      <c r="L137" s="384"/>
      <c r="M137" s="384"/>
      <c r="N137" s="384"/>
      <c r="O137" s="384"/>
      <c r="P137" s="384"/>
      <c r="Q137" s="384"/>
      <c r="R137" s="384"/>
      <c r="S137" s="384"/>
      <c r="T137" s="384"/>
      <c r="U137" s="384"/>
      <c r="V137" s="384"/>
      <c r="W137" s="384"/>
      <c r="X137" s="384"/>
      <c r="Y137" s="384"/>
      <c r="Z137" s="384"/>
      <c r="AA137" s="384"/>
      <c r="AB137" s="384"/>
      <c r="AC137" s="384"/>
      <c r="AD137" s="384"/>
      <c r="AE137" s="384"/>
      <c r="AF137" s="384"/>
      <c r="AG137" s="384"/>
      <c r="AH137" s="384"/>
      <c r="AI137" s="384"/>
      <c r="AJ137" s="384"/>
    </row>
    <row r="138" spans="1:36" x14ac:dyDescent="0.2">
      <c r="A138" s="384"/>
      <c r="B138" s="384"/>
      <c r="C138" s="384"/>
      <c r="D138" s="384"/>
      <c r="E138" s="384"/>
      <c r="F138" s="384"/>
      <c r="G138" s="384"/>
      <c r="H138" s="384"/>
      <c r="I138" s="384"/>
      <c r="J138" s="384"/>
      <c r="K138" s="384"/>
      <c r="L138" s="384"/>
      <c r="M138" s="384"/>
      <c r="N138" s="384"/>
      <c r="O138" s="384"/>
      <c r="P138" s="384"/>
      <c r="Q138" s="384"/>
      <c r="R138" s="384"/>
      <c r="S138" s="384"/>
      <c r="T138" s="384"/>
      <c r="U138" s="384"/>
      <c r="V138" s="384"/>
      <c r="W138" s="384"/>
      <c r="X138" s="384"/>
      <c r="Y138" s="384"/>
      <c r="Z138" s="384"/>
      <c r="AA138" s="384"/>
      <c r="AB138" s="384"/>
      <c r="AC138" s="384"/>
      <c r="AD138" s="384"/>
      <c r="AE138" s="384"/>
      <c r="AF138" s="384"/>
      <c r="AG138" s="384"/>
      <c r="AH138" s="384"/>
      <c r="AI138" s="384"/>
      <c r="AJ138" s="384"/>
    </row>
    <row r="139" spans="1:36" x14ac:dyDescent="0.2">
      <c r="A139" s="384"/>
      <c r="B139" s="384"/>
      <c r="C139" s="384"/>
      <c r="D139" s="384"/>
      <c r="E139" s="384"/>
      <c r="F139" s="384"/>
      <c r="G139" s="384"/>
      <c r="H139" s="384"/>
      <c r="I139" s="384"/>
      <c r="J139" s="384"/>
      <c r="K139" s="384"/>
      <c r="L139" s="384"/>
      <c r="M139" s="384"/>
      <c r="N139" s="384"/>
      <c r="O139" s="384"/>
      <c r="P139" s="384"/>
      <c r="Q139" s="384"/>
      <c r="R139" s="384"/>
      <c r="S139" s="384"/>
      <c r="T139" s="384"/>
      <c r="U139" s="384"/>
      <c r="V139" s="384"/>
      <c r="W139" s="384"/>
      <c r="X139" s="384"/>
      <c r="Y139" s="384"/>
      <c r="Z139" s="384"/>
      <c r="AA139" s="384"/>
      <c r="AB139" s="384"/>
      <c r="AC139" s="384"/>
      <c r="AD139" s="384"/>
      <c r="AE139" s="384"/>
      <c r="AF139" s="384"/>
      <c r="AG139" s="384"/>
      <c r="AH139" s="384"/>
      <c r="AI139" s="384"/>
      <c r="AJ139" s="384"/>
    </row>
    <row r="140" spans="1:36" x14ac:dyDescent="0.2">
      <c r="A140" s="384"/>
      <c r="B140" s="384"/>
      <c r="C140" s="384"/>
      <c r="D140" s="384"/>
      <c r="E140" s="384"/>
      <c r="F140" s="384"/>
      <c r="G140" s="384"/>
      <c r="H140" s="384"/>
      <c r="I140" s="384"/>
      <c r="J140" s="384"/>
      <c r="K140" s="384"/>
      <c r="L140" s="384"/>
      <c r="M140" s="384"/>
      <c r="N140" s="384"/>
      <c r="O140" s="384"/>
      <c r="P140" s="384"/>
      <c r="Q140" s="384"/>
      <c r="R140" s="384"/>
      <c r="S140" s="384"/>
      <c r="T140" s="384"/>
      <c r="U140" s="384"/>
      <c r="V140" s="384"/>
      <c r="W140" s="384"/>
      <c r="X140" s="384"/>
      <c r="Y140" s="384"/>
      <c r="Z140" s="384"/>
      <c r="AA140" s="384"/>
      <c r="AB140" s="384"/>
      <c r="AC140" s="384"/>
      <c r="AD140" s="384"/>
      <c r="AE140" s="384"/>
      <c r="AF140" s="384"/>
      <c r="AG140" s="384"/>
      <c r="AH140" s="384"/>
      <c r="AI140" s="384"/>
      <c r="AJ140" s="384"/>
    </row>
    <row r="141" spans="1:36" x14ac:dyDescent="0.2">
      <c r="A141" s="384"/>
      <c r="B141" s="384"/>
      <c r="C141" s="384"/>
      <c r="D141" s="384"/>
      <c r="E141" s="384"/>
      <c r="F141" s="384"/>
      <c r="G141" s="384"/>
      <c r="H141" s="384"/>
      <c r="I141" s="384"/>
      <c r="J141" s="384"/>
      <c r="K141" s="384"/>
      <c r="L141" s="384"/>
      <c r="M141" s="384"/>
      <c r="N141" s="384"/>
      <c r="O141" s="384"/>
      <c r="P141" s="384"/>
      <c r="Q141" s="384"/>
      <c r="R141" s="384"/>
      <c r="S141" s="384"/>
      <c r="T141" s="384"/>
      <c r="U141" s="384"/>
      <c r="V141" s="384"/>
      <c r="W141" s="384"/>
      <c r="X141" s="384"/>
      <c r="Y141" s="384"/>
      <c r="Z141" s="384"/>
      <c r="AA141" s="384"/>
      <c r="AB141" s="384"/>
      <c r="AC141" s="384"/>
      <c r="AD141" s="384"/>
      <c r="AE141" s="384"/>
      <c r="AF141" s="384"/>
      <c r="AG141" s="384"/>
      <c r="AH141" s="384"/>
      <c r="AI141" s="384"/>
      <c r="AJ141" s="384"/>
    </row>
    <row r="142" spans="1:36" x14ac:dyDescent="0.2">
      <c r="A142" s="384"/>
      <c r="B142" s="384"/>
      <c r="C142" s="384"/>
      <c r="D142" s="384"/>
      <c r="E142" s="384"/>
      <c r="F142" s="384"/>
      <c r="G142" s="384"/>
      <c r="H142" s="384"/>
      <c r="I142" s="384"/>
      <c r="J142" s="384"/>
      <c r="K142" s="384"/>
      <c r="L142" s="384"/>
      <c r="M142" s="384"/>
      <c r="N142" s="384"/>
      <c r="O142" s="384"/>
      <c r="P142" s="384"/>
      <c r="Q142" s="384"/>
      <c r="R142" s="384"/>
      <c r="S142" s="384"/>
      <c r="T142" s="384"/>
      <c r="U142" s="384"/>
      <c r="V142" s="384"/>
      <c r="W142" s="384"/>
      <c r="X142" s="384"/>
      <c r="Y142" s="384"/>
      <c r="Z142" s="384"/>
      <c r="AA142" s="384"/>
      <c r="AB142" s="384"/>
      <c r="AC142" s="384"/>
      <c r="AD142" s="384"/>
      <c r="AE142" s="384"/>
      <c r="AF142" s="384"/>
      <c r="AG142" s="384"/>
      <c r="AH142" s="384"/>
      <c r="AI142" s="384"/>
      <c r="AJ142" s="384"/>
    </row>
    <row r="143" spans="1:36" x14ac:dyDescent="0.2">
      <c r="A143" s="384"/>
      <c r="B143" s="384"/>
      <c r="C143" s="384"/>
      <c r="D143" s="384"/>
      <c r="E143" s="384"/>
      <c r="F143" s="384"/>
      <c r="G143" s="384"/>
      <c r="H143" s="384"/>
      <c r="I143" s="384"/>
      <c r="J143" s="384"/>
      <c r="K143" s="384"/>
      <c r="L143" s="384"/>
      <c r="M143" s="384"/>
      <c r="N143" s="384"/>
      <c r="O143" s="384"/>
      <c r="P143" s="384"/>
      <c r="Q143" s="384"/>
      <c r="R143" s="384"/>
      <c r="S143" s="384"/>
      <c r="T143" s="384"/>
      <c r="U143" s="384"/>
      <c r="V143" s="384"/>
      <c r="W143" s="384"/>
      <c r="X143" s="384"/>
      <c r="Y143" s="384"/>
      <c r="Z143" s="384"/>
      <c r="AA143" s="384"/>
      <c r="AB143" s="384"/>
      <c r="AC143" s="384"/>
      <c r="AD143" s="384"/>
      <c r="AE143" s="384"/>
      <c r="AF143" s="384"/>
      <c r="AG143" s="384"/>
      <c r="AH143" s="384"/>
      <c r="AI143" s="384"/>
      <c r="AJ143" s="384"/>
    </row>
    <row r="144" spans="1:36" x14ac:dyDescent="0.2">
      <c r="A144" s="384"/>
      <c r="B144" s="384"/>
      <c r="C144" s="384"/>
      <c r="D144" s="384"/>
      <c r="E144" s="384"/>
      <c r="F144" s="384"/>
      <c r="G144" s="384"/>
      <c r="H144" s="384"/>
      <c r="I144" s="384"/>
      <c r="J144" s="384"/>
      <c r="K144" s="384"/>
      <c r="L144" s="384"/>
      <c r="M144" s="384"/>
      <c r="N144" s="384"/>
      <c r="O144" s="384"/>
      <c r="P144" s="384"/>
      <c r="Q144" s="384"/>
      <c r="R144" s="384"/>
      <c r="S144" s="384"/>
      <c r="T144" s="384"/>
      <c r="U144" s="384"/>
      <c r="V144" s="384"/>
      <c r="W144" s="384"/>
      <c r="X144" s="384"/>
      <c r="Y144" s="384"/>
      <c r="Z144" s="384"/>
      <c r="AA144" s="384"/>
      <c r="AB144" s="384"/>
      <c r="AC144" s="384"/>
      <c r="AD144" s="384"/>
      <c r="AE144" s="384"/>
      <c r="AF144" s="384"/>
      <c r="AG144" s="384"/>
      <c r="AH144" s="384"/>
      <c r="AI144" s="384"/>
      <c r="AJ144" s="384"/>
    </row>
    <row r="145" spans="1:36" x14ac:dyDescent="0.2">
      <c r="A145" s="384"/>
      <c r="B145" s="384"/>
      <c r="C145" s="384"/>
      <c r="D145" s="384"/>
      <c r="E145" s="384"/>
      <c r="F145" s="384"/>
      <c r="G145" s="384"/>
      <c r="H145" s="384"/>
      <c r="I145" s="384"/>
      <c r="J145" s="384"/>
      <c r="K145" s="384"/>
      <c r="L145" s="384"/>
      <c r="M145" s="384"/>
      <c r="N145" s="384"/>
      <c r="O145" s="384"/>
      <c r="P145" s="384"/>
      <c r="Q145" s="384"/>
      <c r="R145" s="384"/>
      <c r="S145" s="384"/>
      <c r="T145" s="384"/>
      <c r="U145" s="384"/>
      <c r="V145" s="384"/>
      <c r="W145" s="384"/>
      <c r="X145" s="384"/>
      <c r="Y145" s="384"/>
      <c r="Z145" s="384"/>
      <c r="AA145" s="384"/>
      <c r="AB145" s="384"/>
      <c r="AC145" s="384"/>
      <c r="AD145" s="384"/>
      <c r="AE145" s="384"/>
      <c r="AF145" s="384"/>
      <c r="AG145" s="384"/>
      <c r="AH145" s="384"/>
      <c r="AI145" s="384"/>
      <c r="AJ145" s="384"/>
    </row>
    <row r="146" spans="1:36" x14ac:dyDescent="0.2">
      <c r="A146" s="384"/>
      <c r="B146" s="384"/>
      <c r="C146" s="384"/>
      <c r="D146" s="384"/>
      <c r="E146" s="384"/>
      <c r="F146" s="384"/>
      <c r="G146" s="384"/>
      <c r="H146" s="384"/>
      <c r="I146" s="384"/>
      <c r="J146" s="384"/>
      <c r="K146" s="384"/>
      <c r="L146" s="384"/>
      <c r="M146" s="384"/>
      <c r="N146" s="384"/>
      <c r="O146" s="384"/>
      <c r="P146" s="384"/>
      <c r="Q146" s="384"/>
      <c r="R146" s="384"/>
      <c r="S146" s="384"/>
      <c r="T146" s="384"/>
      <c r="U146" s="384"/>
      <c r="V146" s="384"/>
      <c r="W146" s="384"/>
      <c r="X146" s="384"/>
      <c r="Y146" s="384"/>
      <c r="Z146" s="384"/>
      <c r="AA146" s="384"/>
      <c r="AB146" s="384"/>
      <c r="AC146" s="384"/>
      <c r="AD146" s="384"/>
      <c r="AE146" s="384"/>
      <c r="AF146" s="384"/>
      <c r="AG146" s="384"/>
      <c r="AH146" s="384"/>
      <c r="AI146" s="384"/>
      <c r="AJ146" s="384"/>
    </row>
    <row r="147" spans="1:36" x14ac:dyDescent="0.2">
      <c r="A147" s="384"/>
      <c r="B147" s="384"/>
      <c r="C147" s="384"/>
      <c r="D147" s="384"/>
      <c r="E147" s="384"/>
      <c r="F147" s="384"/>
      <c r="G147" s="384"/>
      <c r="H147" s="384"/>
      <c r="I147" s="384"/>
      <c r="J147" s="384"/>
      <c r="K147" s="384"/>
      <c r="L147" s="384"/>
      <c r="M147" s="384"/>
      <c r="N147" s="384"/>
      <c r="O147" s="384"/>
      <c r="P147" s="384"/>
      <c r="Q147" s="384"/>
      <c r="R147" s="384"/>
      <c r="S147" s="384"/>
      <c r="T147" s="384"/>
      <c r="U147" s="384"/>
      <c r="V147" s="384"/>
      <c r="W147" s="384"/>
      <c r="X147" s="384"/>
      <c r="Y147" s="384"/>
      <c r="Z147" s="384"/>
      <c r="AA147" s="384"/>
      <c r="AB147" s="384"/>
      <c r="AC147" s="384"/>
      <c r="AD147" s="384"/>
      <c r="AE147" s="384"/>
      <c r="AF147" s="384"/>
      <c r="AG147" s="384"/>
      <c r="AH147" s="384"/>
      <c r="AI147" s="384"/>
      <c r="AJ147" s="384"/>
    </row>
    <row r="148" spans="1:36" x14ac:dyDescent="0.2">
      <c r="A148" s="384"/>
      <c r="B148" s="384"/>
      <c r="C148" s="384"/>
      <c r="D148" s="384"/>
      <c r="E148" s="384"/>
      <c r="F148" s="384"/>
      <c r="G148" s="384"/>
      <c r="H148" s="384"/>
      <c r="I148" s="384"/>
      <c r="J148" s="384"/>
      <c r="K148" s="384"/>
      <c r="L148" s="384"/>
      <c r="M148" s="384"/>
      <c r="N148" s="384"/>
      <c r="O148" s="384"/>
      <c r="P148" s="384"/>
      <c r="Q148" s="384"/>
      <c r="R148" s="384"/>
      <c r="S148" s="384"/>
      <c r="T148" s="384"/>
      <c r="U148" s="384"/>
      <c r="V148" s="384"/>
      <c r="W148" s="384"/>
      <c r="X148" s="384"/>
      <c r="Y148" s="384"/>
      <c r="Z148" s="384"/>
      <c r="AA148" s="384"/>
      <c r="AB148" s="384"/>
      <c r="AC148" s="384"/>
      <c r="AD148" s="384"/>
      <c r="AE148" s="384"/>
      <c r="AF148" s="384"/>
      <c r="AG148" s="384"/>
      <c r="AH148" s="384"/>
      <c r="AI148" s="384"/>
      <c r="AJ148" s="384"/>
    </row>
    <row r="149" spans="1:36" x14ac:dyDescent="0.2">
      <c r="A149" s="384"/>
      <c r="B149" s="384"/>
      <c r="C149" s="384"/>
      <c r="D149" s="384"/>
      <c r="E149" s="384"/>
      <c r="F149" s="384"/>
      <c r="G149" s="384"/>
      <c r="H149" s="384"/>
      <c r="I149" s="384"/>
      <c r="J149" s="384"/>
      <c r="K149" s="384"/>
      <c r="L149" s="384"/>
      <c r="M149" s="384"/>
      <c r="N149" s="384"/>
      <c r="O149" s="384"/>
      <c r="P149" s="384"/>
      <c r="Q149" s="384"/>
      <c r="R149" s="384"/>
      <c r="S149" s="384"/>
      <c r="T149" s="384"/>
      <c r="U149" s="384"/>
      <c r="V149" s="384"/>
      <c r="W149" s="384"/>
      <c r="X149" s="384"/>
      <c r="Y149" s="384"/>
      <c r="Z149" s="384"/>
      <c r="AA149" s="384"/>
      <c r="AB149" s="384"/>
      <c r="AC149" s="384"/>
      <c r="AD149" s="384"/>
      <c r="AE149" s="384"/>
      <c r="AF149" s="384"/>
      <c r="AG149" s="384"/>
      <c r="AH149" s="384"/>
      <c r="AI149" s="384"/>
      <c r="AJ149" s="384"/>
    </row>
    <row r="150" spans="1:36" x14ac:dyDescent="0.2">
      <c r="A150" s="384"/>
      <c r="B150" s="384"/>
      <c r="C150" s="384"/>
      <c r="D150" s="384"/>
      <c r="E150" s="384"/>
      <c r="F150" s="384"/>
      <c r="G150" s="384"/>
      <c r="H150" s="384"/>
      <c r="I150" s="384"/>
      <c r="J150" s="384"/>
      <c r="K150" s="384"/>
      <c r="L150" s="384"/>
      <c r="M150" s="384"/>
      <c r="N150" s="384"/>
      <c r="O150" s="384"/>
      <c r="P150" s="384"/>
      <c r="Q150" s="384"/>
      <c r="R150" s="384"/>
      <c r="S150" s="384"/>
      <c r="T150" s="384"/>
      <c r="U150" s="384"/>
      <c r="V150" s="384"/>
      <c r="W150" s="384"/>
      <c r="X150" s="384"/>
      <c r="Y150" s="384"/>
      <c r="Z150" s="384"/>
      <c r="AA150" s="384"/>
      <c r="AB150" s="384"/>
      <c r="AC150" s="384"/>
      <c r="AD150" s="384"/>
      <c r="AE150" s="384"/>
      <c r="AF150" s="384"/>
      <c r="AG150" s="384"/>
      <c r="AH150" s="384"/>
      <c r="AI150" s="384"/>
      <c r="AJ150" s="384"/>
    </row>
    <row r="151" spans="1:36" x14ac:dyDescent="0.2">
      <c r="A151" s="384"/>
      <c r="B151" s="384"/>
      <c r="C151" s="384"/>
      <c r="D151" s="384"/>
      <c r="E151" s="384"/>
      <c r="F151" s="384"/>
      <c r="G151" s="384"/>
      <c r="H151" s="384"/>
      <c r="I151" s="384"/>
      <c r="J151" s="384"/>
      <c r="K151" s="384"/>
      <c r="L151" s="384"/>
      <c r="M151" s="384"/>
      <c r="N151" s="384"/>
      <c r="O151" s="384"/>
      <c r="P151" s="384"/>
      <c r="Q151" s="384"/>
      <c r="R151" s="384"/>
      <c r="S151" s="384"/>
      <c r="T151" s="384"/>
      <c r="U151" s="384"/>
      <c r="V151" s="384"/>
      <c r="W151" s="384"/>
      <c r="X151" s="384"/>
      <c r="Y151" s="384"/>
      <c r="Z151" s="384"/>
      <c r="AA151" s="384"/>
      <c r="AB151" s="384"/>
      <c r="AC151" s="384"/>
      <c r="AD151" s="384"/>
      <c r="AE151" s="384"/>
      <c r="AF151" s="384"/>
      <c r="AG151" s="384"/>
      <c r="AH151" s="384"/>
      <c r="AI151" s="384"/>
      <c r="AJ151" s="384"/>
    </row>
    <row r="152" spans="1:36" x14ac:dyDescent="0.2">
      <c r="A152" s="384"/>
      <c r="B152" s="384"/>
      <c r="C152" s="384"/>
      <c r="D152" s="384"/>
      <c r="E152" s="384"/>
      <c r="F152" s="384"/>
      <c r="G152" s="384"/>
      <c r="H152" s="384"/>
      <c r="I152" s="384"/>
      <c r="J152" s="384"/>
      <c r="K152" s="384"/>
      <c r="L152" s="384"/>
      <c r="M152" s="384"/>
      <c r="N152" s="384"/>
      <c r="O152" s="384"/>
      <c r="P152" s="384"/>
      <c r="Q152" s="384"/>
      <c r="R152" s="384"/>
      <c r="S152" s="384"/>
      <c r="T152" s="384"/>
      <c r="U152" s="384"/>
      <c r="V152" s="384"/>
      <c r="W152" s="384"/>
      <c r="X152" s="384"/>
      <c r="Y152" s="384"/>
      <c r="Z152" s="384"/>
      <c r="AA152" s="384"/>
      <c r="AB152" s="384"/>
      <c r="AC152" s="384"/>
      <c r="AD152" s="384"/>
      <c r="AE152" s="384"/>
      <c r="AF152" s="384"/>
      <c r="AG152" s="384"/>
      <c r="AH152" s="384"/>
      <c r="AI152" s="384"/>
      <c r="AJ152" s="384"/>
    </row>
    <row r="153" spans="1:36" x14ac:dyDescent="0.2">
      <c r="A153" s="384"/>
      <c r="B153" s="384"/>
      <c r="C153" s="384"/>
      <c r="D153" s="384"/>
      <c r="E153" s="384"/>
      <c r="F153" s="384"/>
      <c r="G153" s="384"/>
      <c r="H153" s="384"/>
      <c r="I153" s="384"/>
      <c r="J153" s="384"/>
      <c r="K153" s="384"/>
      <c r="L153" s="384"/>
      <c r="M153" s="384"/>
      <c r="N153" s="384"/>
      <c r="O153" s="384"/>
      <c r="P153" s="384"/>
      <c r="Q153" s="384"/>
      <c r="R153" s="384"/>
      <c r="S153" s="384"/>
      <c r="T153" s="384"/>
      <c r="U153" s="384"/>
      <c r="V153" s="384"/>
      <c r="W153" s="384"/>
      <c r="X153" s="384"/>
      <c r="Y153" s="384"/>
      <c r="Z153" s="384"/>
      <c r="AA153" s="384"/>
      <c r="AB153" s="384"/>
      <c r="AC153" s="384"/>
      <c r="AD153" s="384"/>
      <c r="AE153" s="384"/>
      <c r="AF153" s="384"/>
      <c r="AG153" s="384"/>
      <c r="AH153" s="384"/>
      <c r="AI153" s="384"/>
      <c r="AJ153" s="384"/>
    </row>
    <row r="154" spans="1:36" x14ac:dyDescent="0.2">
      <c r="A154" s="384"/>
      <c r="B154" s="384"/>
      <c r="C154" s="384"/>
      <c r="D154" s="384"/>
      <c r="E154" s="384"/>
      <c r="F154" s="384"/>
      <c r="G154" s="384"/>
      <c r="H154" s="384"/>
      <c r="I154" s="384"/>
      <c r="J154" s="384"/>
      <c r="K154" s="384"/>
      <c r="L154" s="384"/>
      <c r="M154" s="384"/>
      <c r="N154" s="384"/>
      <c r="O154" s="384"/>
      <c r="P154" s="384"/>
      <c r="Q154" s="384"/>
      <c r="R154" s="384"/>
      <c r="S154" s="384"/>
      <c r="T154" s="384"/>
      <c r="U154" s="384"/>
      <c r="V154" s="384"/>
      <c r="W154" s="384"/>
      <c r="X154" s="384"/>
      <c r="Y154" s="384"/>
      <c r="Z154" s="384"/>
      <c r="AA154" s="384"/>
      <c r="AB154" s="384"/>
      <c r="AC154" s="384"/>
      <c r="AD154" s="384"/>
      <c r="AE154" s="384"/>
      <c r="AF154" s="384"/>
      <c r="AG154" s="384"/>
      <c r="AH154" s="384"/>
      <c r="AI154" s="384"/>
      <c r="AJ154" s="384"/>
    </row>
    <row r="155" spans="1:36" x14ac:dyDescent="0.2">
      <c r="A155" s="384"/>
      <c r="B155" s="384"/>
      <c r="C155" s="384"/>
      <c r="D155" s="384"/>
      <c r="E155" s="384"/>
      <c r="F155" s="384"/>
      <c r="G155" s="384"/>
      <c r="H155" s="384"/>
      <c r="I155" s="384"/>
      <c r="J155" s="384"/>
      <c r="K155" s="384"/>
      <c r="L155" s="384"/>
      <c r="M155" s="384"/>
      <c r="N155" s="384"/>
      <c r="O155" s="384"/>
      <c r="P155" s="384"/>
      <c r="Q155" s="384"/>
      <c r="R155" s="384"/>
      <c r="S155" s="384"/>
      <c r="T155" s="384"/>
      <c r="U155" s="384"/>
      <c r="V155" s="384"/>
      <c r="W155" s="384"/>
      <c r="X155" s="384"/>
      <c r="Y155" s="384"/>
      <c r="Z155" s="384"/>
      <c r="AA155" s="384"/>
      <c r="AB155" s="384"/>
      <c r="AC155" s="384"/>
      <c r="AD155" s="384"/>
      <c r="AE155" s="384"/>
      <c r="AF155" s="384"/>
      <c r="AG155" s="384"/>
      <c r="AH155" s="384"/>
      <c r="AI155" s="384"/>
      <c r="AJ155" s="384"/>
    </row>
    <row r="156" spans="1:36" x14ac:dyDescent="0.2">
      <c r="A156" s="384"/>
      <c r="B156" s="384"/>
      <c r="C156" s="384"/>
      <c r="D156" s="384"/>
      <c r="E156" s="384"/>
      <c r="F156" s="384"/>
      <c r="G156" s="384"/>
      <c r="H156" s="384"/>
      <c r="I156" s="384"/>
      <c r="J156" s="384"/>
      <c r="K156" s="384"/>
      <c r="L156" s="384"/>
      <c r="M156" s="384"/>
      <c r="N156" s="384"/>
      <c r="O156" s="384"/>
      <c r="P156" s="384"/>
      <c r="Q156" s="384"/>
      <c r="R156" s="384"/>
      <c r="S156" s="384"/>
      <c r="T156" s="384"/>
      <c r="U156" s="384"/>
      <c r="V156" s="384"/>
      <c r="W156" s="384"/>
      <c r="X156" s="384"/>
      <c r="Y156" s="384"/>
      <c r="Z156" s="384"/>
      <c r="AA156" s="384"/>
      <c r="AB156" s="384"/>
      <c r="AC156" s="384"/>
      <c r="AD156" s="384"/>
      <c r="AE156" s="384"/>
      <c r="AF156" s="384"/>
      <c r="AG156" s="384"/>
      <c r="AH156" s="384"/>
      <c r="AI156" s="384"/>
      <c r="AJ156" s="384"/>
    </row>
    <row r="157" spans="1:36" x14ac:dyDescent="0.2">
      <c r="A157" s="384"/>
      <c r="B157" s="384"/>
      <c r="C157" s="384"/>
      <c r="D157" s="384"/>
      <c r="E157" s="384"/>
      <c r="F157" s="384"/>
      <c r="G157" s="384"/>
      <c r="H157" s="384"/>
      <c r="I157" s="384"/>
      <c r="J157" s="384"/>
      <c r="K157" s="384"/>
      <c r="L157" s="384"/>
      <c r="M157" s="384"/>
      <c r="N157" s="384"/>
      <c r="O157" s="384"/>
      <c r="P157" s="384"/>
      <c r="Q157" s="384"/>
      <c r="R157" s="384"/>
      <c r="S157" s="384"/>
      <c r="T157" s="384"/>
      <c r="U157" s="384"/>
      <c r="V157" s="384"/>
      <c r="W157" s="384"/>
      <c r="X157" s="384"/>
      <c r="Y157" s="384"/>
      <c r="Z157" s="384"/>
      <c r="AA157" s="384"/>
      <c r="AB157" s="384"/>
      <c r="AC157" s="384"/>
      <c r="AD157" s="384"/>
      <c r="AE157" s="384"/>
      <c r="AF157" s="384"/>
      <c r="AG157" s="384"/>
      <c r="AH157" s="384"/>
      <c r="AI157" s="384"/>
      <c r="AJ157" s="384"/>
    </row>
    <row r="158" spans="1:36" x14ac:dyDescent="0.2">
      <c r="A158" s="384"/>
      <c r="B158" s="384"/>
      <c r="C158" s="384"/>
      <c r="D158" s="384"/>
      <c r="E158" s="384"/>
      <c r="F158" s="384"/>
      <c r="G158" s="384"/>
      <c r="H158" s="384"/>
      <c r="I158" s="384"/>
      <c r="J158" s="384"/>
      <c r="K158" s="384"/>
      <c r="L158" s="384"/>
      <c r="M158" s="384"/>
      <c r="N158" s="384"/>
      <c r="O158" s="384"/>
      <c r="P158" s="384"/>
      <c r="Q158" s="384"/>
      <c r="R158" s="384"/>
      <c r="S158" s="384"/>
      <c r="T158" s="384"/>
      <c r="U158" s="384"/>
      <c r="V158" s="384"/>
      <c r="W158" s="384"/>
      <c r="X158" s="384"/>
      <c r="Y158" s="384"/>
      <c r="Z158" s="384"/>
      <c r="AA158" s="384"/>
      <c r="AB158" s="384"/>
      <c r="AC158" s="384"/>
      <c r="AD158" s="384"/>
      <c r="AE158" s="384"/>
      <c r="AF158" s="384"/>
      <c r="AG158" s="384"/>
      <c r="AH158" s="384"/>
      <c r="AI158" s="384"/>
      <c r="AJ158" s="384"/>
    </row>
    <row r="159" spans="1:36" x14ac:dyDescent="0.2">
      <c r="A159" s="384"/>
      <c r="B159" s="384"/>
      <c r="C159" s="384"/>
      <c r="D159" s="384"/>
      <c r="E159" s="384"/>
      <c r="F159" s="384"/>
      <c r="G159" s="384"/>
      <c r="H159" s="384"/>
      <c r="I159" s="384"/>
      <c r="J159" s="384"/>
      <c r="K159" s="384"/>
      <c r="L159" s="384"/>
      <c r="M159" s="384"/>
      <c r="N159" s="384"/>
      <c r="O159" s="384"/>
      <c r="P159" s="384"/>
      <c r="Q159" s="384"/>
      <c r="R159" s="384"/>
      <c r="S159" s="384"/>
      <c r="T159" s="384"/>
      <c r="U159" s="384"/>
      <c r="V159" s="384"/>
      <c r="W159" s="384"/>
      <c r="X159" s="384"/>
      <c r="Y159" s="384"/>
      <c r="Z159" s="384"/>
      <c r="AA159" s="384"/>
      <c r="AB159" s="384"/>
      <c r="AC159" s="384"/>
      <c r="AD159" s="384"/>
      <c r="AE159" s="384"/>
      <c r="AF159" s="384"/>
      <c r="AG159" s="384"/>
      <c r="AH159" s="384"/>
      <c r="AI159" s="384"/>
      <c r="AJ159" s="384"/>
    </row>
    <row r="160" spans="1:36" x14ac:dyDescent="0.2">
      <c r="A160" s="384"/>
      <c r="B160" s="384"/>
      <c r="C160" s="384"/>
      <c r="D160" s="384"/>
      <c r="E160" s="384"/>
      <c r="F160" s="384"/>
      <c r="G160" s="384"/>
      <c r="H160" s="384"/>
      <c r="I160" s="384"/>
      <c r="J160" s="384"/>
      <c r="K160" s="384"/>
      <c r="L160" s="384"/>
      <c r="M160" s="384"/>
      <c r="N160" s="384"/>
      <c r="O160" s="384"/>
      <c r="P160" s="384"/>
      <c r="Q160" s="384"/>
      <c r="R160" s="384"/>
      <c r="S160" s="384"/>
      <c r="T160" s="384"/>
      <c r="U160" s="384"/>
      <c r="V160" s="384"/>
      <c r="W160" s="384"/>
      <c r="X160" s="384"/>
      <c r="Y160" s="384"/>
      <c r="Z160" s="384"/>
      <c r="AA160" s="384"/>
      <c r="AB160" s="384"/>
      <c r="AC160" s="384"/>
      <c r="AD160" s="384"/>
      <c r="AE160" s="384"/>
      <c r="AF160" s="384"/>
      <c r="AG160" s="384"/>
      <c r="AH160" s="384"/>
      <c r="AI160" s="384"/>
      <c r="AJ160" s="384"/>
    </row>
    <row r="161" spans="1:36" x14ac:dyDescent="0.2">
      <c r="A161" s="384"/>
      <c r="B161" s="384"/>
      <c r="C161" s="384"/>
      <c r="D161" s="384"/>
      <c r="E161" s="384"/>
      <c r="F161" s="384"/>
      <c r="G161" s="384"/>
      <c r="H161" s="384"/>
      <c r="I161" s="384"/>
      <c r="J161" s="384"/>
      <c r="K161" s="384"/>
      <c r="L161" s="384"/>
      <c r="M161" s="384"/>
      <c r="N161" s="384"/>
      <c r="O161" s="384"/>
      <c r="P161" s="384"/>
      <c r="Q161" s="384"/>
      <c r="R161" s="384"/>
      <c r="S161" s="384"/>
      <c r="T161" s="384"/>
      <c r="U161" s="384"/>
      <c r="V161" s="384"/>
      <c r="W161" s="384"/>
      <c r="X161" s="384"/>
      <c r="Y161" s="384"/>
      <c r="Z161" s="384"/>
      <c r="AA161" s="384"/>
      <c r="AB161" s="384"/>
      <c r="AC161" s="384"/>
      <c r="AD161" s="384"/>
      <c r="AE161" s="384"/>
      <c r="AF161" s="384"/>
      <c r="AG161" s="384"/>
      <c r="AH161" s="384"/>
      <c r="AI161" s="384"/>
      <c r="AJ161" s="384"/>
    </row>
    <row r="162" spans="1:36" x14ac:dyDescent="0.2">
      <c r="A162" s="384"/>
      <c r="B162" s="384"/>
      <c r="C162" s="384"/>
      <c r="D162" s="384"/>
      <c r="E162" s="384"/>
      <c r="F162" s="384"/>
      <c r="G162" s="384"/>
      <c r="H162" s="384"/>
      <c r="I162" s="384"/>
      <c r="J162" s="384"/>
      <c r="K162" s="384"/>
      <c r="L162" s="384"/>
      <c r="M162" s="384"/>
      <c r="N162" s="384"/>
      <c r="O162" s="384"/>
      <c r="P162" s="384"/>
      <c r="Q162" s="384"/>
      <c r="R162" s="384"/>
      <c r="S162" s="384"/>
      <c r="T162" s="384"/>
      <c r="U162" s="384"/>
      <c r="V162" s="384"/>
      <c r="W162" s="384"/>
      <c r="X162" s="384"/>
      <c r="Y162" s="384"/>
      <c r="Z162" s="384"/>
      <c r="AA162" s="384"/>
      <c r="AB162" s="384"/>
      <c r="AC162" s="384"/>
      <c r="AD162" s="384"/>
      <c r="AE162" s="384"/>
      <c r="AF162" s="384"/>
      <c r="AG162" s="384"/>
      <c r="AH162" s="384"/>
      <c r="AI162" s="384"/>
      <c r="AJ162" s="384"/>
    </row>
    <row r="169" spans="1:36" ht="12.95" customHeight="1" x14ac:dyDescent="0.2"/>
    <row r="170" spans="1:36" ht="12.95" customHeight="1" x14ac:dyDescent="0.2"/>
  </sheetData>
  <mergeCells count="3">
    <mergeCell ref="B98:N98"/>
    <mergeCell ref="S15:Y15"/>
    <mergeCell ref="S22:Y22"/>
  </mergeCells>
  <pageMargins left="0.75" right="0.75" top="1" bottom="1" header="0.5" footer="0.5"/>
  <pageSetup orientation="portrait" horizontalDpi="4294967292" verticalDpi="4294967292"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2:G54"/>
  <sheetViews>
    <sheetView topLeftCell="A30" zoomScale="82" zoomScaleNormal="55" zoomScalePageLayoutView="55" workbookViewId="0">
      <selection activeCell="E51" sqref="E51"/>
    </sheetView>
  </sheetViews>
  <sheetFormatPr defaultColWidth="8.85546875" defaultRowHeight="12.75" x14ac:dyDescent="0.2"/>
  <cols>
    <col min="1" max="1" width="13.7109375" style="117" customWidth="1"/>
    <col min="2" max="2" width="14" style="118" customWidth="1"/>
    <col min="3" max="3" width="20.140625" style="116" customWidth="1"/>
    <col min="4" max="4" width="10.7109375" style="115" customWidth="1"/>
    <col min="5" max="5" width="41.42578125" style="266" customWidth="1"/>
    <col min="6" max="6" width="12.140625" style="266" bestFit="1" customWidth="1"/>
    <col min="7" max="7" width="74.140625" style="266" customWidth="1"/>
    <col min="8" max="16384" width="8.85546875" style="266"/>
  </cols>
  <sheetData>
    <row r="2" spans="1:5" ht="67.5" customHeight="1" x14ac:dyDescent="0.2">
      <c r="A2" s="120" t="s">
        <v>280</v>
      </c>
      <c r="B2" s="121" t="s">
        <v>295</v>
      </c>
      <c r="C2" s="357" t="s">
        <v>400</v>
      </c>
      <c r="D2" s="122" t="s">
        <v>283</v>
      </c>
      <c r="E2" s="415"/>
    </row>
    <row r="3" spans="1:5" ht="12.75" customHeight="1" x14ac:dyDescent="0.2">
      <c r="A3" s="425" t="s">
        <v>299</v>
      </c>
      <c r="B3" s="426">
        <v>295946.67</v>
      </c>
      <c r="C3" s="427">
        <v>19912</v>
      </c>
      <c r="D3" s="428">
        <v>14.862729509843311</v>
      </c>
    </row>
    <row r="4" spans="1:5" x14ac:dyDescent="0.2">
      <c r="A4" s="425" t="s">
        <v>300</v>
      </c>
      <c r="B4" s="426">
        <v>236644.37999999998</v>
      </c>
      <c r="C4" s="427">
        <v>18131</v>
      </c>
      <c r="D4" s="428">
        <v>13.051921019248798</v>
      </c>
    </row>
    <row r="5" spans="1:5" x14ac:dyDescent="0.2">
      <c r="A5" s="425" t="s">
        <v>301</v>
      </c>
      <c r="B5" s="426">
        <v>129792.66000000006</v>
      </c>
      <c r="C5" s="427">
        <v>14148</v>
      </c>
      <c r="D5" s="428">
        <v>9.1739228159457209</v>
      </c>
    </row>
    <row r="6" spans="1:5" x14ac:dyDescent="0.2">
      <c r="A6" s="425" t="s">
        <v>302</v>
      </c>
      <c r="B6" s="426">
        <v>194799.31</v>
      </c>
      <c r="C6" s="427">
        <v>19042</v>
      </c>
      <c r="D6" s="428">
        <v>10.229981619577776</v>
      </c>
    </row>
    <row r="7" spans="1:5" x14ac:dyDescent="0.2">
      <c r="A7" s="425" t="s">
        <v>303</v>
      </c>
      <c r="B7" s="426">
        <v>168153.82</v>
      </c>
      <c r="C7" s="427">
        <v>17615</v>
      </c>
      <c r="D7" s="428">
        <v>9.5460584728924225</v>
      </c>
    </row>
    <row r="8" spans="1:5" x14ac:dyDescent="0.2">
      <c r="A8" s="425" t="s">
        <v>304</v>
      </c>
      <c r="B8" s="426">
        <v>146767.76000000004</v>
      </c>
      <c r="C8" s="427">
        <v>14546</v>
      </c>
      <c r="D8" s="428">
        <v>10.089905128557682</v>
      </c>
    </row>
    <row r="9" spans="1:5" x14ac:dyDescent="0.2">
      <c r="A9" s="425" t="s">
        <v>305</v>
      </c>
      <c r="B9" s="426">
        <v>255104.21000000005</v>
      </c>
      <c r="C9" s="427">
        <v>20634</v>
      </c>
      <c r="D9" s="428">
        <v>12.363294077735778</v>
      </c>
    </row>
    <row r="10" spans="1:5" x14ac:dyDescent="0.2">
      <c r="A10" s="425" t="s">
        <v>306</v>
      </c>
      <c r="B10" s="426">
        <v>254659.60999999987</v>
      </c>
      <c r="C10" s="427">
        <v>21087</v>
      </c>
      <c r="D10" s="428">
        <v>12.076616398729069</v>
      </c>
    </row>
    <row r="11" spans="1:5" x14ac:dyDescent="0.2">
      <c r="A11" s="425" t="s">
        <v>307</v>
      </c>
      <c r="B11" s="426">
        <v>249454.48000000016</v>
      </c>
      <c r="C11" s="427">
        <v>20548</v>
      </c>
      <c r="D11" s="428">
        <v>12.140085653104933</v>
      </c>
    </row>
    <row r="12" spans="1:5" x14ac:dyDescent="0.2">
      <c r="A12" s="425" t="s">
        <v>308</v>
      </c>
      <c r="B12" s="426">
        <v>174548.99000000005</v>
      </c>
      <c r="C12" s="427">
        <v>14195</v>
      </c>
      <c r="D12" s="428">
        <v>12.29651215216626</v>
      </c>
    </row>
    <row r="13" spans="1:5" x14ac:dyDescent="0.2">
      <c r="A13" s="425" t="s">
        <v>309</v>
      </c>
      <c r="B13" s="426">
        <v>194472.82000000015</v>
      </c>
      <c r="C13" s="427">
        <v>15374</v>
      </c>
      <c r="D13" s="428">
        <v>12.649461428385596</v>
      </c>
    </row>
    <row r="14" spans="1:5" x14ac:dyDescent="0.2">
      <c r="A14" s="425" t="s">
        <v>296</v>
      </c>
      <c r="B14" s="426">
        <v>105517.22</v>
      </c>
      <c r="C14" s="427">
        <v>14235</v>
      </c>
      <c r="D14" s="428">
        <v>7.4125198454513521</v>
      </c>
    </row>
    <row r="15" spans="1:5" x14ac:dyDescent="0.2">
      <c r="A15" s="425" t="s">
        <v>297</v>
      </c>
      <c r="B15" s="426">
        <v>117986.71</v>
      </c>
      <c r="C15" s="427">
        <v>16552</v>
      </c>
      <c r="D15" s="428">
        <v>7.1282449250845827</v>
      </c>
    </row>
    <row r="16" spans="1:5" x14ac:dyDescent="0.2">
      <c r="A16" s="425" t="s">
        <v>298</v>
      </c>
      <c r="B16" s="426">
        <v>142009.09</v>
      </c>
      <c r="C16" s="427">
        <v>18959.825100133512</v>
      </c>
      <c r="D16" s="428">
        <v>7.49</v>
      </c>
    </row>
    <row r="17" spans="1:7" x14ac:dyDescent="0.2">
      <c r="A17" s="425" t="s">
        <v>310</v>
      </c>
      <c r="B17" s="426">
        <v>154311.99</v>
      </c>
      <c r="C17" s="427">
        <v>19607.62261753494</v>
      </c>
      <c r="D17" s="428">
        <v>7.87</v>
      </c>
    </row>
    <row r="18" spans="1:7" x14ac:dyDescent="0.2">
      <c r="A18" s="425" t="s">
        <v>311</v>
      </c>
      <c r="B18" s="426">
        <v>181758.51</v>
      </c>
      <c r="C18" s="427">
        <v>21741.448564593305</v>
      </c>
      <c r="D18" s="428">
        <v>8.36</v>
      </c>
    </row>
    <row r="19" spans="1:7" x14ac:dyDescent="0.2">
      <c r="A19" s="429" t="s">
        <v>287</v>
      </c>
      <c r="B19" s="426">
        <v>249544.71</v>
      </c>
      <c r="C19" s="427">
        <v>30618.982822085887</v>
      </c>
      <c r="D19" s="428">
        <v>8.15</v>
      </c>
    </row>
    <row r="20" spans="1:7" x14ac:dyDescent="0.2">
      <c r="A20" s="429" t="s">
        <v>288</v>
      </c>
      <c r="B20" s="426">
        <v>212105.05</v>
      </c>
      <c r="C20" s="427">
        <v>24953.535294117646</v>
      </c>
      <c r="D20" s="428">
        <v>8.5</v>
      </c>
    </row>
    <row r="21" spans="1:7" x14ac:dyDescent="0.2">
      <c r="A21" s="429" t="s">
        <v>289</v>
      </c>
      <c r="B21" s="426">
        <v>141256.43</v>
      </c>
      <c r="C21" s="427">
        <v>20471.946376811593</v>
      </c>
      <c r="D21" s="428">
        <v>6.9</v>
      </c>
    </row>
    <row r="22" spans="1:7" x14ac:dyDescent="0.2">
      <c r="A22" s="429" t="s">
        <v>290</v>
      </c>
      <c r="B22" s="426">
        <v>151234.04999999999</v>
      </c>
      <c r="C22" s="427">
        <v>20946.544321329638</v>
      </c>
      <c r="D22" s="428">
        <v>7.22</v>
      </c>
    </row>
    <row r="23" spans="1:7" x14ac:dyDescent="0.2">
      <c r="A23" s="429" t="s">
        <v>291</v>
      </c>
      <c r="B23" s="426">
        <v>144544.44</v>
      </c>
      <c r="C23" s="427">
        <v>20561.086770981507</v>
      </c>
      <c r="D23" s="428">
        <v>7.03</v>
      </c>
    </row>
    <row r="24" spans="1:7" x14ac:dyDescent="0.2">
      <c r="A24" s="429" t="s">
        <v>292</v>
      </c>
      <c r="B24" s="426">
        <v>151734</v>
      </c>
      <c r="C24" s="427">
        <v>20957.734806629833</v>
      </c>
      <c r="D24" s="428">
        <v>7.24</v>
      </c>
    </row>
    <row r="25" spans="1:7" x14ac:dyDescent="0.2">
      <c r="A25" s="430" t="s">
        <v>293</v>
      </c>
      <c r="B25" s="431">
        <v>28191.1</v>
      </c>
      <c r="C25" s="432">
        <v>3959.4241573033705</v>
      </c>
      <c r="D25" s="433">
        <v>7.12</v>
      </c>
    </row>
    <row r="26" spans="1:7" x14ac:dyDescent="0.2">
      <c r="A26" s="416" t="s">
        <v>294</v>
      </c>
      <c r="B26" s="434">
        <v>0</v>
      </c>
      <c r="C26" s="435">
        <v>0</v>
      </c>
      <c r="D26" s="436">
        <v>0</v>
      </c>
    </row>
    <row r="27" spans="1:7" ht="65.25" customHeight="1" x14ac:dyDescent="0.2">
      <c r="A27" s="120" t="s">
        <v>280</v>
      </c>
      <c r="B27" s="121" t="s">
        <v>281</v>
      </c>
      <c r="C27" s="267" t="s">
        <v>282</v>
      </c>
      <c r="D27" s="122" t="s">
        <v>283</v>
      </c>
      <c r="E27" s="558" t="s">
        <v>373</v>
      </c>
      <c r="F27" s="559"/>
      <c r="G27" s="559"/>
    </row>
    <row r="28" spans="1:7" x14ac:dyDescent="0.2">
      <c r="A28" s="416" t="s">
        <v>286</v>
      </c>
      <c r="B28" s="417">
        <v>45000</v>
      </c>
      <c r="C28" s="418">
        <v>2420</v>
      </c>
      <c r="D28" s="419">
        <f>SUM(B28/C28)</f>
        <v>18.595041322314049</v>
      </c>
    </row>
    <row r="29" spans="1:7" x14ac:dyDescent="0.2">
      <c r="A29" s="416" t="s">
        <v>285</v>
      </c>
      <c r="B29" s="417">
        <v>97481.14</v>
      </c>
      <c r="C29" s="418">
        <v>5875</v>
      </c>
      <c r="D29" s="419">
        <f>SUM(B29/C29)</f>
        <v>16.592534468085105</v>
      </c>
    </row>
    <row r="30" spans="1:7" ht="14.85" customHeight="1" x14ac:dyDescent="0.2">
      <c r="A30" s="416" t="s">
        <v>284</v>
      </c>
      <c r="B30" s="417">
        <v>116174.62</v>
      </c>
      <c r="C30" s="418">
        <v>5804</v>
      </c>
      <c r="D30" s="419">
        <f>SUM(B30/C30)</f>
        <v>20.016302549965541</v>
      </c>
      <c r="E30" s="123"/>
      <c r="F30" s="123"/>
      <c r="G30" s="123"/>
    </row>
    <row r="31" spans="1:7" ht="15.75" x14ac:dyDescent="0.2">
      <c r="A31" s="420" t="s">
        <v>313</v>
      </c>
      <c r="B31" s="417">
        <v>129753.36</v>
      </c>
      <c r="C31" s="418">
        <v>6875</v>
      </c>
      <c r="D31" s="419">
        <v>18.87</v>
      </c>
      <c r="G31" s="119"/>
    </row>
    <row r="32" spans="1:7" ht="15.75" x14ac:dyDescent="0.2">
      <c r="A32" s="420" t="s">
        <v>314</v>
      </c>
      <c r="B32" s="417">
        <v>103227.65</v>
      </c>
      <c r="C32" s="418">
        <v>7021</v>
      </c>
      <c r="D32" s="419">
        <f>(B32/C32)</f>
        <v>14.702699045719982</v>
      </c>
      <c r="E32" s="269"/>
      <c r="F32" s="125"/>
      <c r="G32" s="119"/>
    </row>
    <row r="33" spans="1:6" x14ac:dyDescent="0.2">
      <c r="A33" s="420" t="s">
        <v>315</v>
      </c>
      <c r="B33" s="417">
        <v>100891.26</v>
      </c>
      <c r="C33" s="418">
        <v>7696</v>
      </c>
      <c r="D33" s="419">
        <f>(B33/C33)</f>
        <v>13.109571205821204</v>
      </c>
      <c r="E33" s="269"/>
      <c r="F33" s="125"/>
    </row>
    <row r="34" spans="1:6" x14ac:dyDescent="0.2">
      <c r="A34" s="420" t="s">
        <v>346</v>
      </c>
      <c r="B34" s="417">
        <v>102288.76</v>
      </c>
      <c r="C34" s="418">
        <v>7693</v>
      </c>
      <c r="D34" s="419">
        <f>(B34/C34)</f>
        <v>13.296342129208371</v>
      </c>
      <c r="E34" s="125"/>
      <c r="F34" s="125"/>
    </row>
    <row r="35" spans="1:6" x14ac:dyDescent="0.2">
      <c r="A35" s="420" t="s">
        <v>316</v>
      </c>
      <c r="B35" s="417">
        <v>105921</v>
      </c>
      <c r="C35" s="418">
        <v>7299</v>
      </c>
      <c r="D35" s="419">
        <v>14.51</v>
      </c>
      <c r="F35" s="125"/>
    </row>
    <row r="36" spans="1:6" x14ac:dyDescent="0.2">
      <c r="A36" s="420" t="s">
        <v>317</v>
      </c>
      <c r="B36" s="417">
        <v>95653.2</v>
      </c>
      <c r="C36" s="418">
        <v>6908</v>
      </c>
      <c r="D36" s="419">
        <f>(B36/C36)</f>
        <v>13.846728430804864</v>
      </c>
    </row>
    <row r="37" spans="1:6" x14ac:dyDescent="0.2">
      <c r="A37" s="420" t="s">
        <v>318</v>
      </c>
      <c r="B37" s="417">
        <v>116000</v>
      </c>
      <c r="C37" s="418">
        <v>8023</v>
      </c>
      <c r="D37" s="419">
        <f>(B37/C37)</f>
        <v>14.458432007977066</v>
      </c>
      <c r="F37" s="125"/>
    </row>
    <row r="38" spans="1:6" x14ac:dyDescent="0.2">
      <c r="A38" s="416" t="s">
        <v>366</v>
      </c>
      <c r="B38" s="417">
        <v>0</v>
      </c>
      <c r="C38" s="418">
        <v>0</v>
      </c>
      <c r="D38" s="419">
        <v>0</v>
      </c>
    </row>
    <row r="39" spans="1:6" s="359" customFormat="1" x14ac:dyDescent="0.2">
      <c r="A39" s="421" t="s">
        <v>365</v>
      </c>
      <c r="B39" s="422">
        <v>42643.29</v>
      </c>
      <c r="C39" s="423">
        <v>4154</v>
      </c>
      <c r="D39" s="424">
        <f t="shared" ref="D39:D44" si="0">(B39/C39)</f>
        <v>10.265597014925373</v>
      </c>
    </row>
    <row r="40" spans="1:6" x14ac:dyDescent="0.2">
      <c r="A40" s="421" t="s">
        <v>415</v>
      </c>
      <c r="B40" s="422">
        <v>60376.05</v>
      </c>
      <c r="C40" s="423">
        <v>8184</v>
      </c>
      <c r="D40" s="424">
        <f t="shared" si="0"/>
        <v>7.3773277126099712</v>
      </c>
    </row>
    <row r="41" spans="1:6" s="359" customFormat="1" x14ac:dyDescent="0.2">
      <c r="A41" s="475" t="s">
        <v>427</v>
      </c>
      <c r="B41" s="476">
        <v>64662</v>
      </c>
      <c r="C41" s="477">
        <v>12162</v>
      </c>
      <c r="D41" s="478">
        <f t="shared" si="0"/>
        <v>5.3167242229896399</v>
      </c>
    </row>
    <row r="42" spans="1:6" s="359" customFormat="1" x14ac:dyDescent="0.2">
      <c r="A42" s="475" t="s">
        <v>437</v>
      </c>
      <c r="B42" s="476">
        <v>61116</v>
      </c>
      <c r="C42" s="477">
        <v>13710</v>
      </c>
      <c r="D42" s="478">
        <f t="shared" si="0"/>
        <v>4.4577680525164114</v>
      </c>
    </row>
    <row r="43" spans="1:6" s="359" customFormat="1" x14ac:dyDescent="0.2">
      <c r="A43" s="475" t="s">
        <v>446</v>
      </c>
      <c r="B43" s="476">
        <f>60734.36+6086.45</f>
        <v>66820.81</v>
      </c>
      <c r="C43" s="477">
        <v>14501</v>
      </c>
      <c r="D43" s="478">
        <f t="shared" si="0"/>
        <v>4.6080139300737875</v>
      </c>
    </row>
    <row r="44" spans="1:6" s="359" customFormat="1" x14ac:dyDescent="0.2">
      <c r="A44" s="475" t="s">
        <v>454</v>
      </c>
      <c r="B44" s="476">
        <v>77705</v>
      </c>
      <c r="C44" s="477">
        <v>16796</v>
      </c>
      <c r="D44" s="478">
        <f t="shared" si="0"/>
        <v>4.6263991426530122</v>
      </c>
    </row>
    <row r="45" spans="1:6" s="359" customFormat="1" x14ac:dyDescent="0.2">
      <c r="A45" s="475" t="s">
        <v>463</v>
      </c>
      <c r="B45" s="476">
        <v>84961.97</v>
      </c>
      <c r="C45" s="477">
        <v>20804</v>
      </c>
      <c r="D45" s="478">
        <f t="shared" ref="D45:D48" si="1">(B45/C45)</f>
        <v>4.083924726014228</v>
      </c>
    </row>
    <row r="46" spans="1:6" s="359" customFormat="1" x14ac:dyDescent="0.2">
      <c r="A46" s="475" t="s">
        <v>475</v>
      </c>
      <c r="B46" s="476">
        <v>106162.72</v>
      </c>
      <c r="C46" s="477">
        <v>26075</v>
      </c>
      <c r="D46" s="478">
        <f t="shared" si="1"/>
        <v>4.0714370086289549</v>
      </c>
    </row>
    <row r="47" spans="1:6" s="359" customFormat="1" x14ac:dyDescent="0.2">
      <c r="A47" s="512" t="s">
        <v>489</v>
      </c>
      <c r="B47" s="476">
        <v>144408.28</v>
      </c>
      <c r="C47" s="477">
        <v>37213</v>
      </c>
      <c r="D47" s="478">
        <f t="shared" si="1"/>
        <v>3.8805868916776394</v>
      </c>
    </row>
    <row r="48" spans="1:6" s="359" customFormat="1" x14ac:dyDescent="0.2">
      <c r="A48" s="512" t="s">
        <v>511</v>
      </c>
      <c r="B48" s="476">
        <v>150976.60999999999</v>
      </c>
      <c r="C48" s="477">
        <v>40819</v>
      </c>
      <c r="D48" s="478">
        <f t="shared" si="1"/>
        <v>3.698684681153384</v>
      </c>
    </row>
    <row r="49" spans="1:5" ht="64.5" customHeight="1" x14ac:dyDescent="0.2">
      <c r="A49" s="558" t="s">
        <v>373</v>
      </c>
      <c r="B49" s="558"/>
      <c r="C49" s="558"/>
      <c r="D49" s="558"/>
    </row>
    <row r="51" spans="1:5" ht="63.75" customHeight="1" x14ac:dyDescent="0.2">
      <c r="A51" s="557" t="s">
        <v>414</v>
      </c>
      <c r="B51" s="557"/>
      <c r="C51" s="557"/>
      <c r="D51" s="557"/>
      <c r="E51" s="268"/>
    </row>
    <row r="54" spans="1:5" x14ac:dyDescent="0.2">
      <c r="E54" s="268"/>
    </row>
  </sheetData>
  <mergeCells count="3">
    <mergeCell ref="A51:D51"/>
    <mergeCell ref="E27:G27"/>
    <mergeCell ref="A49:D49"/>
  </mergeCells>
  <pageMargins left="0.2" right="0.2" top="0.5" bottom="0.5" header="0.3" footer="0.3"/>
  <pageSetup scale="61" orientation="landscape"/>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4 3 m G S V 1 A t p q m A A A A + A A A A B I A H A B D b 2 5 m a W c v U G F j a 2 F n Z S 5 4 b W w g o h g A K K A U A A A A A A A A A A A A A A A A A A A A A A A A A A A A h Y 8 x D o I w G E a v Q r r T l q J G z U 8 Z X C U x I R r X p l R o h G J o s d z N w S N 5 B U k U d X P 8 X t 7 w v s f t D u n Q 1 M F V d V a 3 J k E R p i h Q R r a F N m W C e n c K l y j l s B P y L E o V j L K x 6 8 E W C a q c u 6 w J 8 d 5 j H + O 2 K w m j N C L H b J v L S j U C f W T 9 X w 6 1 s U 4 Y q R C H w y u G M x y v 8 G z O F j h i M Z A J Q 6 b N V 2 F j M a Z A f i B s + t r 1 n e L K h P s c y D S B v F / w J 1 B L A w Q U A A I A C A D j e Y Z J 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4 3 m G S S i K R 7 g O A A A A E Q A A A B M A H A B G b 3 J t d W x h c y 9 T Z W N 0 a W 9 u M S 5 t I K I Y A C i g F A A A A A A A A A A A A A A A A A A A A A A A A A A A A C t O T S 7 J z M 9 T C I b Q h t Y A U E s B A i 0 A F A A C A A g A 4 3 m G S V 1 A t p q m A A A A + A A A A B I A A A A A A A A A A A A A A A A A A A A A A E N v b m Z p Z y 9 Q Y W N r Y W d l L n h t b F B L A Q I t A B Q A A g A I A O N 5 h k k P y u m r p A A A A O k A A A A T A A A A A A A A A A A A A A A A A P I A A A B b Q 2 9 u d G V u d F 9 U e X B l c 1 0 u e G 1 s U E s B A i 0 A F A A C A A g A 4 3 m G S S 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M 5 E o 6 7 g p Q V I n d 5 V e f 1 t Z l k A A A A A A g A A A A A A A 2 Y A A M A A A A A Q A A A A a m 0 o k n / 5 D w q p X 9 4 H 2 c v D m w A A A A A E g A A A o A A A A B A A A A A D j N n b d 0 T y b T J C j S 4 s S + p J U A A A A H w G C w + b H b p U p r W Q M B + F g j I 0 U w t J g S Y C Q O O a 4 t r J V W V S 1 k Z J 9 y 6 E t C O v v f w 5 M u Z s 4 6 5 J W J o u T C z v y j U 2 D C J 8 8 s m Y s 2 1 Q U e Q g G h p 4 J V m F l g p w F A A A A K / t 5 v 6 O B Y y Q y H k O H B T c j 7 N i L f 0 b < / D a t a M a s h u p > 
</file>

<file path=customXml/itemProps1.xml><?xml version="1.0" encoding="utf-8"?>
<ds:datastoreItem xmlns:ds="http://schemas.openxmlformats.org/officeDocument/2006/customXml" ds:itemID="{73527710-62EE-4FB4-AC93-A1458E5CAF6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Summary Data</vt:lpstr>
      <vt:lpstr>AB testing</vt:lpstr>
      <vt:lpstr>Benefit Area Data</vt:lpstr>
      <vt:lpstr>Email</vt:lpstr>
      <vt:lpstr>Social</vt:lpstr>
      <vt:lpstr>CPA Over Time</vt:lpstr>
      <vt:lpstr>CPA Comparision</vt:lpstr>
      <vt:lpstr>'CPA Comparision'!Print_Area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Melissa Schaff</dc:creator>
  <cp:lastModifiedBy>Tanya Patel</cp:lastModifiedBy>
  <cp:lastPrinted>2016-03-08T02:26:32Z</cp:lastPrinted>
  <dcterms:created xsi:type="dcterms:W3CDTF">2013-09-16T12:00:22Z</dcterms:created>
  <dcterms:modified xsi:type="dcterms:W3CDTF">2017-09-15T21:51:42Z</dcterms:modified>
</cp:coreProperties>
</file>