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ore\Documents\"/>
    </mc:Choice>
  </mc:AlternateContent>
  <xr:revisionPtr revIDLastSave="0" documentId="13_ncr:1_{7E73506F-A211-4068-A12F-43816D284668}" xr6:coauthVersionLast="47" xr6:coauthVersionMax="47" xr10:uidLastSave="{00000000-0000-0000-0000-000000000000}"/>
  <bookViews>
    <workbookView xWindow="-120" yWindow="-120" windowWidth="29040" windowHeight="17640" activeTab="1" xr2:uid="{D8C207E9-037F-4D92-AFC3-463418ECE007}"/>
  </bookViews>
  <sheets>
    <sheet name="PLAZOS" sheetId="2" r:id="rId1"/>
    <sheet name="07.04.01-DGOS" sheetId="1" r:id="rId2"/>
    <sheet name="07.04.02-DIMON" sheetId="3" r:id="rId3"/>
    <sheet name="07.04.03-DIEM" sheetId="4" r:id="rId4"/>
  </sheets>
  <definedNames>
    <definedName name="_xlnm._FilterDatabase" localSheetId="1" hidden="1">'07.04.01-DGOS'!$D$10:$GZ$40</definedName>
    <definedName name="_xlnm._FilterDatabase" localSheetId="2" hidden="1">'07.04.02-DIMON'!$A$6:$AD$155</definedName>
    <definedName name="_xlnm._FilterDatabase" localSheetId="3" hidden="1">'07.04.03-DIEM'!$A$6:$AD$43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12" i="4" l="1"/>
  <c r="AA112" i="4"/>
  <c r="Z112" i="4"/>
  <c r="Y112" i="4"/>
  <c r="X112" i="4"/>
  <c r="W112" i="4"/>
  <c r="V112" i="4"/>
  <c r="U112" i="4"/>
  <c r="T112" i="4"/>
  <c r="S112" i="4"/>
  <c r="Q112" i="4"/>
  <c r="O112" i="4"/>
  <c r="AC111" i="4"/>
  <c r="AC110" i="4"/>
  <c r="AC109" i="4"/>
  <c r="AB108" i="4"/>
  <c r="AA108" i="4"/>
  <c r="Z108" i="4"/>
  <c r="Y108" i="4"/>
  <c r="X108" i="4"/>
  <c r="W108" i="4"/>
  <c r="V108" i="4"/>
  <c r="U108" i="4"/>
  <c r="T108" i="4"/>
  <c r="S108" i="4"/>
  <c r="Q108" i="4"/>
  <c r="O108" i="4"/>
  <c r="AC107" i="4"/>
  <c r="AC106" i="4"/>
  <c r="AB105" i="4"/>
  <c r="AA105" i="4"/>
  <c r="Z105" i="4"/>
  <c r="Y105" i="4"/>
  <c r="X105" i="4"/>
  <c r="W105" i="4"/>
  <c r="V105" i="4"/>
  <c r="U105" i="4"/>
  <c r="T105" i="4"/>
  <c r="S105" i="4"/>
  <c r="Q105" i="4"/>
  <c r="O105" i="4"/>
  <c r="AC104" i="4"/>
  <c r="AC103" i="4"/>
  <c r="AC102" i="4"/>
  <c r="AB101" i="4"/>
  <c r="AA101" i="4"/>
  <c r="Z101" i="4"/>
  <c r="Y101" i="4"/>
  <c r="X101" i="4"/>
  <c r="W101" i="4"/>
  <c r="V101" i="4"/>
  <c r="U101" i="4"/>
  <c r="T101" i="4"/>
  <c r="S101" i="4"/>
  <c r="Q101" i="4"/>
  <c r="O101" i="4"/>
  <c r="AC100" i="4"/>
  <c r="AC99" i="4"/>
  <c r="AB98" i="4"/>
  <c r="AA98" i="4"/>
  <c r="Z98" i="4"/>
  <c r="Y98" i="4"/>
  <c r="X98" i="4"/>
  <c r="W98" i="4"/>
  <c r="V98" i="4"/>
  <c r="U98" i="4"/>
  <c r="T98" i="4"/>
  <c r="S98" i="4"/>
  <c r="Q98" i="4"/>
  <c r="O98" i="4"/>
  <c r="AC97" i="4"/>
  <c r="AC96" i="4"/>
  <c r="AC95" i="4"/>
  <c r="AB94" i="4"/>
  <c r="AA94" i="4"/>
  <c r="Z94" i="4"/>
  <c r="Y94" i="4"/>
  <c r="X94" i="4"/>
  <c r="W94" i="4"/>
  <c r="V94" i="4"/>
  <c r="U94" i="4"/>
  <c r="T94" i="4"/>
  <c r="S94" i="4"/>
  <c r="Q94" i="4"/>
  <c r="O94" i="4"/>
  <c r="AC93" i="4"/>
  <c r="AC92" i="4"/>
  <c r="AC91" i="4"/>
  <c r="AB90" i="4"/>
  <c r="AA90" i="4"/>
  <c r="Z90" i="4"/>
  <c r="Y90" i="4"/>
  <c r="X90" i="4"/>
  <c r="W90" i="4"/>
  <c r="V90" i="4"/>
  <c r="U90" i="4"/>
  <c r="T90" i="4"/>
  <c r="S90" i="4"/>
  <c r="Q90" i="4"/>
  <c r="O90" i="4"/>
  <c r="AC89" i="4"/>
  <c r="AC88" i="4"/>
  <c r="AC87" i="4"/>
  <c r="AB86" i="4"/>
  <c r="AA86" i="4"/>
  <c r="Z86" i="4"/>
  <c r="Y86" i="4"/>
  <c r="X86" i="4"/>
  <c r="W86" i="4"/>
  <c r="V86" i="4"/>
  <c r="U86" i="4"/>
  <c r="T86" i="4"/>
  <c r="S86" i="4"/>
  <c r="Q86" i="4"/>
  <c r="O86" i="4"/>
  <c r="AC85" i="4"/>
  <c r="AC84" i="4"/>
  <c r="AC83" i="4"/>
  <c r="AC82" i="4"/>
  <c r="AC81" i="4"/>
  <c r="AB80" i="4"/>
  <c r="AA80" i="4"/>
  <c r="Z80" i="4"/>
  <c r="Y80" i="4"/>
  <c r="X80" i="4"/>
  <c r="W80" i="4"/>
  <c r="V80" i="4"/>
  <c r="U80" i="4"/>
  <c r="T80" i="4"/>
  <c r="S80" i="4"/>
  <c r="Q80" i="4"/>
  <c r="O80" i="4"/>
  <c r="AC79" i="4"/>
  <c r="AC78" i="4"/>
  <c r="AC77" i="4"/>
  <c r="AB76" i="4"/>
  <c r="AA76" i="4"/>
  <c r="Z76" i="4"/>
  <c r="Y76" i="4"/>
  <c r="X76" i="4"/>
  <c r="W76" i="4"/>
  <c r="V76" i="4"/>
  <c r="U76" i="4"/>
  <c r="T76" i="4"/>
  <c r="S76" i="4"/>
  <c r="Q76" i="4"/>
  <c r="O76" i="4"/>
  <c r="AC75" i="4"/>
  <c r="AC74" i="4"/>
  <c r="AC73" i="4"/>
  <c r="AC72" i="4"/>
  <c r="AB71" i="4"/>
  <c r="AA71" i="4"/>
  <c r="Z71" i="4"/>
  <c r="Y71" i="4"/>
  <c r="X71" i="4"/>
  <c r="W71" i="4"/>
  <c r="V71" i="4"/>
  <c r="U71" i="4"/>
  <c r="T71" i="4"/>
  <c r="S71" i="4"/>
  <c r="Q71" i="4"/>
  <c r="O71" i="4"/>
  <c r="AC70" i="4"/>
  <c r="AC69" i="4"/>
  <c r="AC68" i="4"/>
  <c r="AB67" i="4"/>
  <c r="AA67" i="4"/>
  <c r="Z67" i="4"/>
  <c r="Y67" i="4"/>
  <c r="X67" i="4"/>
  <c r="W67" i="4"/>
  <c r="V67" i="4"/>
  <c r="U67" i="4"/>
  <c r="T67" i="4"/>
  <c r="S67" i="4"/>
  <c r="Q67" i="4"/>
  <c r="O67" i="4"/>
  <c r="AC66" i="4"/>
  <c r="AC65" i="4"/>
  <c r="AC64" i="4"/>
  <c r="AC63" i="4"/>
  <c r="AC62" i="4"/>
  <c r="AC61" i="4"/>
  <c r="AC60" i="4"/>
  <c r="AB59" i="4"/>
  <c r="AA59" i="4"/>
  <c r="Z59" i="4"/>
  <c r="Y59" i="4"/>
  <c r="X59" i="4"/>
  <c r="W59" i="4"/>
  <c r="V59" i="4"/>
  <c r="U59" i="4"/>
  <c r="T59" i="4"/>
  <c r="S59" i="4"/>
  <c r="Q59" i="4"/>
  <c r="O59" i="4"/>
  <c r="AC58" i="4"/>
  <c r="AC57" i="4"/>
  <c r="AC56" i="4"/>
  <c r="AB55" i="4"/>
  <c r="AA55" i="4"/>
  <c r="Z55" i="4"/>
  <c r="Y55" i="4"/>
  <c r="X55" i="4"/>
  <c r="W55" i="4"/>
  <c r="V55" i="4"/>
  <c r="U55" i="4"/>
  <c r="T55" i="4"/>
  <c r="S55" i="4"/>
  <c r="Q55" i="4"/>
  <c r="O55" i="4"/>
  <c r="AC54" i="4"/>
  <c r="AC53" i="4"/>
  <c r="AC52" i="4"/>
  <c r="AC51" i="4"/>
  <c r="AC50" i="4"/>
  <c r="AB49" i="4"/>
  <c r="AA49" i="4"/>
  <c r="Z49" i="4"/>
  <c r="Y49" i="4"/>
  <c r="X49" i="4"/>
  <c r="W49" i="4"/>
  <c r="V49" i="4"/>
  <c r="U49" i="4"/>
  <c r="T49" i="4"/>
  <c r="S49" i="4"/>
  <c r="Q49" i="4"/>
  <c r="O49" i="4"/>
  <c r="AC48" i="4"/>
  <c r="AC47" i="4"/>
  <c r="AC46" i="4"/>
  <c r="AB45" i="4"/>
  <c r="AA45" i="4"/>
  <c r="Z45" i="4"/>
  <c r="Y45" i="4"/>
  <c r="X45" i="4"/>
  <c r="W45" i="4"/>
  <c r="V45" i="4"/>
  <c r="U45" i="4"/>
  <c r="T45" i="4"/>
  <c r="S45" i="4"/>
  <c r="Q45" i="4"/>
  <c r="O45" i="4"/>
  <c r="AC44" i="4"/>
  <c r="AC43" i="4"/>
  <c r="AB42" i="4"/>
  <c r="AA42" i="4"/>
  <c r="Z42" i="4"/>
  <c r="Y42" i="4"/>
  <c r="X42" i="4"/>
  <c r="W42" i="4"/>
  <c r="V42" i="4"/>
  <c r="U42" i="4"/>
  <c r="T42" i="4"/>
  <c r="S42" i="4"/>
  <c r="Q42" i="4"/>
  <c r="O42" i="4"/>
  <c r="AC41" i="4"/>
  <c r="AC40" i="4"/>
  <c r="AC39" i="4"/>
  <c r="AB38" i="4"/>
  <c r="AA38" i="4"/>
  <c r="Z38" i="4"/>
  <c r="Y38" i="4"/>
  <c r="X38" i="4"/>
  <c r="W38" i="4"/>
  <c r="V38" i="4"/>
  <c r="U38" i="4"/>
  <c r="T38" i="4"/>
  <c r="S38" i="4"/>
  <c r="Q38" i="4"/>
  <c r="O38" i="4"/>
  <c r="AC37" i="4"/>
  <c r="AC36" i="4"/>
  <c r="AC35" i="4"/>
  <c r="AC34" i="4"/>
  <c r="AC33" i="4"/>
  <c r="AC32" i="4"/>
  <c r="AB31" i="4"/>
  <c r="AA31" i="4"/>
  <c r="Z31" i="4"/>
  <c r="Y31" i="4"/>
  <c r="X31" i="4"/>
  <c r="W31" i="4"/>
  <c r="V31" i="4"/>
  <c r="U31" i="4"/>
  <c r="T31" i="4"/>
  <c r="S31" i="4"/>
  <c r="Q31" i="4"/>
  <c r="O31" i="4"/>
  <c r="AC30" i="4"/>
  <c r="AC29" i="4"/>
  <c r="AC28" i="4"/>
  <c r="AB27" i="4"/>
  <c r="AA27" i="4"/>
  <c r="Z27" i="4"/>
  <c r="Y27" i="4"/>
  <c r="X27" i="4"/>
  <c r="W27" i="4"/>
  <c r="V27" i="4"/>
  <c r="U27" i="4"/>
  <c r="T27" i="4"/>
  <c r="S27" i="4"/>
  <c r="Q27" i="4"/>
  <c r="O27" i="4"/>
  <c r="AC26" i="4"/>
  <c r="AC25" i="4"/>
  <c r="AC24" i="4"/>
  <c r="AC23" i="4"/>
  <c r="AB22" i="4"/>
  <c r="AA22" i="4"/>
  <c r="Z22" i="4"/>
  <c r="Y22" i="4"/>
  <c r="X22" i="4"/>
  <c r="W22" i="4"/>
  <c r="V22" i="4"/>
  <c r="U22" i="4"/>
  <c r="T22" i="4"/>
  <c r="S22" i="4"/>
  <c r="Q22" i="4"/>
  <c r="O22" i="4"/>
  <c r="AC21" i="4"/>
  <c r="AC20" i="4"/>
  <c r="AC19" i="4"/>
  <c r="AB18" i="4"/>
  <c r="AA18" i="4"/>
  <c r="Z18" i="4"/>
  <c r="Y18" i="4"/>
  <c r="X18" i="4"/>
  <c r="W18" i="4"/>
  <c r="V18" i="4"/>
  <c r="U18" i="4"/>
  <c r="T18" i="4"/>
  <c r="S18" i="4"/>
  <c r="Q18" i="4"/>
  <c r="O18" i="4"/>
  <c r="AC86" i="4" l="1"/>
  <c r="AC105" i="4"/>
  <c r="AC55" i="4"/>
  <c r="AC45" i="4"/>
  <c r="AC80" i="4"/>
  <c r="AC38" i="4"/>
  <c r="AC59" i="4"/>
  <c r="AC101" i="4"/>
  <c r="AC76" i="4"/>
  <c r="AC22" i="4"/>
  <c r="AC31" i="4"/>
  <c r="AC27" i="4"/>
  <c r="AC71" i="4"/>
  <c r="AC98" i="4"/>
  <c r="AC112" i="4"/>
  <c r="AC18" i="4"/>
  <c r="AC67" i="4"/>
  <c r="AC94" i="4"/>
  <c r="AC108" i="4"/>
  <c r="AC49" i="4"/>
  <c r="AC90" i="4"/>
  <c r="AC42" i="4"/>
  <c r="AB155" i="3"/>
  <c r="AC154" i="3"/>
  <c r="AB153" i="3"/>
  <c r="AA153" i="3"/>
  <c r="AA155" i="3" s="1"/>
  <c r="Z153" i="3"/>
  <c r="Z155" i="3" s="1"/>
  <c r="Y153" i="3"/>
  <c r="Y155" i="3" s="1"/>
  <c r="X153" i="3"/>
  <c r="X155" i="3" s="1"/>
  <c r="W153" i="3"/>
  <c r="W155" i="3" s="1"/>
  <c r="V153" i="3"/>
  <c r="V155" i="3" s="1"/>
  <c r="U153" i="3"/>
  <c r="U155" i="3" s="1"/>
  <c r="T153" i="3"/>
  <c r="T155" i="3" s="1"/>
  <c r="S153" i="3"/>
  <c r="S155" i="3" s="1"/>
  <c r="Q153" i="3"/>
  <c r="Q155" i="3" s="1"/>
  <c r="O153" i="3"/>
  <c r="O155" i="3" s="1"/>
  <c r="AC152" i="3"/>
  <c r="AB151" i="3"/>
  <c r="AA151" i="3"/>
  <c r="Z151" i="3"/>
  <c r="Y151" i="3"/>
  <c r="X151" i="3"/>
  <c r="W151" i="3"/>
  <c r="V151" i="3"/>
  <c r="U151" i="3"/>
  <c r="T151" i="3"/>
  <c r="S151" i="3"/>
  <c r="Q151" i="3"/>
  <c r="O151" i="3"/>
  <c r="AC150" i="3"/>
  <c r="AC149" i="3"/>
  <c r="AC148" i="3"/>
  <c r="AC147" i="3"/>
  <c r="AC145" i="3"/>
  <c r="AB144" i="3"/>
  <c r="AB146" i="3" s="1"/>
  <c r="AA144" i="3"/>
  <c r="AA146" i="3" s="1"/>
  <c r="Z144" i="3"/>
  <c r="Z146" i="3" s="1"/>
  <c r="Y144" i="3"/>
  <c r="Y146" i="3" s="1"/>
  <c r="X144" i="3"/>
  <c r="X146" i="3" s="1"/>
  <c r="W144" i="3"/>
  <c r="W146" i="3" s="1"/>
  <c r="V144" i="3"/>
  <c r="V146" i="3" s="1"/>
  <c r="U144" i="3"/>
  <c r="U146" i="3" s="1"/>
  <c r="T144" i="3"/>
  <c r="T146" i="3" s="1"/>
  <c r="S144" i="3"/>
  <c r="S146" i="3" s="1"/>
  <c r="Q144" i="3"/>
  <c r="Q146" i="3" s="1"/>
  <c r="O144" i="3"/>
  <c r="O146" i="3" s="1"/>
  <c r="AC143" i="3"/>
  <c r="AB142" i="3"/>
  <c r="AA142" i="3"/>
  <c r="Z142" i="3"/>
  <c r="Y142" i="3"/>
  <c r="X142" i="3"/>
  <c r="W142" i="3"/>
  <c r="V142" i="3"/>
  <c r="U142" i="3"/>
  <c r="T142" i="3"/>
  <c r="S142" i="3"/>
  <c r="Q142" i="3"/>
  <c r="O142" i="3"/>
  <c r="AC141" i="3"/>
  <c r="AC140" i="3"/>
  <c r="AC139" i="3"/>
  <c r="AC138" i="3"/>
  <c r="AC137" i="3"/>
  <c r="AC136" i="3"/>
  <c r="AC134" i="3"/>
  <c r="AB133" i="3"/>
  <c r="AA133" i="3"/>
  <c r="Z133" i="3"/>
  <c r="Y133" i="3"/>
  <c r="X133" i="3"/>
  <c r="W133" i="3"/>
  <c r="V133" i="3"/>
  <c r="U133" i="3"/>
  <c r="T133" i="3"/>
  <c r="S133" i="3"/>
  <c r="Q133" i="3"/>
  <c r="O133" i="3"/>
  <c r="AC132" i="3"/>
  <c r="AB131" i="3"/>
  <c r="AA131" i="3"/>
  <c r="Z131" i="3"/>
  <c r="Y131" i="3"/>
  <c r="X131" i="3"/>
  <c r="W131" i="3"/>
  <c r="V131" i="3"/>
  <c r="U131" i="3"/>
  <c r="T131" i="3"/>
  <c r="S131" i="3"/>
  <c r="Q131" i="3"/>
  <c r="O131" i="3"/>
  <c r="AC130" i="3"/>
  <c r="AB129" i="3"/>
  <c r="AA129" i="3"/>
  <c r="Z129" i="3"/>
  <c r="Y129" i="3"/>
  <c r="X129" i="3"/>
  <c r="W129" i="3"/>
  <c r="V129" i="3"/>
  <c r="U129" i="3"/>
  <c r="T129" i="3"/>
  <c r="S129" i="3"/>
  <c r="Q129" i="3"/>
  <c r="O129" i="3"/>
  <c r="AC128" i="3"/>
  <c r="AC127" i="3"/>
  <c r="AC126" i="3"/>
  <c r="AC125" i="3"/>
  <c r="AC123" i="3"/>
  <c r="AB122" i="3"/>
  <c r="AA122" i="3"/>
  <c r="Z122" i="3"/>
  <c r="Y122" i="3"/>
  <c r="X122" i="3"/>
  <c r="W122" i="3"/>
  <c r="V122" i="3"/>
  <c r="U122" i="3"/>
  <c r="T122" i="3"/>
  <c r="S122" i="3"/>
  <c r="Q122" i="3"/>
  <c r="O122" i="3"/>
  <c r="AC121" i="3"/>
  <c r="AB120" i="3"/>
  <c r="AA120" i="3"/>
  <c r="Z120" i="3"/>
  <c r="Y120" i="3"/>
  <c r="X120" i="3"/>
  <c r="W120" i="3"/>
  <c r="V120" i="3"/>
  <c r="U120" i="3"/>
  <c r="T120" i="3"/>
  <c r="S120" i="3"/>
  <c r="Q120" i="3"/>
  <c r="O120" i="3"/>
  <c r="AC119" i="3"/>
  <c r="AB118" i="3"/>
  <c r="AA118" i="3"/>
  <c r="Z118" i="3"/>
  <c r="Y118" i="3"/>
  <c r="X118" i="3"/>
  <c r="W118" i="3"/>
  <c r="V118" i="3"/>
  <c r="U118" i="3"/>
  <c r="T118" i="3"/>
  <c r="S118" i="3"/>
  <c r="Q118" i="3"/>
  <c r="O118" i="3"/>
  <c r="AC117" i="3"/>
  <c r="AB116" i="3"/>
  <c r="AA116" i="3"/>
  <c r="Z115" i="3"/>
  <c r="Z112" i="3" s="1"/>
  <c r="AC114" i="3"/>
  <c r="AC113" i="3"/>
  <c r="AB112" i="3"/>
  <c r="AA112" i="3"/>
  <c r="Y112" i="3"/>
  <c r="X112" i="3"/>
  <c r="W112" i="3"/>
  <c r="V112" i="3"/>
  <c r="U112" i="3"/>
  <c r="T112" i="3"/>
  <c r="S112" i="3"/>
  <c r="Q112" i="3"/>
  <c r="O112" i="3"/>
  <c r="Z111" i="3"/>
  <c r="Z116" i="3" s="1"/>
  <c r="Y111" i="3"/>
  <c r="Y116" i="3" s="1"/>
  <c r="X111" i="3"/>
  <c r="X116" i="3" s="1"/>
  <c r="W111" i="3"/>
  <c r="W116" i="3" s="1"/>
  <c r="V111" i="3"/>
  <c r="V116" i="3" s="1"/>
  <c r="U111" i="3"/>
  <c r="U116" i="3" s="1"/>
  <c r="T111" i="3"/>
  <c r="T116" i="3" s="1"/>
  <c r="S111" i="3"/>
  <c r="S116" i="3" s="1"/>
  <c r="Q111" i="3"/>
  <c r="Q116" i="3" s="1"/>
  <c r="O111" i="3"/>
  <c r="O116" i="3" s="1"/>
  <c r="AB110" i="3"/>
  <c r="AA110" i="3"/>
  <c r="Z110" i="3"/>
  <c r="Y110" i="3"/>
  <c r="X110" i="3"/>
  <c r="W110" i="3"/>
  <c r="V110" i="3"/>
  <c r="U110" i="3"/>
  <c r="T110" i="3"/>
  <c r="S110" i="3"/>
  <c r="Q110" i="3"/>
  <c r="O110" i="3"/>
  <c r="AC109" i="3"/>
  <c r="AC108" i="3"/>
  <c r="AC107" i="3"/>
  <c r="AC105" i="3"/>
  <c r="AB104" i="3"/>
  <c r="AA104" i="3"/>
  <c r="Z104" i="3"/>
  <c r="Y104" i="3"/>
  <c r="X104" i="3"/>
  <c r="W104" i="3"/>
  <c r="V104" i="3"/>
  <c r="U104" i="3"/>
  <c r="T104" i="3"/>
  <c r="S104" i="3"/>
  <c r="Q104" i="3"/>
  <c r="O104" i="3"/>
  <c r="AC103" i="3"/>
  <c r="AC102" i="3"/>
  <c r="AC101" i="3"/>
  <c r="AC100" i="3"/>
  <c r="AC99" i="3"/>
  <c r="AC98" i="3"/>
  <c r="AB97" i="3"/>
  <c r="AB96" i="3" s="1"/>
  <c r="AA97" i="3"/>
  <c r="AA96" i="3" s="1"/>
  <c r="Z97" i="3"/>
  <c r="Z96" i="3" s="1"/>
  <c r="Y97" i="3"/>
  <c r="Y96" i="3" s="1"/>
  <c r="X97" i="3"/>
  <c r="X96" i="3" s="1"/>
  <c r="W97" i="3"/>
  <c r="W96" i="3" s="1"/>
  <c r="V97" i="3"/>
  <c r="V96" i="3" s="1"/>
  <c r="U97" i="3"/>
  <c r="U96" i="3" s="1"/>
  <c r="T97" i="3"/>
  <c r="T96" i="3" s="1"/>
  <c r="S97" i="3"/>
  <c r="S96" i="3" s="1"/>
  <c r="Q97" i="3"/>
  <c r="Q96" i="3" s="1"/>
  <c r="O97" i="3"/>
  <c r="O96" i="3" s="1"/>
  <c r="Z95" i="3"/>
  <c r="Y95" i="3"/>
  <c r="X95" i="3"/>
  <c r="W95" i="3"/>
  <c r="V95" i="3"/>
  <c r="U95" i="3"/>
  <c r="T95" i="3"/>
  <c r="S95" i="3"/>
  <c r="Q95" i="3"/>
  <c r="O95" i="3"/>
  <c r="AB94" i="3"/>
  <c r="W94" i="3"/>
  <c r="AB93" i="3"/>
  <c r="AA93" i="3"/>
  <c r="AA92" i="3" s="1"/>
  <c r="Z93" i="3"/>
  <c r="Y93" i="3"/>
  <c r="Y92" i="3" s="1"/>
  <c r="X93" i="3"/>
  <c r="W93" i="3"/>
  <c r="V93" i="3"/>
  <c r="U93" i="3"/>
  <c r="T93" i="3"/>
  <c r="S93" i="3"/>
  <c r="Q93" i="3"/>
  <c r="O93" i="3"/>
  <c r="Y91" i="3"/>
  <c r="X91" i="3"/>
  <c r="W91" i="3"/>
  <c r="V91" i="3"/>
  <c r="U91" i="3"/>
  <c r="T91" i="3"/>
  <c r="S91" i="3"/>
  <c r="Q91" i="3"/>
  <c r="O91" i="3"/>
  <c r="AC90" i="3"/>
  <c r="Z89" i="3"/>
  <c r="Z88" i="3" s="1"/>
  <c r="Y89" i="3"/>
  <c r="X89" i="3"/>
  <c r="X88" i="3" s="1"/>
  <c r="W89" i="3"/>
  <c r="V89" i="3"/>
  <c r="U89" i="3"/>
  <c r="T89" i="3"/>
  <c r="S89" i="3"/>
  <c r="Q89" i="3"/>
  <c r="O89" i="3"/>
  <c r="AB88" i="3"/>
  <c r="AA88" i="3"/>
  <c r="AB87" i="3"/>
  <c r="AA87" i="3"/>
  <c r="Z87" i="3"/>
  <c r="Y87" i="3"/>
  <c r="X87" i="3"/>
  <c r="W87" i="3"/>
  <c r="V87" i="3"/>
  <c r="U87" i="3"/>
  <c r="T87" i="3"/>
  <c r="S87" i="3"/>
  <c r="Q87" i="3"/>
  <c r="O87" i="3"/>
  <c r="AB86" i="3"/>
  <c r="AA86" i="3"/>
  <c r="Z86" i="3"/>
  <c r="Y86" i="3"/>
  <c r="X86" i="3"/>
  <c r="W86" i="3"/>
  <c r="V86" i="3"/>
  <c r="U86" i="3"/>
  <c r="T86" i="3"/>
  <c r="S86" i="3"/>
  <c r="Q86" i="3"/>
  <c r="O86" i="3"/>
  <c r="AC85" i="3"/>
  <c r="AC84" i="3"/>
  <c r="AC83" i="3"/>
  <c r="AC82" i="3"/>
  <c r="AC80" i="3"/>
  <c r="AB79" i="3"/>
  <c r="AA79" i="3"/>
  <c r="Z79" i="3"/>
  <c r="Y79" i="3"/>
  <c r="X79" i="3"/>
  <c r="W79" i="3"/>
  <c r="V79" i="3"/>
  <c r="U79" i="3"/>
  <c r="T79" i="3"/>
  <c r="S79" i="3"/>
  <c r="Q79" i="3"/>
  <c r="O79" i="3"/>
  <c r="W78" i="3"/>
  <c r="AC78" i="3" s="1"/>
  <c r="AB77" i="3"/>
  <c r="AB76" i="3" s="1"/>
  <c r="AA77" i="3"/>
  <c r="AA76" i="3" s="1"/>
  <c r="Z77" i="3"/>
  <c r="Z76" i="3" s="1"/>
  <c r="Y77" i="3"/>
  <c r="X77" i="3"/>
  <c r="V77" i="3"/>
  <c r="V76" i="3" s="1"/>
  <c r="U77" i="3"/>
  <c r="U76" i="3" s="1"/>
  <c r="T77" i="3"/>
  <c r="T76" i="3" s="1"/>
  <c r="S77" i="3"/>
  <c r="S76" i="3" s="1"/>
  <c r="Q77" i="3"/>
  <c r="Q76" i="3" s="1"/>
  <c r="O77" i="3"/>
  <c r="O76" i="3" s="1"/>
  <c r="Y76" i="3"/>
  <c r="X76" i="3"/>
  <c r="AC75" i="3"/>
  <c r="AC74" i="3"/>
  <c r="AC73" i="3"/>
  <c r="AB72" i="3"/>
  <c r="AA72" i="3"/>
  <c r="Z72" i="3"/>
  <c r="Y72" i="3"/>
  <c r="X72" i="3"/>
  <c r="W72" i="3"/>
  <c r="V72" i="3"/>
  <c r="U72" i="3"/>
  <c r="T72" i="3"/>
  <c r="S72" i="3"/>
  <c r="Q72" i="3"/>
  <c r="O72" i="3"/>
  <c r="AB71" i="3"/>
  <c r="AA71" i="3"/>
  <c r="Z71" i="3"/>
  <c r="Y71" i="3"/>
  <c r="X71" i="3"/>
  <c r="W71" i="3"/>
  <c r="V71" i="3"/>
  <c r="U71" i="3"/>
  <c r="T71" i="3"/>
  <c r="S71" i="3"/>
  <c r="Q71" i="3"/>
  <c r="O71" i="3"/>
  <c r="AB70" i="3"/>
  <c r="AA70" i="3"/>
  <c r="Z70" i="3"/>
  <c r="Y70" i="3"/>
  <c r="X70" i="3"/>
  <c r="W70" i="3"/>
  <c r="V70" i="3"/>
  <c r="U70" i="3"/>
  <c r="T70" i="3"/>
  <c r="S70" i="3"/>
  <c r="Q70" i="3"/>
  <c r="O70" i="3"/>
  <c r="AC69" i="3"/>
  <c r="AC68" i="3"/>
  <c r="AC67" i="3"/>
  <c r="AC65" i="3"/>
  <c r="AB64" i="3"/>
  <c r="AA64" i="3"/>
  <c r="Z64" i="3"/>
  <c r="Y64" i="3"/>
  <c r="X64" i="3"/>
  <c r="W64" i="3"/>
  <c r="V64" i="3"/>
  <c r="U64" i="3"/>
  <c r="T64" i="3"/>
  <c r="S64" i="3"/>
  <c r="Q64" i="3"/>
  <c r="O64" i="3"/>
  <c r="AC63" i="3"/>
  <c r="AB62" i="3"/>
  <c r="AA62" i="3"/>
  <c r="Z62" i="3"/>
  <c r="Y62" i="3"/>
  <c r="X62" i="3"/>
  <c r="W62" i="3"/>
  <c r="V62" i="3"/>
  <c r="U62" i="3"/>
  <c r="T62" i="3"/>
  <c r="S62" i="3"/>
  <c r="Q62" i="3"/>
  <c r="O62" i="3"/>
  <c r="AC61" i="3"/>
  <c r="AC60" i="3"/>
  <c r="AC59" i="3"/>
  <c r="AB58" i="3"/>
  <c r="AA58" i="3"/>
  <c r="Z58" i="3"/>
  <c r="Y58" i="3"/>
  <c r="X58" i="3"/>
  <c r="W58" i="3"/>
  <c r="V58" i="3"/>
  <c r="U58" i="3"/>
  <c r="T58" i="3"/>
  <c r="S58" i="3"/>
  <c r="Q58" i="3"/>
  <c r="O58" i="3"/>
  <c r="AB57" i="3"/>
  <c r="AA57" i="3"/>
  <c r="Z57" i="3"/>
  <c r="Y57" i="3"/>
  <c r="X57" i="3"/>
  <c r="W57" i="3"/>
  <c r="V57" i="3"/>
  <c r="U57" i="3"/>
  <c r="T57" i="3"/>
  <c r="S57" i="3"/>
  <c r="Q57" i="3"/>
  <c r="O57" i="3"/>
  <c r="AB56" i="3"/>
  <c r="AA56" i="3"/>
  <c r="Z56" i="3"/>
  <c r="Y56" i="3"/>
  <c r="X56" i="3"/>
  <c r="W56" i="3"/>
  <c r="V56" i="3"/>
  <c r="U56" i="3"/>
  <c r="T56" i="3"/>
  <c r="S56" i="3"/>
  <c r="Q56" i="3"/>
  <c r="O56" i="3"/>
  <c r="AC55" i="3"/>
  <c r="AC53" i="3"/>
  <c r="AB52" i="3"/>
  <c r="AA52" i="3"/>
  <c r="Z52" i="3"/>
  <c r="Y52" i="3"/>
  <c r="X52" i="3"/>
  <c r="W52" i="3"/>
  <c r="V52" i="3"/>
  <c r="U52" i="3"/>
  <c r="T52" i="3"/>
  <c r="S52" i="3"/>
  <c r="Q52" i="3"/>
  <c r="O52" i="3"/>
  <c r="AC51" i="3"/>
  <c r="AC50" i="3"/>
  <c r="AB49" i="3"/>
  <c r="AA49" i="3"/>
  <c r="Z49" i="3"/>
  <c r="Y49" i="3"/>
  <c r="X49" i="3"/>
  <c r="W49" i="3"/>
  <c r="V49" i="3"/>
  <c r="U49" i="3"/>
  <c r="T49" i="3"/>
  <c r="S49" i="3"/>
  <c r="Q49" i="3"/>
  <c r="O49" i="3"/>
  <c r="Y48" i="3"/>
  <c r="X48" i="3"/>
  <c r="W48" i="3"/>
  <c r="V48" i="3"/>
  <c r="U48" i="3"/>
  <c r="T48" i="3"/>
  <c r="S48" i="3"/>
  <c r="Q48" i="3"/>
  <c r="O48" i="3"/>
  <c r="AC47" i="3"/>
  <c r="Y46" i="3"/>
  <c r="Y45" i="3" s="1"/>
  <c r="X46" i="3"/>
  <c r="W46" i="3"/>
  <c r="V46" i="3"/>
  <c r="U46" i="3"/>
  <c r="T46" i="3"/>
  <c r="S46" i="3"/>
  <c r="Q46" i="3"/>
  <c r="O46" i="3"/>
  <c r="O45" i="3" s="1"/>
  <c r="AB45" i="3"/>
  <c r="AA45" i="3"/>
  <c r="Z45" i="3"/>
  <c r="Z44" i="3"/>
  <c r="Z41" i="3" s="1"/>
  <c r="Y44" i="3"/>
  <c r="Y41" i="3" s="1"/>
  <c r="X44" i="3"/>
  <c r="X41" i="3" s="1"/>
  <c r="W44" i="3"/>
  <c r="W41" i="3" s="1"/>
  <c r="V44" i="3"/>
  <c r="V41" i="3" s="1"/>
  <c r="U44" i="3"/>
  <c r="U41" i="3" s="1"/>
  <c r="T44" i="3"/>
  <c r="T41" i="3" s="1"/>
  <c r="S44" i="3"/>
  <c r="Q44" i="3"/>
  <c r="O44" i="3"/>
  <c r="O41" i="3" s="1"/>
  <c r="AC43" i="3"/>
  <c r="AB42" i="3"/>
  <c r="AB41" i="3" s="1"/>
  <c r="AA41" i="3"/>
  <c r="Q41" i="3"/>
  <c r="AB39" i="3"/>
  <c r="AA39" i="3"/>
  <c r="Z39" i="3"/>
  <c r="Y39" i="3"/>
  <c r="X39" i="3"/>
  <c r="W39" i="3"/>
  <c r="V39" i="3"/>
  <c r="U39" i="3"/>
  <c r="T39" i="3"/>
  <c r="S39" i="3"/>
  <c r="Q39" i="3"/>
  <c r="O39" i="3"/>
  <c r="AC38" i="3"/>
  <c r="AC37" i="3"/>
  <c r="AC36" i="3"/>
  <c r="AC34" i="3"/>
  <c r="AB33" i="3"/>
  <c r="AA33" i="3"/>
  <c r="Z33" i="3"/>
  <c r="Y33" i="3"/>
  <c r="X33" i="3"/>
  <c r="W33" i="3"/>
  <c r="V33" i="3"/>
  <c r="U33" i="3"/>
  <c r="T33" i="3"/>
  <c r="S33" i="3"/>
  <c r="Q33" i="3"/>
  <c r="O33" i="3"/>
  <c r="AC32" i="3"/>
  <c r="AC31" i="3"/>
  <c r="AC30" i="3"/>
  <c r="AB29" i="3"/>
  <c r="AA29" i="3"/>
  <c r="Z29" i="3"/>
  <c r="Y29" i="3"/>
  <c r="X29" i="3"/>
  <c r="W29" i="3"/>
  <c r="V29" i="3"/>
  <c r="U29" i="3"/>
  <c r="T29" i="3"/>
  <c r="S29" i="3"/>
  <c r="Q29" i="3"/>
  <c r="O29" i="3"/>
  <c r="AB28" i="3"/>
  <c r="AA28" i="3"/>
  <c r="Z28" i="3"/>
  <c r="Y28" i="3"/>
  <c r="X28" i="3"/>
  <c r="W28" i="3"/>
  <c r="V28" i="3"/>
  <c r="U28" i="3"/>
  <c r="T28" i="3"/>
  <c r="S28" i="3"/>
  <c r="Q28" i="3"/>
  <c r="O28" i="3"/>
  <c r="AC26" i="3"/>
  <c r="AC25" i="3"/>
  <c r="AC24" i="3"/>
  <c r="AC22" i="3"/>
  <c r="W21" i="3"/>
  <c r="V21" i="3"/>
  <c r="U21" i="3"/>
  <c r="T21" i="3"/>
  <c r="S21" i="3"/>
  <c r="Q21" i="3"/>
  <c r="O21" i="3"/>
  <c r="AC20" i="3"/>
  <c r="AC19" i="3"/>
  <c r="AC18" i="3"/>
  <c r="AB17" i="3"/>
  <c r="AB16" i="3" s="1"/>
  <c r="AA17" i="3"/>
  <c r="AA16" i="3" s="1"/>
  <c r="Z17" i="3"/>
  <c r="Z16" i="3" s="1"/>
  <c r="Y17" i="3"/>
  <c r="Y16" i="3" s="1"/>
  <c r="X17" i="3"/>
  <c r="X16" i="3" s="1"/>
  <c r="W17" i="3"/>
  <c r="W16" i="3" s="1"/>
  <c r="V17" i="3"/>
  <c r="V16" i="3" s="1"/>
  <c r="U17" i="3"/>
  <c r="U16" i="3" s="1"/>
  <c r="T17" i="3"/>
  <c r="T16" i="3" s="1"/>
  <c r="S17" i="3"/>
  <c r="S16" i="3" s="1"/>
  <c r="Q17" i="3"/>
  <c r="Q16" i="3" s="1"/>
  <c r="O17" i="3"/>
  <c r="O16" i="3" s="1"/>
  <c r="AC15" i="3"/>
  <c r="AC14" i="3"/>
  <c r="AC13" i="3"/>
  <c r="AB12" i="3"/>
  <c r="AB11" i="3" s="1"/>
  <c r="AA12" i="3"/>
  <c r="AA11" i="3" s="1"/>
  <c r="Z12" i="3"/>
  <c r="Z11" i="3" s="1"/>
  <c r="Y12" i="3"/>
  <c r="Y11" i="3" s="1"/>
  <c r="X12" i="3"/>
  <c r="X11" i="3" s="1"/>
  <c r="W12" i="3"/>
  <c r="W11" i="3" s="1"/>
  <c r="V12" i="3"/>
  <c r="V11" i="3" s="1"/>
  <c r="U12" i="3"/>
  <c r="T12" i="3"/>
  <c r="T11" i="3" s="1"/>
  <c r="S12" i="3"/>
  <c r="S11" i="3" s="1"/>
  <c r="Q12" i="3"/>
  <c r="Q11" i="3" s="1"/>
  <c r="O12" i="3"/>
  <c r="O11" i="3" s="1"/>
  <c r="AB10" i="3"/>
  <c r="AA10" i="3"/>
  <c r="Z10" i="3"/>
  <c r="Y10" i="3"/>
  <c r="X10" i="3"/>
  <c r="W10" i="3"/>
  <c r="V10" i="3"/>
  <c r="U10" i="3"/>
  <c r="T10" i="3"/>
  <c r="S10" i="3"/>
  <c r="Q10" i="3"/>
  <c r="O10" i="3"/>
  <c r="AC9" i="3"/>
  <c r="AC8" i="3"/>
  <c r="AC7" i="3"/>
  <c r="S45" i="3" l="1"/>
  <c r="AA23" i="3"/>
  <c r="U66" i="3"/>
  <c r="Q135" i="3"/>
  <c r="Z135" i="3"/>
  <c r="V88" i="3"/>
  <c r="W35" i="3"/>
  <c r="X35" i="3"/>
  <c r="T66" i="3"/>
  <c r="X45" i="3"/>
  <c r="X40" i="3" s="1"/>
  <c r="X54" i="3" s="1"/>
  <c r="Q92" i="3"/>
  <c r="Z92" i="3"/>
  <c r="AC56" i="3"/>
  <c r="X92" i="3"/>
  <c r="T35" i="3"/>
  <c r="AB35" i="3"/>
  <c r="U35" i="3"/>
  <c r="Q35" i="3"/>
  <c r="Z35" i="3"/>
  <c r="AA35" i="3"/>
  <c r="W45" i="3"/>
  <c r="W40" i="3" s="1"/>
  <c r="W54" i="3" s="1"/>
  <c r="T92" i="3"/>
  <c r="V135" i="3"/>
  <c r="AC94" i="3"/>
  <c r="Q124" i="3"/>
  <c r="Z124" i="3"/>
  <c r="AB23" i="3"/>
  <c r="Y88" i="3"/>
  <c r="S124" i="3"/>
  <c r="AA124" i="3"/>
  <c r="X135" i="3"/>
  <c r="T45" i="3"/>
  <c r="T40" i="3" s="1"/>
  <c r="T54" i="3" s="1"/>
  <c r="AC48" i="3"/>
  <c r="X66" i="3"/>
  <c r="X81" i="3"/>
  <c r="U88" i="3"/>
  <c r="T124" i="3"/>
  <c r="AB124" i="3"/>
  <c r="S92" i="3"/>
  <c r="Z40" i="3"/>
  <c r="Z54" i="3" s="1"/>
  <c r="U45" i="3"/>
  <c r="U40" i="3" s="1"/>
  <c r="U54" i="3" s="1"/>
  <c r="AB66" i="3"/>
  <c r="X124" i="3"/>
  <c r="W106" i="3"/>
  <c r="O35" i="3"/>
  <c r="Y35" i="3"/>
  <c r="V45" i="3"/>
  <c r="V40" i="3" s="1"/>
  <c r="V54" i="3" s="1"/>
  <c r="S135" i="3"/>
  <c r="AA135" i="3"/>
  <c r="AB40" i="3"/>
  <c r="AB54" i="3" s="1"/>
  <c r="T88" i="3"/>
  <c r="O124" i="3"/>
  <c r="Y124" i="3"/>
  <c r="AC129" i="3"/>
  <c r="T135" i="3"/>
  <c r="AB135" i="3"/>
  <c r="W135" i="3"/>
  <c r="O23" i="3"/>
  <c r="T81" i="3"/>
  <c r="AC49" i="3"/>
  <c r="Y23" i="3"/>
  <c r="S35" i="3"/>
  <c r="S106" i="3"/>
  <c r="AC89" i="3"/>
  <c r="V81" i="3"/>
  <c r="T106" i="3"/>
  <c r="AB106" i="3"/>
  <c r="Q88" i="3"/>
  <c r="S23" i="3"/>
  <c r="AC21" i="3"/>
  <c r="V35" i="3"/>
  <c r="U92" i="3"/>
  <c r="U124" i="3"/>
  <c r="AC112" i="3"/>
  <c r="AC115" i="3"/>
  <c r="AC42" i="3"/>
  <c r="AC10" i="3"/>
  <c r="X23" i="3"/>
  <c r="AC39" i="3"/>
  <c r="AA40" i="3"/>
  <c r="AA54" i="3" s="1"/>
  <c r="S66" i="3"/>
  <c r="AA66" i="3"/>
  <c r="Q81" i="3"/>
  <c r="Z81" i="3"/>
  <c r="Y81" i="3"/>
  <c r="V92" i="3"/>
  <c r="AB92" i="3"/>
  <c r="Y106" i="3"/>
  <c r="U106" i="3"/>
  <c r="V124" i="3"/>
  <c r="AC122" i="3"/>
  <c r="AA106" i="3"/>
  <c r="T23" i="3"/>
  <c r="Z23" i="3"/>
  <c r="AC104" i="3"/>
  <c r="AC70" i="3"/>
  <c r="Y40" i="3"/>
  <c r="Y54" i="3" s="1"/>
  <c r="AC57" i="3"/>
  <c r="Q66" i="3"/>
  <c r="Z66" i="3"/>
  <c r="AA81" i="3"/>
  <c r="AC79" i="3"/>
  <c r="O88" i="3"/>
  <c r="S88" i="3"/>
  <c r="W88" i="3"/>
  <c r="W92" i="3"/>
  <c r="AC95" i="3"/>
  <c r="V106" i="3"/>
  <c r="W124" i="3"/>
  <c r="AC87" i="3"/>
  <c r="AC12" i="3"/>
  <c r="W23" i="3"/>
  <c r="AB81" i="3"/>
  <c r="X106" i="3"/>
  <c r="AC118" i="3"/>
  <c r="O135" i="3"/>
  <c r="Y135" i="3"/>
  <c r="AC142" i="3"/>
  <c r="AC151" i="3"/>
  <c r="Q23" i="3"/>
  <c r="AC44" i="3"/>
  <c r="Q45" i="3"/>
  <c r="Q40" i="3" s="1"/>
  <c r="Q54" i="3" s="1"/>
  <c r="AC52" i="3"/>
  <c r="V66" i="3"/>
  <c r="AC58" i="3"/>
  <c r="O66" i="3"/>
  <c r="Y66" i="3"/>
  <c r="U81" i="3"/>
  <c r="AC86" i="3"/>
  <c r="AC91" i="3"/>
  <c r="AC93" i="3"/>
  <c r="O106" i="3"/>
  <c r="AC110" i="3"/>
  <c r="AC133" i="3"/>
  <c r="AC144" i="3"/>
  <c r="AC29" i="3"/>
  <c r="AC33" i="3"/>
  <c r="W66" i="3"/>
  <c r="AC72" i="3"/>
  <c r="Q106" i="3"/>
  <c r="Z106" i="3"/>
  <c r="AC97" i="3"/>
  <c r="AC16" i="3"/>
  <c r="AC155" i="3"/>
  <c r="AC146" i="3"/>
  <c r="O40" i="3"/>
  <c r="S81" i="3"/>
  <c r="V23" i="3"/>
  <c r="AC116" i="3"/>
  <c r="U11" i="3"/>
  <c r="U23" i="3" s="1"/>
  <c r="AC96" i="3"/>
  <c r="AC131" i="3"/>
  <c r="AC64" i="3"/>
  <c r="O81" i="3"/>
  <c r="AC111" i="3"/>
  <c r="S41" i="3"/>
  <c r="S40" i="3" s="1"/>
  <c r="S54" i="3" s="1"/>
  <c r="W77" i="3"/>
  <c r="W76" i="3" s="1"/>
  <c r="W81" i="3" s="1"/>
  <c r="AC153" i="3"/>
  <c r="AC28" i="3"/>
  <c r="AC46" i="3"/>
  <c r="AC62" i="3"/>
  <c r="O92" i="3"/>
  <c r="AC17" i="3"/>
  <c r="AC71" i="3"/>
  <c r="U135" i="3"/>
  <c r="AC120" i="3"/>
  <c r="AC35" i="3" l="1"/>
  <c r="AC66" i="3"/>
  <c r="AC77" i="3"/>
  <c r="AC88" i="3"/>
  <c r="AC124" i="3"/>
  <c r="AC106" i="3"/>
  <c r="AC45" i="3"/>
  <c r="AC135" i="3"/>
  <c r="AC23" i="3"/>
  <c r="AC41" i="3"/>
  <c r="AC92" i="3"/>
  <c r="AC11" i="3"/>
  <c r="AC81" i="3"/>
  <c r="AC40" i="3"/>
  <c r="O54" i="3"/>
  <c r="AC54" i="3" s="1"/>
  <c r="AC76" i="3"/>
  <c r="AB58" i="1" l="1"/>
  <c r="AB59" i="1" s="1"/>
  <c r="AA58" i="1"/>
  <c r="AA59" i="1" s="1"/>
  <c r="Z58" i="1"/>
  <c r="Z59" i="1" s="1"/>
  <c r="Y58" i="1"/>
  <c r="Y59" i="1" s="1"/>
  <c r="X58" i="1"/>
  <c r="X59" i="1" s="1"/>
  <c r="W58" i="1"/>
  <c r="W59" i="1" s="1"/>
  <c r="V58" i="1"/>
  <c r="V59" i="1" s="1"/>
  <c r="U58" i="1"/>
  <c r="U59" i="1" s="1"/>
  <c r="T58" i="1"/>
  <c r="T59" i="1" s="1"/>
  <c r="S58" i="1"/>
  <c r="S59" i="1" s="1"/>
  <c r="Q58" i="1"/>
  <c r="Q59" i="1" s="1"/>
  <c r="O58" i="1"/>
  <c r="O59" i="1" s="1"/>
  <c r="AC57" i="1"/>
  <c r="AC56" i="1"/>
  <c r="AB55" i="1"/>
  <c r="AA55" i="1"/>
  <c r="Z55" i="1"/>
  <c r="Y55" i="1"/>
  <c r="X55" i="1"/>
  <c r="W55" i="1"/>
  <c r="V55" i="1"/>
  <c r="U55" i="1"/>
  <c r="T55" i="1"/>
  <c r="S55" i="1"/>
  <c r="Q55" i="1"/>
  <c r="O55" i="1"/>
  <c r="AC54" i="1"/>
  <c r="AC51" i="1"/>
  <c r="AC50" i="1"/>
  <c r="AB49" i="1"/>
  <c r="AA49" i="1"/>
  <c r="Z49" i="1"/>
  <c r="Y49" i="1"/>
  <c r="X49" i="1"/>
  <c r="W49" i="1"/>
  <c r="V49" i="1"/>
  <c r="U49" i="1"/>
  <c r="T49" i="1"/>
  <c r="S49" i="1"/>
  <c r="Q49" i="1"/>
  <c r="O49" i="1"/>
  <c r="AC48" i="1"/>
  <c r="AC46" i="1"/>
  <c r="AB45" i="1"/>
  <c r="AA45" i="1"/>
  <c r="Z45" i="1"/>
  <c r="Y45" i="1"/>
  <c r="X45" i="1"/>
  <c r="W45" i="1"/>
  <c r="V45" i="1"/>
  <c r="U45" i="1"/>
  <c r="T45" i="1"/>
  <c r="S45" i="1"/>
  <c r="Q45" i="1"/>
  <c r="O45" i="1"/>
  <c r="AC44" i="1"/>
  <c r="AC43" i="1"/>
  <c r="AC45" i="1" s="1"/>
  <c r="AC42" i="1"/>
  <c r="AC40" i="1"/>
  <c r="AB39" i="1"/>
  <c r="AC39" i="1" s="1"/>
  <c r="AC38" i="1"/>
  <c r="AC37" i="1"/>
  <c r="AC36" i="1"/>
  <c r="AC35" i="1"/>
  <c r="AB34" i="1"/>
  <c r="AA34" i="1"/>
  <c r="AA41" i="1" s="1"/>
  <c r="Z34" i="1"/>
  <c r="Y34" i="1"/>
  <c r="X34" i="1"/>
  <c r="W34" i="1"/>
  <c r="V34" i="1"/>
  <c r="U34" i="1"/>
  <c r="T34" i="1"/>
  <c r="S34" i="1"/>
  <c r="Q34" i="1"/>
  <c r="O34" i="1"/>
  <c r="AC33" i="1"/>
  <c r="Z32" i="1"/>
  <c r="Y32" i="1"/>
  <c r="X32" i="1"/>
  <c r="W32" i="1"/>
  <c r="V32" i="1"/>
  <c r="U32" i="1"/>
  <c r="T32" i="1"/>
  <c r="S32" i="1"/>
  <c r="Q32" i="1"/>
  <c r="O32" i="1"/>
  <c r="AC31" i="1"/>
  <c r="AC30" i="1"/>
  <c r="AC29" i="1"/>
  <c r="AC28" i="1"/>
  <c r="AC27" i="1"/>
  <c r="Z26" i="1"/>
  <c r="Y26" i="1"/>
  <c r="X26" i="1"/>
  <c r="W26" i="1"/>
  <c r="V26" i="1"/>
  <c r="U26" i="1"/>
  <c r="T26" i="1"/>
  <c r="S26" i="1"/>
  <c r="Q26" i="1"/>
  <c r="O26" i="1"/>
  <c r="AC25" i="1"/>
  <c r="AC24" i="1"/>
  <c r="Z23" i="1"/>
  <c r="Y23" i="1"/>
  <c r="X23" i="1"/>
  <c r="W23" i="1"/>
  <c r="V23" i="1"/>
  <c r="U23" i="1"/>
  <c r="T23" i="1"/>
  <c r="S23" i="1"/>
  <c r="Q23" i="1"/>
  <c r="O23" i="1"/>
  <c r="AC22" i="1"/>
  <c r="AC21" i="1"/>
  <c r="AC20" i="1"/>
  <c r="AC19" i="1"/>
  <c r="AB18" i="1"/>
  <c r="AA18" i="1"/>
  <c r="Z18" i="1"/>
  <c r="Y18" i="1"/>
  <c r="X18" i="1"/>
  <c r="W18" i="1"/>
  <c r="V18" i="1"/>
  <c r="U18" i="1"/>
  <c r="T18" i="1"/>
  <c r="S18" i="1"/>
  <c r="Q18" i="1"/>
  <c r="O18" i="1"/>
  <c r="AC17" i="1"/>
  <c r="AC16" i="1"/>
  <c r="AC15" i="1"/>
  <c r="AC14" i="1"/>
  <c r="AC13" i="1"/>
  <c r="AC12" i="1"/>
  <c r="AC11" i="1"/>
  <c r="AC49" i="1" l="1"/>
  <c r="AC23" i="1"/>
  <c r="Y41" i="1"/>
  <c r="AC18" i="1"/>
  <c r="Q41" i="1"/>
  <c r="Z41" i="1"/>
  <c r="AB41" i="1"/>
  <c r="AC32" i="1"/>
  <c r="W41" i="1"/>
  <c r="AC34" i="1"/>
  <c r="AC55" i="1"/>
  <c r="S41" i="1"/>
  <c r="T41" i="1"/>
  <c r="X41" i="1"/>
  <c r="U41" i="1"/>
  <c r="V41" i="1"/>
  <c r="AC26" i="1"/>
  <c r="O41" i="1"/>
  <c r="AC58" i="1"/>
  <c r="AC59" i="1" s="1"/>
  <c r="AC41" i="1" l="1"/>
  <c r="W27" i="3" l="1"/>
  <c r="AB27" i="3"/>
  <c r="V27" i="3"/>
  <c r="S27" i="3"/>
  <c r="U27" i="3"/>
  <c r="X27" i="3"/>
  <c r="T27" i="3"/>
  <c r="Y27" i="3"/>
  <c r="Z27" i="3"/>
  <c r="AA27" i="3"/>
  <c r="AC27" i="3"/>
  <c r="O27" i="3"/>
  <c r="Q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4C0A4AB2-815A-4DF3-8EE3-09EA9F57ADF1}">
      <text>
        <r>
          <rPr>
            <b/>
            <sz val="9"/>
            <color indexed="81"/>
            <rFont val="Tahoma"/>
            <family val="2"/>
          </rPr>
          <t>CC Responsable ID: ´07.04.XX</t>
        </r>
        <r>
          <rPr>
            <sz val="9"/>
            <color indexed="81"/>
            <rFont val="Tahoma"/>
            <family val="2"/>
          </rPr>
          <t xml:space="preserve">
</t>
        </r>
      </text>
    </comment>
    <comment ref="D10" authorId="0" shapeId="0" xr:uid="{9E354DE7-2CE2-4B9C-8DBF-0E752D77C6EA}">
      <text>
        <r>
          <rPr>
            <b/>
            <sz val="9"/>
            <color indexed="81"/>
            <rFont val="Tahoma"/>
            <family val="2"/>
          </rPr>
          <t>CC Responsable ID: ´07.04.XX</t>
        </r>
        <r>
          <rPr>
            <sz val="9"/>
            <color indexed="81"/>
            <rFont val="Tahoma"/>
            <family val="2"/>
          </rPr>
          <t xml:space="preserve">
</t>
        </r>
      </text>
    </comment>
    <comment ref="E11" authorId="0" shapeId="0" xr:uid="{AA04A2B1-1F95-453C-8EAF-E65D3C3AA218}">
      <text>
        <r>
          <rPr>
            <b/>
            <sz val="9"/>
            <color indexed="81"/>
            <rFont val="Tahoma"/>
            <family val="2"/>
          </rPr>
          <t xml:space="preserve">COORDINAR CON GONZALO
</t>
        </r>
        <r>
          <rPr>
            <sz val="9"/>
            <color indexed="81"/>
            <rFont val="Tahoma"/>
            <family val="2"/>
          </rPr>
          <t xml:space="preserve">
</t>
        </r>
      </text>
    </comment>
    <comment ref="AB11" authorId="0" shapeId="0" xr:uid="{7574C731-53FA-4A71-A2AE-4F12807D364D}">
      <text>
        <r>
          <rPr>
            <b/>
            <sz val="14"/>
            <color indexed="81"/>
            <rFont val="Tahoma"/>
            <family val="2"/>
          </rPr>
          <t>ROSARIO</t>
        </r>
        <r>
          <rPr>
            <sz val="14"/>
            <color indexed="81"/>
            <rFont val="Tahoma"/>
            <family val="2"/>
          </rPr>
          <t xml:space="preserve">
</t>
        </r>
      </text>
    </comment>
    <comment ref="X12" authorId="0" shapeId="0" xr:uid="{674B96D4-4C37-40DD-8EA1-09653A324F00}">
      <text>
        <r>
          <rPr>
            <sz val="16"/>
            <color indexed="81"/>
            <rFont val="Tahoma"/>
            <family val="2"/>
          </rPr>
          <t xml:space="preserve">ROSARIO
</t>
        </r>
      </text>
    </comment>
    <comment ref="E42" authorId="0" shapeId="0" xr:uid="{6CDEE019-7E02-4A2F-A5A0-8127094D4D73}">
      <text>
        <r>
          <rPr>
            <b/>
            <sz val="9"/>
            <color indexed="81"/>
            <rFont val="Tahoma"/>
            <family val="2"/>
          </rPr>
          <t xml:space="preserve">COORDINAR CON GONZALO
</t>
        </r>
        <r>
          <rPr>
            <sz val="9"/>
            <color indexed="81"/>
            <rFont val="Tahoma"/>
            <family val="2"/>
          </rPr>
          <t xml:space="preserve">
</t>
        </r>
      </text>
    </comment>
    <comment ref="AB42" authorId="0" shapeId="0" xr:uid="{D283EBFA-4453-454B-A8D8-16351B7D8420}">
      <text>
        <r>
          <rPr>
            <b/>
            <sz val="14"/>
            <color indexed="81"/>
            <rFont val="Tahoma"/>
            <family val="2"/>
          </rPr>
          <t>ROSARIO</t>
        </r>
        <r>
          <rPr>
            <sz val="14"/>
            <color indexed="81"/>
            <rFont val="Tahoma"/>
            <family val="2"/>
          </rPr>
          <t xml:space="preserve">
</t>
        </r>
      </text>
    </comment>
    <comment ref="X43" authorId="0" shapeId="0" xr:uid="{A01DD0D3-F776-454B-8A62-E539165C3BFB}">
      <text>
        <r>
          <rPr>
            <sz val="16"/>
            <color indexed="81"/>
            <rFont val="Tahoma"/>
            <family val="2"/>
          </rPr>
          <t xml:space="preserve">ROSARIO
</t>
        </r>
      </text>
    </comment>
    <comment ref="E50" authorId="0" shapeId="0" xr:uid="{DDC8A492-046A-4B8C-82F5-6019AF53DC71}">
      <text>
        <r>
          <rPr>
            <b/>
            <sz val="9"/>
            <color indexed="81"/>
            <rFont val="Tahoma"/>
            <family val="2"/>
          </rPr>
          <t xml:space="preserve">COORDINAR CON GONZALO
</t>
        </r>
        <r>
          <rPr>
            <sz val="9"/>
            <color indexed="81"/>
            <rFont val="Tahoma"/>
            <family val="2"/>
          </rPr>
          <t xml:space="preserve">
</t>
        </r>
      </text>
    </comment>
    <comment ref="AB50" authorId="0" shapeId="0" xr:uid="{80319DF2-EE20-43A2-96ED-A02817E91A88}">
      <text>
        <r>
          <rPr>
            <b/>
            <sz val="14"/>
            <color indexed="81"/>
            <rFont val="Tahoma"/>
            <family val="2"/>
          </rPr>
          <t>ROSARIO</t>
        </r>
        <r>
          <rPr>
            <sz val="14"/>
            <color indexed="81"/>
            <rFont val="Tahoma"/>
            <family val="2"/>
          </rPr>
          <t xml:space="preserve">
</t>
        </r>
      </text>
    </comment>
    <comment ref="X51" authorId="0" shapeId="0" xr:uid="{CFAF2925-B6E4-4DB6-A11E-DD391912A02C}">
      <text>
        <r>
          <rPr>
            <sz val="16"/>
            <color indexed="81"/>
            <rFont val="Tahoma"/>
            <family val="2"/>
          </rPr>
          <t xml:space="preserve">ROSARIO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3644DECF-862F-4DBB-B0F7-91BABAF9BEFD}">
      <text>
        <r>
          <rPr>
            <b/>
            <sz val="9"/>
            <color indexed="81"/>
            <rFont val="Tahoma"/>
            <family val="2"/>
          </rPr>
          <t>CC Responsable ID: ´07.04.XX</t>
        </r>
        <r>
          <rPr>
            <sz val="9"/>
            <color indexed="81"/>
            <rFont val="Tahoma"/>
            <family val="2"/>
          </rPr>
          <t xml:space="preserve">
</t>
        </r>
      </text>
    </comment>
    <comment ref="D6" authorId="0" shapeId="0" xr:uid="{2B922080-E47F-4252-9BEB-FDAA7E21246B}">
      <text>
        <r>
          <rPr>
            <b/>
            <sz val="9"/>
            <color indexed="81"/>
            <rFont val="Tahoma"/>
            <family val="2"/>
          </rPr>
          <t>CC Responsable ID: ´07.04.XX</t>
        </r>
        <r>
          <rPr>
            <sz val="9"/>
            <color indexed="81"/>
            <rFont val="Tahoma"/>
            <family val="2"/>
          </rPr>
          <t xml:space="preserve">
</t>
        </r>
      </text>
    </comment>
    <comment ref="L7" authorId="1" shapeId="0" xr:uid="{936DAD9E-3BAD-4D82-AF55-72174F869602}">
      <text>
        <r>
          <rPr>
            <b/>
            <sz val="9"/>
            <color indexed="81"/>
            <rFont val="Tahoma"/>
            <family val="2"/>
          </rPr>
          <t>larissa, vicente, + ing (x1)</t>
        </r>
      </text>
    </comment>
    <comment ref="AB7" authorId="0" shapeId="0" xr:uid="{DC7AE719-5E55-4106-813B-C62AF2D7BBB5}">
      <text>
        <r>
          <rPr>
            <b/>
            <sz val="14"/>
            <color indexed="81"/>
            <rFont val="Tahoma"/>
            <family val="2"/>
          </rPr>
          <t>ROSARIO</t>
        </r>
        <r>
          <rPr>
            <sz val="14"/>
            <color indexed="81"/>
            <rFont val="Tahoma"/>
            <family val="2"/>
          </rPr>
          <t xml:space="preserve">
</t>
        </r>
      </text>
    </comment>
    <comment ref="X9" authorId="0" shapeId="0" xr:uid="{18792FC6-E168-4CD9-82CC-BA1CFF493081}">
      <text>
        <r>
          <rPr>
            <sz val="16"/>
            <color indexed="81"/>
            <rFont val="Tahoma"/>
            <family val="2"/>
          </rPr>
          <t xml:space="preserve">ROSARIO
</t>
        </r>
      </text>
    </comment>
    <comment ref="AB24" authorId="0" shapeId="0" xr:uid="{0360EC6B-0A46-44B0-8323-47D818AB0569}">
      <text>
        <r>
          <rPr>
            <b/>
            <sz val="14"/>
            <color indexed="81"/>
            <rFont val="Tahoma"/>
            <family val="2"/>
          </rPr>
          <t>ROSARIO</t>
        </r>
        <r>
          <rPr>
            <sz val="14"/>
            <color indexed="81"/>
            <rFont val="Tahoma"/>
            <family val="2"/>
          </rPr>
          <t xml:space="preserve">
</t>
        </r>
      </text>
    </comment>
    <comment ref="AB107" authorId="0" shapeId="0" xr:uid="{0B78B43A-9E25-4EFE-9073-EEA369E71F9A}">
      <text>
        <r>
          <rPr>
            <b/>
            <sz val="14"/>
            <color indexed="81"/>
            <rFont val="Tahoma"/>
            <family val="2"/>
          </rPr>
          <t>ROSARIO</t>
        </r>
        <r>
          <rPr>
            <sz val="14"/>
            <color indexed="81"/>
            <rFont val="Tahoma"/>
            <family val="2"/>
          </rPr>
          <t xml:space="preserve">
</t>
        </r>
      </text>
    </comment>
    <comment ref="X109" authorId="0" shapeId="0" xr:uid="{C0D533C4-270C-418B-AE18-D36342F13A2B}">
      <text>
        <r>
          <rPr>
            <sz val="16"/>
            <color indexed="81"/>
            <rFont val="Tahoma"/>
            <family val="2"/>
          </rPr>
          <t xml:space="preserve">ROSARIO
</t>
        </r>
      </text>
    </comment>
    <comment ref="AB117" authorId="0" shapeId="0" xr:uid="{273B604E-3287-4E28-AA68-8E531828BDD0}">
      <text>
        <r>
          <rPr>
            <b/>
            <sz val="14"/>
            <color indexed="81"/>
            <rFont val="Tahoma"/>
            <family val="2"/>
          </rPr>
          <t>ROSARIO</t>
        </r>
        <r>
          <rPr>
            <sz val="14"/>
            <color indexed="81"/>
            <rFont val="Tahoma"/>
            <family val="2"/>
          </rPr>
          <t xml:space="preserve">
</t>
        </r>
      </text>
    </comment>
    <comment ref="X125" authorId="0" shapeId="0" xr:uid="{3F2099AA-37A9-420A-BF72-713304A4526E}">
      <text>
        <r>
          <rPr>
            <sz val="16"/>
            <color indexed="81"/>
            <rFont val="Tahoma"/>
            <family val="2"/>
          </rPr>
          <t xml:space="preserve">ROSARIO
</t>
        </r>
      </text>
    </comment>
    <comment ref="E136" authorId="0" shapeId="0" xr:uid="{5D9EC8F0-C1E2-4AF2-A4F1-552708BA721B}">
      <text>
        <r>
          <rPr>
            <b/>
            <sz val="9"/>
            <color indexed="81"/>
            <rFont val="Tahoma"/>
            <family val="2"/>
          </rPr>
          <t xml:space="preserve">COORDINAR CON GONZALO
</t>
        </r>
        <r>
          <rPr>
            <sz val="9"/>
            <color indexed="81"/>
            <rFont val="Tahoma"/>
            <family val="2"/>
          </rPr>
          <t xml:space="preserve">
</t>
        </r>
      </text>
    </comment>
    <comment ref="AB136" authorId="0" shapeId="0" xr:uid="{7FBDABA7-DB77-4223-BF8A-811888393A99}">
      <text>
        <r>
          <rPr>
            <b/>
            <sz val="14"/>
            <color indexed="81"/>
            <rFont val="Tahoma"/>
            <family val="2"/>
          </rPr>
          <t>ROSARIO</t>
        </r>
        <r>
          <rPr>
            <sz val="14"/>
            <color indexed="81"/>
            <rFont val="Tahoma"/>
            <family val="2"/>
          </rPr>
          <t xml:space="preserve">
</t>
        </r>
      </text>
    </comment>
    <comment ref="X140" authorId="0" shapeId="0" xr:uid="{3F82B11E-6332-498C-A36F-F1CE8322FDE4}">
      <text>
        <r>
          <rPr>
            <sz val="16"/>
            <color indexed="81"/>
            <rFont val="Tahoma"/>
            <family val="2"/>
          </rPr>
          <t xml:space="preserve">ROSARIO
</t>
        </r>
      </text>
    </comment>
    <comment ref="E147" authorId="0" shapeId="0" xr:uid="{BF11600D-82B0-4EDD-84ED-3562852BBE99}">
      <text>
        <r>
          <rPr>
            <b/>
            <sz val="9"/>
            <color indexed="81"/>
            <rFont val="Tahoma"/>
            <family val="2"/>
          </rPr>
          <t xml:space="preserve">COORDINAR CON GONZALO
</t>
        </r>
        <r>
          <rPr>
            <sz val="9"/>
            <color indexed="81"/>
            <rFont val="Tahoma"/>
            <family val="2"/>
          </rPr>
          <t xml:space="preserve">
</t>
        </r>
      </text>
    </comment>
    <comment ref="AB147" authorId="0" shapeId="0" xr:uid="{7180A144-A02C-4307-8C7F-C5022EB3AA07}">
      <text>
        <r>
          <rPr>
            <b/>
            <sz val="14"/>
            <color indexed="81"/>
            <rFont val="Tahoma"/>
            <family val="2"/>
          </rPr>
          <t>ROSARIO</t>
        </r>
        <r>
          <rPr>
            <sz val="14"/>
            <color indexed="81"/>
            <rFont val="Tahoma"/>
            <family val="2"/>
          </rPr>
          <t xml:space="preserve">
</t>
        </r>
      </text>
    </comment>
    <comment ref="X148" authorId="0" shapeId="0" xr:uid="{01F8FEBD-2319-476C-A666-1224582899E1}">
      <text>
        <r>
          <rPr>
            <sz val="16"/>
            <color indexed="81"/>
            <rFont val="Tahoma"/>
            <family val="2"/>
          </rPr>
          <t xml:space="preserve">ROSARIO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8A588685-655C-4532-A5D3-AF85E3C6778A}">
      <text>
        <r>
          <rPr>
            <b/>
            <sz val="9"/>
            <color indexed="81"/>
            <rFont val="Tahoma"/>
            <family val="2"/>
          </rPr>
          <t>CC Responsable ID: ´07.04.XX</t>
        </r>
        <r>
          <rPr>
            <sz val="9"/>
            <color indexed="81"/>
            <rFont val="Tahoma"/>
            <family val="2"/>
          </rPr>
          <t xml:space="preserve">
</t>
        </r>
      </text>
    </comment>
    <comment ref="D6" authorId="0" shapeId="0" xr:uid="{AAC0BB71-6F89-4B11-9122-0B441666F0C2}">
      <text>
        <r>
          <rPr>
            <b/>
            <sz val="9"/>
            <color indexed="81"/>
            <rFont val="Tahoma"/>
            <family val="2"/>
          </rPr>
          <t>CC Responsable ID: ´07.04.XX</t>
        </r>
        <r>
          <rPr>
            <sz val="9"/>
            <color indexed="81"/>
            <rFont val="Tahoma"/>
            <family val="2"/>
          </rPr>
          <t xml:space="preserve">
</t>
        </r>
      </text>
    </comment>
    <comment ref="L7" authorId="1" shapeId="0" xr:uid="{B6BAAC7B-2909-4A2F-9082-888D697603B4}">
      <text>
        <r>
          <rPr>
            <b/>
            <sz val="9"/>
            <color indexed="81"/>
            <rFont val="Tahoma"/>
            <family val="2"/>
          </rPr>
          <t>larissa, vicente, + ing (x1)</t>
        </r>
      </text>
    </comment>
    <comment ref="AB7" authorId="0" shapeId="0" xr:uid="{BC7BDD22-E7BE-4FB8-A581-DD70EFB3F801}">
      <text>
        <r>
          <rPr>
            <b/>
            <sz val="14"/>
            <color indexed="81"/>
            <rFont val="Tahoma"/>
            <family val="2"/>
          </rPr>
          <t>ROSARIO</t>
        </r>
        <r>
          <rPr>
            <sz val="14"/>
            <color indexed="81"/>
            <rFont val="Tahoma"/>
            <family val="2"/>
          </rPr>
          <t xml:space="preserve">
</t>
        </r>
      </text>
    </comment>
    <comment ref="X17" authorId="0" shapeId="0" xr:uid="{2D9A2DC1-0FAA-441D-A300-75CC1C4418F9}">
      <text>
        <r>
          <rPr>
            <sz val="16"/>
            <color indexed="81"/>
            <rFont val="Tahoma"/>
            <family val="2"/>
          </rPr>
          <t xml:space="preserve">ROSARIO
</t>
        </r>
      </text>
    </comment>
    <comment ref="AB23" authorId="0" shapeId="0" xr:uid="{A3AA1EFF-0505-464C-9013-092BF71D95C8}">
      <text>
        <r>
          <rPr>
            <b/>
            <sz val="14"/>
            <color indexed="81"/>
            <rFont val="Tahoma"/>
            <family val="2"/>
          </rPr>
          <t>ROSARIO</t>
        </r>
        <r>
          <rPr>
            <sz val="14"/>
            <color indexed="81"/>
            <rFont val="Tahoma"/>
            <family val="2"/>
          </rPr>
          <t xml:space="preserve">
</t>
        </r>
      </text>
    </comment>
    <comment ref="I25" authorId="0" shapeId="0" xr:uid="{33803153-C109-443C-8A1E-C24186E30F97}">
      <text>
        <r>
          <rPr>
            <b/>
            <sz val="9"/>
            <color indexed="81"/>
            <rFont val="Tahoma"/>
            <family val="2"/>
          </rPr>
          <t>DIEMTERCERO:</t>
        </r>
        <r>
          <rPr>
            <sz val="9"/>
            <color indexed="81"/>
            <rFont val="Tahoma"/>
            <family val="2"/>
          </rPr>
          <t xml:space="preserve">
para evaluacion</t>
        </r>
      </text>
    </comment>
    <comment ref="K60" authorId="0" shapeId="0" xr:uid="{6472A6B5-5CAD-4CDF-85F2-A263CF0E59B9}">
      <text>
        <r>
          <rPr>
            <b/>
            <sz val="9"/>
            <color indexed="81"/>
            <rFont val="Tahoma"/>
            <family val="2"/>
          </rPr>
          <t>DIEMTERCERO:</t>
        </r>
        <r>
          <rPr>
            <sz val="9"/>
            <color indexed="81"/>
            <rFont val="Tahoma"/>
            <family val="2"/>
          </rPr>
          <t xml:space="preserve">
describir las subtareas de infraestructura.</t>
        </r>
      </text>
    </comment>
    <comment ref="L61" authorId="0" shapeId="0" xr:uid="{5E268DC4-3195-42F0-8014-6B4E8E68849F}">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 ref="L65" authorId="0" shapeId="0" xr:uid="{1837B535-474B-4F13-9693-34E05818942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List>
</comments>
</file>

<file path=xl/sharedStrings.xml><?xml version="1.0" encoding="utf-8"?>
<sst xmlns="http://schemas.openxmlformats.org/spreadsheetml/2006/main" count="2082" uniqueCount="518">
  <si>
    <t>PROGRAMACIÓN MENSUAL</t>
  </si>
  <si>
    <t>TOTAL ANUAL DE LA T/AO</t>
  </si>
  <si>
    <t>RESPONSABLES DE LA T/AO</t>
  </si>
  <si>
    <t>OBJETIVO ESTRATÉGICO INSTITUCIONAL</t>
  </si>
  <si>
    <t>ACCIÓN ESTRATÉGICA INSTITUCIONAL</t>
  </si>
  <si>
    <t>FUNCIONES DEL ROF</t>
  </si>
  <si>
    <t>COD.</t>
  </si>
  <si>
    <t>ACTIVIDAD OPERATIVA/INVERSIONES</t>
  </si>
  <si>
    <t>U.M</t>
  </si>
  <si>
    <t>PRIORIDAD</t>
  </si>
  <si>
    <t>TAREAS</t>
  </si>
  <si>
    <t>DEFINICIÓN OPERACIONAL</t>
  </si>
  <si>
    <t>CRITERIOS DE PROGRAMACIÓN</t>
  </si>
  <si>
    <t>META</t>
  </si>
  <si>
    <t>ESPECÍFICA DE GASTO</t>
  </si>
  <si>
    <t>OEI.02  GARANTIZAR EL ACCESO A CUIDADOS Y SERVICIOS DE SALUD DE CALIDAD ORGANIZADOS EN REDES INTEGRADAS DE SALUD; CENTRADAS EN LA PERSONA; FAMILIA Y COMUNIDAD; CON ÉNFASIS EN LA PROMOCIÓN DE LA SALUD Y LA PREVENCIÓN DE LA ENFERMEDAD</t>
  </si>
  <si>
    <t>AEI.02.03. REDES INTEGRADAS DE SALUD; IMPLEMENTADAS PROGRESIVAMENTE A NIVEL NACIONAL.</t>
  </si>
  <si>
    <t>DGOS:
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</si>
  <si>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AO1</t>
  </si>
  <si>
    <t xml:space="preserve">GESTIÓN  DE LOS PROCESOS ADMINISTRATIVOS DE LA DIRECCIÓN GENERAL DE OPERACIONES EN SALUD	</t>
  </si>
  <si>
    <t>060 : INFORME</t>
  </si>
  <si>
    <t>Muy Alta</t>
  </si>
  <si>
    <t>T1</t>
  </si>
  <si>
    <t>Asistencia técnica para la elaboración, seguimiento y evaluación de las actividades del POI.</t>
  </si>
  <si>
    <t>Informe (*)</t>
  </si>
  <si>
    <t>Consiste en brindar asistencia tecnica para la Elaboración y validación de las actividades, tareas, metas fisicas y presupuestales a incluirse en el POI del MINSA ( POI Multianual y revision/actualización anual),  Actualizaciones de las actividades y metas fiscas de la DGOS ( POI-MINSA), registro de Actividades Operativas e Inversiones en el aplicativo CEPLAN V.01.
Asistencia tecnica y consolidacion del seguimiento y evaluación de las actividades y metas fisicas y presupuestales de la DGOS de manera periodica.</t>
  </si>
  <si>
    <t>01 Informe de elaboración de actividades-POI 2025 (enero)
01 Informe de elaboración del POI Multianual 2026-2028 (marzo)
01 informe de seguimiento físico y  presupuestal cada trimestral 2025 (abril)
01 Informe de Actualización de actividades-POI 2024 (mayo)
01 Informe de Implementación de las acciones estratégicas institucionales del POI 2024 Modificado V.02 (Evaluación) (junio)
01 Informe de Actualización de actividades-POI 2025 (julio)
01 reporte Ejecutivo mensual (sobre los avances de la ejecución de metas fisicas y presupuestales de las tres direcciones ejecutivas), dirigido a los Directores.</t>
  </si>
  <si>
    <t>FISICA</t>
  </si>
  <si>
    <t>Administración- Katty</t>
  </si>
  <si>
    <t>Alta</t>
  </si>
  <si>
    <t>T2</t>
  </si>
  <si>
    <t>Seguimiento de la ejecución presupuestal de la DGOS</t>
  </si>
  <si>
    <t>Reporte</t>
  </si>
  <si>
    <t>Reporte y analisis de la ejecucion presupuestal, según finalidad de la habilitacion de recursos, generica de gasto y clasificador de gasto de los tres centros de costos</t>
  </si>
  <si>
    <t xml:space="preserve">01 Reporte semanal
</t>
  </si>
  <si>
    <t>Administración-Gina</t>
  </si>
  <si>
    <t>T3</t>
  </si>
  <si>
    <t xml:space="preserve">Realizar la gestíon para la provisión de bienes y servicios, y seguimiento de la ejecución del gasto. </t>
  </si>
  <si>
    <t>Análisis del estado situacional de la provision de bienes y servicios requeridos por los centros de costo DGOS, DIEM y DIMON, que permita conocer el gasto a nivel de actividades POI.</t>
  </si>
  <si>
    <t>Un   documento  que consolida el análisis del gasto a nivel de actividades POI del mes.</t>
  </si>
  <si>
    <t>Administración - (Luis  Lunarejo-Alexander)</t>
  </si>
  <si>
    <t>T4</t>
  </si>
  <si>
    <t>Control de asistencia del personal.</t>
  </si>
  <si>
    <t>Realizar la revision del reporte de asistencia, actualizar la informacion sustentada en documentos emitidos por los servidores.
Remitir informacion mensual a la OGGRH  de las tardanzas y faltas injustificadas (CAS y Nombrados).</t>
  </si>
  <si>
    <t>2 reportes mensuales.</t>
  </si>
  <si>
    <t>Administración-Filomeno</t>
  </si>
  <si>
    <t>T5</t>
  </si>
  <si>
    <t>Realizar acciones de soporte informático a los usuarios de la Dirección General de Operaciones en Salud.</t>
  </si>
  <si>
    <t>Realizar el diagnóstico y resolución de problemas, de Instalación y configuración de software y hardware.
Realizar el Mantenimiento preventivo, Actualización de sistemas y software
Capacitación de usuarios
Gestión de activos informaticos.</t>
  </si>
  <si>
    <t xml:space="preserve">Se proyecta 10 acciones de soporte informático al día  </t>
  </si>
  <si>
    <t>Administración-Informática</t>
  </si>
  <si>
    <t>T6</t>
  </si>
  <si>
    <t>Desarrollo, seguimiento y actualización de Aplicativos locales para para DGOS</t>
  </si>
  <si>
    <t>Implica el ciclo de vida completo del desarrollo de software personalizado para la Dirección General de Operaciones en Salud (DGOS), con el siguiente contenido:
Desarrollo: Diseñar y construir aplicaciones informáticas específicas para las necesidades de la DGOS, o automatización de procesos.
Seguimiento: Monitorear el rendimiento de las aplicaciones, detectar errores y proponer mejoras.
Actualización: Implementar nuevas funcionalidades, corregir errores y adaptar las aplicaciones a las nuevas necesidades de la DGOS.</t>
  </si>
  <si>
    <t>1 informe mensual, detallando el proceso de elaboración, seguimiento y actualización de los aplicativos desarollados para la DG y Direcciones Ejecutivas.</t>
  </si>
  <si>
    <t>Administración-Luis Salas</t>
  </si>
  <si>
    <t>Media</t>
  </si>
  <si>
    <t>T7</t>
  </si>
  <si>
    <t>Administración y cuidado de los bienes patrimoniales de la DGOS</t>
  </si>
  <si>
    <t>Informe</t>
  </si>
  <si>
    <t>Supervisar la conservacion y control de los bienes, Efectuar inventarios internos, Supervisar el traslado de bienes, supervisar el traslado de bienes de baja</t>
  </si>
  <si>
    <t>01 informe mensual</t>
  </si>
  <si>
    <t>Administración-Archivo</t>
  </si>
  <si>
    <t xml:space="preserve">AO1 GESTIÓN  DE LOS PROCESOS ADMINISTRATIVOS DE LA DIRECCIÓN GENERAL DE OPERACIONES EN SALUD	</t>
  </si>
  <si>
    <t>META FÍSICA MENSUAL DE LA AO1</t>
  </si>
  <si>
    <t>Gina Sarmiento</t>
  </si>
  <si>
    <t>PRESUPUESTAL G.G1 5.21</t>
  </si>
  <si>
    <t>2.1.1.3.1.1. PERSONAL NOMBRADO</t>
  </si>
  <si>
    <t>2.1.3.1.1.14. CONTRIBUCIONES A ESSALUD DE REGÍMENES ESPECIALES Y OTROS REGÍMENES</t>
  </si>
  <si>
    <t>2.1.1.1.1.3. PERSONAL CON CONTRATO A PLAZO FIJO (REGIMEN LABORAL PUBLICO)</t>
  </si>
  <si>
    <t>2.1.1.9.1.3. BONIFICACION POR ESCOLARIDAD</t>
  </si>
  <si>
    <t>2.1.3.1.1.15.CONTRIBUCIONES A ESSALUD DE CONTRATO ADMINISTRATIVO DE SERVICIOS</t>
  </si>
  <si>
    <t>2.1.1.9.1.2. AGUINALDOS</t>
  </si>
  <si>
    <t>2.1.1.1.2.1. ASIGNACION A FONDOS PARA PERSONAL</t>
  </si>
  <si>
    <t>2.1.1.13.1.1.CONTRATO ADMINISTRATIVO DE SERVICIOS - INDETERMINADO</t>
  </si>
  <si>
    <t>2.1.1.1.1.9.PERSONAL DE CONFIANZA (RÉGIMEN LABORAL PÚBLICO)</t>
  </si>
  <si>
    <t>2.1.1.9.1.4. AGUINALDOS DE CONTRATO ADMINISTRATIVO DE SERVICIOS</t>
  </si>
  <si>
    <t>2.1.3.1.1.13. CONTRIBUCIONES A ESSALUD DEL PERSONAL ADMINISTRATIVO</t>
  </si>
  <si>
    <t>2.1.1.3.3.3.BONIFICACIONES O ENTREGAS ECONOMICAS AL PUESTO DE PROFESIONALES DE LA SALUD</t>
  </si>
  <si>
    <t>2.1.1.1.1.2.PERSONAL ADMINISTRATIVO NOMBRADO (REGIMEN PUBLICO)</t>
  </si>
  <si>
    <t>2.1.1.13.1.2.CONTRATO ADMINISTRATIVO DE SERVICIOS - TRANSITORIO</t>
  </si>
  <si>
    <t>2.1.3.1.1.12. CONTRIBUCIONES POR EL SEGURO COMPLEMENTARIO DE TRABAJO DE RIESGO</t>
  </si>
  <si>
    <t>PRESUPUESTAL G.G2 5.23</t>
  </si>
  <si>
    <t>2.3.2.9.1.1. LOCACIÓN DE SERVICIOS REALIZADOS POR PERSONA NATURAL</t>
  </si>
  <si>
    <t>2.3.1.1.1.1. ALIMENTOS Y BEBIDAS PARA CONSUMO HUMANO</t>
  </si>
  <si>
    <t>2.3.2.5.1.1. DE EDIFICIOS Y ESTRUCTURAS (local)</t>
  </si>
  <si>
    <t>2.3.1.5.1.2. PAPELERIA EN GENERAL, UTILES Y MATERIALES DE OFICINA</t>
  </si>
  <si>
    <t>2.3.2.4.7.1. DE MAQUINARIAS Y EQUIPOS</t>
  </si>
  <si>
    <t>2.3.2.5.1.4. DE MAQUINARIAS Y EQUIPOS</t>
  </si>
  <si>
    <t>2.3.2.1.2.1. PASAJES Y GASTOS DE TRANSPORTE</t>
  </si>
  <si>
    <t>META PRESUPUESTAL  MENSUAL DE LA AO1</t>
  </si>
  <si>
    <t>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</si>
  <si>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AO2</t>
  </si>
  <si>
    <t>DESARROLLAR Y REALIZAR ESTRATEGIAS DE COMUNICACIÓN Y POSICIONAMIENTO DE LA DIRECCIÓN GENERAL DE OPERACIONES EN SALUD</t>
  </si>
  <si>
    <t xml:space="preserve">Coordinación de los eventos o actividades institucionales de la Dirección General de Operaciones de Salud y/o sus Direcciones Ejecutivas; asi como, el seguimiento y compendio de la matriz de actividades de las 30 ejecutoras de Lima Metropolitana (IPRESS Y UGIPRESS), respeto a sus actividades protocolares y extramurales. </t>
  </si>
  <si>
    <t>Coordinación con Dirección General y ejecutiva, para la particpación en actividades (Interno).
Coordinación con los establecimientos y protocolo MINSA para la participación y visita de autoridades (Externo)</t>
  </si>
  <si>
    <t>1 reporte mensual</t>
  </si>
  <si>
    <t>Comunicaciones</t>
  </si>
  <si>
    <t>Generación de contenidos respecto a las actividades de la Dirección General de Operaciones en Salud y sus Direcciones Ejecutivas.</t>
  </si>
  <si>
    <t>Informe(*)</t>
  </si>
  <si>
    <t>Desarrollo de  notas de prensa, material informativo o post en redes sociales respecto a las actividades de la DGOS.</t>
  </si>
  <si>
    <t>01 reporte mensual, cuyo contenido será incluido en una plataforma fisica o digital.</t>
  </si>
  <si>
    <t>Desarrollo de acciones comunicacionales que fortalezcan la imagen institucional y el posicionamiento de la DGOS.</t>
  </si>
  <si>
    <t xml:space="preserve">Elaboración de estrategias y materiales comunicacionales y/o audiovisuales que resalten las acciones de la DGOS.  </t>
  </si>
  <si>
    <t>1 reporte mensual con sustento del tema elaborado,según contenido realizado.</t>
  </si>
  <si>
    <t>AO2 DESARROLLAR Y REALIZAR ESTRATEGIAS DE COMUNICACIÓN Y POSICIONAMIENTO DE LA DIRECCIÓN GENERAL DE OPERACIONES EN SALUD</t>
  </si>
  <si>
    <t>Gonzalo Granda</t>
  </si>
  <si>
    <t>j) Conducir la asistencia técnica en materia de sus competencias.</t>
  </si>
  <si>
    <t>AO3</t>
  </si>
  <si>
    <t xml:space="preserve">SISTENCIA TÉCNICA LEGAL  EN EL MARCO DE LA COMPETENCIA DE LA DIRECCIÓN GENERAL DE OPERACIONES EN SALUD	</t>
  </si>
  <si>
    <t>036 : DOCUMENTO</t>
  </si>
  <si>
    <t>Brindar Asistencia Tenico Legal a las Unidades Ejecutoras de Lima Metropolitana.</t>
  </si>
  <si>
    <t>Se brindara asistencia técnica legal en temas: Defensa Legal en el marco del	Decreto Supremo N° 040-2014-PCM, Reglamento General de la Ley Nº 30057.
Directiva N° 004-2015-SERVIR/GPGSC, “Reglas para acceder al beneficio de defensa y asesoría de los servidores y ex servidores civiles”., Ley N° 30225 – Ley de Contrataciones del Estado.  Dirigido a las oficinas de asesoria Juridica.</t>
  </si>
  <si>
    <t>01 informe por asistencias tecnicas - trimestral</t>
  </si>
  <si>
    <t>Legal</t>
  </si>
  <si>
    <t>37 : DOCUMENTO</t>
  </si>
  <si>
    <t>Apoyo técnico Legal en la elaboracion de documentos remitidos a la DGOS.</t>
  </si>
  <si>
    <t>Acta(*)</t>
  </si>
  <si>
    <t>Acompañamiento y asesoramiento legal en la elaboración de respuesta a las solicitudes inggresadas</t>
  </si>
  <si>
    <t xml:space="preserve">01 acta por acompañamiento o asesoramiento  </t>
  </si>
  <si>
    <t>38 : DOCUMENTO</t>
  </si>
  <si>
    <t xml:space="preserve">Revisón de las normas elaboradas por las Direcciones Ejecutivas de la DGOS (DIEM Y DIMON) </t>
  </si>
  <si>
    <t xml:space="preserve">Consiste en la revision de la base legal, la estructura de acuerdo a  la  RM 826 " Norma para la elaboracion de documentos normativos del MINSA". </t>
  </si>
  <si>
    <t>01 Informe que consolida la revision de las normas elaboradas por las direcciones ejecutivas de la DGOS</t>
  </si>
  <si>
    <t>39 : DOCUMENTO</t>
  </si>
  <si>
    <t>Absolver los recursos impugnatorios interpuestos por los administrados, asi como resolver en segunda instancia recurso de nulidad</t>
  </si>
  <si>
    <t xml:space="preserve">Elaboración de Informes Técnico Legal </t>
  </si>
  <si>
    <t xml:space="preserve">Proyección en base a demanda. </t>
  </si>
  <si>
    <t>40 : DOCUMENTO</t>
  </si>
  <si>
    <t xml:space="preserve">Emisión de actos Resolutivos (Resolución Directoral) </t>
  </si>
  <si>
    <t>Elaboración del Proyecto de Resolución Directoral</t>
  </si>
  <si>
    <t xml:space="preserve">AO3 SISTENCIA TÉCNICA LEGAL  EN EL MARCO DE LA COMPETENCIA DE LA DIRECCIÓN GENERAL DE OPERACIONES EN SALUD	</t>
  </si>
  <si>
    <t>Gloria Leyva</t>
  </si>
  <si>
    <t>(*) TAREA TRAZADORA</t>
  </si>
  <si>
    <t xml:space="preserve">PLAZOS DE ENTREGA DE INFORMACION DEL SEGUIMIENTO DE LAS ACTIVIDADES DE POI  </t>
  </si>
  <si>
    <t>FECHA DE ENTREGA</t>
  </si>
  <si>
    <t>ENERO</t>
  </si>
  <si>
    <t>FEBRERO</t>
  </si>
  <si>
    <t>MARZO</t>
  </si>
  <si>
    <t>ABRIL</t>
  </si>
  <si>
    <t>08 DE MAYO 2023</t>
  </si>
  <si>
    <t>MAYO</t>
  </si>
  <si>
    <t>JUNIO</t>
  </si>
  <si>
    <t>JULIO</t>
  </si>
  <si>
    <t>08 DE AGOSTO 2023</t>
  </si>
  <si>
    <t>AGOSTO</t>
  </si>
  <si>
    <t>08 DE SETIEMBRE 2023</t>
  </si>
  <si>
    <t>SETIEMBRE</t>
  </si>
  <si>
    <t>OCTUBRE</t>
  </si>
  <si>
    <t>NOVIEMBRE</t>
  </si>
  <si>
    <t>08 DE DICIEMBRE 2023</t>
  </si>
  <si>
    <t>DICIEMBRE</t>
  </si>
  <si>
    <t>INFORMACIÓN CORRESPONDIENTE AL MES DE :</t>
  </si>
  <si>
    <t>14 DE FEBRERO 2023</t>
  </si>
  <si>
    <t>10 DE MARZO 2023</t>
  </si>
  <si>
    <t>08 DE ABRIL 2023</t>
  </si>
  <si>
    <t>09 DE JUNIO 2023</t>
  </si>
  <si>
    <t>08 DE JULIO 2023</t>
  </si>
  <si>
    <t>08 DE OCTUBRE 2023</t>
  </si>
  <si>
    <t>10 DE NOVIEMBRE 2023</t>
  </si>
  <si>
    <t>12 DE ENERO 2024</t>
  </si>
  <si>
    <t xml:space="preserve">FOMATO 1: PROGRAMACIÓN DE ACTIVIDADES, TAREAS Y METAS FÍSICAS </t>
  </si>
  <si>
    <t>PRIORIDAD
 (MUY ALTA, ALTA, MEDIA)</t>
  </si>
  <si>
    <t>DO</t>
  </si>
  <si>
    <t>CP</t>
  </si>
  <si>
    <t>ESPECIFICA DE GASTO</t>
  </si>
  <si>
    <t>Art. 109 Dirige y supervisa las funciones que desarrollan por los órganos desconcentrados: Direcciones
de Gestión de Redes Integradas de Salud de Lima Norte, Lima Centro, Lima Este y Lima Sur; así
como de los Hospitales e Institutos Nacionales Especializados en la jurisdicción de Lima
Metropolitana.</t>
  </si>
  <si>
    <t>Elaboración e implementacion de herramienta para el monitoreo y evaluación de la Gestión Administrativa de las IPRESS y UGIPRESS públicas, a nivel nacional.</t>
  </si>
  <si>
    <t>Diseño de la herramienta de  monitoreo y evaluación  para IPRESS y UGIPREES públicas.</t>
  </si>
  <si>
    <t>Definición de la estructura de la herramienta en el mes de enero (campos, indicadores, etc)</t>
  </si>
  <si>
    <t>01  informe técnico en  el mes de febrero, que sustenta el diseño de la herramienta.</t>
  </si>
  <si>
    <t>Ing. Larissa Casanova, 2 ingenieros y 1 medico</t>
  </si>
  <si>
    <t>Desarrollo de la herramienta de  monitoreo y evaluacion para IPRESS y UGIPREES públicas.</t>
  </si>
  <si>
    <t>Construcción de la herramienta</t>
  </si>
  <si>
    <t>1 informe presentado en el mes de abril, que sustenta el desarrollo de la herramienta en febrero y marzo.</t>
  </si>
  <si>
    <t>Puesta en operación de la herramienta de monitoreo y evaluacion para IPRESS y UGIPREES públicas.</t>
  </si>
  <si>
    <t>Inducción para el uso de la herramienta</t>
  </si>
  <si>
    <t>1 informe en el mes de abril, que sustenta la inducción desarrollada en el mismo mes.</t>
  </si>
  <si>
    <t>Larissa Casanova</t>
  </si>
  <si>
    <t>PRESUPUESTAL G.G21</t>
  </si>
  <si>
    <t>TOTAL</t>
  </si>
  <si>
    <t>SUELDO (LARISSA)</t>
  </si>
  <si>
    <t>2.1.1.13.1.1. CONTRATO ADMINISTRATIVO DE SERVICIOS - INDETERMINADO</t>
  </si>
  <si>
    <t>AGUINALDOS</t>
  </si>
  <si>
    <t>2.1.1.9. 1.4. AGUINALDOS DE CONTRATO ADMINISTRATIVO DE SERVICIOS (S/ 300.00 jul-dic)</t>
  </si>
  <si>
    <t>ESSALUD</t>
  </si>
  <si>
    <t>2.1.3.1. 1.15. CONTRIBUCIONES A ESSALUD DE CONTRATO ADMINISTRATIVO DE SERVICIOS (9%)</t>
  </si>
  <si>
    <t>PRESUPUESTAL G.G23</t>
  </si>
  <si>
    <t>RENATO</t>
  </si>
  <si>
    <t>2.3.2.9. 1.1. LOCACIÓN DE SERVICIOS REALIZADOS POR PERSONA NATURAL</t>
  </si>
  <si>
    <t>PILAR</t>
  </si>
  <si>
    <t>INFORMATICO</t>
  </si>
  <si>
    <t>SERVICIO DE INTERNET</t>
  </si>
  <si>
    <t>2.3.2.2. 2.3. SERVICIO DE INTERNET</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</si>
  <si>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</si>
  <si>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SIMPLIFICADOS.</t>
  </si>
  <si>
    <t>a) Elaborar e implementar normas, lineamientos, estándares, mecanismos y planes para
realizar el monitoreo y evaluación de la Gestión Administrativa desarrolladas en las
IPRESS públicas y UGIPRESS públicas, a nivel nacional.</t>
  </si>
  <si>
    <t>Elaboración de documentos técnicos para el monitoreo y evaluación de la Gestión Administrativa  en las IPRESS y UGIPRESS públicas, a nivel nacional.</t>
  </si>
  <si>
    <t>Elaboracion del proyecto de documento técnico para el monitoreo y evaluación de la gestión administrativa,  en las IPRESS y UGIPRESS</t>
  </si>
  <si>
    <t xml:space="preserve"> Revision del proyecto del documento tecnico para el monitoreo y evaluación de la gestión administrativa,  en las IPRESS y UGIPRESS</t>
  </si>
  <si>
    <t>1 informe que sustenta la elaboracion del proyecto del documento tecnico</t>
  </si>
  <si>
    <r>
      <rPr>
        <b/>
        <sz val="18"/>
        <rFont val="Aptos Narrow"/>
        <family val="2"/>
        <scheme val="minor"/>
      </rPr>
      <t>VICENTE</t>
    </r>
    <r>
      <rPr>
        <sz val="18"/>
        <rFont val="Aptos Narrow"/>
        <family val="2"/>
        <scheme val="minor"/>
      </rPr>
      <t>, Marcos, Richard,  Mayela y Niurka</t>
    </r>
  </si>
  <si>
    <t>Elaboracion del anteproyecto de documento técnico para el monitoreo de Gestión de Camas.</t>
  </si>
  <si>
    <t>Propuesta del anteproyecto del documento tecnico</t>
  </si>
  <si>
    <t>1 informe que sustenta la elaboracion del anteproyecto del documento tecnico</t>
  </si>
  <si>
    <r>
      <rPr>
        <b/>
        <sz val="18"/>
        <rFont val="Aptos Narrow"/>
        <family val="2"/>
        <scheme val="minor"/>
      </rPr>
      <t>CHRISTIAN,</t>
    </r>
    <r>
      <rPr>
        <sz val="18"/>
        <rFont val="Aptos Narrow"/>
        <family val="2"/>
        <scheme val="minor"/>
      </rPr>
      <t xml:space="preserve"> Juky y Jorge</t>
    </r>
  </si>
  <si>
    <t xml:space="preserve">Elaboracion del documento técnico para la mejora de la cadena de suministros de bienes y servicios    </t>
  </si>
  <si>
    <t xml:space="preserve">Propuesta del proyecto del documento técnico que contiene la formulacion del cuadros de necesidades, sinceramiento del cuadro de necesidades del año fiscal y flujogramas de la gestion de adquisiciones   </t>
  </si>
  <si>
    <r>
      <rPr>
        <b/>
        <sz val="18"/>
        <rFont val="Aptos Narrow"/>
        <family val="2"/>
        <scheme val="minor"/>
      </rPr>
      <t xml:space="preserve">DORIS, </t>
    </r>
    <r>
      <rPr>
        <sz val="18"/>
        <rFont val="Aptos Narrow"/>
        <family val="2"/>
        <scheme val="minor"/>
      </rPr>
      <t>Rocio, Gladys y Liliana</t>
    </r>
  </si>
  <si>
    <t xml:space="preserve">Vicente Ponce </t>
  </si>
  <si>
    <t>SUELDO</t>
  </si>
  <si>
    <t>2.1.1.13.1.2. CONTRATO ADMINISTRATIVO DE SERVICIOS - TRANSITORIO</t>
  </si>
  <si>
    <t>TERCERO: RUCANO</t>
  </si>
  <si>
    <t>META PRESUPUESTAL  MENSUAL DE LA AO2</t>
  </si>
  <si>
    <t xml:space="preserve">a) Elaborar e implementar normas, lineamientos, estándares, mecanismos y planes para
realizar el monitoreo y evaluación de la Gestión Administrativa desarrolladas en las
IPRESS públicas y UGIPRESS públicas, a nivel nacional. </t>
  </si>
  <si>
    <t xml:space="preserve">Evaluación del desempeño de la gestión administrativa de las  IPRESS y UGIPRESS a nivel nacional </t>
  </si>
  <si>
    <t>Elaboracion de un Plan de Trabajo para la Evaluacion del Desempeño de la gestion administrativa de las IPRESS y UGIPRESS a nivel nacional</t>
  </si>
  <si>
    <t>Informe del Plan de Trabajo que contempla el objetivo, metodología, cronograma, entre otros</t>
  </si>
  <si>
    <t>1 Informe que contempla el plan de trabajo a utilizar en el mes de marzo</t>
  </si>
  <si>
    <t>Marcos, Carol, Liliana</t>
  </si>
  <si>
    <t>Taller de evaluacion de desempeño de la Gestión Administrativa de las IPRESS y UGIPRESS de Lima Metropolitana</t>
  </si>
  <si>
    <t>Evaluacion del desempeño de la gestion administrativa</t>
  </si>
  <si>
    <t>Esta actividad se ejecutará en el mes de noviembre</t>
  </si>
  <si>
    <t>Juky, Marleny, Christian y Carol</t>
  </si>
  <si>
    <t>Taller de evaluacion de desempeño de la Gestión Administrativa y sanitaria de los Institutos de salud especializados de Lima Metropolitana</t>
  </si>
  <si>
    <t>Evaluacion del desempeño de la gestion administrativa y sanitaria</t>
  </si>
  <si>
    <t>Rocio Cortijo, Gladys y Jorge</t>
  </si>
  <si>
    <t>Marcos Cueva</t>
  </si>
  <si>
    <t>TOTAL MARCOS</t>
  </si>
  <si>
    <t>SUELDO (MARCOS)</t>
  </si>
  <si>
    <t>AGUINALDOS MARCOS</t>
  </si>
  <si>
    <t>ESSALUD MARCOS</t>
  </si>
  <si>
    <t>TOTAL CAROL</t>
  </si>
  <si>
    <t>SUELDO (CAROL)</t>
  </si>
  <si>
    <t>AGUINALDOS CAROL</t>
  </si>
  <si>
    <t>ESSALUD CAROL</t>
  </si>
  <si>
    <t>TERCERO: ALEXANDER</t>
  </si>
  <si>
    <t>TERCERO: JUNNYOR</t>
  </si>
  <si>
    <t>ALIMENTOS</t>
  </si>
  <si>
    <t>2.3.1.1. 1.1. ALIMENTOS Y BEBIDAS PARA CONSUMO HUMANO</t>
  </si>
  <si>
    <t>META PRESUPUESTAL  MENSUAL DE LA AO3</t>
  </si>
  <si>
    <t>h) Emitir opinión técnica en materia de sus competencias.</t>
  </si>
  <si>
    <t>AO4</t>
  </si>
  <si>
    <t>Emisión de opiniones técnicas en el marco de la competencias de DIMON</t>
  </si>
  <si>
    <r>
      <rPr>
        <b/>
        <i/>
        <sz val="18"/>
        <rFont val="Aptos Narrow"/>
        <family val="2"/>
        <scheme val="minor"/>
      </rPr>
      <t>Tarea trazadora:</t>
    </r>
    <r>
      <rPr>
        <sz val="18"/>
        <rFont val="Aptos Narrow"/>
        <family val="2"/>
        <scheme val="minor"/>
      </rPr>
      <t xml:space="preserve"> Elaboración de informe de opinión técnica en marco de la competencias de DIMON</t>
    </r>
  </si>
  <si>
    <t xml:space="preserve">Emitir informe de opinion tecnica </t>
  </si>
  <si>
    <t xml:space="preserve">10 informes por mes según el promedio de produccion del año 2024 </t>
  </si>
  <si>
    <t>Monitores DIMON</t>
  </si>
  <si>
    <t xml:space="preserve">Niurka Coronel </t>
  </si>
  <si>
    <t>TERCERO: KEVIN</t>
  </si>
  <si>
    <t>PRESUPUESTAL G.G23 PAPELERIA</t>
  </si>
  <si>
    <t>PAPELERIA</t>
  </si>
  <si>
    <t>2.3.1.5. 1.2. PAPELERIA EN GENERAL, UTILES Y MATERIALES DE OFICINA</t>
  </si>
  <si>
    <t>META PRESUPUESTAL  MENSUAL DE LA AO4</t>
  </si>
  <si>
    <t xml:space="preserve">g) Brindar asistencia técnica en el ámbito de su competencia. </t>
  </si>
  <si>
    <t>AO5</t>
  </si>
  <si>
    <t xml:space="preserve">Asistencias técnicas para la gestión administrativa de las IPRESS y UGIPRESS públicas a nivel nacional </t>
  </si>
  <si>
    <t>Elaboración del Plan Anual de asistencia técnica a las IPRESS y UGIPRESS publicas</t>
  </si>
  <si>
    <t xml:space="preserve">Plan Anual de Asistencia Tecnica -DIMON </t>
  </si>
  <si>
    <t xml:space="preserve">Elaboracion del Plan Anual que se realizara en enero </t>
  </si>
  <si>
    <t>Richard, Monitores DIMON</t>
  </si>
  <si>
    <t>Asistencia Técnica para el fortalecimiento de la gestión administrativa de las IPRESS del I, II y III nivel de atención y UGIPRESS en Lima Metropolitana</t>
  </si>
  <si>
    <t xml:space="preserve">3 Informes de Asistencia Tecnica por trimestre: uno a DIRIS, uno a Hospitales y uno a Institutos Especializados de Lima Metropolitana  
</t>
  </si>
  <si>
    <t>Monitores DIMON y locador (1 economista)</t>
  </si>
  <si>
    <t>Asistencia Técnica para el fortalecimiento de la gestión administrativa de las IPRESS del I, II y III nivel de atención y UGIPRESS de los GORE</t>
  </si>
  <si>
    <t xml:space="preserve">04 Informes Trimestrales  de Asistencia Tecnica en gestion administrativa: uno por cada macroregion 
04 Reuniones Macroregiones en la gestion de PF, DM y PS (virtual o presencial): uno por trimestre
02 Reuniones Nacionales Semestral (virtual o presencial) en la gestion de PF, DM y PS: uno por semestre </t>
  </si>
  <si>
    <t>META FÍSICA MENSUAL DE LA AO5</t>
  </si>
  <si>
    <t>Richard Llanca</t>
  </si>
  <si>
    <t>TOTAL JORGE</t>
  </si>
  <si>
    <t>TERCERO: ECONOMISTA</t>
  </si>
  <si>
    <t>PRESUPUESTAL G.G23 PASAJES Y TRANSPORTE</t>
  </si>
  <si>
    <t>PASAJES Y TRANSPORTE</t>
  </si>
  <si>
    <t>2.3.2.1. 2.1. PASAJES Y GASTOS DE TRANSPORTE</t>
  </si>
  <si>
    <t>META PRESUPUESTAL  MENSUAL DE LA AO5</t>
  </si>
  <si>
    <t>b) Diseñar indicadores de desempeño u otros instrumentos de medición necesarios para el eficiente y óptimo funcionamiento de la gestión administrativa de las IPRESS públicas y UGIPRESS públicas, a nivel nacional; así como realizar su monitoreo y evaluación, en coordinación con los diferentes niveles de gobierno.</t>
  </si>
  <si>
    <t>AO6</t>
  </si>
  <si>
    <t>Monitoreo a las IPRESS y UGIPRESS públicas a nivel nacional, para contribuir al fortalecimiento de la gestión administrativa</t>
  </si>
  <si>
    <t>Elaboración y Aprobación del Plan Anual de Monitoreo de IPRESS y UGIPRESS publicas a nivel Nacional</t>
  </si>
  <si>
    <t>1 Plan Anual de Monitoreo de IPRESS y UGIPRESS publicas a nivel Nacional</t>
  </si>
  <si>
    <t>Plan</t>
  </si>
  <si>
    <t>Mayela, Monitores DIMON y locador (1)</t>
  </si>
  <si>
    <t>Monitoreo de la gestión administrativa en las IPRESS y UGIPRESS de Lima Metropolitana</t>
  </si>
  <si>
    <t xml:space="preserve">Informe de monitoreo de la gestión administrativa de las IPRESS y UGIPRESS </t>
  </si>
  <si>
    <t xml:space="preserve">04 informes mensuales de monitoreo de gestión administrativa de febrero a noviembre 2024: Uno por DIRIS  y Hospitales incluidos los Institutos Especializados 
</t>
  </si>
  <si>
    <t>Monitores DIMON y locadores (1 QF, 6 médicos, 1 economista)</t>
  </si>
  <si>
    <t>Monitoreo de la gestión administrativa en las IPRESS y UGIPRESS de los GORE</t>
  </si>
  <si>
    <t xml:space="preserve">04 Informes mensuales de monitoreo en gestión administrativa en regiones de febrero a noviembre 2024: uno por macroregión
 </t>
  </si>
  <si>
    <t>Monitores DIMON y locadores (5)</t>
  </si>
  <si>
    <t>Monitoreo de la implementación de los componentes de interoperabilidad de los sistemas de información hospitalarios priorizados, para el eficiente y optimo funcionamiento de las IPRESS de Lima Metropolitana.</t>
  </si>
  <si>
    <t>Componentes priorizados: REFCON y Cirugias</t>
  </si>
  <si>
    <t>01 informe de monitoreo de implementación bimensual, IPRESS de nivel II y III</t>
  </si>
  <si>
    <t>Unidad de información</t>
  </si>
  <si>
    <t>META FÍSICA MENSUAL DE LA AO6</t>
  </si>
  <si>
    <t>Mayela León + 5 locadores</t>
  </si>
  <si>
    <t>TOTAL MAYELA</t>
  </si>
  <si>
    <t>SUELDO (MAYELA)</t>
  </si>
  <si>
    <t>TOTAL TRANSITORIOS (MARLENY+YADIRA+URBANO)</t>
  </si>
  <si>
    <t>TERCERO: NOMBERA</t>
  </si>
  <si>
    <t>TERCERO: CHOFER</t>
  </si>
  <si>
    <t>TERCERO: QF</t>
  </si>
  <si>
    <t>TERCERO: MEDICO 1</t>
  </si>
  <si>
    <t>TERCERO: MEDICO 2</t>
  </si>
  <si>
    <t>TERCERO: MEDICO 3</t>
  </si>
  <si>
    <t>META PRESUPUESTAL  MENSUAL DE LA AO6</t>
  </si>
  <si>
    <t>Literal e) del Art. 112 del DS 008-2017-SA, Realizar el seguimiento, monitoreo y, de ser el caso, la asistencia técnica correspondiente para el cumplimiento de los ID, MI y CM de los servicios brindados en las Instituciones (Red, Hospital e Instituto Especializado), en el marco de convenios de gestión y en coordinación con los órganos técnicos competentes del Ministerio de Salud y los Gobiernos Regionales.</t>
  </si>
  <si>
    <t>AO7</t>
  </si>
  <si>
    <t xml:space="preserve">Monitoreo y seguimiento de los indicadores de desempeño, compromisos de mejora de los servicios relacionados a los convenios de gestión (DL N°1153) en IPRESS y UGIPRESS a nivel nacional. </t>
  </si>
  <si>
    <t>Monitoreo y seguimiento del avance de cumplimiento de los indicadores de desempeño y compromisos de mejora - periodo 2025, en IPRESS y UGIPRESS.</t>
  </si>
  <si>
    <t>Recolección continua y sistemática de datos para medir los avances de cumplimiento de ID 2025</t>
  </si>
  <si>
    <t>01 informe mensual de monitoreo y seguimiento de febrero a noviembre</t>
  </si>
  <si>
    <t xml:space="preserve">Madelaine </t>
  </si>
  <si>
    <t>Seguimiento de los avances de cumplimiento del Plan anual de transferencia de competencia - periodo 2025</t>
  </si>
  <si>
    <t>Informe del análisis del cumplimiento del plan de convenios 2024 y avances de cumplimiento de trasferencia de competencia 2025</t>
  </si>
  <si>
    <t>01 informe semestral y anual del seguimiento del Plan Anual de transferencia de competencias</t>
  </si>
  <si>
    <t>Reporte trimestral de avance de cumplimiento de los indicadores de desempeño mediante el tablero de seguimiento y monitoreo de los ID y CM - periodo 2025.</t>
  </si>
  <si>
    <t>Reporte periodico y sistematico de datos para medir los avances del cumplimiento de los indicadores 2025</t>
  </si>
  <si>
    <t>01 informe trimestral del monitoreo y seguimiento del 2025</t>
  </si>
  <si>
    <t>Madelaine y locadores (2)</t>
  </si>
  <si>
    <t>SUELDO (GUISELA)</t>
  </si>
  <si>
    <t>META PRESUPUESTAL  MENSUAL DE LA AO7</t>
  </si>
  <si>
    <t>AO8</t>
  </si>
  <si>
    <t>Asistencia técnica a las IPRESS y UGIPRESS para la implementación de los indicadores de desempeño y compromisos de mejora de los servicios, relacionados a los Convenios de Gestión en el marco del DL N°1153.</t>
  </si>
  <si>
    <t>Asistencia Técnica de los indicadores de desempeño y compromisos de mejora del periódo 2025 a las IPRESS y UGIPRESS a nivel naconal.</t>
  </si>
  <si>
    <t>Proceso planificado, permanente e interactivo mediante el cual se fortalece los conocimientos de los equipos de IPRESS y UGIPRESS</t>
  </si>
  <si>
    <t>01 informe bimensual de las asistencias realizadas en dicho periodo, a las IPRESS y UGIPRESS (virtual o presencial)</t>
  </si>
  <si>
    <t>TERCERO: NELLY</t>
  </si>
  <si>
    <t>META PRESUPUESTAL  MENSUAL DE LA AO8</t>
  </si>
  <si>
    <t>DGOS: Proponer indicadores de desempeño, metas institucionales y compromisos d emejora; asi como getsionar su implmentacion en el marco del DLN°1153, en coordinacion con los organos competentes del MINSA</t>
  </si>
  <si>
    <t>AO9</t>
  </si>
  <si>
    <t>FORMULACIÓN, APROBACIÓN E IMPLEMENTACIÓN DE INDICADORES DE DESEMPEÑO Y COMPROMISO DE MEJORA DE LA GESTIÓN DE LOS SERVICIOS</t>
  </si>
  <si>
    <t>INFORME</t>
  </si>
  <si>
    <t>Socialización de los Indicadores de desempeño y compromisos de mejora con las IPRESS y UGIPRESS a nivel nacional.</t>
  </si>
  <si>
    <t>Reunión de difusión de las fichas técnicas de los ID,CM 2025 a la IPRESS y UGIPRESS a nivel nacional.</t>
  </si>
  <si>
    <t>1 informe que sustenta el desarrollo de la reunión virtual o presencial  del mes enero de presentacion de las fichas técnicas de los ID y CM 2025 en coordinacion con las áreas técnicas del MINSA.</t>
  </si>
  <si>
    <t>Elaboración de la propuesta de Directiva Administrativa con Resolucion Ministerial, que regula la metodologia del proceso de Convenio</t>
  </si>
  <si>
    <t>Documento que regula los aspectos metodológicos, para la elaboracion, monitroeo y evaluación de los Convenios de Gestion 2025 en el marco del Art. 15 del D.L N° 1153.</t>
  </si>
  <si>
    <t>1 Informe que sustanta la propuesta de la DA (inicia en enero, se aprueba con RM en febrero).</t>
  </si>
  <si>
    <t>Reunion Técnica con el grupo de trabajo de convenios de gestion del MINSA</t>
  </si>
  <si>
    <t>En el marco de la RM N° 908-2018/MINSA, que conforma el grupo de trabajo de convenio de gestión, debe sesionar en temas relacionados en socilaizacion de los indicadore de desempeño y la Directiva Administrtiva, sobre la propuesta de ID y CM para el año 2026.</t>
  </si>
  <si>
    <t xml:space="preserve">1 ACTA suscrita de la reunión virtual o presencial en los meses de enero, febrero y diciembre. </t>
  </si>
  <si>
    <t>Acta</t>
  </si>
  <si>
    <t>Elaboración de la propuesta  del Decreto Supremo que aprueba los  indicadores de desempeño y compromisos de mejora, para el ejercicio presupuestal del siguiente periodo.</t>
  </si>
  <si>
    <t xml:space="preserve">Elaboración de la exposición de motivos,  que incluye la propuesta de la fichas técnicas de los ID y CM para el año 2026 y sus anexos, la propuesta de proyecto de decreto supremo, y ayuda memoria. </t>
  </si>
  <si>
    <t xml:space="preserve">1 informe que contiene a exposición de motivos, proyecto de decreto supremo, y ayuda memoria. </t>
  </si>
  <si>
    <t>META PRESUPUESTAL  MENSUAL DE LA AO9</t>
  </si>
  <si>
    <t>AO10</t>
  </si>
  <si>
    <t>EVALUACIÓN DE LOS INDICADORES DE DESEMPEÑO Y COMPROMISO DE MEJORA DE LA GESTIÓN</t>
  </si>
  <si>
    <t>Publicación del cronograma de evaluación  de los indicadores de desempeño y compromisos de mejora</t>
  </si>
  <si>
    <t>Documento que contiene las actividades a desarrollar, correpondiente al proceso de evalaución de los ID y CM 2024, la cual se publica en el portal institucional de MINSA.</t>
  </si>
  <si>
    <t>1 informe en el mes de abril que sustenta la publiación del cronograma.</t>
  </si>
  <si>
    <t>Informe de resultados preliminares del proceso de evaluación de los ID y CM 2024.</t>
  </si>
  <si>
    <t>Documento que evidencia los resultados preliminares en cada ámbito de evaluación, que participaron el proceso de evaluación, correpondiente a la evaluación de los  ID y CM 2024 la cual se publica en el portal institucional de MINSA.</t>
  </si>
  <si>
    <t>1 informe en el mes de abril que sustenta la publiación de los resultados preliminares, remitido al DVMPAS.</t>
  </si>
  <si>
    <t>Publicación de los resultados finales de la evaluación de los  indicadores de desempeño y compromiso de mejora del año correspondiente.</t>
  </si>
  <si>
    <t>Documento que evidencia los resultados pfinales en cada ámbito de evaluación, que lograron un puntaje mayor igual a 60 puntos del proceso de evaluación, correpondiente a la evaluación de los  ID y CM 2024 la cual se publica en el portal institucional de MINSA.</t>
  </si>
  <si>
    <t>1 informe en el mes de abril que sustenta la publiación de los resultados finales, remitido al DCMPAS</t>
  </si>
  <si>
    <t>Informe final del proceso de evaluación de los ID y CM.</t>
  </si>
  <si>
    <t>Documento que evidencia el desarrollo del proceso de evaluacion de los ID y CM 2025, el cual contiene la informacion de las areas tecnicas responsables de la evaluacion de los ID y CM de su competencia.</t>
  </si>
  <si>
    <t xml:space="preserve">1 informe en el mes de julio </t>
  </si>
  <si>
    <t>Asistencia tecnica del proceso de evaluación de los indicadores de desempeño y compromisos de mejora a las IPRESS y UGIPRESS a nivel nacional.</t>
  </si>
  <si>
    <t>Informe de la ejecucion de las asistencias tecnicas a IPRESS y UGIPRESS relacionadas al proceso de evaluacion de los indicadores de desempeño y compromiso de mejora del periodo 2024</t>
  </si>
  <si>
    <t>1 informe que contiene el desarrollo de las asistencias tecnicas en el mes de febrero y marzo</t>
  </si>
  <si>
    <t>Reunion Tecnica con el grupo de trabajo de convenios de gestion del MINSA (RM N°909-2018-MINSA) para la aprobacion del cronograma de evaluación</t>
  </si>
  <si>
    <t>En el marco de la RM 908-2028/minsa, se conforma el grupo de trabajo de convenio de gestión, que debe sesionar para la aprobacion del cronograma de las reuniones de eleccion del peso ponderado de los ID y CM 2025, y del Proceeso de Evaluacion de los ID y CM 2025.</t>
  </si>
  <si>
    <t xml:space="preserve">1 Acta suscrita de la reunión virtual o presencial en los meses de abril, junio y julio. </t>
  </si>
  <si>
    <t>TERCERO: CONVENIOS</t>
  </si>
  <si>
    <t>META PRESUPUESTAL  MENSUAL DE LA AO10</t>
  </si>
  <si>
    <t>AO11</t>
  </si>
  <si>
    <t>FORMULACIÓN Y SUSCRIPCIÓN DE CONVENIOS DE GESTIÓN</t>
  </si>
  <si>
    <t>Elección de los pesos ponderados de los indicadores de desempeño y compromiso de mejora, con las IPRESS y UGIPRESS a nivel nacional.</t>
  </si>
  <si>
    <t>Proceso de interaccion entre los equipos tecnicos de las DIRIS, Hospitales e Institutos de Lima Metropliltana y  en regiones con las DIRESAS, GERESAS con los responsables tecnicos  y Grupo de Trabajo orientado a la eleccion del peso ponderado de los ID y CM 2025.</t>
  </si>
  <si>
    <t>01 reunion virtual o presencial en Lima Metropolitana con las 4 DIRIS, 17 Hospitales y 8 Institutos y en regiones con las 25 DIRESAS, GERESAS (Total 55 actas).</t>
  </si>
  <si>
    <t xml:space="preserve">Acta </t>
  </si>
  <si>
    <t xml:space="preserve">Gestion para la aprobacion de los convenios de gestion para el año fiscal en el marco del art 15 del DL N°1153 </t>
  </si>
  <si>
    <t>Informe del proceso de formulacion de los Convenios de Gestion para la suscripcion de los Convenios de Gestion 2025 de Lima Metropolitana y Gobiernos Regionales</t>
  </si>
  <si>
    <t>01 Informe del desarrollo del proceso de  formulacion de los Convenios de Gestion 2025 para Lima Metropolitana y 01 infomre para GORES.</t>
  </si>
  <si>
    <t>Suscripción de Convenios de Gestión con las IPRESS, UGIPRESS y GOREs</t>
  </si>
  <si>
    <t xml:space="preserve">Convenio por el cual se describe las obligaciones para el cumplimiento de los ID y CM para el año 2025, contiene los anexos de las tablas de los ID y CM según ambito de evaluacionn </t>
  </si>
  <si>
    <t>01 Convenio de Gestion en Lima Metropolitana con las 4 DIRIS, 17 Hospitales y 8 Institutos y en regiones con las 25 DIRESAS, GERESAS (Total 55 convenios)</t>
  </si>
  <si>
    <t>Convenio (*)</t>
  </si>
  <si>
    <t>Tn…</t>
  </si>
  <si>
    <t>Reunion con el grupo de trabajo de convenios de gestion del MINSA (RM N°909-2018-MINSA)</t>
  </si>
  <si>
    <t>En el marco de la RM 908-2028/minsa, se conforma el grupo de trabajo de convenio de gestión, que debe sesionar en temas relacionado a las reuniones de eleccion de pesoso ponderado y del  Proceeso de Suscripcion de Convenios de Gestion de los ID y CM 2025.</t>
  </si>
  <si>
    <t xml:space="preserve">1 Acta suscrita de la reunión virtual o presencial en los meses de  febrero, abril, junio y julio. </t>
  </si>
  <si>
    <t>META PRESUPUESTAL  MENSUAL DE LA AO11</t>
  </si>
  <si>
    <t xml:space="preserve">FORMATO 1: PROGRAMACIÓN DE ACTIVIDADES, TAREAS Y METAS FÍSICAS </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</si>
  <si>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</si>
  <si>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t>
  </si>
  <si>
    <t>DIEM:
(a) Elaborar normas técnicas, lineamientos, metodologías, estándares de calidad, parámetros, procedimientos y especificaciones técnicas en materia de infraestructura, equipamiento y su mantenimiento de los establecimientos de salud; así como realizar su seguimiento</t>
  </si>
  <si>
    <t>ELABORACIÓN DE DOCUMENTOS NORMATIVOS EN INFRAESTRUCTURA, EQUIPAMIENTO Y MANTENIMIENTO EN SALUD</t>
  </si>
  <si>
    <r>
      <t xml:space="preserve">Elaboración de </t>
    </r>
    <r>
      <rPr>
        <b/>
        <sz val="18"/>
        <rFont val="Aptos Narrow"/>
        <family val="2"/>
        <scheme val="minor"/>
      </rPr>
      <t>proyecto</t>
    </r>
    <r>
      <rPr>
        <sz val="18"/>
        <rFont val="Aptos Narrow"/>
        <family val="2"/>
        <scheme val="minor"/>
      </rPr>
      <t xml:space="preserve"> de modificación de la NTS 113 en sus numerales 6.2 De la Infraestructura y 6.3 Del equipamiento.</t>
    </r>
  </si>
  <si>
    <t>Consiste en la formulación del proyecto modificatorio consiste en la elaboración y presentación del expediente para trámite de aprobación de la modificación de la NTS N° 113-MINSA/DGIEM-V.01 en sus numerales 6.2 y 6.3, que incluye la socialización y validadción de la propuesta modificatoria, las opiniones favorables de los órganos MINSA con competencia, el texto modificatorio y el Informe Técnicos Sustentatorio correspondiente.</t>
  </si>
  <si>
    <t>Anual</t>
  </si>
  <si>
    <r>
      <t xml:space="preserve">Elaboración de </t>
    </r>
    <r>
      <rPr>
        <b/>
        <sz val="18"/>
        <rFont val="Aptos Narrow"/>
        <family val="2"/>
        <scheme val="minor"/>
      </rPr>
      <t>proyecto</t>
    </r>
    <r>
      <rPr>
        <sz val="18"/>
        <rFont val="Aptos Narrow"/>
        <family val="2"/>
        <scheme val="minor"/>
      </rPr>
      <t xml:space="preserve"> de modificación de la NTS N° 051-MINSA/OGDN-V.01, en su numeral 6.1 De las características técnicas mínimas y el equipamiento de las ambulancias.</t>
    </r>
  </si>
  <si>
    <t>Consiste en la formulación del proyecto modificatorio consiste en la elaboración y presentación del expediente para trámite de aprobación de la modificación de la NTS N° 051-MINSA/OGDN-V.01 en su numeral 6.1,  que incluye la socialización y validadción de la propuesta modificatoria, las opiniones favorables de los órganos MINSA con competencia, el texto modificatorio y el Informe Técnicos Sustentatorio correspondiente.</t>
  </si>
  <si>
    <t>Actualización de documentos normativos de infraestructura, equipamiento y mantenimiento de establecimientos de salud. (NTS N° 110)</t>
  </si>
  <si>
    <t>Consiste en la formulación de los anteproyectos de actualización de documentos normativos vigentes (NTS N° 110).</t>
  </si>
  <si>
    <t>Actualización de documentos normativos de infraestructura, equipamiento y mantenimiento de establecimientos de salud. (NTS N° 119)</t>
  </si>
  <si>
    <t>Consiste en la formulación de los anteproyectos de actualización de documentos normativos vigentes (NTS N° 119).</t>
  </si>
  <si>
    <t>Actualización de documentos normativos Lineamientos para la elaboración y seguimiento de los Planes de Equipamiento</t>
  </si>
  <si>
    <t>Consiste en la formulación de los anteproyectos de actualización de Lineamientos para la elaboración de los Planes de Equipamiento</t>
  </si>
  <si>
    <t>Elaborar el documento normativo: "intervenciones integrales para el fortalecimiento del primer nivel de atención"</t>
  </si>
  <si>
    <t>Consiste en la formulación de los anteproyectos de nuevos documentos normativos (NTS, directivas, guías técnicas y documentos Técnicos), su validación por los usuarios, la solicitud de opiniones favorables y la presentación del proyecto para su aprobación.</t>
  </si>
  <si>
    <t>Elaborar el documento normativo: "Puesta en Operación de nuevos Establecimientos de Salud"</t>
  </si>
  <si>
    <t>T8</t>
  </si>
  <si>
    <t>Elaborar protocolos y guia del: "Procedimientos para el monitoreo y evaluación de los Sistemas Eéctricos, Electromecánicos y Térmicos de los Establecimientos de Salud"</t>
  </si>
  <si>
    <t>T9</t>
  </si>
  <si>
    <t>Elaborar el documento normativo: "Directiva para el registro de información en el aplicativo ONIEES"</t>
  </si>
  <si>
    <t>T10</t>
  </si>
  <si>
    <t>Elaborar el documento normativo: "Análisis situacional de la infraestructura  y del Equipamiento de los EESS"</t>
  </si>
  <si>
    <t>T11</t>
  </si>
  <si>
    <t>Fichas homologadas.</t>
  </si>
  <si>
    <t>Consiste en la formulación de los anteproyectos de Fichas de Homologación de Equipos, su validación por los usuarios, la solicitud de opiniones favorables y la presentación del proyecto para su aprobación.</t>
  </si>
  <si>
    <t>Bimestral</t>
  </si>
  <si>
    <t>PRESUPUESTAL G.Gn..</t>
  </si>
  <si>
    <t xml:space="preserve"> DIEM:
(f) Elaborar e implementar normas, lineamientos, estándares, mecanismos y planes para realizar el monitoreo y evaluación de la aplicación de la normatividad relacionada a la infraestructura, equipamiento y mantenimiento de los establecimientos de salud y proponer las acciones correctivas</t>
  </si>
  <si>
    <t>SEGUIMIENTO Y EVALUACIÓN DE DOCUMENTOS NORMATIVOS DE INFRAESTRUCTURA, EQUIPAMIENTO Y MANTENIMIENTO DE ESTABLECIMNIENTOS DE SALUD</t>
  </si>
  <si>
    <t>Difusión de documentos normativos de infraestructura, equipamiento y mantenimiento de EESS.</t>
  </si>
  <si>
    <t>Consiste en hacer de conocimiento de los usuarios (DIRESAS/GERESAS, DIRIS, instituciones nacionales de salud, los documentos normativos vigentes (que incluye sus modificaciones) emitidos por el Ministerio de salud, a través de medios impresos, magnéticos y virtuales, que correspondan.</t>
  </si>
  <si>
    <t>Implementación de nuevos documentos normativos de infraestructura, equipamiento y mantenimiento de establecimientos de salud. Talleres macroregionales.</t>
  </si>
  <si>
    <t>Consiste en realizar talleres presenciales o virtuales con los usuarios a fin de transmitir los conocimientos y las recomendaciones necesarias para la adecuada aplicación de los documentos normativos aprobados.</t>
  </si>
  <si>
    <t>Seguimiento de la aplicación y cumplimiento de los documentos normativos de infraestructura, equipamiento y mantenimiento de los establecimientos de salud.</t>
  </si>
  <si>
    <t>Consiste en la aplicación de instrumentos de manera presencial o virtual, que permita conocer el grado de aplicación, por parte de los ususarios a quienes están dirigidos, de los documentos normativos vigentes sobre ionfraestructura y equipamiento emitidos por el Ministerio de Salud, así como la propuesta der acciones de mejora correspondientes.</t>
  </si>
  <si>
    <t>Evaluación de los documentos normativos de infraestructura, equipamiento y mantenimiento de establecimientos de salud.</t>
  </si>
  <si>
    <t>Consiste aplicar instrumentos de manera presencial o virtual, que permita conocer en qué medida la aplicación de los documentos normativos aprobados por el Ministerio de Salud, están cumpliendo con la finalidad para la que fueron aprobadas, así como la propuesta de acciones correspondientes de mejora.</t>
  </si>
  <si>
    <t>DIEM:
(i) Las demás funciones que le corresponda de acuerdo a las disposiciones legales vigentes y aquellas que le asigne el/la Director General de la Dirección General de Operaciones en Salud</t>
  </si>
  <si>
    <t>ASISTENCIA TÉCNICA EN LA ELABORACIÓN DE LOS PLANES DE MANTENIMIENTO Y EQUIPAMIENTO DE ESTABLECIMIENTOS DE SALUD DIRIGIDO A LOS GOBIERNOS REGIONALES Y ÓRGANOS DE LIMA METROPOLITANA</t>
  </si>
  <si>
    <t>Taller para la actualización del plan multianual de Mantenimiento de Infraestructura y Equipamiento 2025-2027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</si>
  <si>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</si>
  <si>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actualización de los Planes de Mantenimiento de Infraestructura y Equipamiento 2025 - 2027 de los Establecimientos de Salud a nivel nacional</t>
  </si>
  <si>
    <t>Consiste, en actividades de asistencia técnica a los equipos de las DIRESAS/GERESAS/DIRIS, sobre aspectos en la formulación de los Planes de Equipamiento y Mantenimiento de los EESS a nivel nacional</t>
  </si>
  <si>
    <t>Mensual</t>
  </si>
  <si>
    <t>Opinión técnica de los planes de Mantenimiento de Infraestructura y Equipamiento de Establecimientos de Salud de las Unidades Ejecutoras de Lima Metropolitana y Gobiernos Regionales</t>
  </si>
  <si>
    <t>Consiste, en actividades de análisis y verificación en el cumplimiento de los lineamientos de los Planes Multianuales de Mantenimiento y Equipamiento a nivel nacional</t>
  </si>
  <si>
    <t>Taller para la elaboración del Plan Multianual Equipamiento 2026-2028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</si>
  <si>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</si>
  <si>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elaboración de los Planes de Equipamiento de los establecimientos de salud</t>
  </si>
  <si>
    <t>Consiste, en actividades de asistencia técnica a los equipos técnicos de las DIRESAS/GERESAS/DIRIS, sobre aspectos técnicos para la elaboración de los planes de Equipamiento (reposición y optimización) de los EESS</t>
  </si>
  <si>
    <t>Opinión técnica de los planes de equipamiento de los establecimientos de salud de las unidades ejecutoras de Lima Metropolitana y de las GORES.</t>
  </si>
  <si>
    <t>Consiste, en revisar y emitir opinión técnica en relación a los planes de equipamiento (reposición y optimización) de los EESS de las unidades ejectutoras de Lima Metropolitana y las GORES</t>
  </si>
  <si>
    <t>SEGUIMIENTO DE LA IMPLEMENTACIÓN DE LOS PLANES DE MANTENIMIENTO Y EQUIPAMIENTO DE LOS ESTABLECIMIENTOS DE SALUD DE LOS GORES Y LIMA METROPOLITANA</t>
  </si>
  <si>
    <t>Seguimiento de la implementación de los planes de mantenimiento de los establecimientos de salud de los GORES y Lima Metropolitana.</t>
  </si>
  <si>
    <t xml:space="preserve">Consiste en actividades de seguimiento físico y presupuestal de la ejecución en el cumplimiento de los Planes Multianuales de Mantenimiento y Equipamiento </t>
  </si>
  <si>
    <t>Seguimiento de la implementación de los planes de  equipamiento de los establecimientos de salud de los GORES y Lima Metropolitana.</t>
  </si>
  <si>
    <t>DIEM:
(h) Emitir opinión técnica en materia de sus competencias</t>
  </si>
  <si>
    <t>EMITIR OPINIÓN TÉCNICA A LOS GOBIERNOS REGIONALES, DIRIS DE LIMA METROPOLITANA Y DEMÁS INSTITUCIONES DEL SECTOR SALUD EN MATERIA DE SUS COMPETENCIAS</t>
  </si>
  <si>
    <t>Opinión técnica a solicitud de las instituciones de salud del nivel nacional y regional, y DIRIS de Lima Metropolitana, relacionado a los documentos normativos de infraestructura, equipamiento y mantenimiento a los establecimientos de salud.</t>
  </si>
  <si>
    <t>Consiste en absolver, a través de informes escritos, consultas formuladas por las entidades de salud de nivel nacional y regional, sobre aspectos relativos a los documentos normativos de infraestructura, equipamiento y mantenimiento de los establecimientos de salud.</t>
  </si>
  <si>
    <t>Opinión técnica a solicitud de los Gobiernos Regionales, DIRIS de Lima Metropolitana y otras entidades multisectoriales así como personas naturales y juridicas  sobre aspectos de INFRAESTRUCTURA a nivel nacional</t>
  </si>
  <si>
    <t>Consiste en absolver, a través de informes escritos, consultas formuladas por las entidades de salud de nivel nacional y regional, sobre aspectos  técnicos relativos de la Infraestructura de los EESS.</t>
  </si>
  <si>
    <t>Opinión técnica a solicitud de los Gobiernos Regionales, DIRIS de Lima Metropolitana yy otras entidades multisectoriales así como personas naturales y juridicas sobre aspectos de EQUIPAMIENTO en las IPRESS a nivel nacional</t>
  </si>
  <si>
    <t>Consiste en absolver, a través de informes escritos, consultas formuladas por las entidades de salud de nivel nacional y regional, sobre aspectos  técnicos relativos del Equipamiento de los EESS.</t>
  </si>
  <si>
    <t>Opinión técnica a solicitud de los Gobiernos Regionales, DIRIS de Lima Metropolitanay otras entidades multisectoriales así como personas naturales y juridicas sobre aspectos de MANTENIMIENTO en las IPRESS a nivel nacional.</t>
  </si>
  <si>
    <t>Consiste en absolver, a través de informes escritos, consultas formuladas por las entidades de salud de nivel nacional y regional, sobre aspectos  técnicos relativos del Mantenimiento Preventivo y/o Correctivo de los EESS.</t>
  </si>
  <si>
    <t>Opinión técnica a solicitud de los Gobiernos Regionales, DIRIS de Lima Metropolitana y otras entidades multisectoriales así como personas naturales y juridicas referente a PLANES DE EQUIPAMIENTO en las IPRESS a nivel nacional.</t>
  </si>
  <si>
    <t>DDIEM:
(g) Brindar asistencia técnica sobre la aplicación y cumplimiento de las normas técnicas en salud vinculadas a infraestructura, equipamiento y mantenimiento, previa suscripcion de convenios de colaboración con los Gobiernos Regionales y Locales.</t>
  </si>
  <si>
    <t>EJECUCIÓN DE ASISTENCIA TÉCNICA A LAS DIRESAS/GERESAS, DIRIS DE LIMA METROPOLITA Y DEMÁS INSTITUCIONES DE SALUD SOBRE LA APLICACIÓN Y CUMPLIMIENTO DE LAS NORMATIVIDAD DE INFRAESTRUCTURA, EQUIPAMIENTO Y MANTENIMIENTO DE ESTABLECIMIENTOS DE SALUD</t>
  </si>
  <si>
    <t>Asistencia técnica a los Gobiernos Regionales, DIRIS de Lima Metropolitana y demás instituciones del sector salud sobre INFRAESTRUCTURA a las IPRESS a nivel nacional</t>
  </si>
  <si>
    <t>Consiste, en actividades de asistencia técnica sobre aspectos de conocimientos y normatividad de la Infraestrcutura en los EE.SS, mediante el cual se fortalecen los conocimientos, habilidades y destrezas de las DIRESAS/GERESAS.</t>
  </si>
  <si>
    <t>Asistencia técnica a los Gobiernos Regionales, DIRIS de Lima Metropolitana y demás instituciones del sector salud sobre EQUIPAMIENTO a las IPRESS a nivel nacional.</t>
  </si>
  <si>
    <t>Consiste, en actividades de asistencia técnica sobre aspectos de conocimientos y normatividad del Equipamiento en los EE.SS, mediante el cual se fortalecen los conocimientos, habilidades y destrezas de las DIRESAS/GERESAS</t>
  </si>
  <si>
    <t>Asistencia técnica a los Gobiernos Regionales, DIRIS de Lima Metropolitana y demás instituciones del sector salud sobre MANTENIMIENTO a las IPRESS a nivel nacional.</t>
  </si>
  <si>
    <t>Consiste, en actividades de asistencia técnica sobre aspectos de conocimientos y normatividad del Mantenimiento Preventivo y/o Correctivo en los EE.SS, mediante el cual se fortalecen los conocimientos, habilidades y destrezas de las DIRESAS/GERESAS.</t>
  </si>
  <si>
    <t>Asistencia tecnica en el marco del Plan de Contingencia Nacional ante Lluvias Intensas (R.M. Nº 322-2018-PCM)</t>
  </si>
  <si>
    <t>Consiste, en actividades de asistencia técnica sobre el mantenimiento correctivo de la infraestructura y del equipamiento de los EE.SS., afectados por la temporada de lluvias, que permita la continuidad operativa de los servicios de salud</t>
  </si>
  <si>
    <t>Asistencia tecnica en el marco del Plan Anual de Fronteras 2024 - 2025</t>
  </si>
  <si>
    <t>Consiste, en actividades de asistencia técnica sobre aspectos de infraestructura a las Unidades Ejecutoras, Gobiernos Locales y EE.SS. en zonas de frontera, de las nueve (9) regiones (Amazonas, Cajamarca, Madre de Dios, Loreto, Piura, Puno, Tacna, Tumbes y Ucayali),</t>
  </si>
  <si>
    <t>Trimestral</t>
  </si>
  <si>
    <t>Asistencia tecnica en el marco del Plan Multisectorial ante la ocurrencia de lluvias intensas y peligros asociados, 2025</t>
  </si>
  <si>
    <t>Consiste, en actividades de asistencia técnica sobre actividades de mantenimiento de infraestructura de los establecimientos de salud ubicados en zonas de riesgo ante lluvias intensas y movimientos en masa, a fin de fortalecer la continuidad de la prestación de servicios de salud</t>
  </si>
  <si>
    <t>Asistencia tecnica en el marco del Plan frente a la temporada de bajas temperaturas, 2025</t>
  </si>
  <si>
    <t>Consiste, en actividades de asistencia técnica sobre el mantenimiento correctivo de la infraestructura y del equipamiento de los EE.SS., afectados por la temporada de bajas temperaturas, que permita la continuidad operativa de los servicios de salud</t>
  </si>
  <si>
    <t>DIEM:
(e) Gestionar el Observatorio Nacional de Infraestructura y Equipamiento de los Establecimientos de Salud y disponer su implementación y funcionamiento</t>
  </si>
  <si>
    <t>GESTION DE LA INFORMACIÓN DEL OBSERVATORIO NACIONAL DE INFRAESTRUCTURA Y EQUIPAMIENTO DE LOS ESTABLECIMIENTOS DE SALUD</t>
  </si>
  <si>
    <t>Asistencia Técnica  a los Gobiernos Regionales, DIRIS de Lima Metropolitana y demás instituciones del sector salud sobre registro de información en el aplicativo ONIEES.</t>
  </si>
  <si>
    <t>Consiste, en actividades de asistencia técnica a las DIRESAS/GERESAS/DIRIS y demas instituciones del sector, sobre la información registrada en el ONIEES, para una adecuada toma de deciciones y /o diagnóstico de los EESS.</t>
  </si>
  <si>
    <t>Análisis y Supervisión de la información registrada en el aplicativo ONIEES  de los Gobiernos Regionales, DIRIS de Lima Metropolitana y demás instituciones del sector salud.</t>
  </si>
  <si>
    <t>Consiste,  en la revisiòn de la información registrada en el aplicativo ONIEES, para asegurar la correcta toma de deciciones y /o diagnóstico de los EESS.</t>
  </si>
  <si>
    <t>Programación trimestral de reuniones de las Sesiones Ordinarias con Miembros de la  Comisión Multisectorial de Naturaleza Permanente del ONIEES.</t>
  </si>
  <si>
    <t>Consiste en asistencia tècnica para las Reuniones programadas por la Comisión Multisectorial del ONIEES, de acuerdo a su reglamento apeobado con R.M. No. 166-2016/MINSA.</t>
  </si>
  <si>
    <t>Elaboraciòn del aplicativo del Plan de Mantenimiento de equipamiento de establecimientos de salud.</t>
  </si>
  <si>
    <t>Consiste, en la elaboraciòn del aplicativo Plan de Mantenimiento y de equipamiento de establecimientos de salud.</t>
  </si>
  <si>
    <t>DIEM:
(c) Elaborar y monitorear protocolos y procedimientos técnicos que aseguren la calidad y eficiencia del equipamiento en salud, para el adecuado servicio a los ciudadanos</t>
  </si>
  <si>
    <t>GESTIÓN DEL MONITOREO DE LA CALIDAD Y EFICIENCIA DE LA OPERATIVIDAD DEL EQUIPAMIENTO EN SALUD</t>
  </si>
  <si>
    <t>Monitoreo y evaluación de la calidad de energia, del sistema eléctrico de los establecimientos de salud del segundo y tercer nivel de atención a nivel nacional.</t>
  </si>
  <si>
    <t xml:space="preserve">Consiste, en actividades de monitoreo de la calidad de energia del sistema eléctrico de los EESS, con el objetivo de evaluar la eficiencia de las cargas eléctricas </t>
  </si>
  <si>
    <t>Monitoreo y evaluación de la operatividad del  equipamiento electromecánico de las UPSSS Nutrición, lavanderia y Esterilización para el Fortalecimiento de las acciones de la calidad de servicio de Salud Público</t>
  </si>
  <si>
    <t>Consiste, en actividades de monitoreo de la operatividad de los  equipamientos electromecánicos de los  EESS a nivel nacional</t>
  </si>
  <si>
    <t>Monitoreo de la eficiencia de los sistemas térmicos en los Hospitales de nivel de atención  II - III a nivel nacional</t>
  </si>
  <si>
    <t xml:space="preserve">Consiste, en actividades de monitoreo de los Sistemas Térmicos en los Hospitales, con el objetivo de evaluar la eficiencia de los citados sistemas </t>
  </si>
  <si>
    <t>Monitoreo del equipamiento estratégico priorizado</t>
  </si>
  <si>
    <t>Consiste en monitorear la prpoducción, mantenimiento, costos y estado situacional del equipamiento estratégico priorizado</t>
  </si>
  <si>
    <t xml:space="preserve">Monitoreo de la operatividad de las Plantas Generadoras de Oxígeno Medicinal de las IPRESS a cargo de Minsiterio de Salud y de los Gobiernos Regionales. </t>
  </si>
  <si>
    <t>Consiste, en actividades del monitoreo por parte de la UFM-DIEM, de la operatividad de las Plantas Generadoras de Oxígeno Medicinal de las IPRESS a nivel nacional</t>
  </si>
  <si>
    <t>SOPORTE TECNICO EN INFRAESTRUCTURA, EQUIPAMIENTO, MANTENIMIENTO A LAS INSTITUCIONES DEL SECTOR SALUD</t>
  </si>
  <si>
    <t>Soporte tecnico en la Liquidacion Tecnica  y  seguimiento de la adquiscicion del equipamiento requerido para diversos proyectos,</t>
  </si>
  <si>
    <t>Consiste, en actividades de apoyo  técnico en la elaboracion de informes referente a la Liquidacion Tecnica de proyectos para su cierre ; asi mismo elaborar el seguimiento de lo adquirido en diversos proyectos y planes en ejecucion en el componente equipamiento</t>
  </si>
  <si>
    <r>
      <rPr>
        <sz val="18"/>
        <rFont val="Aptos Narrow"/>
        <family val="2"/>
        <scheme val="minor"/>
      </rPr>
      <t>Soporte tecnico</t>
    </r>
    <r>
      <rPr>
        <sz val="18"/>
        <color theme="1"/>
        <rFont val="Aptos Narrow"/>
        <family val="2"/>
        <scheme val="minor"/>
      </rPr>
      <t xml:space="preserve"> para la gestión del mejoramiento del equipamiento de UPSS/servicios en EESS I-3,I-4 priorizados ( Laboratorio, apoyo al Dx por imágenes, urgencia) -DPCAN</t>
    </r>
  </si>
  <si>
    <t>Consiste, en actividades de soporte técnico a los Hospitales asignados en la recepción y puesta en funcionamiento  Kit UCI - Incubadoras Neonatales y  en la  Recepción del Equipamiento, destinados para la Prevención y Control del Cáncer.</t>
  </si>
  <si>
    <t>Soporte Técnico en la verificación física de equipos que ingresaron al pais en calidad de donacion  y   mercancias restrigidas por la  SUNAT los mismos que son transferidos al Ministerio de Salud</t>
  </si>
  <si>
    <t xml:space="preserve">Consiste, en actividades de  soporte  técnicas sobre la verificación  fisica del equipamiento donado y de los  transferidos por la Sunat  al Ministerio de Salud  </t>
  </si>
  <si>
    <t>ASISTENCIA TÉCNICA A DIRESAS, GERESAS Y DIRIS PARA EL FORTALECIMIENTO DEL PRIMER NIVEL DE ATENCIÓN PARA LAS INTERVENCIONES INTEGRALES EN EL MARCO DEL PLAN MIL</t>
  </si>
  <si>
    <t>Asistencia Técnica a los Establecimientos de Salud priorizados para intervención integral</t>
  </si>
  <si>
    <t>Consiste, en actividades de soporte técnico sobre aspectos de conocimientos y normatividad de la Infraestrcutura , Equipamiento y Mantenimiento de los establecimientos de salud priorizados para intervención integral  -RM N° 222-2024-MINSA</t>
  </si>
  <si>
    <t>Opinión técnica de los formatos y documentos tecnicos de los establecimientos de salud priorizados para intervención integral</t>
  </si>
  <si>
    <t>Consiste, en revisar y emitir opinión técnica en relación a los formatos y documentos tecnicos de los EESS seleccionados para intervención integral</t>
  </si>
  <si>
    <t>ASISTENCIA TÉCNICA PARA LA ELABORACIÓN DEL PLAN DE IMPLEMENTACIÓN MULTIANUAL PARA LA OPERACIÓN Y MANTENIMIENTO DE LOS NUEVOS EESS</t>
  </si>
  <si>
    <t>Consiste, en brindar la Asistencia Técnica para la elaboración del Plan de Implementación Multianual de Operación y Mantenimiento.</t>
  </si>
  <si>
    <t>SEGUIMIENTO MENSUAL DEL POI</t>
  </si>
  <si>
    <t>SEG.1</t>
  </si>
  <si>
    <t>SEG.2</t>
  </si>
  <si>
    <t>SEG2</t>
  </si>
  <si>
    <t>SUSTENTO FISICO Y PRESUPUESTAL</t>
  </si>
  <si>
    <t>ESTADO</t>
  </si>
  <si>
    <t>VENCIDO</t>
  </si>
  <si>
    <t>LEYENDA</t>
  </si>
  <si>
    <t>EN PLAZO</t>
  </si>
  <si>
    <t>SOLITUD EXTRAORDINARIA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</si>
</sst>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7" x14ac:knownFonts="1">
    <font>
      <sz val="11"/>
      <color theme="1"/>
      <name val="Aptos Narrow"/>
      <family val="2"/>
      <scheme val="minor"/>
    </font>
    <font>
      <sz val="11"/>
      <color theme="1"/>
      <name val="Aptos Narrow"/>
      <family val="2"/>
      <scheme val="minor"/>
    </font>
    <font>
      <sz val="18"/>
      <name val="Aptos Narrow"/>
      <family val="2"/>
      <scheme val="minor"/>
    </font>
    <font>
      <b/>
      <sz val="28"/>
      <name val="Aptos Narrow"/>
      <family val="2"/>
      <scheme val="minor"/>
    </font>
    <font>
      <sz val="16"/>
      <name val="Aptos Narrow"/>
      <family val="2"/>
      <scheme val="minor"/>
    </font>
    <font>
      <sz val="16"/>
      <name val="Arial"/>
      <family val="2"/>
    </font>
    <font>
      <b/>
      <sz val="48"/>
      <name val="Aptos Narrow"/>
      <family val="2"/>
      <scheme val="minor"/>
    </font>
    <font>
      <sz val="72"/>
      <name val="Aptos Narrow"/>
      <family val="2"/>
      <scheme val="minor"/>
    </font>
    <font>
      <b/>
      <sz val="26"/>
      <name val="Aptos Narrow"/>
      <family val="2"/>
      <scheme val="minor"/>
    </font>
    <font>
      <b/>
      <sz val="20"/>
      <name val="Aptos Narrow"/>
      <family val="2"/>
      <scheme val="minor"/>
    </font>
    <font>
      <b/>
      <sz val="18"/>
      <name val="Aptos Narrow"/>
      <family val="2"/>
      <scheme val="minor"/>
    </font>
    <font>
      <b/>
      <sz val="9"/>
      <color indexed="81"/>
      <name val="Tahoma"/>
      <family val="2"/>
    </font>
    <font>
      <sz val="9"/>
      <color indexed="81"/>
      <name val="Tahoma"/>
      <family val="2"/>
    </font>
    <font>
      <b/>
      <sz val="14"/>
      <color indexed="81"/>
      <name val="Tahoma"/>
      <family val="2"/>
    </font>
    <font>
      <sz val="14"/>
      <color indexed="81"/>
      <name val="Tahoma"/>
      <family val="2"/>
    </font>
    <font>
      <sz val="16"/>
      <color indexed="81"/>
      <name val="Tahoma"/>
      <family val="2"/>
    </font>
    <font>
      <b/>
      <sz val="11"/>
      <color theme="0"/>
      <name val="Aptos Narrow"/>
      <family val="2"/>
      <scheme val="minor"/>
    </font>
    <font>
      <b/>
      <sz val="12"/>
      <color theme="1"/>
      <name val="Aptos Narrow"/>
      <family val="2"/>
      <scheme val="minor"/>
    </font>
    <font>
      <b/>
      <sz val="22"/>
      <name val="Aptos Narrow"/>
      <family val="2"/>
      <scheme val="minor"/>
    </font>
    <font>
      <sz val="22"/>
      <name val="Aptos Narrow"/>
      <family val="2"/>
      <scheme val="minor"/>
    </font>
    <font>
      <sz val="20"/>
      <name val="Aptos Narrow"/>
      <family val="2"/>
      <scheme val="minor"/>
    </font>
    <font>
      <sz val="11"/>
      <name val="Aptos Narrow"/>
      <family val="2"/>
      <scheme val="minor"/>
    </font>
    <font>
      <b/>
      <i/>
      <sz val="18"/>
      <name val="Aptos Narrow"/>
      <family val="2"/>
      <scheme val="minor"/>
    </font>
    <font>
      <i/>
      <sz val="18"/>
      <name val="Aptos Narrow"/>
      <family val="2"/>
      <scheme val="minor"/>
    </font>
    <font>
      <sz val="18"/>
      <color theme="1"/>
      <name val="Aptos Narrow"/>
      <family val="2"/>
      <scheme val="minor"/>
    </font>
    <font>
      <b/>
      <sz val="11"/>
      <color theme="1"/>
      <name val="Aptos Narrow"/>
      <family val="2"/>
      <scheme val="minor"/>
    </font>
    <font>
      <sz val="8"/>
      <name val="Aptos Narrow"/>
      <family val="2"/>
      <scheme val="minor"/>
    </font>
  </fonts>
  <fills count="12">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59999389629810485"/>
        <bgColor indexed="64"/>
      </patternFill>
    </fill>
  </fills>
  <borders count="36">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style="thin">
        <color theme="4"/>
      </right>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9"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0" fillId="0" borderId="0" xfId="0" applyFont="1"/>
    <xf numFmtId="0" fontId="2" fillId="0" borderId="0" xfId="0" applyFont="1" applyAlignment="1">
      <alignment horizontal="left"/>
    </xf>
    <xf numFmtId="9" fontId="10" fillId="0" borderId="0" xfId="2" applyFont="1" applyFill="1"/>
    <xf numFmtId="9" fontId="10" fillId="0" borderId="0" xfId="2" applyFont="1" applyFill="1" applyAlignment="1">
      <alignment horizontal="center" vertical="center"/>
    </xf>
    <xf numFmtId="0" fontId="7" fillId="0" borderId="1" xfId="0" applyFont="1" applyBorder="1" applyAlignment="1">
      <alignment horizontal="center" vertical="center"/>
    </xf>
    <xf numFmtId="0" fontId="0" fillId="0" borderId="5" xfId="0" applyBorder="1" applyAlignment="1">
      <alignment horizontal="center"/>
    </xf>
    <xf numFmtId="0" fontId="16" fillId="6" borderId="5" xfId="0" applyFont="1" applyFill="1" applyBorder="1" applyAlignment="1">
      <alignment horizontal="center" vertical="center" wrapText="1"/>
    </xf>
    <xf numFmtId="0" fontId="18" fillId="0" borderId="0" xfId="0" applyFont="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9" fillId="2" borderId="3" xfId="0" applyFont="1" applyFill="1" applyBorder="1" applyAlignment="1">
      <alignment horizontal="center" vertical="center"/>
    </xf>
    <xf numFmtId="0" fontId="18" fillId="2" borderId="3" xfId="0"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0" borderId="4" xfId="0" applyFont="1" applyBorder="1" applyAlignment="1">
      <alignment vertical="center" wrapText="1"/>
    </xf>
    <xf numFmtId="0" fontId="2" fillId="0" borderId="4" xfId="0" applyFont="1" applyBorder="1" applyAlignment="1">
      <alignment horizontal="center" vertical="center"/>
    </xf>
    <xf numFmtId="0" fontId="10" fillId="3" borderId="4"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7" borderId="4" xfId="0" applyFont="1" applyFill="1" applyBorder="1" applyAlignment="1">
      <alignment horizontal="center" vertical="center"/>
    </xf>
    <xf numFmtId="0" fontId="10" fillId="3" borderId="11"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4" xfId="0" applyFont="1" applyBorder="1"/>
    <xf numFmtId="0" fontId="2" fillId="4" borderId="4" xfId="0" applyFont="1" applyFill="1" applyBorder="1" applyAlignment="1">
      <alignment horizontal="left" vertical="center" wrapText="1"/>
    </xf>
    <xf numFmtId="0" fontId="23" fillId="0" borderId="4" xfId="0" applyFont="1" applyBorder="1" applyAlignment="1">
      <alignment horizontal="center" vertical="center" wrapText="1"/>
    </xf>
    <xf numFmtId="0" fontId="2" fillId="5" borderId="4" xfId="0" applyFont="1" applyFill="1" applyBorder="1" applyAlignment="1">
      <alignment horizontal="center" vertical="center"/>
    </xf>
    <xf numFmtId="0" fontId="2" fillId="0" borderId="4" xfId="0" quotePrefix="1" applyFont="1" applyBorder="1" applyAlignment="1">
      <alignment horizontal="center" vertical="center" wrapText="1"/>
    </xf>
    <xf numFmtId="0" fontId="19" fillId="0" borderId="0" xfId="0" applyFont="1"/>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4" fillId="0" borderId="16" xfId="0" applyFont="1" applyBorder="1" applyAlignment="1">
      <alignment horizontal="left" vertical="center" wrapText="1"/>
    </xf>
    <xf numFmtId="0" fontId="2" fillId="0" borderId="17" xfId="0" applyFont="1" applyBorder="1" applyAlignment="1">
      <alignment horizontal="left" vertical="center" wrapText="1"/>
    </xf>
    <xf numFmtId="0" fontId="24" fillId="0" borderId="15" xfId="0" applyFont="1" applyBorder="1" applyAlignment="1">
      <alignment horizontal="left" vertical="center" wrapText="1"/>
    </xf>
    <xf numFmtId="0" fontId="24" fillId="0" borderId="17" xfId="0" applyFont="1" applyBorder="1" applyAlignment="1">
      <alignment horizontal="left" vertical="center" wrapText="1"/>
    </xf>
    <xf numFmtId="0" fontId="24" fillId="0" borderId="18" xfId="0" applyFont="1" applyBorder="1" applyAlignment="1">
      <alignment horizontal="left" vertical="center" wrapText="1"/>
    </xf>
    <xf numFmtId="0" fontId="2" fillId="0" borderId="18" xfId="0" applyFont="1" applyBorder="1" applyAlignment="1">
      <alignment horizontal="center" vertical="center" wrapText="1"/>
    </xf>
    <xf numFmtId="0" fontId="24" fillId="0" borderId="5" xfId="0" applyFont="1" applyBorder="1" applyAlignment="1">
      <alignment horizontal="left" vertical="center" wrapText="1"/>
    </xf>
    <xf numFmtId="0" fontId="2" fillId="0" borderId="5" xfId="0" applyFont="1" applyBorder="1" applyAlignment="1">
      <alignment horizontal="center" vertical="center" wrapText="1"/>
    </xf>
    <xf numFmtId="0" fontId="24"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5" borderId="18" xfId="0" applyFont="1" applyFill="1" applyBorder="1" applyAlignment="1">
      <alignment horizontal="center" vertical="center"/>
    </xf>
    <xf numFmtId="0" fontId="24" fillId="0" borderId="20" xfId="0" applyFont="1" applyBorder="1" applyAlignment="1">
      <alignment horizontal="left"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9" xfId="0" applyFont="1" applyFill="1" applyBorder="1" applyAlignment="1">
      <alignment horizontal="center" vertical="center"/>
    </xf>
    <xf numFmtId="0" fontId="24"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5" borderId="21" xfId="0" applyFont="1" applyFill="1" applyBorder="1" applyAlignment="1">
      <alignment horizontal="center" vertical="center"/>
    </xf>
    <xf numFmtId="0" fontId="2" fillId="0" borderId="22" xfId="0" applyFont="1" applyBorder="1"/>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2" xfId="0" applyFont="1" applyFill="1" applyBorder="1" applyAlignment="1">
      <alignment horizontal="center" vertical="center"/>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3" borderId="22" xfId="0" quotePrefix="1"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22" xfId="0" applyFont="1" applyBorder="1" applyAlignment="1">
      <alignment horizontal="center" vertical="center"/>
    </xf>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10" fillId="3" borderId="22" xfId="0" quotePrefix="1"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horizontal="center" vertical="center"/>
    </xf>
    <xf numFmtId="164" fontId="2" fillId="3" borderId="22" xfId="0" applyNumberFormat="1" applyFont="1" applyFill="1" applyBorder="1" applyAlignment="1">
      <alignment horizontal="center" vertical="center" wrapText="1"/>
    </xf>
    <xf numFmtId="164" fontId="2" fillId="0" borderId="22" xfId="0" applyNumberFormat="1" applyFont="1" applyBorder="1" applyAlignment="1">
      <alignment horizontal="center" vertical="center" wrapText="1"/>
    </xf>
    <xf numFmtId="43" fontId="2" fillId="5" borderId="22" xfId="1" applyFont="1" applyFill="1" applyBorder="1" applyAlignment="1">
      <alignment horizontal="center" vertical="center"/>
    </xf>
    <xf numFmtId="43" fontId="2" fillId="5" borderId="22" xfId="1" applyFont="1" applyFill="1" applyBorder="1" applyAlignment="1">
      <alignment vertical="center"/>
    </xf>
    <xf numFmtId="0" fontId="2" fillId="5" borderId="22" xfId="0" applyFont="1" applyFill="1" applyBorder="1"/>
    <xf numFmtId="164" fontId="10" fillId="3" borderId="22" xfId="0" applyNumberFormat="1" applyFont="1" applyFill="1" applyBorder="1" applyAlignment="1">
      <alignment horizontal="center" vertical="center" wrapText="1"/>
    </xf>
    <xf numFmtId="43" fontId="10" fillId="3" borderId="22" xfId="1" applyFont="1" applyFill="1" applyBorder="1" applyAlignment="1">
      <alignment horizontal="center" vertical="center"/>
    </xf>
    <xf numFmtId="0" fontId="10" fillId="3" borderId="22" xfId="0" applyFont="1" applyFill="1" applyBorder="1"/>
    <xf numFmtId="0" fontId="10" fillId="0" borderId="23" xfId="0" applyFont="1" applyBorder="1" applyAlignment="1">
      <alignment horizontal="center" vertical="center" wrapText="1"/>
    </xf>
    <xf numFmtId="0" fontId="10" fillId="0" borderId="23" xfId="0" applyFont="1" applyBorder="1" applyAlignment="1">
      <alignment vertical="center" wrapText="1"/>
    </xf>
    <xf numFmtId="0" fontId="2" fillId="0" borderId="23" xfId="0" applyFont="1" applyBorder="1" applyAlignment="1">
      <alignment vertical="center" wrapText="1"/>
    </xf>
    <xf numFmtId="0" fontId="10" fillId="3" borderId="23" xfId="0" quotePrefix="1" applyFont="1" applyFill="1" applyBorder="1" applyAlignment="1">
      <alignment horizontal="center" vertical="center" wrapText="1"/>
    </xf>
    <xf numFmtId="0" fontId="10" fillId="3" borderId="23" xfId="0" applyFont="1" applyFill="1" applyBorder="1" applyAlignment="1">
      <alignment horizontal="center" vertical="center" wrapText="1"/>
    </xf>
    <xf numFmtId="164" fontId="10" fillId="3" borderId="23" xfId="0" applyNumberFormat="1" applyFont="1" applyFill="1" applyBorder="1" applyAlignment="1">
      <alignment horizontal="center" vertical="center" wrapText="1"/>
    </xf>
    <xf numFmtId="43" fontId="10" fillId="3" borderId="23" xfId="1" applyFont="1" applyFill="1" applyBorder="1" applyAlignment="1">
      <alignment horizontal="center" vertical="center"/>
    </xf>
    <xf numFmtId="0" fontId="10" fillId="3" borderId="23" xfId="0" applyFont="1" applyFill="1" applyBorder="1"/>
    <xf numFmtId="43" fontId="2" fillId="0" borderId="22" xfId="1" applyFont="1" applyFill="1" applyBorder="1" applyAlignment="1">
      <alignment horizontal="center" vertical="center"/>
    </xf>
    <xf numFmtId="43" fontId="2" fillId="0" borderId="22" xfId="1" applyFont="1" applyFill="1" applyBorder="1" applyAlignment="1">
      <alignment vertical="center"/>
    </xf>
    <xf numFmtId="0" fontId="2" fillId="0" borderId="22" xfId="0" applyFont="1" applyBorder="1" applyAlignment="1">
      <alignment horizontal="left" vertical="center" wrapText="1"/>
    </xf>
    <xf numFmtId="0" fontId="2" fillId="3" borderId="22" xfId="0" applyFont="1" applyFill="1" applyBorder="1" applyAlignment="1">
      <alignment horizontal="center" vertical="center"/>
    </xf>
    <xf numFmtId="0" fontId="2" fillId="0" borderId="0" xfId="0" applyFont="1" applyAlignment="1">
      <alignment horizontal="left" vertical="center" wrapText="1"/>
    </xf>
    <xf numFmtId="0" fontId="24" fillId="0" borderId="0" xfId="0" applyFont="1" applyAlignment="1">
      <alignment horizontal="left"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xf>
    <xf numFmtId="0" fontId="9" fillId="8" borderId="3"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4"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4" xfId="0" applyFont="1" applyFill="1" applyBorder="1"/>
    <xf numFmtId="0" fontId="10" fillId="8" borderId="4" xfId="0" applyFont="1" applyFill="1" applyBorder="1" applyAlignment="1">
      <alignment horizontal="center" vertical="center"/>
    </xf>
    <xf numFmtId="0" fontId="2" fillId="8" borderId="22" xfId="0" applyFont="1" applyFill="1" applyBorder="1" applyAlignment="1">
      <alignment horizontal="center" vertical="center"/>
    </xf>
    <xf numFmtId="0" fontId="10" fillId="8" borderId="22" xfId="0" applyFont="1" applyFill="1" applyBorder="1" applyAlignment="1">
      <alignment horizontal="center" vertical="center"/>
    </xf>
    <xf numFmtId="43" fontId="2" fillId="8" borderId="22" xfId="1" applyFont="1" applyFill="1" applyBorder="1" applyAlignment="1">
      <alignment horizontal="center" vertical="center"/>
    </xf>
    <xf numFmtId="43" fontId="10" fillId="8" borderId="23" xfId="1" applyFont="1" applyFill="1" applyBorder="1" applyAlignment="1">
      <alignment horizontal="center" vertical="center"/>
    </xf>
    <xf numFmtId="43" fontId="10" fillId="8" borderId="22" xfId="1" applyFont="1" applyFill="1" applyBorder="1" applyAlignment="1">
      <alignment horizontal="center" vertical="center"/>
    </xf>
    <xf numFmtId="0" fontId="0" fillId="8" borderId="5" xfId="0" applyFill="1" applyBorder="1" applyAlignment="1">
      <alignment horizontal="center"/>
    </xf>
    <xf numFmtId="0" fontId="0" fillId="9" borderId="5" xfId="0" applyFill="1" applyBorder="1" applyAlignment="1">
      <alignment horizontal="center"/>
    </xf>
    <xf numFmtId="0" fontId="0" fillId="0" borderId="30" xfId="0" applyBorder="1" applyAlignment="1">
      <alignment horizontal="right"/>
    </xf>
    <xf numFmtId="0" fontId="0" fillId="9" borderId="31" xfId="0" applyFill="1" applyBorder="1"/>
    <xf numFmtId="0" fontId="0" fillId="0" borderId="32" xfId="0" applyBorder="1" applyAlignment="1">
      <alignment horizontal="right"/>
    </xf>
    <xf numFmtId="0" fontId="0" fillId="10" borderId="33" xfId="0" applyFill="1" applyBorder="1"/>
    <xf numFmtId="0" fontId="0" fillId="0" borderId="34" xfId="0" applyBorder="1" applyAlignment="1">
      <alignment horizontal="right"/>
    </xf>
    <xf numFmtId="0" fontId="0" fillId="8" borderId="35" xfId="0" applyFill="1" applyBorder="1"/>
    <xf numFmtId="0" fontId="2" fillId="11" borderId="22" xfId="0" applyFont="1" applyFill="1" applyBorder="1" applyAlignment="1">
      <alignment horizontal="center" vertical="center"/>
    </xf>
    <xf numFmtId="0" fontId="17" fillId="0" borderId="0" xfId="0" applyFont="1" applyAlignment="1">
      <alignment horizontal="center" vertical="center" wrapText="1"/>
    </xf>
    <xf numFmtId="0" fontId="25" fillId="0" borderId="28" xfId="0" applyFont="1" applyBorder="1" applyAlignment="1">
      <alignment horizontal="center"/>
    </xf>
    <xf numFmtId="0" fontId="25" fillId="0" borderId="29" xfId="0" applyFont="1" applyBorder="1" applyAlignment="1">
      <alignment horizontal="center"/>
    </xf>
    <xf numFmtId="0" fontId="8" fillId="8" borderId="22"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11" xfId="0" applyFont="1" applyFill="1" applyBorder="1" applyAlignment="1">
      <alignment horizont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1" xfId="0" applyFont="1" applyFill="1" applyBorder="1" applyAlignment="1">
      <alignment horizontal="center" vertical="center"/>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7" fillId="0" borderId="1" xfId="0" applyFont="1" applyBorder="1" applyAlignment="1">
      <alignment horizontal="center" vertical="center"/>
    </xf>
    <xf numFmtId="43" fontId="9" fillId="2" borderId="2" xfId="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9DC040D7-257F-4BB6-AC91-2BA6A035F9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624473" y="332301"/>
          <a:ext cx="1722266" cy="8016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4F8D7CD-9770-44BE-B0E0-E9CD5DCBB6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614675" y="294701"/>
          <a:ext cx="1463318" cy="891608"/>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513AF455-74D0-447B-9D9C-B403052366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4660"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376941</xdr:colOff>
      <xdr:row>6</xdr:row>
      <xdr:rowOff>1349373</xdr:rowOff>
    </xdr:to>
    <xdr:pic>
      <xdr:nvPicPr>
        <xdr:cNvPr id="5" name="Imagen 4">
          <a:extLst>
            <a:ext uri="{FF2B5EF4-FFF2-40B4-BE49-F238E27FC236}">
              <a16:creationId xmlns:a16="http://schemas.microsoft.com/office/drawing/2014/main" id="{DBB8E611-B699-48BC-8B88-84DF9CC1BAE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2903393" y="3487739"/>
          <a:ext cx="1863897"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CF8A5B04-6BBF-4D72-974C-16B8087F36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94733" y="351998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8436DA3-5CAD-45D5-9E2A-022FC319C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6981" y="3397078"/>
          <a:ext cx="6975894" cy="9250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746C8009-5793-41E6-B96C-B52F68CAD7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336007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1F90094B-79E1-4D2B-BE49-372CE11798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1807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A8CC13C-5001-4E6F-A91E-FCA40E828C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8425" y="786152"/>
          <a:ext cx="6975894" cy="9250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E3B979D0-E918-4B00-8F9A-9DED893390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16092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EB708169-282E-4769-A172-24D9142ACB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892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C6B5EF6-931F-4CEF-BAC0-954955119B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10660" y="786152"/>
          <a:ext cx="6975894" cy="92508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73FB-E480-4C66-95A8-57905294B660}">
  <dimension ref="B3:D23"/>
  <sheetViews>
    <sheetView workbookViewId="0">
      <selection activeCell="H12" sqref="H12"/>
    </sheetView>
  </sheetViews>
  <sheetFormatPr baseColWidth="10" defaultRowHeight="15" x14ac:dyDescent="0.25"/>
  <cols>
    <col min="2" max="3" width="30.5703125" customWidth="1"/>
    <col min="4" max="4" width="21.28515625" bestFit="1" customWidth="1"/>
  </cols>
  <sheetData>
    <row r="3" spans="2:4" ht="31.5" customHeight="1" x14ac:dyDescent="0.25">
      <c r="B3" s="131" t="s">
        <v>134</v>
      </c>
      <c r="C3" s="131"/>
    </row>
    <row r="5" spans="2:4" ht="45" x14ac:dyDescent="0.25">
      <c r="B5" s="15" t="s">
        <v>152</v>
      </c>
      <c r="C5" s="15" t="s">
        <v>135</v>
      </c>
      <c r="D5" s="15" t="s">
        <v>513</v>
      </c>
    </row>
    <row r="6" spans="2:4" x14ac:dyDescent="0.25">
      <c r="B6" s="123" t="s">
        <v>136</v>
      </c>
      <c r="C6" s="123" t="s">
        <v>153</v>
      </c>
      <c r="D6" s="123" t="s">
        <v>514</v>
      </c>
    </row>
    <row r="7" spans="2:4" x14ac:dyDescent="0.25">
      <c r="B7" s="122" t="s">
        <v>137</v>
      </c>
      <c r="C7" s="122" t="s">
        <v>154</v>
      </c>
      <c r="D7" s="122"/>
    </row>
    <row r="8" spans="2:4" x14ac:dyDescent="0.25">
      <c r="B8" s="14" t="s">
        <v>138</v>
      </c>
      <c r="C8" s="14" t="s">
        <v>155</v>
      </c>
      <c r="D8" s="14"/>
    </row>
    <row r="9" spans="2:4" x14ac:dyDescent="0.25">
      <c r="B9" s="14" t="s">
        <v>139</v>
      </c>
      <c r="C9" s="14" t="s">
        <v>140</v>
      </c>
      <c r="D9" s="14"/>
    </row>
    <row r="10" spans="2:4" x14ac:dyDescent="0.25">
      <c r="B10" s="14" t="s">
        <v>141</v>
      </c>
      <c r="C10" s="14" t="s">
        <v>156</v>
      </c>
      <c r="D10" s="14"/>
    </row>
    <row r="11" spans="2:4" x14ac:dyDescent="0.25">
      <c r="B11" s="14" t="s">
        <v>142</v>
      </c>
      <c r="C11" s="14" t="s">
        <v>157</v>
      </c>
      <c r="D11" s="14"/>
    </row>
    <row r="12" spans="2:4" x14ac:dyDescent="0.25">
      <c r="B12" s="14" t="s">
        <v>143</v>
      </c>
      <c r="C12" s="14" t="s">
        <v>144</v>
      </c>
      <c r="D12" s="14"/>
    </row>
    <row r="13" spans="2:4" x14ac:dyDescent="0.25">
      <c r="B13" s="14" t="s">
        <v>145</v>
      </c>
      <c r="C13" s="14" t="s">
        <v>146</v>
      </c>
      <c r="D13" s="14"/>
    </row>
    <row r="14" spans="2:4" x14ac:dyDescent="0.25">
      <c r="B14" s="14" t="s">
        <v>147</v>
      </c>
      <c r="C14" s="14" t="s">
        <v>158</v>
      </c>
      <c r="D14" s="14"/>
    </row>
    <row r="15" spans="2:4" x14ac:dyDescent="0.25">
      <c r="B15" s="14" t="s">
        <v>148</v>
      </c>
      <c r="C15" s="14" t="s">
        <v>159</v>
      </c>
      <c r="D15" s="14"/>
    </row>
    <row r="16" spans="2:4" x14ac:dyDescent="0.25">
      <c r="B16" s="14" t="s">
        <v>149</v>
      </c>
      <c r="C16" s="14" t="s">
        <v>150</v>
      </c>
      <c r="D16" s="14"/>
    </row>
    <row r="17" spans="2:4" x14ac:dyDescent="0.25">
      <c r="B17" s="14" t="s">
        <v>151</v>
      </c>
      <c r="C17" s="14" t="s">
        <v>160</v>
      </c>
      <c r="D17" s="14"/>
    </row>
    <row r="19" spans="2:4" ht="15.75" thickBot="1" x14ac:dyDescent="0.3"/>
    <row r="20" spans="2:4" ht="15.75" thickBot="1" x14ac:dyDescent="0.3">
      <c r="B20" s="132" t="s">
        <v>515</v>
      </c>
      <c r="C20" s="133"/>
    </row>
    <row r="21" spans="2:4" x14ac:dyDescent="0.25">
      <c r="B21" s="124" t="s">
        <v>514</v>
      </c>
      <c r="C21" s="125"/>
    </row>
    <row r="22" spans="2:4" x14ac:dyDescent="0.25">
      <c r="B22" s="126" t="s">
        <v>516</v>
      </c>
      <c r="C22" s="127"/>
    </row>
    <row r="23" spans="2:4" ht="15.75" thickBot="1" x14ac:dyDescent="0.3">
      <c r="B23" s="128" t="s">
        <v>517</v>
      </c>
      <c r="C23" s="129"/>
    </row>
  </sheetData>
  <mergeCells count="2">
    <mergeCell ref="B3:C3"/>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48AF-762D-4839-B347-80C4F06D46B3}">
  <sheetPr>
    <tabColor rgb="FFFF0000"/>
    <pageSetUpPr fitToPage="1"/>
  </sheetPr>
  <dimension ref="A1:AE60"/>
  <sheetViews>
    <sheetView showGridLines="0" tabSelected="1" topLeftCell="L7" zoomScale="60" zoomScaleNormal="60" zoomScalePageLayoutView="71" workbookViewId="0">
      <pane ySplit="4" topLeftCell="A11" activePane="bottomLeft" state="frozen"/>
      <selection activeCell="BI7" sqref="BI7"/>
      <selection pane="bottomLeft" activeCell="V15" sqref="V15"/>
    </sheetView>
  </sheetViews>
  <sheetFormatPr baseColWidth="10" defaultColWidth="11.42578125" defaultRowHeight="24" x14ac:dyDescent="0.4"/>
  <cols>
    <col min="1" max="1" width="255.7109375" style="1" bestFit="1" customWidth="1"/>
    <col min="2" max="2" width="133.7109375" style="1" bestFit="1" customWidth="1"/>
    <col min="3" max="3" width="255.7109375" style="1" bestFit="1" customWidth="1"/>
    <col min="4" max="4" width="48.140625" style="1" customWidth="1"/>
    <col min="5" max="5" width="94.7109375" style="10" customWidth="1"/>
    <col min="6" max="6" width="35.5703125" style="10" customWidth="1"/>
    <col min="7" max="7" width="56.7109375" style="1" customWidth="1"/>
    <col min="8" max="8" width="33.140625" style="1" customWidth="1"/>
    <col min="9" max="9" width="48.5703125" style="1" customWidth="1"/>
    <col min="10" max="10" width="34.5703125" style="1" customWidth="1"/>
    <col min="11" max="11" width="83.5703125" style="1" customWidth="1"/>
    <col min="12" max="12" width="58.5703125" style="1" customWidth="1"/>
    <col min="13" max="14" width="52.42578125" style="1" customWidth="1"/>
    <col min="15" max="15" width="25" style="1" customWidth="1"/>
    <col min="16" max="16" width="28" style="1" customWidth="1"/>
    <col min="17" max="17" width="25.85546875" style="1" customWidth="1"/>
    <col min="18" max="18" width="34.28515625" style="1" customWidth="1"/>
    <col min="19" max="19" width="27.42578125" style="11" customWidth="1"/>
    <col min="20" max="20" width="34" style="1" customWidth="1"/>
    <col min="21" max="21" width="33.7109375" style="1" customWidth="1"/>
    <col min="22" max="22" width="34.5703125" style="1" customWidth="1"/>
    <col min="23" max="23" width="33.5703125" style="12" customWidth="1"/>
    <col min="24" max="24" width="34.140625" style="1" customWidth="1"/>
    <col min="25" max="25" width="35.140625" style="1" customWidth="1"/>
    <col min="26" max="26" width="32.42578125" style="1" customWidth="1"/>
    <col min="27" max="27" width="37.5703125" style="12" customWidth="1"/>
    <col min="28" max="28" width="31.28515625" style="1" customWidth="1"/>
    <col min="29" max="29" width="34.5703125" style="1" customWidth="1"/>
    <col min="30" max="30" width="43.42578125" style="1" customWidth="1"/>
    <col min="31" max="31" width="61.85546875" style="1" bestFit="1" customWidth="1"/>
    <col min="32" max="16384" width="11.42578125" style="1"/>
  </cols>
  <sheetData>
    <row r="1" spans="1:31" ht="54.75" customHeight="1" x14ac:dyDescent="0.4">
      <c r="E1" s="1"/>
      <c r="F1" s="1"/>
      <c r="G1" s="137"/>
      <c r="H1" s="137"/>
      <c r="I1" s="137"/>
      <c r="J1" s="137"/>
      <c r="K1" s="137"/>
      <c r="L1" s="137"/>
      <c r="M1" s="137"/>
      <c r="N1" s="137"/>
      <c r="O1" s="137"/>
      <c r="P1" s="137"/>
      <c r="Q1" s="137"/>
      <c r="R1" s="137"/>
      <c r="S1" s="137"/>
      <c r="T1" s="137"/>
      <c r="U1" s="137"/>
      <c r="V1" s="137"/>
      <c r="W1" s="137"/>
      <c r="X1" s="137"/>
      <c r="Y1" s="137"/>
      <c r="Z1" s="137"/>
      <c r="AA1" s="137"/>
      <c r="AB1" s="137"/>
    </row>
    <row r="2" spans="1:31" ht="54.75" customHeight="1" x14ac:dyDescent="0.4">
      <c r="E2" s="1"/>
      <c r="F2" s="1"/>
      <c r="G2" s="137"/>
      <c r="H2" s="137"/>
      <c r="I2" s="137"/>
      <c r="J2" s="137"/>
      <c r="K2" s="137"/>
      <c r="L2" s="137"/>
      <c r="M2" s="137"/>
      <c r="N2" s="137"/>
      <c r="O2" s="137"/>
      <c r="P2" s="137"/>
      <c r="Q2" s="137"/>
      <c r="R2" s="137"/>
      <c r="S2" s="137"/>
      <c r="T2" s="137"/>
      <c r="U2" s="137"/>
      <c r="V2" s="137"/>
      <c r="W2" s="137"/>
      <c r="X2" s="137"/>
      <c r="Y2" s="137"/>
      <c r="Z2" s="137"/>
      <c r="AA2" s="137"/>
      <c r="AB2" s="137"/>
    </row>
    <row r="3" spans="1:31" ht="30.75" customHeight="1" x14ac:dyDescent="0.4">
      <c r="E3" s="2"/>
      <c r="F3" s="1"/>
      <c r="G3" s="3"/>
      <c r="H3" s="3"/>
      <c r="I3" s="4"/>
      <c r="J3" s="4"/>
      <c r="K3" s="4"/>
      <c r="L3" s="4"/>
      <c r="M3" s="5"/>
      <c r="N3" s="5"/>
      <c r="O3" s="5"/>
      <c r="P3" s="5"/>
      <c r="Q3" s="5"/>
      <c r="R3" s="5"/>
      <c r="S3" s="5"/>
      <c r="T3" s="5"/>
      <c r="U3" s="5"/>
      <c r="V3" s="5"/>
      <c r="W3" s="5"/>
      <c r="X3" s="5"/>
      <c r="Y3" s="5"/>
      <c r="Z3" s="5"/>
      <c r="AA3" s="5"/>
      <c r="AB3" s="5"/>
    </row>
    <row r="4" spans="1:31" ht="30.75" customHeight="1" x14ac:dyDescent="0.4">
      <c r="E4" s="2"/>
      <c r="F4" s="1"/>
      <c r="G4" s="3"/>
      <c r="H4" s="3"/>
      <c r="I4" s="4"/>
      <c r="J4" s="4"/>
      <c r="K4" s="4"/>
      <c r="L4" s="4"/>
      <c r="M4" s="5"/>
      <c r="N4" s="5"/>
      <c r="O4" s="5"/>
      <c r="P4" s="5"/>
      <c r="Q4" s="5"/>
      <c r="R4" s="5"/>
      <c r="S4" s="5"/>
      <c r="T4" s="5"/>
      <c r="U4" s="5"/>
      <c r="V4" s="5"/>
      <c r="W4" s="5"/>
      <c r="X4" s="5"/>
      <c r="Y4" s="5"/>
      <c r="Z4" s="5"/>
      <c r="AA4" s="5"/>
      <c r="AB4" s="5"/>
    </row>
    <row r="5" spans="1:31" ht="30.75" customHeight="1" x14ac:dyDescent="0.4">
      <c r="E5" s="2"/>
      <c r="F5" s="1"/>
      <c r="G5" s="3"/>
      <c r="H5" s="3"/>
      <c r="I5" s="4"/>
      <c r="J5" s="4"/>
      <c r="K5" s="4"/>
      <c r="L5" s="4"/>
      <c r="M5" s="5"/>
      <c r="N5" s="5"/>
      <c r="O5" s="5"/>
      <c r="P5" s="5"/>
      <c r="Q5" s="5"/>
      <c r="R5" s="5"/>
      <c r="S5" s="5"/>
      <c r="T5" s="5"/>
      <c r="U5" s="5"/>
      <c r="V5" s="5"/>
      <c r="W5" s="5"/>
      <c r="X5" s="5"/>
      <c r="Y5" s="5"/>
      <c r="Z5" s="5"/>
      <c r="AA5" s="5"/>
      <c r="AB5" s="5"/>
    </row>
    <row r="6" spans="1:31" ht="30.75" customHeight="1" x14ac:dyDescent="0.4">
      <c r="E6" s="2"/>
      <c r="F6" s="1"/>
      <c r="G6" s="3"/>
      <c r="H6" s="3"/>
      <c r="I6" s="4"/>
      <c r="J6" s="4"/>
      <c r="K6" s="4"/>
      <c r="L6" s="4"/>
      <c r="M6" s="5"/>
      <c r="N6" s="5"/>
      <c r="O6" s="5"/>
      <c r="P6" s="5"/>
      <c r="Q6" s="5"/>
      <c r="R6" s="5"/>
      <c r="S6" s="5"/>
      <c r="T6" s="5"/>
      <c r="U6" s="5"/>
      <c r="V6" s="5"/>
      <c r="W6" s="5"/>
      <c r="X6" s="5"/>
      <c r="Y6" s="5"/>
      <c r="Z6" s="5"/>
      <c r="AA6" s="5"/>
      <c r="AB6" s="5"/>
    </row>
    <row r="7" spans="1:31" ht="108" customHeight="1" x14ac:dyDescent="0.4">
      <c r="D7" s="138" t="s">
        <v>508</v>
      </c>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row>
    <row r="8" spans="1:31" ht="25.5" customHeight="1" x14ac:dyDescent="0.4">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spans="1:31" ht="54" customHeight="1" x14ac:dyDescent="0.4">
      <c r="A9" s="139"/>
      <c r="B9" s="139"/>
      <c r="C9" s="139"/>
      <c r="D9" s="139"/>
      <c r="E9" s="139"/>
      <c r="F9" s="139"/>
      <c r="G9" s="139"/>
      <c r="H9" s="139"/>
      <c r="I9" s="139"/>
      <c r="J9" s="139"/>
      <c r="K9" s="64"/>
      <c r="L9" s="64"/>
      <c r="M9" s="139" t="s">
        <v>0</v>
      </c>
      <c r="N9" s="139"/>
      <c r="O9" s="139"/>
      <c r="P9" s="139"/>
      <c r="Q9" s="139"/>
      <c r="R9" s="139"/>
      <c r="S9" s="139"/>
      <c r="T9" s="139"/>
      <c r="U9" s="139"/>
      <c r="V9" s="139"/>
      <c r="W9" s="139"/>
      <c r="X9" s="139"/>
      <c r="Y9" s="139"/>
      <c r="Z9" s="139"/>
      <c r="AA9" s="139"/>
      <c r="AB9" s="139"/>
      <c r="AC9" s="140" t="s">
        <v>1</v>
      </c>
      <c r="AD9" s="140" t="s">
        <v>2</v>
      </c>
      <c r="AE9" s="134" t="s">
        <v>512</v>
      </c>
    </row>
    <row r="10" spans="1:31" ht="105" customHeight="1" x14ac:dyDescent="0.4">
      <c r="A10" s="65" t="s">
        <v>3</v>
      </c>
      <c r="B10" s="65" t="s">
        <v>4</v>
      </c>
      <c r="C10" s="65" t="s">
        <v>5</v>
      </c>
      <c r="D10" s="65" t="s">
        <v>6</v>
      </c>
      <c r="E10" s="66" t="s">
        <v>7</v>
      </c>
      <c r="F10" s="65" t="s">
        <v>8</v>
      </c>
      <c r="G10" s="66" t="s">
        <v>9</v>
      </c>
      <c r="H10" s="66" t="s">
        <v>6</v>
      </c>
      <c r="I10" s="65" t="s">
        <v>10</v>
      </c>
      <c r="J10" s="65" t="s">
        <v>8</v>
      </c>
      <c r="K10" s="65" t="s">
        <v>11</v>
      </c>
      <c r="L10" s="65" t="s">
        <v>12</v>
      </c>
      <c r="M10" s="65" t="s">
        <v>13</v>
      </c>
      <c r="N10" s="65" t="s">
        <v>14</v>
      </c>
      <c r="O10" s="65">
        <v>1</v>
      </c>
      <c r="P10" s="107" t="s">
        <v>509</v>
      </c>
      <c r="Q10" s="65">
        <v>2</v>
      </c>
      <c r="R10" s="107" t="s">
        <v>510</v>
      </c>
      <c r="S10" s="65">
        <v>3</v>
      </c>
      <c r="T10" s="65">
        <v>4</v>
      </c>
      <c r="U10" s="65">
        <v>5</v>
      </c>
      <c r="V10" s="65">
        <v>6</v>
      </c>
      <c r="W10" s="65">
        <v>7</v>
      </c>
      <c r="X10" s="65">
        <v>8</v>
      </c>
      <c r="Y10" s="65">
        <v>9</v>
      </c>
      <c r="Z10" s="65">
        <v>10</v>
      </c>
      <c r="AA10" s="65">
        <v>11</v>
      </c>
      <c r="AB10" s="65">
        <v>12</v>
      </c>
      <c r="AC10" s="140"/>
      <c r="AD10" s="140"/>
      <c r="AE10" s="134"/>
    </row>
    <row r="11" spans="1:31" ht="50.25" hidden="1" customHeight="1" x14ac:dyDescent="0.4">
      <c r="A11" s="67" t="s">
        <v>15</v>
      </c>
      <c r="B11" s="68" t="s">
        <v>16</v>
      </c>
      <c r="C11" s="68" t="s">
        <v>17</v>
      </c>
      <c r="D11" s="69" t="s">
        <v>18</v>
      </c>
      <c r="E11" s="68" t="s">
        <v>19</v>
      </c>
      <c r="F11" s="67" t="s">
        <v>20</v>
      </c>
      <c r="G11" s="67" t="s">
        <v>21</v>
      </c>
      <c r="H11" s="69" t="s">
        <v>22</v>
      </c>
      <c r="I11" s="67" t="s">
        <v>23</v>
      </c>
      <c r="J11" s="70" t="s">
        <v>24</v>
      </c>
      <c r="K11" s="70" t="s">
        <v>25</v>
      </c>
      <c r="L11" s="70" t="s">
        <v>26</v>
      </c>
      <c r="M11" s="71" t="s">
        <v>27</v>
      </c>
      <c r="N11" s="71"/>
      <c r="O11" s="72">
        <v>1</v>
      </c>
      <c r="P11" s="117"/>
      <c r="Q11" s="72"/>
      <c r="R11" s="117"/>
      <c r="S11" s="72">
        <v>1</v>
      </c>
      <c r="T11" s="72">
        <v>2</v>
      </c>
      <c r="U11" s="72">
        <v>1</v>
      </c>
      <c r="V11" s="72">
        <v>1</v>
      </c>
      <c r="W11" s="72">
        <v>1</v>
      </c>
      <c r="X11" s="72">
        <v>1</v>
      </c>
      <c r="Y11" s="72"/>
      <c r="Z11" s="72">
        <v>1</v>
      </c>
      <c r="AA11" s="72"/>
      <c r="AB11" s="72">
        <v>1</v>
      </c>
      <c r="AC11" s="72">
        <f t="shared" ref="AC11:AC17" si="0">SUM(O11:AB11)</f>
        <v>10</v>
      </c>
      <c r="AD11" s="67" t="s">
        <v>28</v>
      </c>
      <c r="AE11" s="67"/>
    </row>
    <row r="12" spans="1:31" ht="50.25" hidden="1" customHeight="1" x14ac:dyDescent="0.4">
      <c r="A12" s="67" t="s">
        <v>15</v>
      </c>
      <c r="B12" s="68" t="s">
        <v>16</v>
      </c>
      <c r="C12" s="68" t="s">
        <v>17</v>
      </c>
      <c r="D12" s="69" t="s">
        <v>18</v>
      </c>
      <c r="E12" s="68" t="s">
        <v>19</v>
      </c>
      <c r="F12" s="67" t="s">
        <v>20</v>
      </c>
      <c r="G12" s="67" t="s">
        <v>29</v>
      </c>
      <c r="H12" s="69" t="s">
        <v>30</v>
      </c>
      <c r="I12" s="67" t="s">
        <v>31</v>
      </c>
      <c r="J12" s="67" t="s">
        <v>32</v>
      </c>
      <c r="K12" s="67" t="s">
        <v>33</v>
      </c>
      <c r="L12" s="67" t="s">
        <v>34</v>
      </c>
      <c r="M12" s="71" t="s">
        <v>27</v>
      </c>
      <c r="N12" s="71"/>
      <c r="O12" s="72">
        <v>4</v>
      </c>
      <c r="P12" s="117"/>
      <c r="Q12" s="72">
        <v>4</v>
      </c>
      <c r="R12" s="117"/>
      <c r="S12" s="72">
        <v>4</v>
      </c>
      <c r="T12" s="72">
        <v>4</v>
      </c>
      <c r="U12" s="72">
        <v>4</v>
      </c>
      <c r="V12" s="72">
        <v>4</v>
      </c>
      <c r="W12" s="72">
        <v>4</v>
      </c>
      <c r="X12" s="72">
        <v>4</v>
      </c>
      <c r="Y12" s="72">
        <v>4</v>
      </c>
      <c r="Z12" s="72">
        <v>4</v>
      </c>
      <c r="AA12" s="72">
        <v>4</v>
      </c>
      <c r="AB12" s="72">
        <v>4</v>
      </c>
      <c r="AC12" s="72">
        <f t="shared" si="0"/>
        <v>48</v>
      </c>
      <c r="AD12" s="67" t="s">
        <v>35</v>
      </c>
      <c r="AE12" s="67"/>
    </row>
    <row r="13" spans="1:31" ht="50.25" hidden="1" customHeight="1" x14ac:dyDescent="0.4">
      <c r="A13" s="67" t="s">
        <v>15</v>
      </c>
      <c r="B13" s="68" t="s">
        <v>16</v>
      </c>
      <c r="C13" s="68" t="s">
        <v>17</v>
      </c>
      <c r="D13" s="69" t="s">
        <v>18</v>
      </c>
      <c r="E13" s="68" t="s">
        <v>19</v>
      </c>
      <c r="F13" s="67" t="s">
        <v>20</v>
      </c>
      <c r="G13" s="67" t="s">
        <v>21</v>
      </c>
      <c r="H13" s="69" t="s">
        <v>36</v>
      </c>
      <c r="I13" s="67" t="s">
        <v>37</v>
      </c>
      <c r="J13" s="70" t="s">
        <v>24</v>
      </c>
      <c r="K13" s="70" t="s">
        <v>38</v>
      </c>
      <c r="L13" s="70" t="s">
        <v>39</v>
      </c>
      <c r="M13" s="71" t="s">
        <v>27</v>
      </c>
      <c r="N13" s="71"/>
      <c r="O13" s="72">
        <v>1</v>
      </c>
      <c r="P13" s="117"/>
      <c r="Q13" s="72">
        <v>1</v>
      </c>
      <c r="R13" s="117"/>
      <c r="S13" s="72">
        <v>1</v>
      </c>
      <c r="T13" s="72">
        <v>1</v>
      </c>
      <c r="U13" s="72">
        <v>1</v>
      </c>
      <c r="V13" s="72">
        <v>1</v>
      </c>
      <c r="W13" s="72">
        <v>1</v>
      </c>
      <c r="X13" s="72">
        <v>1</v>
      </c>
      <c r="Y13" s="72">
        <v>1</v>
      </c>
      <c r="Z13" s="72">
        <v>1</v>
      </c>
      <c r="AA13" s="72">
        <v>1</v>
      </c>
      <c r="AB13" s="72">
        <v>1</v>
      </c>
      <c r="AC13" s="72">
        <f t="shared" si="0"/>
        <v>12</v>
      </c>
      <c r="AD13" s="67" t="s">
        <v>40</v>
      </c>
      <c r="AE13" s="67"/>
    </row>
    <row r="14" spans="1:31" ht="12" hidden="1" customHeight="1" x14ac:dyDescent="0.4">
      <c r="A14" s="67" t="s">
        <v>15</v>
      </c>
      <c r="B14" s="68" t="s">
        <v>16</v>
      </c>
      <c r="C14" s="68" t="s">
        <v>17</v>
      </c>
      <c r="D14" s="69" t="s">
        <v>18</v>
      </c>
      <c r="E14" s="68" t="s">
        <v>19</v>
      </c>
      <c r="F14" s="67" t="s">
        <v>20</v>
      </c>
      <c r="G14" s="67" t="s">
        <v>29</v>
      </c>
      <c r="H14" s="69" t="s">
        <v>41</v>
      </c>
      <c r="I14" s="67" t="s">
        <v>42</v>
      </c>
      <c r="J14" s="67" t="s">
        <v>32</v>
      </c>
      <c r="K14" s="67" t="s">
        <v>43</v>
      </c>
      <c r="L14" s="67" t="s">
        <v>44</v>
      </c>
      <c r="M14" s="71" t="s">
        <v>27</v>
      </c>
      <c r="N14" s="71"/>
      <c r="O14" s="72">
        <v>2</v>
      </c>
      <c r="P14" s="117"/>
      <c r="Q14" s="72">
        <v>2</v>
      </c>
      <c r="R14" s="117"/>
      <c r="S14" s="72">
        <v>2</v>
      </c>
      <c r="T14" s="72">
        <v>2</v>
      </c>
      <c r="U14" s="72">
        <v>2</v>
      </c>
      <c r="V14" s="72">
        <v>2</v>
      </c>
      <c r="W14" s="72">
        <v>2</v>
      </c>
      <c r="X14" s="72">
        <v>2</v>
      </c>
      <c r="Y14" s="72">
        <v>2</v>
      </c>
      <c r="Z14" s="72">
        <v>2</v>
      </c>
      <c r="AA14" s="72">
        <v>2</v>
      </c>
      <c r="AB14" s="72">
        <v>2</v>
      </c>
      <c r="AC14" s="72">
        <f t="shared" si="0"/>
        <v>24</v>
      </c>
      <c r="AD14" s="67" t="s">
        <v>45</v>
      </c>
      <c r="AE14" s="67"/>
    </row>
    <row r="15" spans="1:31" ht="268.5" customHeight="1" x14ac:dyDescent="0.4">
      <c r="A15" s="67" t="s">
        <v>15</v>
      </c>
      <c r="B15" s="68" t="s">
        <v>16</v>
      </c>
      <c r="C15" s="68" t="s">
        <v>17</v>
      </c>
      <c r="D15" s="69" t="s">
        <v>18</v>
      </c>
      <c r="E15" s="68" t="s">
        <v>19</v>
      </c>
      <c r="F15" s="67" t="s">
        <v>20</v>
      </c>
      <c r="G15" s="67" t="s">
        <v>29</v>
      </c>
      <c r="H15" s="69" t="s">
        <v>46</v>
      </c>
      <c r="I15" s="67" t="s">
        <v>47</v>
      </c>
      <c r="J15" s="67" t="s">
        <v>32</v>
      </c>
      <c r="K15" s="67" t="s">
        <v>48</v>
      </c>
      <c r="L15" s="67" t="s">
        <v>49</v>
      </c>
      <c r="M15" s="71" t="s">
        <v>27</v>
      </c>
      <c r="N15" s="71"/>
      <c r="O15" s="130">
        <v>66</v>
      </c>
      <c r="P15" s="117"/>
      <c r="Q15" s="130">
        <v>66</v>
      </c>
      <c r="R15" s="117"/>
      <c r="S15" s="130">
        <v>222</v>
      </c>
      <c r="T15" s="130">
        <v>146</v>
      </c>
      <c r="U15" s="130">
        <v>162</v>
      </c>
      <c r="V15" s="72"/>
      <c r="W15" s="72"/>
      <c r="X15" s="72"/>
      <c r="Y15" s="72"/>
      <c r="Z15" s="72"/>
      <c r="AA15" s="72"/>
      <c r="AB15" s="72"/>
      <c r="AC15" s="72">
        <f t="shared" si="0"/>
        <v>662</v>
      </c>
      <c r="AD15" s="67" t="s">
        <v>50</v>
      </c>
      <c r="AE15" s="67"/>
    </row>
    <row r="16" spans="1:31" ht="322.5" customHeight="1" x14ac:dyDescent="0.4">
      <c r="A16" s="67" t="s">
        <v>15</v>
      </c>
      <c r="B16" s="68" t="s">
        <v>16</v>
      </c>
      <c r="C16" s="68" t="s">
        <v>17</v>
      </c>
      <c r="D16" s="69" t="s">
        <v>18</v>
      </c>
      <c r="E16" s="68" t="s">
        <v>19</v>
      </c>
      <c r="F16" s="67" t="s">
        <v>20</v>
      </c>
      <c r="G16" s="67" t="s">
        <v>29</v>
      </c>
      <c r="H16" s="69" t="s">
        <v>51</v>
      </c>
      <c r="I16" s="67" t="s">
        <v>52</v>
      </c>
      <c r="J16" s="70" t="s">
        <v>24</v>
      </c>
      <c r="K16" s="70" t="s">
        <v>53</v>
      </c>
      <c r="L16" s="70" t="s">
        <v>54</v>
      </c>
      <c r="M16" s="71" t="s">
        <v>27</v>
      </c>
      <c r="N16" s="71"/>
      <c r="O16" s="72">
        <v>0</v>
      </c>
      <c r="P16" s="117"/>
      <c r="Q16" s="72">
        <v>1</v>
      </c>
      <c r="R16" s="117"/>
      <c r="S16" s="72">
        <v>1</v>
      </c>
      <c r="T16" s="72">
        <v>1</v>
      </c>
      <c r="U16" s="72">
        <v>1</v>
      </c>
      <c r="V16" s="72"/>
      <c r="W16" s="72"/>
      <c r="X16" s="72"/>
      <c r="Y16" s="72"/>
      <c r="Z16" s="72"/>
      <c r="AA16" s="72"/>
      <c r="AB16" s="72"/>
      <c r="AC16" s="72">
        <f t="shared" si="0"/>
        <v>4</v>
      </c>
      <c r="AD16" s="67" t="s">
        <v>55</v>
      </c>
      <c r="AE16" s="67"/>
    </row>
    <row r="17" spans="1:31" ht="50.25" hidden="1" customHeight="1" x14ac:dyDescent="0.4">
      <c r="A17" s="67" t="s">
        <v>15</v>
      </c>
      <c r="B17" s="68" t="s">
        <v>16</v>
      </c>
      <c r="C17" s="68" t="s">
        <v>17</v>
      </c>
      <c r="D17" s="69" t="s">
        <v>18</v>
      </c>
      <c r="E17" s="68" t="s">
        <v>19</v>
      </c>
      <c r="F17" s="67" t="s">
        <v>20</v>
      </c>
      <c r="G17" s="67" t="s">
        <v>56</v>
      </c>
      <c r="H17" s="69" t="s">
        <v>57</v>
      </c>
      <c r="I17" s="67" t="s">
        <v>58</v>
      </c>
      <c r="J17" s="67" t="s">
        <v>59</v>
      </c>
      <c r="K17" s="67" t="s">
        <v>60</v>
      </c>
      <c r="L17" s="67" t="s">
        <v>61</v>
      </c>
      <c r="M17" s="71" t="s">
        <v>27</v>
      </c>
      <c r="N17" s="71"/>
      <c r="O17" s="72">
        <v>1</v>
      </c>
      <c r="P17" s="117"/>
      <c r="Q17" s="72">
        <v>1</v>
      </c>
      <c r="R17" s="117"/>
      <c r="S17" s="72">
        <v>1</v>
      </c>
      <c r="T17" s="72">
        <v>1</v>
      </c>
      <c r="U17" s="72">
        <v>1</v>
      </c>
      <c r="V17" s="72">
        <v>1</v>
      </c>
      <c r="W17" s="72">
        <v>1</v>
      </c>
      <c r="X17" s="72">
        <v>1</v>
      </c>
      <c r="Y17" s="72">
        <v>1</v>
      </c>
      <c r="Z17" s="72">
        <v>1</v>
      </c>
      <c r="AA17" s="72">
        <v>1</v>
      </c>
      <c r="AB17" s="72">
        <v>1</v>
      </c>
      <c r="AC17" s="72">
        <f t="shared" si="0"/>
        <v>12</v>
      </c>
      <c r="AD17" s="67" t="s">
        <v>62</v>
      </c>
      <c r="AE17" s="67"/>
    </row>
    <row r="18" spans="1:31" s="9" customFormat="1" ht="50.25" hidden="1" customHeight="1" x14ac:dyDescent="0.4">
      <c r="A18" s="73" t="s">
        <v>15</v>
      </c>
      <c r="B18" s="74" t="s">
        <v>16</v>
      </c>
      <c r="C18" s="68" t="s">
        <v>17</v>
      </c>
      <c r="D18" s="75" t="s">
        <v>18</v>
      </c>
      <c r="E18" s="135" t="s">
        <v>63</v>
      </c>
      <c r="F18" s="135"/>
      <c r="G18" s="135"/>
      <c r="H18" s="135"/>
      <c r="I18" s="135"/>
      <c r="J18" s="135"/>
      <c r="K18" s="76"/>
      <c r="L18" s="76"/>
      <c r="M18" s="76" t="s">
        <v>64</v>
      </c>
      <c r="N18" s="76"/>
      <c r="O18" s="77">
        <f>SUM(O11,O13,O16)</f>
        <v>2</v>
      </c>
      <c r="P18" s="118"/>
      <c r="Q18" s="77">
        <f t="shared" ref="Q18:AC18" si="1">SUM(Q11,Q13,Q16)</f>
        <v>2</v>
      </c>
      <c r="R18" s="118"/>
      <c r="S18" s="77">
        <f t="shared" si="1"/>
        <v>3</v>
      </c>
      <c r="T18" s="77">
        <f t="shared" si="1"/>
        <v>4</v>
      </c>
      <c r="U18" s="77">
        <f t="shared" si="1"/>
        <v>3</v>
      </c>
      <c r="V18" s="77">
        <f t="shared" si="1"/>
        <v>2</v>
      </c>
      <c r="W18" s="77">
        <f t="shared" si="1"/>
        <v>2</v>
      </c>
      <c r="X18" s="77">
        <f t="shared" si="1"/>
        <v>2</v>
      </c>
      <c r="Y18" s="77">
        <f t="shared" si="1"/>
        <v>1</v>
      </c>
      <c r="Z18" s="77">
        <f t="shared" si="1"/>
        <v>2</v>
      </c>
      <c r="AA18" s="77">
        <f t="shared" si="1"/>
        <v>1</v>
      </c>
      <c r="AB18" s="77">
        <f t="shared" si="1"/>
        <v>2</v>
      </c>
      <c r="AC18" s="77">
        <f t="shared" si="1"/>
        <v>26</v>
      </c>
      <c r="AD18" s="76" t="s">
        <v>65</v>
      </c>
      <c r="AE18" s="76"/>
    </row>
    <row r="19" spans="1:31" ht="50.25" hidden="1" customHeight="1" x14ac:dyDescent="0.4">
      <c r="A19" s="67" t="s">
        <v>15</v>
      </c>
      <c r="B19" s="68" t="s">
        <v>16</v>
      </c>
      <c r="C19" s="68" t="s">
        <v>17</v>
      </c>
      <c r="D19" s="69" t="s">
        <v>18</v>
      </c>
      <c r="E19" s="135"/>
      <c r="F19" s="135"/>
      <c r="G19" s="135"/>
      <c r="H19" s="135"/>
      <c r="I19" s="135"/>
      <c r="J19" s="135"/>
      <c r="K19" s="76"/>
      <c r="L19" s="76"/>
      <c r="M19" s="78" t="s">
        <v>66</v>
      </c>
      <c r="N19" s="79" t="s">
        <v>67</v>
      </c>
      <c r="O19" s="80">
        <v>42642.83</v>
      </c>
      <c r="P19" s="119"/>
      <c r="Q19" s="80">
        <v>44116</v>
      </c>
      <c r="R19" s="119"/>
      <c r="S19" s="80">
        <v>44333.06</v>
      </c>
      <c r="T19" s="80">
        <v>44182.5</v>
      </c>
      <c r="U19" s="80">
        <v>44182.5</v>
      </c>
      <c r="V19" s="80">
        <v>43922.32</v>
      </c>
      <c r="W19" s="80">
        <v>44182.5</v>
      </c>
      <c r="X19" s="80">
        <v>44182.5</v>
      </c>
      <c r="Y19" s="80">
        <v>44182.5</v>
      </c>
      <c r="Z19" s="80">
        <v>44182.5</v>
      </c>
      <c r="AA19" s="80">
        <v>45040.39499999999</v>
      </c>
      <c r="AB19" s="80">
        <v>45040.39499999999</v>
      </c>
      <c r="AC19" s="81">
        <f t="shared" ref="AC19:AC40" si="2">SUM(O19:AB19)</f>
        <v>530190</v>
      </c>
      <c r="AD19" s="82"/>
      <c r="AE19" s="82"/>
    </row>
    <row r="20" spans="1:31" ht="50.25" hidden="1" customHeight="1" x14ac:dyDescent="0.4">
      <c r="A20" s="67" t="s">
        <v>15</v>
      </c>
      <c r="B20" s="68" t="s">
        <v>16</v>
      </c>
      <c r="C20" s="68" t="s">
        <v>17</v>
      </c>
      <c r="D20" s="69" t="s">
        <v>18</v>
      </c>
      <c r="E20" s="135"/>
      <c r="F20" s="135"/>
      <c r="G20" s="135"/>
      <c r="H20" s="135"/>
      <c r="I20" s="135"/>
      <c r="J20" s="135"/>
      <c r="K20" s="76"/>
      <c r="L20" s="76"/>
      <c r="M20" s="78" t="s">
        <v>66</v>
      </c>
      <c r="N20" s="79" t="s">
        <v>68</v>
      </c>
      <c r="O20" s="80">
        <v>3039.12</v>
      </c>
      <c r="P20" s="119"/>
      <c r="Q20" s="80">
        <v>3804.65</v>
      </c>
      <c r="R20" s="119"/>
      <c r="S20" s="80">
        <v>3495.21</v>
      </c>
      <c r="T20" s="80">
        <v>3482.29</v>
      </c>
      <c r="U20" s="80">
        <v>3482.29</v>
      </c>
      <c r="V20" s="80">
        <v>3464.14</v>
      </c>
      <c r="W20" s="80">
        <v>3482.29</v>
      </c>
      <c r="X20" s="80">
        <v>3480.19</v>
      </c>
      <c r="Y20" s="80">
        <v>3480.19</v>
      </c>
      <c r="Z20" s="80">
        <v>3480.19</v>
      </c>
      <c r="AA20" s="80">
        <v>3548.2200000000012</v>
      </c>
      <c r="AB20" s="80">
        <v>3548.2200000000012</v>
      </c>
      <c r="AC20" s="81">
        <f t="shared" si="2"/>
        <v>41787</v>
      </c>
      <c r="AD20" s="82"/>
      <c r="AE20" s="82"/>
    </row>
    <row r="21" spans="1:31" ht="50.25" hidden="1" customHeight="1" x14ac:dyDescent="0.4">
      <c r="A21" s="67" t="s">
        <v>15</v>
      </c>
      <c r="B21" s="68" t="s">
        <v>16</v>
      </c>
      <c r="C21" s="68" t="s">
        <v>17</v>
      </c>
      <c r="D21" s="69" t="s">
        <v>18</v>
      </c>
      <c r="E21" s="135"/>
      <c r="F21" s="135"/>
      <c r="G21" s="135"/>
      <c r="H21" s="135"/>
      <c r="I21" s="135"/>
      <c r="J21" s="135"/>
      <c r="K21" s="76"/>
      <c r="L21" s="76"/>
      <c r="M21" s="78" t="s">
        <v>66</v>
      </c>
      <c r="N21" s="79" t="s">
        <v>69</v>
      </c>
      <c r="O21" s="80">
        <v>4000</v>
      </c>
      <c r="P21" s="119"/>
      <c r="Q21" s="80">
        <v>4000</v>
      </c>
      <c r="R21" s="119"/>
      <c r="S21" s="80">
        <v>4000</v>
      </c>
      <c r="T21" s="80">
        <v>4000</v>
      </c>
      <c r="U21" s="80">
        <v>4000</v>
      </c>
      <c r="V21" s="80">
        <v>4000</v>
      </c>
      <c r="W21" s="80">
        <v>4000</v>
      </c>
      <c r="X21" s="80">
        <v>4000</v>
      </c>
      <c r="Y21" s="80">
        <v>4000</v>
      </c>
      <c r="Z21" s="80">
        <v>4000</v>
      </c>
      <c r="AA21" s="80">
        <v>4000</v>
      </c>
      <c r="AB21" s="80">
        <v>4000</v>
      </c>
      <c r="AC21" s="81">
        <f t="shared" si="2"/>
        <v>48000</v>
      </c>
      <c r="AD21" s="82"/>
      <c r="AE21" s="82"/>
    </row>
    <row r="22" spans="1:31" ht="50.25" hidden="1" customHeight="1" x14ac:dyDescent="0.4">
      <c r="A22" s="67" t="s">
        <v>15</v>
      </c>
      <c r="B22" s="68" t="s">
        <v>16</v>
      </c>
      <c r="C22" s="68" t="s">
        <v>17</v>
      </c>
      <c r="D22" s="69" t="s">
        <v>18</v>
      </c>
      <c r="E22" s="135"/>
      <c r="F22" s="135"/>
      <c r="G22" s="135"/>
      <c r="H22" s="135"/>
      <c r="I22" s="135"/>
      <c r="J22" s="135"/>
      <c r="K22" s="76"/>
      <c r="L22" s="76"/>
      <c r="M22" s="78" t="s">
        <v>66</v>
      </c>
      <c r="N22" s="79" t="s">
        <v>70</v>
      </c>
      <c r="O22" s="80">
        <v>30800</v>
      </c>
      <c r="P22" s="119"/>
      <c r="Q22" s="80"/>
      <c r="R22" s="119"/>
      <c r="S22" s="80"/>
      <c r="T22" s="80"/>
      <c r="U22" s="80"/>
      <c r="V22" s="80"/>
      <c r="W22" s="80"/>
      <c r="X22" s="80"/>
      <c r="Y22" s="80"/>
      <c r="Z22" s="80"/>
      <c r="AA22" s="80"/>
      <c r="AB22" s="80"/>
      <c r="AC22" s="81">
        <f t="shared" si="2"/>
        <v>30800</v>
      </c>
      <c r="AD22" s="82"/>
      <c r="AE22" s="82"/>
    </row>
    <row r="23" spans="1:31" ht="50.25" hidden="1" customHeight="1" x14ac:dyDescent="0.4">
      <c r="A23" s="67" t="s">
        <v>15</v>
      </c>
      <c r="B23" s="68" t="s">
        <v>16</v>
      </c>
      <c r="C23" s="68" t="s">
        <v>17</v>
      </c>
      <c r="D23" s="69" t="s">
        <v>18</v>
      </c>
      <c r="E23" s="135"/>
      <c r="F23" s="135"/>
      <c r="G23" s="135"/>
      <c r="H23" s="135"/>
      <c r="I23" s="135"/>
      <c r="J23" s="135"/>
      <c r="K23" s="76"/>
      <c r="L23" s="76"/>
      <c r="M23" s="78" t="s">
        <v>66</v>
      </c>
      <c r="N23" s="79" t="s">
        <v>71</v>
      </c>
      <c r="O23" s="80">
        <f>3337.28-(208.58*2)</f>
        <v>2920.1200000000003</v>
      </c>
      <c r="P23" s="119"/>
      <c r="Q23" s="80">
        <f>3337.28-(208.58*2)</f>
        <v>2920.1200000000003</v>
      </c>
      <c r="R23" s="119"/>
      <c r="S23" s="80">
        <f>3337.28-(208.58*2)</f>
        <v>2920.1200000000003</v>
      </c>
      <c r="T23" s="80">
        <f>3337.28-(208.58*2)</f>
        <v>2920.1200000000003</v>
      </c>
      <c r="U23" s="80">
        <f>3337.28-(208.58*2)</f>
        <v>2920.1200000000003</v>
      </c>
      <c r="V23" s="80">
        <f>3545.86+(208.58*2)</f>
        <v>3963.02</v>
      </c>
      <c r="W23" s="80">
        <f>3545.86+(208.58*2)</f>
        <v>3963.02</v>
      </c>
      <c r="X23" s="80">
        <f>3545.86+(208.58*2)</f>
        <v>3963.02</v>
      </c>
      <c r="Y23" s="80">
        <f>3337.28-(208.58*2)</f>
        <v>2920.1200000000003</v>
      </c>
      <c r="Z23" s="80">
        <f>3337.28-(208.58*2)</f>
        <v>2920.1200000000003</v>
      </c>
      <c r="AA23" s="80">
        <v>2607.59</v>
      </c>
      <c r="AB23" s="80">
        <v>2607.59</v>
      </c>
      <c r="AC23" s="81">
        <f t="shared" si="2"/>
        <v>37545.08</v>
      </c>
      <c r="AD23" s="82"/>
      <c r="AE23" s="82"/>
    </row>
    <row r="24" spans="1:31" ht="50.25" hidden="1" customHeight="1" x14ac:dyDescent="0.4">
      <c r="A24" s="67" t="s">
        <v>15</v>
      </c>
      <c r="B24" s="68" t="s">
        <v>16</v>
      </c>
      <c r="C24" s="68" t="s">
        <v>17</v>
      </c>
      <c r="D24" s="69" t="s">
        <v>18</v>
      </c>
      <c r="E24" s="135"/>
      <c r="F24" s="135"/>
      <c r="G24" s="135"/>
      <c r="H24" s="135"/>
      <c r="I24" s="135"/>
      <c r="J24" s="135"/>
      <c r="K24" s="76"/>
      <c r="L24" s="76"/>
      <c r="M24" s="78" t="s">
        <v>66</v>
      </c>
      <c r="N24" s="79" t="s">
        <v>72</v>
      </c>
      <c r="O24" s="80"/>
      <c r="P24" s="119"/>
      <c r="Q24" s="80"/>
      <c r="R24" s="119"/>
      <c r="S24" s="80"/>
      <c r="T24" s="80"/>
      <c r="U24" s="80"/>
      <c r="V24" s="80"/>
      <c r="W24" s="80">
        <v>23100</v>
      </c>
      <c r="X24" s="80">
        <v>23100</v>
      </c>
      <c r="Y24" s="80"/>
      <c r="Z24" s="80"/>
      <c r="AA24" s="80"/>
      <c r="AB24" s="80"/>
      <c r="AC24" s="81">
        <f t="shared" si="2"/>
        <v>46200</v>
      </c>
      <c r="AD24" s="82"/>
      <c r="AE24" s="82"/>
    </row>
    <row r="25" spans="1:31" ht="50.25" hidden="1" customHeight="1" x14ac:dyDescent="0.4">
      <c r="A25" s="67" t="s">
        <v>15</v>
      </c>
      <c r="B25" s="68" t="s">
        <v>16</v>
      </c>
      <c r="C25" s="68" t="s">
        <v>17</v>
      </c>
      <c r="D25" s="69" t="s">
        <v>18</v>
      </c>
      <c r="E25" s="135"/>
      <c r="F25" s="135"/>
      <c r="G25" s="135"/>
      <c r="H25" s="135"/>
      <c r="I25" s="135"/>
      <c r="J25" s="135"/>
      <c r="K25" s="76"/>
      <c r="L25" s="76"/>
      <c r="M25" s="78" t="s">
        <v>66</v>
      </c>
      <c r="N25" s="79" t="s">
        <v>73</v>
      </c>
      <c r="O25" s="80">
        <v>110204.8</v>
      </c>
      <c r="P25" s="119"/>
      <c r="Q25" s="80">
        <v>108162.74</v>
      </c>
      <c r="R25" s="119"/>
      <c r="S25" s="80">
        <v>108286.5</v>
      </c>
      <c r="T25" s="80">
        <v>111999.34</v>
      </c>
      <c r="U25" s="80">
        <v>109090.95</v>
      </c>
      <c r="V25" s="80">
        <v>106368.2</v>
      </c>
      <c r="W25" s="80">
        <v>106491.96</v>
      </c>
      <c r="X25" s="80">
        <v>106491.96</v>
      </c>
      <c r="Y25" s="80">
        <v>105378.1</v>
      </c>
      <c r="Z25" s="80">
        <v>102407.84</v>
      </c>
      <c r="AA25" s="80">
        <v>505171.80500000005</v>
      </c>
      <c r="AB25" s="80">
        <v>505171.80500000005</v>
      </c>
      <c r="AC25" s="81">
        <f t="shared" si="2"/>
        <v>2085226</v>
      </c>
      <c r="AD25" s="82"/>
      <c r="AE25" s="82"/>
    </row>
    <row r="26" spans="1:31" ht="50.25" hidden="1" customHeight="1" x14ac:dyDescent="0.4">
      <c r="A26" s="67" t="s">
        <v>15</v>
      </c>
      <c r="B26" s="68" t="s">
        <v>16</v>
      </c>
      <c r="C26" s="68" t="s">
        <v>17</v>
      </c>
      <c r="D26" s="69" t="s">
        <v>18</v>
      </c>
      <c r="E26" s="135"/>
      <c r="F26" s="135"/>
      <c r="G26" s="135"/>
      <c r="H26" s="135"/>
      <c r="I26" s="135"/>
      <c r="J26" s="135"/>
      <c r="K26" s="76"/>
      <c r="L26" s="76"/>
      <c r="M26" s="78" t="s">
        <v>66</v>
      </c>
      <c r="N26" s="79" t="s">
        <v>74</v>
      </c>
      <c r="O26" s="80">
        <f>14469.46-(8000)</f>
        <v>6469.4599999999991</v>
      </c>
      <c r="P26" s="119"/>
      <c r="Q26" s="80">
        <f>14688.42-8000</f>
        <v>6688.42</v>
      </c>
      <c r="R26" s="119"/>
      <c r="S26" s="80">
        <f>14677.4+8000</f>
        <v>22677.4</v>
      </c>
      <c r="T26" s="80">
        <f>14682.45-8000</f>
        <v>6682.4500000000007</v>
      </c>
      <c r="U26" s="80">
        <f>14655.35-8000</f>
        <v>6655.35</v>
      </c>
      <c r="V26" s="80">
        <f>14624.57-8000</f>
        <v>6624.57</v>
      </c>
      <c r="W26" s="80">
        <f>14682.91-8000</f>
        <v>6682.91</v>
      </c>
      <c r="X26" s="80">
        <f>14700.72-8000</f>
        <v>6700.7199999999993</v>
      </c>
      <c r="Y26" s="80">
        <f>14679.69-8000</f>
        <v>6679.6900000000005</v>
      </c>
      <c r="Z26" s="80">
        <f>14683.37-8000-1802.34</f>
        <v>4881.0300000000007</v>
      </c>
      <c r="AA26" s="80"/>
      <c r="AB26" s="80"/>
      <c r="AC26" s="81">
        <f t="shared" si="2"/>
        <v>80742</v>
      </c>
      <c r="AD26" s="82"/>
      <c r="AE26" s="82"/>
    </row>
    <row r="27" spans="1:31" ht="50.25" hidden="1" customHeight="1" x14ac:dyDescent="0.4">
      <c r="A27" s="67" t="s">
        <v>15</v>
      </c>
      <c r="B27" s="68" t="s">
        <v>16</v>
      </c>
      <c r="C27" s="68" t="s">
        <v>17</v>
      </c>
      <c r="D27" s="69" t="s">
        <v>18</v>
      </c>
      <c r="E27" s="135"/>
      <c r="F27" s="135"/>
      <c r="G27" s="135"/>
      <c r="H27" s="135"/>
      <c r="I27" s="135"/>
      <c r="J27" s="135"/>
      <c r="K27" s="76"/>
      <c r="L27" s="76"/>
      <c r="M27" s="78" t="s">
        <v>66</v>
      </c>
      <c r="N27" s="79" t="s">
        <v>75</v>
      </c>
      <c r="O27" s="80">
        <v>858.52</v>
      </c>
      <c r="P27" s="119"/>
      <c r="Q27" s="80">
        <v>858.52</v>
      </c>
      <c r="R27" s="119"/>
      <c r="S27" s="80">
        <v>858.52</v>
      </c>
      <c r="T27" s="80">
        <v>858.52</v>
      </c>
      <c r="U27" s="80">
        <v>858.52</v>
      </c>
      <c r="V27" s="80">
        <v>858.52</v>
      </c>
      <c r="W27" s="80">
        <v>858.52</v>
      </c>
      <c r="X27" s="80">
        <v>858.52</v>
      </c>
      <c r="Y27" s="80">
        <v>858.52</v>
      </c>
      <c r="Z27" s="80">
        <v>1369.99</v>
      </c>
      <c r="AA27" s="80">
        <v>82863.664999999994</v>
      </c>
      <c r="AB27" s="80">
        <v>82863.664999999994</v>
      </c>
      <c r="AC27" s="81">
        <f t="shared" si="2"/>
        <v>174824</v>
      </c>
      <c r="AD27" s="82"/>
      <c r="AE27" s="82"/>
    </row>
    <row r="28" spans="1:31" ht="50.25" hidden="1" customHeight="1" x14ac:dyDescent="0.4">
      <c r="A28" s="67" t="s">
        <v>15</v>
      </c>
      <c r="B28" s="68" t="s">
        <v>16</v>
      </c>
      <c r="C28" s="68" t="s">
        <v>17</v>
      </c>
      <c r="D28" s="69" t="s">
        <v>18</v>
      </c>
      <c r="E28" s="135"/>
      <c r="F28" s="135"/>
      <c r="G28" s="135"/>
      <c r="H28" s="135"/>
      <c r="I28" s="135"/>
      <c r="J28" s="135"/>
      <c r="K28" s="76"/>
      <c r="L28" s="76"/>
      <c r="M28" s="78" t="s">
        <v>66</v>
      </c>
      <c r="N28" s="79" t="s">
        <v>76</v>
      </c>
      <c r="O28" s="80"/>
      <c r="P28" s="119"/>
      <c r="Q28" s="80"/>
      <c r="R28" s="119"/>
      <c r="S28" s="80"/>
      <c r="T28" s="80"/>
      <c r="U28" s="80"/>
      <c r="V28" s="80"/>
      <c r="W28" s="80">
        <v>4886.67</v>
      </c>
      <c r="X28" s="80"/>
      <c r="Y28" s="80"/>
      <c r="Z28" s="80"/>
      <c r="AA28" s="80"/>
      <c r="AB28" s="80">
        <v>5313.33</v>
      </c>
      <c r="AC28" s="81">
        <f t="shared" si="2"/>
        <v>10200</v>
      </c>
      <c r="AD28" s="82"/>
      <c r="AE28" s="82"/>
    </row>
    <row r="29" spans="1:31" ht="50.25" hidden="1" customHeight="1" x14ac:dyDescent="0.4">
      <c r="A29" s="67" t="s">
        <v>15</v>
      </c>
      <c r="B29" s="68" t="s">
        <v>16</v>
      </c>
      <c r="C29" s="68" t="s">
        <v>17</v>
      </c>
      <c r="D29" s="69" t="s">
        <v>18</v>
      </c>
      <c r="E29" s="135"/>
      <c r="F29" s="135"/>
      <c r="G29" s="135"/>
      <c r="H29" s="135"/>
      <c r="I29" s="135"/>
      <c r="J29" s="135"/>
      <c r="K29" s="76"/>
      <c r="L29" s="76"/>
      <c r="M29" s="78" t="s">
        <v>66</v>
      </c>
      <c r="N29" s="79" t="s">
        <v>77</v>
      </c>
      <c r="O29" s="80">
        <v>5346.15</v>
      </c>
      <c r="P29" s="119"/>
      <c r="Q29" s="80">
        <v>5253.9</v>
      </c>
      <c r="R29" s="119"/>
      <c r="S29" s="80">
        <v>5253.9</v>
      </c>
      <c r="T29" s="80">
        <v>5440.14</v>
      </c>
      <c r="U29" s="80">
        <v>5437.77</v>
      </c>
      <c r="V29" s="80">
        <v>5139.5</v>
      </c>
      <c r="W29" s="80">
        <v>5068.7700000000004</v>
      </c>
      <c r="X29" s="80">
        <v>5039.01</v>
      </c>
      <c r="Y29" s="80">
        <v>5068.7700000000004</v>
      </c>
      <c r="Z29" s="80">
        <v>4899.2</v>
      </c>
      <c r="AA29" s="80">
        <v>13071.945</v>
      </c>
      <c r="AB29" s="80">
        <v>13071.945</v>
      </c>
      <c r="AC29" s="81">
        <f t="shared" si="2"/>
        <v>78091</v>
      </c>
      <c r="AD29" s="82"/>
      <c r="AE29" s="82"/>
    </row>
    <row r="30" spans="1:31" ht="50.25" hidden="1" customHeight="1" x14ac:dyDescent="0.4">
      <c r="A30" s="67" t="s">
        <v>15</v>
      </c>
      <c r="B30" s="68" t="s">
        <v>16</v>
      </c>
      <c r="C30" s="68" t="s">
        <v>17</v>
      </c>
      <c r="D30" s="69" t="s">
        <v>18</v>
      </c>
      <c r="E30" s="135"/>
      <c r="F30" s="135"/>
      <c r="G30" s="135"/>
      <c r="H30" s="135"/>
      <c r="I30" s="135"/>
      <c r="J30" s="135"/>
      <c r="K30" s="76"/>
      <c r="L30" s="76"/>
      <c r="M30" s="78" t="s">
        <v>66</v>
      </c>
      <c r="N30" s="79" t="s">
        <v>78</v>
      </c>
      <c r="O30" s="80">
        <v>9000</v>
      </c>
      <c r="P30" s="119"/>
      <c r="Q30" s="80">
        <v>20612.919999999998</v>
      </c>
      <c r="R30" s="119"/>
      <c r="S30" s="80">
        <v>15000</v>
      </c>
      <c r="T30" s="80">
        <v>15000</v>
      </c>
      <c r="U30" s="80">
        <v>15000</v>
      </c>
      <c r="V30" s="80">
        <v>14950</v>
      </c>
      <c r="W30" s="80">
        <v>15000</v>
      </c>
      <c r="X30" s="80">
        <v>15000</v>
      </c>
      <c r="Y30" s="80">
        <v>15000</v>
      </c>
      <c r="Z30" s="80">
        <v>15000</v>
      </c>
      <c r="AA30" s="80">
        <v>15218.540000000008</v>
      </c>
      <c r="AB30" s="80">
        <v>15218.540000000008</v>
      </c>
      <c r="AC30" s="81">
        <f t="shared" si="2"/>
        <v>180000</v>
      </c>
      <c r="AD30" s="82"/>
      <c r="AE30" s="82"/>
    </row>
    <row r="31" spans="1:31" ht="50.25" hidden="1" customHeight="1" x14ac:dyDescent="0.4">
      <c r="A31" s="67" t="s">
        <v>15</v>
      </c>
      <c r="B31" s="68" t="s">
        <v>16</v>
      </c>
      <c r="C31" s="68" t="s">
        <v>17</v>
      </c>
      <c r="D31" s="69" t="s">
        <v>18</v>
      </c>
      <c r="E31" s="135"/>
      <c r="F31" s="135"/>
      <c r="G31" s="135"/>
      <c r="H31" s="135"/>
      <c r="I31" s="135"/>
      <c r="J31" s="135"/>
      <c r="K31" s="76"/>
      <c r="L31" s="76"/>
      <c r="M31" s="78" t="s">
        <v>66</v>
      </c>
      <c r="N31" s="79" t="s">
        <v>79</v>
      </c>
      <c r="O31" s="80">
        <v>65075.86</v>
      </c>
      <c r="P31" s="119"/>
      <c r="Q31" s="80">
        <v>63912.72</v>
      </c>
      <c r="R31" s="119"/>
      <c r="S31" s="80">
        <v>63950.54</v>
      </c>
      <c r="T31" s="80">
        <v>66068.78</v>
      </c>
      <c r="U31" s="80">
        <v>63871.24</v>
      </c>
      <c r="V31" s="80">
        <v>62261.08</v>
      </c>
      <c r="W31" s="80">
        <v>61664</v>
      </c>
      <c r="X31" s="80">
        <v>61402.65</v>
      </c>
      <c r="Y31" s="80">
        <v>60908.55</v>
      </c>
      <c r="Z31" s="80">
        <v>58849.49</v>
      </c>
      <c r="AA31" s="80">
        <v>117308.04499999998</v>
      </c>
      <c r="AB31" s="80">
        <v>117308.04499999998</v>
      </c>
      <c r="AC31" s="81">
        <f t="shared" si="2"/>
        <v>862581</v>
      </c>
      <c r="AD31" s="82"/>
      <c r="AE31" s="82"/>
    </row>
    <row r="32" spans="1:31" ht="50.25" hidden="1" customHeight="1" x14ac:dyDescent="0.4">
      <c r="A32" s="67" t="s">
        <v>15</v>
      </c>
      <c r="B32" s="68" t="s">
        <v>16</v>
      </c>
      <c r="C32" s="68" t="s">
        <v>17</v>
      </c>
      <c r="D32" s="69" t="s">
        <v>18</v>
      </c>
      <c r="E32" s="135"/>
      <c r="F32" s="135"/>
      <c r="G32" s="135"/>
      <c r="H32" s="135"/>
      <c r="I32" s="135"/>
      <c r="J32" s="135"/>
      <c r="K32" s="76"/>
      <c r="L32" s="76"/>
      <c r="M32" s="78" t="s">
        <v>66</v>
      </c>
      <c r="N32" s="79" t="s">
        <v>80</v>
      </c>
      <c r="O32" s="80">
        <f>100242.31-10000</f>
        <v>90242.31</v>
      </c>
      <c r="P32" s="119"/>
      <c r="Q32" s="80">
        <f>100095.27-10000</f>
        <v>90095.27</v>
      </c>
      <c r="R32" s="119"/>
      <c r="S32" s="80">
        <f>100164.04-10000</f>
        <v>90164.04</v>
      </c>
      <c r="T32" s="80">
        <f>100119.94-10000</f>
        <v>90119.94</v>
      </c>
      <c r="U32" s="80">
        <f>100006.5-10000</f>
        <v>90006.5</v>
      </c>
      <c r="V32" s="80">
        <f>115583.53-10000</f>
        <v>105583.53</v>
      </c>
      <c r="W32" s="80">
        <f>115500.9-10000</f>
        <v>105500.9</v>
      </c>
      <c r="X32" s="80">
        <f>100026.84-10000</f>
        <v>90026.84</v>
      </c>
      <c r="Y32" s="80">
        <f>99979.21-10000</f>
        <v>89979.21</v>
      </c>
      <c r="Z32" s="80">
        <f>99934.97-10000</f>
        <v>89934.97</v>
      </c>
      <c r="AA32" s="80">
        <v>171370.24500000005</v>
      </c>
      <c r="AB32" s="80">
        <v>171370.24500000005</v>
      </c>
      <c r="AC32" s="81">
        <f t="shared" si="2"/>
        <v>1274394</v>
      </c>
      <c r="AD32" s="82"/>
      <c r="AE32" s="82"/>
    </row>
    <row r="33" spans="1:31" ht="50.25" hidden="1" customHeight="1" x14ac:dyDescent="0.4">
      <c r="A33" s="67" t="s">
        <v>15</v>
      </c>
      <c r="B33" s="68" t="s">
        <v>16</v>
      </c>
      <c r="C33" s="68" t="s">
        <v>17</v>
      </c>
      <c r="D33" s="69" t="s">
        <v>18</v>
      </c>
      <c r="E33" s="135"/>
      <c r="F33" s="135"/>
      <c r="G33" s="135"/>
      <c r="H33" s="135"/>
      <c r="I33" s="135"/>
      <c r="J33" s="135"/>
      <c r="K33" s="76"/>
      <c r="L33" s="76"/>
      <c r="M33" s="78" t="s">
        <v>66</v>
      </c>
      <c r="N33" s="79" t="s">
        <v>81</v>
      </c>
      <c r="O33" s="80">
        <v>1502.75</v>
      </c>
      <c r="P33" s="119"/>
      <c r="Q33" s="80">
        <v>1502.75</v>
      </c>
      <c r="R33" s="119"/>
      <c r="S33" s="80">
        <v>1502.75</v>
      </c>
      <c r="T33" s="80">
        <v>1502.75</v>
      </c>
      <c r="U33" s="80">
        <v>1502.75</v>
      </c>
      <c r="V33" s="80">
        <v>1502.75</v>
      </c>
      <c r="W33" s="80">
        <v>1502.75</v>
      </c>
      <c r="X33" s="80">
        <v>1502.75</v>
      </c>
      <c r="Y33" s="80">
        <v>1502.75</v>
      </c>
      <c r="Z33" s="80">
        <v>1502.75</v>
      </c>
      <c r="AA33" s="80">
        <v>1502.75</v>
      </c>
      <c r="AB33" s="80">
        <v>1502.75</v>
      </c>
      <c r="AC33" s="81">
        <f t="shared" si="2"/>
        <v>18033</v>
      </c>
      <c r="AD33" s="82"/>
      <c r="AE33" s="82"/>
    </row>
    <row r="34" spans="1:31" ht="50.25" hidden="1" customHeight="1" x14ac:dyDescent="0.4">
      <c r="A34" s="67" t="s">
        <v>15</v>
      </c>
      <c r="B34" s="68" t="s">
        <v>16</v>
      </c>
      <c r="C34" s="68" t="s">
        <v>17</v>
      </c>
      <c r="D34" s="69" t="s">
        <v>18</v>
      </c>
      <c r="E34" s="135"/>
      <c r="F34" s="135"/>
      <c r="G34" s="135"/>
      <c r="H34" s="135"/>
      <c r="I34" s="135"/>
      <c r="J34" s="135"/>
      <c r="K34" s="76"/>
      <c r="L34" s="76"/>
      <c r="M34" s="78" t="s">
        <v>82</v>
      </c>
      <c r="N34" s="79" t="s">
        <v>83</v>
      </c>
      <c r="O34" s="80">
        <f>+(3500+6000+3500+8000)+(7000+6000+4000+8000+3000+5375+7000)</f>
        <v>61375</v>
      </c>
      <c r="P34" s="119"/>
      <c r="Q34" s="80">
        <f t="shared" ref="Q34:AA34" si="3">+(3500+6000+3500+8000)+(7000+6000+4000+8000+3000+5375+7000)</f>
        <v>61375</v>
      </c>
      <c r="R34" s="119"/>
      <c r="S34" s="80">
        <f t="shared" si="3"/>
        <v>61375</v>
      </c>
      <c r="T34" s="80">
        <f t="shared" si="3"/>
        <v>61375</v>
      </c>
      <c r="U34" s="80">
        <f t="shared" si="3"/>
        <v>61375</v>
      </c>
      <c r="V34" s="80">
        <f t="shared" si="3"/>
        <v>61375</v>
      </c>
      <c r="W34" s="80">
        <f t="shared" si="3"/>
        <v>61375</v>
      </c>
      <c r="X34" s="80">
        <f t="shared" si="3"/>
        <v>61375</v>
      </c>
      <c r="Y34" s="80">
        <f t="shared" si="3"/>
        <v>61375</v>
      </c>
      <c r="Z34" s="80">
        <f t="shared" si="3"/>
        <v>61375</v>
      </c>
      <c r="AA34" s="80">
        <f t="shared" si="3"/>
        <v>61375</v>
      </c>
      <c r="AB34" s="80">
        <f>+(3500+6000+3500+8000)+(7000+6000+4000+8000+3000+5375-500)</f>
        <v>53875</v>
      </c>
      <c r="AC34" s="81">
        <f t="shared" si="2"/>
        <v>729000</v>
      </c>
      <c r="AD34" s="82"/>
      <c r="AE34" s="82"/>
    </row>
    <row r="35" spans="1:31" ht="50.25" hidden="1" customHeight="1" x14ac:dyDescent="0.4">
      <c r="A35" s="67" t="s">
        <v>15</v>
      </c>
      <c r="B35" s="68" t="s">
        <v>16</v>
      </c>
      <c r="C35" s="68" t="s">
        <v>17</v>
      </c>
      <c r="D35" s="69" t="s">
        <v>18</v>
      </c>
      <c r="E35" s="135"/>
      <c r="F35" s="135"/>
      <c r="G35" s="135"/>
      <c r="H35" s="135"/>
      <c r="I35" s="135"/>
      <c r="J35" s="135"/>
      <c r="K35" s="76"/>
      <c r="L35" s="76"/>
      <c r="M35" s="78" t="s">
        <v>82</v>
      </c>
      <c r="N35" s="79" t="s">
        <v>84</v>
      </c>
      <c r="O35" s="80"/>
      <c r="P35" s="119"/>
      <c r="Q35" s="80">
        <v>175</v>
      </c>
      <c r="R35" s="119"/>
      <c r="S35" s="80"/>
      <c r="T35" s="80">
        <v>402</v>
      </c>
      <c r="U35" s="80">
        <v>402</v>
      </c>
      <c r="V35" s="80"/>
      <c r="W35" s="80"/>
      <c r="X35" s="80"/>
      <c r="Y35" s="80"/>
      <c r="Z35" s="80"/>
      <c r="AA35" s="80"/>
      <c r="AB35" s="80"/>
      <c r="AC35" s="81">
        <f t="shared" si="2"/>
        <v>979</v>
      </c>
      <c r="AD35" s="82"/>
      <c r="AE35" s="82"/>
    </row>
    <row r="36" spans="1:31" ht="50.25" hidden="1" customHeight="1" x14ac:dyDescent="0.4">
      <c r="A36" s="67" t="s">
        <v>15</v>
      </c>
      <c r="B36" s="68" t="s">
        <v>16</v>
      </c>
      <c r="C36" s="68" t="s">
        <v>17</v>
      </c>
      <c r="D36" s="69" t="s">
        <v>18</v>
      </c>
      <c r="E36" s="135"/>
      <c r="F36" s="135"/>
      <c r="G36" s="135"/>
      <c r="H36" s="135"/>
      <c r="I36" s="135"/>
      <c r="J36" s="135"/>
      <c r="K36" s="76"/>
      <c r="L36" s="76"/>
      <c r="M36" s="78" t="s">
        <v>82</v>
      </c>
      <c r="N36" s="79" t="s">
        <v>85</v>
      </c>
      <c r="O36" s="80">
        <v>57800</v>
      </c>
      <c r="P36" s="119"/>
      <c r="Q36" s="80">
        <v>57800</v>
      </c>
      <c r="R36" s="119"/>
      <c r="S36" s="80">
        <v>57800</v>
      </c>
      <c r="T36" s="80">
        <v>57800</v>
      </c>
      <c r="U36" s="80">
        <v>57800</v>
      </c>
      <c r="V36" s="80">
        <v>57800</v>
      </c>
      <c r="W36" s="80">
        <v>57800</v>
      </c>
      <c r="X36" s="80">
        <v>57800</v>
      </c>
      <c r="Y36" s="80">
        <v>57800</v>
      </c>
      <c r="Z36" s="80">
        <v>57800</v>
      </c>
      <c r="AA36" s="80">
        <v>57800</v>
      </c>
      <c r="AB36" s="80">
        <v>57800</v>
      </c>
      <c r="AC36" s="81">
        <f t="shared" si="2"/>
        <v>693600</v>
      </c>
      <c r="AD36" s="82"/>
      <c r="AE36" s="82"/>
    </row>
    <row r="37" spans="1:31" ht="50.25" hidden="1" customHeight="1" x14ac:dyDescent="0.4">
      <c r="A37" s="67" t="s">
        <v>15</v>
      </c>
      <c r="B37" s="68" t="s">
        <v>16</v>
      </c>
      <c r="C37" s="68" t="s">
        <v>17</v>
      </c>
      <c r="D37" s="69" t="s">
        <v>18</v>
      </c>
      <c r="E37" s="135"/>
      <c r="F37" s="135"/>
      <c r="G37" s="135"/>
      <c r="H37" s="135"/>
      <c r="I37" s="135"/>
      <c r="J37" s="135"/>
      <c r="K37" s="76"/>
      <c r="L37" s="76"/>
      <c r="M37" s="78" t="s">
        <v>82</v>
      </c>
      <c r="N37" s="79" t="s">
        <v>86</v>
      </c>
      <c r="O37" s="80"/>
      <c r="P37" s="119"/>
      <c r="Q37" s="80">
        <v>90</v>
      </c>
      <c r="R37" s="119"/>
      <c r="S37" s="80"/>
      <c r="T37" s="80"/>
      <c r="U37" s="80">
        <v>602</v>
      </c>
      <c r="V37" s="80"/>
      <c r="W37" s="80"/>
      <c r="X37" s="80"/>
      <c r="Y37" s="80"/>
      <c r="Z37" s="80"/>
      <c r="AA37" s="80"/>
      <c r="AB37" s="80"/>
      <c r="AC37" s="81">
        <f t="shared" si="2"/>
        <v>692</v>
      </c>
      <c r="AD37" s="82"/>
      <c r="AE37" s="82"/>
    </row>
    <row r="38" spans="1:31" ht="50.25" hidden="1" customHeight="1" x14ac:dyDescent="0.4">
      <c r="A38" s="67" t="s">
        <v>15</v>
      </c>
      <c r="B38" s="68" t="s">
        <v>16</v>
      </c>
      <c r="C38" s="68" t="s">
        <v>17</v>
      </c>
      <c r="D38" s="69" t="s">
        <v>18</v>
      </c>
      <c r="E38" s="135"/>
      <c r="F38" s="135"/>
      <c r="G38" s="135"/>
      <c r="H38" s="135"/>
      <c r="I38" s="135"/>
      <c r="J38" s="135"/>
      <c r="K38" s="76"/>
      <c r="L38" s="76"/>
      <c r="M38" s="78" t="s">
        <v>82</v>
      </c>
      <c r="N38" s="79" t="s">
        <v>87</v>
      </c>
      <c r="O38" s="80"/>
      <c r="P38" s="119"/>
      <c r="Q38" s="80"/>
      <c r="R38" s="119"/>
      <c r="S38" s="80"/>
      <c r="T38" s="80"/>
      <c r="U38" s="80"/>
      <c r="V38" s="80">
        <v>6844</v>
      </c>
      <c r="W38" s="80"/>
      <c r="X38" s="80"/>
      <c r="Y38" s="80"/>
      <c r="Z38" s="80"/>
      <c r="AA38" s="80"/>
      <c r="AB38" s="80">
        <v>5156</v>
      </c>
      <c r="AC38" s="81">
        <f t="shared" si="2"/>
        <v>12000</v>
      </c>
      <c r="AD38" s="82"/>
      <c r="AE38" s="82"/>
    </row>
    <row r="39" spans="1:31" ht="50.25" hidden="1" customHeight="1" x14ac:dyDescent="0.4">
      <c r="A39" s="67" t="s">
        <v>15</v>
      </c>
      <c r="B39" s="68" t="s">
        <v>16</v>
      </c>
      <c r="C39" s="68" t="s">
        <v>17</v>
      </c>
      <c r="D39" s="69" t="s">
        <v>18</v>
      </c>
      <c r="E39" s="135"/>
      <c r="F39" s="135"/>
      <c r="G39" s="135"/>
      <c r="H39" s="135"/>
      <c r="I39" s="135"/>
      <c r="J39" s="135"/>
      <c r="K39" s="76"/>
      <c r="L39" s="76"/>
      <c r="M39" s="78" t="s">
        <v>82</v>
      </c>
      <c r="N39" s="79" t="s">
        <v>88</v>
      </c>
      <c r="O39" s="80"/>
      <c r="P39" s="119"/>
      <c r="Q39" s="80"/>
      <c r="R39" s="119"/>
      <c r="S39" s="80"/>
      <c r="T39" s="80">
        <v>507.64</v>
      </c>
      <c r="U39" s="80"/>
      <c r="V39" s="80"/>
      <c r="W39" s="80"/>
      <c r="X39" s="80"/>
      <c r="Y39" s="80">
        <v>4032</v>
      </c>
      <c r="Z39" s="80">
        <v>4032</v>
      </c>
      <c r="AA39" s="80">
        <v>4032</v>
      </c>
      <c r="AB39" s="80">
        <f>4032+439.36</f>
        <v>4471.3599999999997</v>
      </c>
      <c r="AC39" s="81">
        <f t="shared" si="2"/>
        <v>17075</v>
      </c>
      <c r="AD39" s="82"/>
      <c r="AE39" s="82"/>
    </row>
    <row r="40" spans="1:31" ht="48" hidden="1" customHeight="1" x14ac:dyDescent="0.4">
      <c r="A40" s="67" t="s">
        <v>15</v>
      </c>
      <c r="B40" s="68" t="s">
        <v>16</v>
      </c>
      <c r="C40" s="68" t="s">
        <v>17</v>
      </c>
      <c r="D40" s="69" t="s">
        <v>18</v>
      </c>
      <c r="E40" s="135"/>
      <c r="F40" s="135"/>
      <c r="G40" s="135"/>
      <c r="H40" s="135"/>
      <c r="I40" s="135"/>
      <c r="J40" s="135"/>
      <c r="K40" s="76"/>
      <c r="L40" s="76"/>
      <c r="M40" s="78" t="s">
        <v>82</v>
      </c>
      <c r="N40" s="79" t="s">
        <v>89</v>
      </c>
      <c r="O40" s="80">
        <v>6104.57</v>
      </c>
      <c r="P40" s="119"/>
      <c r="Q40" s="80">
        <v>4352.17</v>
      </c>
      <c r="R40" s="119"/>
      <c r="S40" s="80">
        <v>2269.0100000000002</v>
      </c>
      <c r="T40" s="80">
        <v>1304.6199999999999</v>
      </c>
      <c r="U40" s="80">
        <v>1229.06</v>
      </c>
      <c r="V40" s="80">
        <v>5971.07</v>
      </c>
      <c r="W40" s="80">
        <v>2025.43</v>
      </c>
      <c r="X40" s="80">
        <v>1195.4000000000001</v>
      </c>
      <c r="Y40" s="80">
        <v>1527.67</v>
      </c>
      <c r="Z40" s="80"/>
      <c r="AA40" s="80"/>
      <c r="AB40" s="80"/>
      <c r="AC40" s="81">
        <f t="shared" si="2"/>
        <v>25979</v>
      </c>
      <c r="AD40" s="82"/>
      <c r="AE40" s="82"/>
    </row>
    <row r="41" spans="1:31" s="9" customFormat="1" ht="50.25" hidden="1" customHeight="1" x14ac:dyDescent="0.4">
      <c r="A41" s="86" t="s">
        <v>15</v>
      </c>
      <c r="B41" s="87" t="s">
        <v>16</v>
      </c>
      <c r="C41" s="88" t="s">
        <v>17</v>
      </c>
      <c r="D41" s="89" t="s">
        <v>18</v>
      </c>
      <c r="E41" s="136"/>
      <c r="F41" s="136"/>
      <c r="G41" s="136"/>
      <c r="H41" s="136"/>
      <c r="I41" s="136"/>
      <c r="J41" s="136"/>
      <c r="K41" s="90"/>
      <c r="L41" s="90"/>
      <c r="M41" s="91" t="s">
        <v>90</v>
      </c>
      <c r="N41" s="91"/>
      <c r="O41" s="92">
        <f>SUM(O19:O40)</f>
        <v>497381.49</v>
      </c>
      <c r="P41" s="120"/>
      <c r="Q41" s="92">
        <f t="shared" ref="Q41:AB41" si="4">SUM(Q19:Q40)</f>
        <v>475720.18</v>
      </c>
      <c r="R41" s="120"/>
      <c r="S41" s="92">
        <f t="shared" si="4"/>
        <v>483886.05</v>
      </c>
      <c r="T41" s="92">
        <f t="shared" si="4"/>
        <v>473646.09</v>
      </c>
      <c r="U41" s="92">
        <f t="shared" si="4"/>
        <v>468416.05</v>
      </c>
      <c r="V41" s="92">
        <f t="shared" si="4"/>
        <v>490627.7</v>
      </c>
      <c r="W41" s="92">
        <f t="shared" si="4"/>
        <v>507584.72000000003</v>
      </c>
      <c r="X41" s="92">
        <f t="shared" si="4"/>
        <v>486118.56000000006</v>
      </c>
      <c r="Y41" s="92">
        <f t="shared" si="4"/>
        <v>464693.07</v>
      </c>
      <c r="Z41" s="92">
        <f t="shared" si="4"/>
        <v>456635.07999999996</v>
      </c>
      <c r="AA41" s="92">
        <f t="shared" si="4"/>
        <v>1084910.2000000002</v>
      </c>
      <c r="AB41" s="92">
        <f t="shared" si="4"/>
        <v>1088318.8900000001</v>
      </c>
      <c r="AC41" s="92">
        <f>SUM(AC19:AC40)</f>
        <v>6977938.0800000001</v>
      </c>
      <c r="AD41" s="93"/>
      <c r="AE41" s="93"/>
    </row>
    <row r="42" spans="1:31" ht="50.25" hidden="1" customHeight="1" x14ac:dyDescent="0.4">
      <c r="A42" s="67" t="s">
        <v>15</v>
      </c>
      <c r="B42" s="68" t="s">
        <v>16</v>
      </c>
      <c r="C42" s="68" t="s">
        <v>91</v>
      </c>
      <c r="D42" s="69" t="s">
        <v>92</v>
      </c>
      <c r="E42" s="68" t="s">
        <v>93</v>
      </c>
      <c r="F42" s="67" t="s">
        <v>20</v>
      </c>
      <c r="G42" s="67" t="s">
        <v>29</v>
      </c>
      <c r="H42" s="69" t="s">
        <v>22</v>
      </c>
      <c r="I42" s="67" t="s">
        <v>94</v>
      </c>
      <c r="J42" s="67" t="s">
        <v>32</v>
      </c>
      <c r="K42" s="67" t="s">
        <v>95</v>
      </c>
      <c r="L42" s="67" t="s">
        <v>96</v>
      </c>
      <c r="M42" s="71" t="s">
        <v>27</v>
      </c>
      <c r="N42" s="71"/>
      <c r="O42" s="72">
        <v>1</v>
      </c>
      <c r="P42" s="117"/>
      <c r="Q42" s="72">
        <v>1</v>
      </c>
      <c r="R42" s="117"/>
      <c r="S42" s="72">
        <v>1</v>
      </c>
      <c r="T42" s="72">
        <v>1</v>
      </c>
      <c r="U42" s="72">
        <v>1</v>
      </c>
      <c r="V42" s="72">
        <v>1</v>
      </c>
      <c r="W42" s="72">
        <v>1</v>
      </c>
      <c r="X42" s="72">
        <v>1</v>
      </c>
      <c r="Y42" s="72">
        <v>1</v>
      </c>
      <c r="Z42" s="72">
        <v>1</v>
      </c>
      <c r="AA42" s="72">
        <v>1</v>
      </c>
      <c r="AB42" s="72">
        <v>1</v>
      </c>
      <c r="AC42" s="72">
        <f>SUM(O42:AB42)</f>
        <v>12</v>
      </c>
      <c r="AD42" s="72" t="s">
        <v>97</v>
      </c>
      <c r="AE42" s="72"/>
    </row>
    <row r="43" spans="1:31" ht="50.25" hidden="1" customHeight="1" x14ac:dyDescent="0.4">
      <c r="A43" s="67" t="s">
        <v>15</v>
      </c>
      <c r="B43" s="68" t="s">
        <v>16</v>
      </c>
      <c r="C43" s="68" t="s">
        <v>91</v>
      </c>
      <c r="D43" s="69" t="s">
        <v>92</v>
      </c>
      <c r="E43" s="68" t="s">
        <v>93</v>
      </c>
      <c r="F43" s="67" t="s">
        <v>20</v>
      </c>
      <c r="G43" s="67" t="s">
        <v>21</v>
      </c>
      <c r="H43" s="69" t="s">
        <v>30</v>
      </c>
      <c r="I43" s="67" t="s">
        <v>98</v>
      </c>
      <c r="J43" s="70" t="s">
        <v>99</v>
      </c>
      <c r="K43" s="70" t="s">
        <v>100</v>
      </c>
      <c r="L43" s="70" t="s">
        <v>101</v>
      </c>
      <c r="M43" s="71" t="s">
        <v>27</v>
      </c>
      <c r="N43" s="71"/>
      <c r="O43" s="72">
        <v>1</v>
      </c>
      <c r="P43" s="117"/>
      <c r="Q43" s="72">
        <v>1</v>
      </c>
      <c r="R43" s="117"/>
      <c r="S43" s="72">
        <v>1</v>
      </c>
      <c r="T43" s="72">
        <v>1</v>
      </c>
      <c r="U43" s="72">
        <v>1</v>
      </c>
      <c r="V43" s="72">
        <v>1</v>
      </c>
      <c r="W43" s="72">
        <v>1</v>
      </c>
      <c r="X43" s="72">
        <v>1</v>
      </c>
      <c r="Y43" s="72">
        <v>1</v>
      </c>
      <c r="Z43" s="72">
        <v>1</v>
      </c>
      <c r="AA43" s="72">
        <v>1</v>
      </c>
      <c r="AB43" s="72">
        <v>1</v>
      </c>
      <c r="AC43" s="72">
        <f>SUM(O43:AB43)</f>
        <v>12</v>
      </c>
      <c r="AD43" s="72" t="s">
        <v>97</v>
      </c>
      <c r="AE43" s="72"/>
    </row>
    <row r="44" spans="1:31" ht="50.25" hidden="1" customHeight="1" x14ac:dyDescent="0.4">
      <c r="A44" s="67" t="s">
        <v>15</v>
      </c>
      <c r="B44" s="68" t="s">
        <v>16</v>
      </c>
      <c r="C44" s="68" t="s">
        <v>91</v>
      </c>
      <c r="D44" s="69" t="s">
        <v>92</v>
      </c>
      <c r="E44" s="68" t="s">
        <v>93</v>
      </c>
      <c r="F44" s="67" t="s">
        <v>20</v>
      </c>
      <c r="G44" s="67" t="s">
        <v>56</v>
      </c>
      <c r="H44" s="69" t="s">
        <v>36</v>
      </c>
      <c r="I44" s="67" t="s">
        <v>102</v>
      </c>
      <c r="J44" s="67" t="s">
        <v>32</v>
      </c>
      <c r="K44" s="67" t="s">
        <v>103</v>
      </c>
      <c r="L44" s="67" t="s">
        <v>104</v>
      </c>
      <c r="M44" s="71" t="s">
        <v>27</v>
      </c>
      <c r="N44" s="71"/>
      <c r="O44" s="72">
        <v>1</v>
      </c>
      <c r="P44" s="117"/>
      <c r="Q44" s="72">
        <v>1</v>
      </c>
      <c r="R44" s="117"/>
      <c r="S44" s="72">
        <v>1</v>
      </c>
      <c r="T44" s="72">
        <v>1</v>
      </c>
      <c r="U44" s="72">
        <v>1</v>
      </c>
      <c r="V44" s="72">
        <v>1</v>
      </c>
      <c r="W44" s="72">
        <v>1</v>
      </c>
      <c r="X44" s="72">
        <v>1</v>
      </c>
      <c r="Y44" s="72">
        <v>1</v>
      </c>
      <c r="Z44" s="72">
        <v>1</v>
      </c>
      <c r="AA44" s="72">
        <v>1</v>
      </c>
      <c r="AB44" s="72">
        <v>1</v>
      </c>
      <c r="AC44" s="72">
        <f>SUM(O44:AB44)</f>
        <v>12</v>
      </c>
      <c r="AD44" s="72" t="s">
        <v>97</v>
      </c>
      <c r="AE44" s="72"/>
    </row>
    <row r="45" spans="1:31" s="9" customFormat="1" ht="50.25" hidden="1" customHeight="1" x14ac:dyDescent="0.4">
      <c r="A45" s="73" t="s">
        <v>15</v>
      </c>
      <c r="B45" s="74" t="s">
        <v>16</v>
      </c>
      <c r="C45" s="74" t="s">
        <v>91</v>
      </c>
      <c r="D45" s="75" t="s">
        <v>92</v>
      </c>
      <c r="E45" s="135" t="s">
        <v>105</v>
      </c>
      <c r="F45" s="135"/>
      <c r="G45" s="135"/>
      <c r="H45" s="135"/>
      <c r="I45" s="135"/>
      <c r="J45" s="135"/>
      <c r="K45" s="76"/>
      <c r="L45" s="76"/>
      <c r="M45" s="76" t="s">
        <v>64</v>
      </c>
      <c r="N45" s="76"/>
      <c r="O45" s="77">
        <f>+O43</f>
        <v>1</v>
      </c>
      <c r="P45" s="118"/>
      <c r="Q45" s="77">
        <f t="shared" ref="Q45:AC45" si="5">+Q43</f>
        <v>1</v>
      </c>
      <c r="R45" s="118"/>
      <c r="S45" s="77">
        <f t="shared" si="5"/>
        <v>1</v>
      </c>
      <c r="T45" s="77">
        <f t="shared" si="5"/>
        <v>1</v>
      </c>
      <c r="U45" s="77">
        <f t="shared" si="5"/>
        <v>1</v>
      </c>
      <c r="V45" s="77">
        <f t="shared" si="5"/>
        <v>1</v>
      </c>
      <c r="W45" s="77">
        <f t="shared" si="5"/>
        <v>1</v>
      </c>
      <c r="X45" s="77">
        <f t="shared" si="5"/>
        <v>1</v>
      </c>
      <c r="Y45" s="77">
        <f t="shared" si="5"/>
        <v>1</v>
      </c>
      <c r="Z45" s="77">
        <f t="shared" si="5"/>
        <v>1</v>
      </c>
      <c r="AA45" s="77">
        <f t="shared" si="5"/>
        <v>1</v>
      </c>
      <c r="AB45" s="77">
        <f t="shared" si="5"/>
        <v>1</v>
      </c>
      <c r="AC45" s="77">
        <f t="shared" si="5"/>
        <v>12</v>
      </c>
      <c r="AD45" s="77" t="s">
        <v>106</v>
      </c>
      <c r="AE45" s="77"/>
    </row>
    <row r="46" spans="1:31" ht="50.25" hidden="1" customHeight="1" x14ac:dyDescent="0.4">
      <c r="A46" s="67" t="s">
        <v>15</v>
      </c>
      <c r="B46" s="68" t="s">
        <v>16</v>
      </c>
      <c r="C46" s="68" t="s">
        <v>91</v>
      </c>
      <c r="D46" s="69" t="s">
        <v>92</v>
      </c>
      <c r="E46" s="135"/>
      <c r="F46" s="135"/>
      <c r="G46" s="135"/>
      <c r="H46" s="135"/>
      <c r="I46" s="135"/>
      <c r="J46" s="135"/>
      <c r="K46" s="76"/>
      <c r="L46" s="76"/>
      <c r="M46" s="78" t="s">
        <v>66</v>
      </c>
      <c r="N46" s="79" t="s">
        <v>74</v>
      </c>
      <c r="O46" s="94">
        <v>8000</v>
      </c>
      <c r="P46" s="119"/>
      <c r="Q46" s="94">
        <v>8000</v>
      </c>
      <c r="R46" s="119"/>
      <c r="S46" s="94">
        <v>8000</v>
      </c>
      <c r="T46" s="94">
        <v>8000</v>
      </c>
      <c r="U46" s="94">
        <v>8000</v>
      </c>
      <c r="V46" s="94">
        <v>8000</v>
      </c>
      <c r="W46" s="94">
        <v>8000</v>
      </c>
      <c r="X46" s="94">
        <v>8000</v>
      </c>
      <c r="Y46" s="94">
        <v>8000</v>
      </c>
      <c r="Z46" s="94">
        <v>8000</v>
      </c>
      <c r="AA46" s="94">
        <v>8000</v>
      </c>
      <c r="AB46" s="94">
        <v>8000</v>
      </c>
      <c r="AC46" s="95">
        <f>SUM(O46:AB46)</f>
        <v>96000</v>
      </c>
      <c r="AD46" s="63"/>
      <c r="AE46" s="63"/>
    </row>
    <row r="47" spans="1:31" ht="50.25" hidden="1" customHeight="1" x14ac:dyDescent="0.4">
      <c r="A47" s="67"/>
      <c r="B47" s="68"/>
      <c r="C47" s="68" t="s">
        <v>91</v>
      </c>
      <c r="D47" s="69" t="s">
        <v>92</v>
      </c>
      <c r="E47" s="135"/>
      <c r="F47" s="135"/>
      <c r="G47" s="135"/>
      <c r="H47" s="135"/>
      <c r="I47" s="135"/>
      <c r="J47" s="135"/>
      <c r="K47" s="76"/>
      <c r="L47" s="76"/>
      <c r="M47" s="78" t="s">
        <v>66</v>
      </c>
      <c r="N47" s="79" t="s">
        <v>71</v>
      </c>
      <c r="O47" s="94">
        <v>208.58</v>
      </c>
      <c r="P47" s="119"/>
      <c r="Q47" s="94">
        <v>208.58</v>
      </c>
      <c r="R47" s="119"/>
      <c r="S47" s="94">
        <v>208.58</v>
      </c>
      <c r="T47" s="94">
        <v>208.58</v>
      </c>
      <c r="U47" s="94">
        <v>208.58</v>
      </c>
      <c r="V47" s="94">
        <v>208.58</v>
      </c>
      <c r="W47" s="94">
        <v>208.58</v>
      </c>
      <c r="X47" s="94">
        <v>208.58</v>
      </c>
      <c r="Y47" s="94">
        <v>208.58</v>
      </c>
      <c r="Z47" s="94">
        <v>208.58</v>
      </c>
      <c r="AA47" s="94">
        <v>208.58</v>
      </c>
      <c r="AB47" s="94">
        <v>208.58</v>
      </c>
      <c r="AC47" s="95">
        <v>2502.9599999999996</v>
      </c>
      <c r="AD47" s="63"/>
      <c r="AE47" s="63"/>
    </row>
    <row r="48" spans="1:31" ht="50.25" hidden="1" customHeight="1" x14ac:dyDescent="0.4">
      <c r="A48" s="67" t="s">
        <v>15</v>
      </c>
      <c r="B48" s="68" t="s">
        <v>16</v>
      </c>
      <c r="C48" s="68" t="s">
        <v>91</v>
      </c>
      <c r="D48" s="69" t="s">
        <v>92</v>
      </c>
      <c r="E48" s="135"/>
      <c r="F48" s="135"/>
      <c r="G48" s="135"/>
      <c r="H48" s="135"/>
      <c r="I48" s="135"/>
      <c r="J48" s="135"/>
      <c r="K48" s="76"/>
      <c r="L48" s="76"/>
      <c r="M48" s="78" t="s">
        <v>82</v>
      </c>
      <c r="N48" s="79" t="s">
        <v>83</v>
      </c>
      <c r="O48" s="94">
        <v>5500</v>
      </c>
      <c r="P48" s="119"/>
      <c r="Q48" s="94">
        <v>5500</v>
      </c>
      <c r="R48" s="119"/>
      <c r="S48" s="94">
        <v>5500</v>
      </c>
      <c r="T48" s="94">
        <v>5500</v>
      </c>
      <c r="U48" s="94">
        <v>5500</v>
      </c>
      <c r="V48" s="94">
        <v>5500</v>
      </c>
      <c r="W48" s="94">
        <v>5500</v>
      </c>
      <c r="X48" s="94">
        <v>5500</v>
      </c>
      <c r="Y48" s="94">
        <v>5500</v>
      </c>
      <c r="Z48" s="94">
        <v>5500</v>
      </c>
      <c r="AA48" s="94">
        <v>5500</v>
      </c>
      <c r="AB48" s="94">
        <v>5500</v>
      </c>
      <c r="AC48" s="95">
        <f>SUM(O48:AB48)</f>
        <v>66000</v>
      </c>
      <c r="AD48" s="63"/>
      <c r="AE48" s="63"/>
    </row>
    <row r="49" spans="1:31" s="9" customFormat="1" ht="50.25" hidden="1" customHeight="1" x14ac:dyDescent="0.4">
      <c r="A49" s="73" t="s">
        <v>15</v>
      </c>
      <c r="B49" s="74" t="s">
        <v>16</v>
      </c>
      <c r="C49" s="68" t="s">
        <v>91</v>
      </c>
      <c r="D49" s="75" t="s">
        <v>92</v>
      </c>
      <c r="E49" s="135"/>
      <c r="F49" s="135"/>
      <c r="G49" s="135"/>
      <c r="H49" s="135"/>
      <c r="I49" s="135"/>
      <c r="J49" s="135"/>
      <c r="K49" s="76"/>
      <c r="L49" s="76"/>
      <c r="M49" s="83" t="s">
        <v>90</v>
      </c>
      <c r="N49" s="83"/>
      <c r="O49" s="84">
        <f t="shared" ref="O49:AC49" si="6">SUM(O46:O48)</f>
        <v>13708.58</v>
      </c>
      <c r="P49" s="121"/>
      <c r="Q49" s="84">
        <f t="shared" si="6"/>
        <v>13708.58</v>
      </c>
      <c r="R49" s="121"/>
      <c r="S49" s="84">
        <f t="shared" si="6"/>
        <v>13708.58</v>
      </c>
      <c r="T49" s="84">
        <f t="shared" si="6"/>
        <v>13708.58</v>
      </c>
      <c r="U49" s="84">
        <f t="shared" si="6"/>
        <v>13708.58</v>
      </c>
      <c r="V49" s="84">
        <f t="shared" si="6"/>
        <v>13708.58</v>
      </c>
      <c r="W49" s="84">
        <f t="shared" si="6"/>
        <v>13708.58</v>
      </c>
      <c r="X49" s="84">
        <f t="shared" si="6"/>
        <v>13708.58</v>
      </c>
      <c r="Y49" s="84">
        <f t="shared" si="6"/>
        <v>13708.58</v>
      </c>
      <c r="Z49" s="84">
        <f t="shared" si="6"/>
        <v>13708.58</v>
      </c>
      <c r="AA49" s="84">
        <f t="shared" si="6"/>
        <v>13708.58</v>
      </c>
      <c r="AB49" s="84">
        <f t="shared" si="6"/>
        <v>13708.58</v>
      </c>
      <c r="AC49" s="84">
        <f t="shared" si="6"/>
        <v>164502.96000000002</v>
      </c>
      <c r="AD49" s="85"/>
      <c r="AE49" s="85"/>
    </row>
    <row r="50" spans="1:31" ht="50.25" hidden="1" customHeight="1" x14ac:dyDescent="0.4">
      <c r="A50" s="67" t="s">
        <v>15</v>
      </c>
      <c r="B50" s="68" t="s">
        <v>16</v>
      </c>
      <c r="C50" s="68" t="s">
        <v>107</v>
      </c>
      <c r="D50" s="69" t="s">
        <v>108</v>
      </c>
      <c r="E50" s="68" t="s">
        <v>109</v>
      </c>
      <c r="F50" s="67" t="s">
        <v>110</v>
      </c>
      <c r="G50" s="67" t="s">
        <v>21</v>
      </c>
      <c r="H50" s="69" t="s">
        <v>22</v>
      </c>
      <c r="I50" s="67" t="s">
        <v>111</v>
      </c>
      <c r="J50" s="70" t="s">
        <v>99</v>
      </c>
      <c r="K50" s="96" t="s">
        <v>112</v>
      </c>
      <c r="L50" s="96" t="s">
        <v>113</v>
      </c>
      <c r="M50" s="71" t="s">
        <v>27</v>
      </c>
      <c r="N50" s="71"/>
      <c r="O50" s="72"/>
      <c r="P50" s="117"/>
      <c r="Q50" s="72"/>
      <c r="R50" s="117"/>
      <c r="S50" s="72">
        <v>1</v>
      </c>
      <c r="T50" s="72"/>
      <c r="U50" s="72"/>
      <c r="V50" s="72">
        <v>1</v>
      </c>
      <c r="W50" s="72"/>
      <c r="X50" s="72"/>
      <c r="Y50" s="72">
        <v>1</v>
      </c>
      <c r="Z50" s="72"/>
      <c r="AA50" s="72"/>
      <c r="AB50" s="72">
        <v>1</v>
      </c>
      <c r="AC50" s="72">
        <f>SUM(O50:AB50)</f>
        <v>4</v>
      </c>
      <c r="AD50" s="72" t="s">
        <v>114</v>
      </c>
      <c r="AE50" s="72"/>
    </row>
    <row r="51" spans="1:31" ht="50.25" hidden="1" customHeight="1" x14ac:dyDescent="0.4">
      <c r="A51" s="67" t="s">
        <v>15</v>
      </c>
      <c r="B51" s="68" t="s">
        <v>16</v>
      </c>
      <c r="C51" s="68" t="s">
        <v>107</v>
      </c>
      <c r="D51" s="69" t="s">
        <v>108</v>
      </c>
      <c r="E51" s="68" t="s">
        <v>109</v>
      </c>
      <c r="F51" s="67" t="s">
        <v>115</v>
      </c>
      <c r="G51" s="67" t="s">
        <v>29</v>
      </c>
      <c r="H51" s="69" t="s">
        <v>30</v>
      </c>
      <c r="I51" s="67" t="s">
        <v>116</v>
      </c>
      <c r="J51" s="70" t="s">
        <v>117</v>
      </c>
      <c r="K51" s="96" t="s">
        <v>118</v>
      </c>
      <c r="L51" s="96" t="s">
        <v>119</v>
      </c>
      <c r="M51" s="71" t="s">
        <v>27</v>
      </c>
      <c r="N51" s="71"/>
      <c r="O51" s="72">
        <v>3</v>
      </c>
      <c r="P51" s="117"/>
      <c r="Q51" s="72">
        <v>3</v>
      </c>
      <c r="R51" s="117"/>
      <c r="S51" s="72">
        <v>3</v>
      </c>
      <c r="T51" s="72">
        <v>3</v>
      </c>
      <c r="U51" s="72">
        <v>3</v>
      </c>
      <c r="V51" s="72">
        <v>3</v>
      </c>
      <c r="W51" s="72">
        <v>3</v>
      </c>
      <c r="X51" s="72">
        <v>3</v>
      </c>
      <c r="Y51" s="72">
        <v>3</v>
      </c>
      <c r="Z51" s="72">
        <v>3</v>
      </c>
      <c r="AA51" s="72">
        <v>3</v>
      </c>
      <c r="AB51" s="72">
        <v>3</v>
      </c>
      <c r="AC51" s="72">
        <f>SUM(O51:AB51)</f>
        <v>36</v>
      </c>
      <c r="AD51" s="72" t="s">
        <v>114</v>
      </c>
      <c r="AE51" s="72"/>
    </row>
    <row r="52" spans="1:31" ht="50.25" hidden="1" customHeight="1" x14ac:dyDescent="0.4">
      <c r="A52" s="67"/>
      <c r="B52" s="68"/>
      <c r="C52" s="68" t="s">
        <v>107</v>
      </c>
      <c r="D52" s="69" t="s">
        <v>108</v>
      </c>
      <c r="E52" s="68" t="s">
        <v>109</v>
      </c>
      <c r="F52" s="67" t="s">
        <v>120</v>
      </c>
      <c r="G52" s="67" t="s">
        <v>56</v>
      </c>
      <c r="H52" s="69" t="s">
        <v>36</v>
      </c>
      <c r="I52" s="67" t="s">
        <v>121</v>
      </c>
      <c r="J52" s="70" t="s">
        <v>99</v>
      </c>
      <c r="K52" s="96" t="s">
        <v>122</v>
      </c>
      <c r="L52" s="96" t="s">
        <v>123</v>
      </c>
      <c r="M52" s="71" t="s">
        <v>27</v>
      </c>
      <c r="N52" s="71"/>
      <c r="O52" s="72"/>
      <c r="P52" s="117"/>
      <c r="Q52" s="72"/>
      <c r="R52" s="117"/>
      <c r="S52" s="72">
        <v>1</v>
      </c>
      <c r="T52" s="72"/>
      <c r="U52" s="72"/>
      <c r="V52" s="72">
        <v>1</v>
      </c>
      <c r="W52" s="72"/>
      <c r="X52" s="72"/>
      <c r="Y52" s="72">
        <v>1</v>
      </c>
      <c r="Z52" s="72"/>
      <c r="AA52" s="72"/>
      <c r="AB52" s="72">
        <v>1</v>
      </c>
      <c r="AC52" s="72"/>
      <c r="AD52" s="72" t="s">
        <v>114</v>
      </c>
      <c r="AE52" s="72"/>
    </row>
    <row r="53" spans="1:31" ht="50.25" hidden="1" customHeight="1" x14ac:dyDescent="0.4">
      <c r="A53" s="67"/>
      <c r="B53" s="68"/>
      <c r="C53" s="68" t="s">
        <v>107</v>
      </c>
      <c r="D53" s="69" t="s">
        <v>108</v>
      </c>
      <c r="E53" s="68" t="s">
        <v>109</v>
      </c>
      <c r="F53" s="67" t="s">
        <v>124</v>
      </c>
      <c r="G53" s="67" t="s">
        <v>56</v>
      </c>
      <c r="H53" s="69" t="s">
        <v>41</v>
      </c>
      <c r="I53" s="67" t="s">
        <v>125</v>
      </c>
      <c r="J53" s="70" t="s">
        <v>99</v>
      </c>
      <c r="K53" s="96" t="s">
        <v>126</v>
      </c>
      <c r="L53" s="96" t="s">
        <v>127</v>
      </c>
      <c r="M53" s="71" t="s">
        <v>27</v>
      </c>
      <c r="N53" s="71"/>
      <c r="O53" s="72"/>
      <c r="P53" s="117"/>
      <c r="Q53" s="72">
        <v>1</v>
      </c>
      <c r="R53" s="117"/>
      <c r="S53" s="72"/>
      <c r="T53" s="72">
        <v>1</v>
      </c>
      <c r="U53" s="72"/>
      <c r="V53" s="72">
        <v>1</v>
      </c>
      <c r="W53" s="72"/>
      <c r="X53" s="72">
        <v>1</v>
      </c>
      <c r="Y53" s="72"/>
      <c r="Z53" s="72">
        <v>1</v>
      </c>
      <c r="AA53" s="72"/>
      <c r="AB53" s="72">
        <v>1</v>
      </c>
      <c r="AC53" s="72"/>
      <c r="AD53" s="72" t="s">
        <v>114</v>
      </c>
      <c r="AE53" s="72"/>
    </row>
    <row r="54" spans="1:31" ht="50.25" hidden="1" customHeight="1" x14ac:dyDescent="0.4">
      <c r="A54" s="67" t="s">
        <v>15</v>
      </c>
      <c r="B54" s="68" t="s">
        <v>16</v>
      </c>
      <c r="C54" s="68" t="s">
        <v>107</v>
      </c>
      <c r="D54" s="69" t="s">
        <v>108</v>
      </c>
      <c r="E54" s="68" t="s">
        <v>109</v>
      </c>
      <c r="F54" s="67" t="s">
        <v>128</v>
      </c>
      <c r="G54" s="67" t="s">
        <v>56</v>
      </c>
      <c r="H54" s="69" t="s">
        <v>46</v>
      </c>
      <c r="I54" s="67" t="s">
        <v>129</v>
      </c>
      <c r="J54" s="70" t="s">
        <v>99</v>
      </c>
      <c r="K54" s="96" t="s">
        <v>130</v>
      </c>
      <c r="L54" s="96" t="s">
        <v>127</v>
      </c>
      <c r="M54" s="71" t="s">
        <v>27</v>
      </c>
      <c r="N54" s="71"/>
      <c r="O54" s="72"/>
      <c r="P54" s="117"/>
      <c r="Q54" s="72">
        <v>1</v>
      </c>
      <c r="R54" s="117"/>
      <c r="S54" s="72"/>
      <c r="T54" s="72">
        <v>1</v>
      </c>
      <c r="U54" s="72"/>
      <c r="V54" s="72">
        <v>1</v>
      </c>
      <c r="W54" s="72"/>
      <c r="X54" s="72">
        <v>1</v>
      </c>
      <c r="Y54" s="72"/>
      <c r="Z54" s="72">
        <v>1</v>
      </c>
      <c r="AA54" s="72"/>
      <c r="AB54" s="72">
        <v>1</v>
      </c>
      <c r="AC54" s="72">
        <f>SUM(O54:AB54)</f>
        <v>6</v>
      </c>
      <c r="AD54" s="72" t="s">
        <v>114</v>
      </c>
      <c r="AE54" s="72"/>
    </row>
    <row r="55" spans="1:31" ht="50.25" hidden="1" customHeight="1" x14ac:dyDescent="0.4">
      <c r="A55" s="67" t="s">
        <v>15</v>
      </c>
      <c r="B55" s="68" t="s">
        <v>16</v>
      </c>
      <c r="C55" s="68" t="s">
        <v>107</v>
      </c>
      <c r="D55" s="69" t="s">
        <v>108</v>
      </c>
      <c r="E55" s="135" t="s">
        <v>131</v>
      </c>
      <c r="F55" s="135"/>
      <c r="G55" s="135"/>
      <c r="H55" s="135"/>
      <c r="I55" s="135"/>
      <c r="J55" s="135"/>
      <c r="K55" s="76"/>
      <c r="L55" s="76"/>
      <c r="M55" s="76" t="s">
        <v>64</v>
      </c>
      <c r="N55" s="76"/>
      <c r="O55" s="97">
        <f>SUM(O50:O54)</f>
        <v>3</v>
      </c>
      <c r="P55" s="117"/>
      <c r="Q55" s="97">
        <f t="shared" ref="Q55:AB55" si="7">SUM(Q50:Q54)</f>
        <v>5</v>
      </c>
      <c r="R55" s="117"/>
      <c r="S55" s="97">
        <f t="shared" si="7"/>
        <v>5</v>
      </c>
      <c r="T55" s="97">
        <f t="shared" si="7"/>
        <v>5</v>
      </c>
      <c r="U55" s="97">
        <f t="shared" si="7"/>
        <v>3</v>
      </c>
      <c r="V55" s="97">
        <f t="shared" si="7"/>
        <v>7</v>
      </c>
      <c r="W55" s="97">
        <f t="shared" si="7"/>
        <v>3</v>
      </c>
      <c r="X55" s="97">
        <f t="shared" si="7"/>
        <v>5</v>
      </c>
      <c r="Y55" s="97">
        <f t="shared" si="7"/>
        <v>5</v>
      </c>
      <c r="Z55" s="97">
        <f t="shared" si="7"/>
        <v>5</v>
      </c>
      <c r="AA55" s="97">
        <f t="shared" si="7"/>
        <v>3</v>
      </c>
      <c r="AB55" s="97">
        <f t="shared" si="7"/>
        <v>7</v>
      </c>
      <c r="AC55" s="97">
        <f>SUM(O55:AB55)</f>
        <v>56</v>
      </c>
      <c r="AD55" s="77" t="s">
        <v>132</v>
      </c>
      <c r="AE55" s="77"/>
    </row>
    <row r="56" spans="1:31" ht="50.25" hidden="1" customHeight="1" x14ac:dyDescent="0.4">
      <c r="A56" s="67" t="s">
        <v>15</v>
      </c>
      <c r="B56" s="68" t="s">
        <v>16</v>
      </c>
      <c r="C56" s="68" t="s">
        <v>107</v>
      </c>
      <c r="D56" s="69" t="s">
        <v>108</v>
      </c>
      <c r="E56" s="135"/>
      <c r="F56" s="135"/>
      <c r="G56" s="135"/>
      <c r="H56" s="135"/>
      <c r="I56" s="135"/>
      <c r="J56" s="135"/>
      <c r="K56" s="76"/>
      <c r="L56" s="76"/>
      <c r="M56" s="78" t="s">
        <v>66</v>
      </c>
      <c r="N56" s="79" t="s">
        <v>80</v>
      </c>
      <c r="O56" s="94">
        <v>10000</v>
      </c>
      <c r="P56" s="119"/>
      <c r="Q56" s="94">
        <v>10000</v>
      </c>
      <c r="R56" s="119"/>
      <c r="S56" s="94">
        <v>10000</v>
      </c>
      <c r="T56" s="94">
        <v>10000</v>
      </c>
      <c r="U56" s="94">
        <v>10000</v>
      </c>
      <c r="V56" s="94">
        <v>10000</v>
      </c>
      <c r="W56" s="94">
        <v>10000</v>
      </c>
      <c r="X56" s="94">
        <v>10000</v>
      </c>
      <c r="Y56" s="94">
        <v>10000</v>
      </c>
      <c r="Z56" s="94">
        <v>10000</v>
      </c>
      <c r="AA56" s="94">
        <v>10000</v>
      </c>
      <c r="AB56" s="94">
        <v>10000</v>
      </c>
      <c r="AC56" s="95">
        <f>SUM(O56:AB56)</f>
        <v>120000</v>
      </c>
      <c r="AD56" s="63"/>
      <c r="AE56" s="63"/>
    </row>
    <row r="57" spans="1:31" ht="50.25" hidden="1" customHeight="1" x14ac:dyDescent="0.4">
      <c r="A57" s="67"/>
      <c r="B57" s="68"/>
      <c r="C57" s="68" t="s">
        <v>107</v>
      </c>
      <c r="D57" s="69"/>
      <c r="E57" s="135"/>
      <c r="F57" s="135"/>
      <c r="G57" s="135"/>
      <c r="H57" s="135"/>
      <c r="I57" s="135"/>
      <c r="J57" s="135"/>
      <c r="K57" s="76"/>
      <c r="L57" s="76"/>
      <c r="M57" s="78" t="s">
        <v>66</v>
      </c>
      <c r="N57" s="79" t="s">
        <v>71</v>
      </c>
      <c r="O57" s="94">
        <v>208.58</v>
      </c>
      <c r="P57" s="119"/>
      <c r="Q57" s="94">
        <v>208.58</v>
      </c>
      <c r="R57" s="119"/>
      <c r="S57" s="94">
        <v>208.58</v>
      </c>
      <c r="T57" s="94">
        <v>208.58</v>
      </c>
      <c r="U57" s="94">
        <v>208.58</v>
      </c>
      <c r="V57" s="94">
        <v>208.58</v>
      </c>
      <c r="W57" s="94">
        <v>208.58</v>
      </c>
      <c r="X57" s="94">
        <v>208.58</v>
      </c>
      <c r="Y57" s="94">
        <v>208.58</v>
      </c>
      <c r="Z57" s="94">
        <v>208.58</v>
      </c>
      <c r="AA57" s="94">
        <v>208.58</v>
      </c>
      <c r="AB57" s="94">
        <v>208.58</v>
      </c>
      <c r="AC57" s="95">
        <f>SUM(O57:AB57)</f>
        <v>2502.9599999999996</v>
      </c>
      <c r="AD57" s="63"/>
      <c r="AE57" s="63"/>
    </row>
    <row r="58" spans="1:31" ht="60.75" hidden="1" customHeight="1" x14ac:dyDescent="0.4">
      <c r="A58" s="67" t="s">
        <v>15</v>
      </c>
      <c r="B58" s="68" t="s">
        <v>16</v>
      </c>
      <c r="C58" s="68" t="s">
        <v>107</v>
      </c>
      <c r="D58" s="69" t="s">
        <v>108</v>
      </c>
      <c r="E58" s="135"/>
      <c r="F58" s="135"/>
      <c r="G58" s="135"/>
      <c r="H58" s="135"/>
      <c r="I58" s="135"/>
      <c r="J58" s="135"/>
      <c r="K58" s="76"/>
      <c r="L58" s="76"/>
      <c r="M58" s="78" t="s">
        <v>82</v>
      </c>
      <c r="N58" s="79" t="s">
        <v>83</v>
      </c>
      <c r="O58" s="94">
        <f>8000+9000</f>
        <v>17000</v>
      </c>
      <c r="P58" s="119"/>
      <c r="Q58" s="94">
        <f t="shared" ref="Q58:AB58" si="8">8000+9000</f>
        <v>17000</v>
      </c>
      <c r="R58" s="119"/>
      <c r="S58" s="94">
        <f t="shared" si="8"/>
        <v>17000</v>
      </c>
      <c r="T58" s="94">
        <f t="shared" si="8"/>
        <v>17000</v>
      </c>
      <c r="U58" s="94">
        <f t="shared" si="8"/>
        <v>17000</v>
      </c>
      <c r="V58" s="94">
        <f t="shared" si="8"/>
        <v>17000</v>
      </c>
      <c r="W58" s="94">
        <f t="shared" si="8"/>
        <v>17000</v>
      </c>
      <c r="X58" s="94">
        <f t="shared" si="8"/>
        <v>17000</v>
      </c>
      <c r="Y58" s="94">
        <f t="shared" si="8"/>
        <v>17000</v>
      </c>
      <c r="Z58" s="94">
        <f t="shared" si="8"/>
        <v>17000</v>
      </c>
      <c r="AA58" s="94">
        <f t="shared" si="8"/>
        <v>17000</v>
      </c>
      <c r="AB58" s="94">
        <f t="shared" si="8"/>
        <v>17000</v>
      </c>
      <c r="AC58" s="95">
        <f>SUM(O58:AB58)</f>
        <v>204000</v>
      </c>
      <c r="AD58" s="63"/>
      <c r="AE58" s="63"/>
    </row>
    <row r="59" spans="1:31" s="9" customFormat="1" ht="32.25" hidden="1" customHeight="1" x14ac:dyDescent="0.4">
      <c r="A59" s="73" t="s">
        <v>15</v>
      </c>
      <c r="B59" s="74" t="s">
        <v>16</v>
      </c>
      <c r="C59" s="68" t="s">
        <v>107</v>
      </c>
      <c r="D59" s="75" t="s">
        <v>108</v>
      </c>
      <c r="E59" s="135"/>
      <c r="F59" s="135"/>
      <c r="G59" s="135"/>
      <c r="H59" s="135"/>
      <c r="I59" s="135"/>
      <c r="J59" s="135"/>
      <c r="K59" s="76"/>
      <c r="L59" s="76"/>
      <c r="M59" s="83" t="s">
        <v>90</v>
      </c>
      <c r="N59" s="83"/>
      <c r="O59" s="84">
        <f t="shared" ref="O59:AC59" si="9">SUM(O56:O58)</f>
        <v>27208.58</v>
      </c>
      <c r="P59" s="121"/>
      <c r="Q59" s="84">
        <f t="shared" si="9"/>
        <v>27208.58</v>
      </c>
      <c r="R59" s="121"/>
      <c r="S59" s="84">
        <f t="shared" si="9"/>
        <v>27208.58</v>
      </c>
      <c r="T59" s="84">
        <f t="shared" si="9"/>
        <v>27208.58</v>
      </c>
      <c r="U59" s="84">
        <f t="shared" si="9"/>
        <v>27208.58</v>
      </c>
      <c r="V59" s="84">
        <f t="shared" si="9"/>
        <v>27208.58</v>
      </c>
      <c r="W59" s="84">
        <f t="shared" si="9"/>
        <v>27208.58</v>
      </c>
      <c r="X59" s="84">
        <f t="shared" si="9"/>
        <v>27208.58</v>
      </c>
      <c r="Y59" s="84">
        <f t="shared" si="9"/>
        <v>27208.58</v>
      </c>
      <c r="Z59" s="84">
        <f t="shared" si="9"/>
        <v>27208.58</v>
      </c>
      <c r="AA59" s="84">
        <f t="shared" si="9"/>
        <v>27208.58</v>
      </c>
      <c r="AB59" s="84">
        <f t="shared" si="9"/>
        <v>27208.58</v>
      </c>
      <c r="AC59" s="84">
        <f t="shared" si="9"/>
        <v>326502.96000000002</v>
      </c>
      <c r="AD59" s="85"/>
      <c r="AE59" s="85"/>
    </row>
    <row r="60" spans="1:31" x14ac:dyDescent="0.4">
      <c r="J60" s="1" t="s">
        <v>133</v>
      </c>
    </row>
  </sheetData>
  <mergeCells count="10">
    <mergeCell ref="AE9:AE10"/>
    <mergeCell ref="E18:J41"/>
    <mergeCell ref="E45:J49"/>
    <mergeCell ref="E55:J59"/>
    <mergeCell ref="G1:AB2"/>
    <mergeCell ref="D7:AD8"/>
    <mergeCell ref="A9:J9"/>
    <mergeCell ref="M9:AB9"/>
    <mergeCell ref="AC9:AC10"/>
    <mergeCell ref="AD9:AD10"/>
  </mergeCells>
  <dataValidations count="1">
    <dataValidation type="list" allowBlank="1" showInputMessage="1" showErrorMessage="1" sqref="G42:G44 G50:G54 G11:G17" xr:uid="{B8EE7B97-4DC7-4DF4-8BB5-FDB8EF8B09BC}">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BDB1-BE0F-4A84-B2B5-A78B8296F5DD}">
  <sheetPr>
    <tabColor rgb="FFFF0000"/>
    <pageSetUpPr fitToPage="1"/>
  </sheetPr>
  <dimension ref="A1:AE155"/>
  <sheetViews>
    <sheetView showGridLines="0" topLeftCell="N1" zoomScale="62" zoomScaleNormal="62" zoomScalePageLayoutView="71" workbookViewId="0">
      <selection activeCell="AE5" sqref="AE5:AE6"/>
    </sheetView>
  </sheetViews>
  <sheetFormatPr baseColWidth="10" defaultColWidth="11.42578125" defaultRowHeight="28.5" x14ac:dyDescent="0.45"/>
  <cols>
    <col min="1" max="1" width="255.7109375" style="1" hidden="1" customWidth="1"/>
    <col min="2" max="2" width="96.7109375" style="1" customWidth="1"/>
    <col min="3" max="3" width="70" style="1" hidden="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22.7109375" style="1" bestFit="1" customWidth="1"/>
    <col min="11" max="11" width="65.28515625" style="1" customWidth="1"/>
    <col min="12" max="12" width="81.85546875" style="1" customWidth="1"/>
    <col min="13" max="13" width="51.42578125" style="1" customWidth="1"/>
    <col min="14" max="14" width="51.42578125" style="4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7.42578125" style="1" bestFit="1" customWidth="1"/>
    <col min="32" max="16384" width="11.42578125" style="1"/>
  </cols>
  <sheetData>
    <row r="1" spans="1:31" ht="63.75" x14ac:dyDescent="0.4">
      <c r="E1" s="2"/>
      <c r="F1" s="1"/>
      <c r="G1" s="3"/>
      <c r="H1" s="3"/>
      <c r="I1" s="4"/>
      <c r="J1" s="4"/>
      <c r="K1" s="4"/>
      <c r="L1" s="4"/>
      <c r="M1" s="5"/>
      <c r="N1" s="16"/>
      <c r="O1" s="5"/>
      <c r="P1" s="5"/>
      <c r="Q1" s="5"/>
      <c r="R1" s="5"/>
      <c r="S1" s="5"/>
      <c r="T1" s="5"/>
      <c r="U1" s="5"/>
      <c r="V1" s="5"/>
      <c r="W1" s="5"/>
      <c r="X1" s="5"/>
      <c r="Y1" s="5"/>
      <c r="Z1" s="5"/>
      <c r="AA1" s="5"/>
      <c r="AB1" s="5"/>
    </row>
    <row r="2" spans="1:31" ht="34.5" customHeight="1" x14ac:dyDescent="0.4">
      <c r="D2" s="138" t="s">
        <v>161</v>
      </c>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row>
    <row r="3" spans="1:31" ht="34.5" customHeight="1" x14ac:dyDescent="0.4">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row>
    <row r="4" spans="1:31" ht="26.25" customHeight="1" x14ac:dyDescent="0.4">
      <c r="D4" s="13"/>
      <c r="E4" s="13"/>
      <c r="F4" s="13"/>
      <c r="G4" s="13"/>
      <c r="H4" s="13"/>
      <c r="I4" s="13"/>
      <c r="J4" s="13"/>
      <c r="K4" s="13"/>
      <c r="L4" s="13"/>
      <c r="M4" s="13"/>
      <c r="N4" s="17"/>
      <c r="O4" s="13"/>
      <c r="P4" s="13"/>
      <c r="Q4" s="13"/>
      <c r="R4" s="13"/>
      <c r="S4" s="13"/>
      <c r="T4" s="13"/>
      <c r="U4" s="13"/>
      <c r="V4" s="13"/>
      <c r="W4" s="13"/>
      <c r="X4" s="13"/>
      <c r="Y4" s="13"/>
      <c r="Z4" s="13"/>
      <c r="AA4" s="13"/>
      <c r="AB4" s="13"/>
      <c r="AC4" s="13"/>
      <c r="AD4" s="13"/>
    </row>
    <row r="5" spans="1:31" s="18" customFormat="1" ht="26.25" x14ac:dyDescent="0.4">
      <c r="A5" s="164"/>
      <c r="B5" s="164"/>
      <c r="C5" s="164"/>
      <c r="D5" s="164"/>
      <c r="E5" s="164"/>
      <c r="F5" s="164"/>
      <c r="G5" s="164"/>
      <c r="H5" s="164"/>
      <c r="I5" s="164"/>
      <c r="J5" s="164"/>
      <c r="K5" s="164"/>
      <c r="L5" s="164"/>
      <c r="M5" s="164" t="s">
        <v>0</v>
      </c>
      <c r="N5" s="164"/>
      <c r="O5" s="164"/>
      <c r="P5" s="164"/>
      <c r="Q5" s="164"/>
      <c r="R5" s="164"/>
      <c r="S5" s="164"/>
      <c r="T5" s="164"/>
      <c r="U5" s="164"/>
      <c r="V5" s="164"/>
      <c r="W5" s="164"/>
      <c r="X5" s="164"/>
      <c r="Y5" s="164"/>
      <c r="Z5" s="164"/>
      <c r="AA5" s="164"/>
      <c r="AB5" s="164"/>
      <c r="AC5" s="165" t="s">
        <v>1</v>
      </c>
      <c r="AD5" s="165" t="s">
        <v>2</v>
      </c>
      <c r="AE5" s="161" t="s">
        <v>512</v>
      </c>
    </row>
    <row r="6" spans="1:31" s="18" customFormat="1" ht="67.5" customHeight="1" x14ac:dyDescent="0.4">
      <c r="A6" s="6" t="s">
        <v>3</v>
      </c>
      <c r="B6" s="6" t="s">
        <v>4</v>
      </c>
      <c r="C6" s="6" t="s">
        <v>5</v>
      </c>
      <c r="D6" s="6" t="s">
        <v>6</v>
      </c>
      <c r="E6" s="6" t="s">
        <v>7</v>
      </c>
      <c r="F6" s="6" t="s">
        <v>8</v>
      </c>
      <c r="G6" s="6" t="s">
        <v>162</v>
      </c>
      <c r="H6" s="19" t="s">
        <v>6</v>
      </c>
      <c r="I6" s="6" t="s">
        <v>10</v>
      </c>
      <c r="J6" s="6" t="s">
        <v>8</v>
      </c>
      <c r="K6" s="6" t="s">
        <v>163</v>
      </c>
      <c r="L6" s="6" t="s">
        <v>164</v>
      </c>
      <c r="M6" s="6" t="s">
        <v>13</v>
      </c>
      <c r="N6" s="20" t="s">
        <v>165</v>
      </c>
      <c r="O6" s="6">
        <v>1</v>
      </c>
      <c r="P6" s="106" t="s">
        <v>509</v>
      </c>
      <c r="Q6" s="6">
        <v>2</v>
      </c>
      <c r="R6" s="106" t="s">
        <v>510</v>
      </c>
      <c r="S6" s="6">
        <v>3</v>
      </c>
      <c r="T6" s="6">
        <v>4</v>
      </c>
      <c r="U6" s="6">
        <v>5</v>
      </c>
      <c r="V6" s="6">
        <v>6</v>
      </c>
      <c r="W6" s="6">
        <v>7</v>
      </c>
      <c r="X6" s="6">
        <v>8</v>
      </c>
      <c r="Y6" s="6">
        <v>9</v>
      </c>
      <c r="Z6" s="6">
        <v>10</v>
      </c>
      <c r="AA6" s="6">
        <v>11</v>
      </c>
      <c r="AB6" s="6">
        <v>12</v>
      </c>
      <c r="AC6" s="166"/>
      <c r="AD6" s="166"/>
      <c r="AE6" s="162"/>
    </row>
    <row r="7" spans="1:31" ht="162.75" customHeight="1" x14ac:dyDescent="0.4">
      <c r="A7" s="7" t="s">
        <v>15</v>
      </c>
      <c r="B7" s="8" t="s">
        <v>16</v>
      </c>
      <c r="C7" s="141" t="s">
        <v>166</v>
      </c>
      <c r="D7" s="21" t="s">
        <v>18</v>
      </c>
      <c r="E7" s="144" t="s">
        <v>167</v>
      </c>
      <c r="F7" s="144" t="s">
        <v>59</v>
      </c>
      <c r="G7" s="7" t="s">
        <v>21</v>
      </c>
      <c r="H7" s="21" t="s">
        <v>22</v>
      </c>
      <c r="I7" s="7" t="s">
        <v>168</v>
      </c>
      <c r="J7" s="22" t="s">
        <v>59</v>
      </c>
      <c r="K7" s="7" t="s">
        <v>169</v>
      </c>
      <c r="L7" s="7" t="s">
        <v>170</v>
      </c>
      <c r="M7" s="23" t="s">
        <v>27</v>
      </c>
      <c r="N7" s="24"/>
      <c r="O7" s="7"/>
      <c r="P7" s="108"/>
      <c r="Q7" s="7">
        <v>1</v>
      </c>
      <c r="R7" s="108"/>
      <c r="S7" s="7"/>
      <c r="T7" s="25"/>
      <c r="U7" s="25"/>
      <c r="V7" s="25"/>
      <c r="W7" s="25"/>
      <c r="X7" s="25"/>
      <c r="Y7" s="25"/>
      <c r="Z7" s="25"/>
      <c r="AA7" s="25"/>
      <c r="AB7" s="25"/>
      <c r="AC7" s="26">
        <f>SUM(O7:AB7)</f>
        <v>1</v>
      </c>
      <c r="AD7" s="7" t="s">
        <v>171</v>
      </c>
      <c r="AE7" s="7"/>
    </row>
    <row r="8" spans="1:31" ht="48" x14ac:dyDescent="0.4">
      <c r="A8" s="7" t="s">
        <v>15</v>
      </c>
      <c r="B8" s="8" t="s">
        <v>16</v>
      </c>
      <c r="C8" s="142"/>
      <c r="D8" s="21" t="s">
        <v>18</v>
      </c>
      <c r="E8" s="144"/>
      <c r="F8" s="144"/>
      <c r="G8" s="7" t="s">
        <v>21</v>
      </c>
      <c r="H8" s="21" t="s">
        <v>30</v>
      </c>
      <c r="I8" s="7" t="s">
        <v>172</v>
      </c>
      <c r="J8" s="22" t="s">
        <v>59</v>
      </c>
      <c r="K8" s="7" t="s">
        <v>173</v>
      </c>
      <c r="L8" s="7" t="s">
        <v>174</v>
      </c>
      <c r="M8" s="23" t="s">
        <v>27</v>
      </c>
      <c r="N8" s="24"/>
      <c r="O8" s="7"/>
      <c r="P8" s="108"/>
      <c r="Q8" s="7"/>
      <c r="R8" s="108"/>
      <c r="S8" s="7"/>
      <c r="T8" s="7">
        <v>1</v>
      </c>
      <c r="U8" s="25"/>
      <c r="V8" s="25"/>
      <c r="W8" s="25"/>
      <c r="X8" s="25"/>
      <c r="Y8" s="25"/>
      <c r="Z8" s="25"/>
      <c r="AA8" s="25"/>
      <c r="AB8" s="25"/>
      <c r="AC8" s="26">
        <f>SUM(O8:AB8)</f>
        <v>1</v>
      </c>
      <c r="AD8" s="7" t="s">
        <v>171</v>
      </c>
      <c r="AE8" s="7"/>
    </row>
    <row r="9" spans="1:31" ht="72" x14ac:dyDescent="0.4">
      <c r="A9" s="7" t="s">
        <v>15</v>
      </c>
      <c r="B9" s="8" t="s">
        <v>16</v>
      </c>
      <c r="C9" s="142"/>
      <c r="D9" s="21" t="s">
        <v>18</v>
      </c>
      <c r="E9" s="144"/>
      <c r="F9" s="144"/>
      <c r="G9" s="7" t="s">
        <v>21</v>
      </c>
      <c r="H9" s="21" t="s">
        <v>36</v>
      </c>
      <c r="I9" s="7" t="s">
        <v>175</v>
      </c>
      <c r="J9" s="22" t="s">
        <v>59</v>
      </c>
      <c r="K9" s="7" t="s">
        <v>176</v>
      </c>
      <c r="L9" s="7" t="s">
        <v>177</v>
      </c>
      <c r="M9" s="23" t="s">
        <v>27</v>
      </c>
      <c r="N9" s="24"/>
      <c r="O9" s="7"/>
      <c r="P9" s="108"/>
      <c r="Q9" s="7"/>
      <c r="R9" s="108"/>
      <c r="S9" s="7"/>
      <c r="T9" s="7">
        <v>1</v>
      </c>
      <c r="U9" s="7"/>
      <c r="V9" s="7"/>
      <c r="W9" s="7"/>
      <c r="X9" s="7"/>
      <c r="Y9" s="7"/>
      <c r="Z9" s="7"/>
      <c r="AA9" s="7"/>
      <c r="AB9" s="7"/>
      <c r="AC9" s="26">
        <f>SUM(O9:AB9)</f>
        <v>1</v>
      </c>
      <c r="AD9" s="7" t="s">
        <v>171</v>
      </c>
      <c r="AE9" s="7"/>
    </row>
    <row r="10" spans="1:31" ht="50.25" customHeight="1" x14ac:dyDescent="0.4">
      <c r="A10" s="7" t="s">
        <v>15</v>
      </c>
      <c r="B10" s="8" t="s">
        <v>16</v>
      </c>
      <c r="C10" s="142"/>
      <c r="D10" s="21" t="s">
        <v>18</v>
      </c>
      <c r="E10" s="145" t="s">
        <v>18</v>
      </c>
      <c r="F10" s="146"/>
      <c r="G10" s="146"/>
      <c r="H10" s="146"/>
      <c r="I10" s="146"/>
      <c r="J10" s="146"/>
      <c r="K10" s="146"/>
      <c r="L10" s="146"/>
      <c r="M10" s="27" t="s">
        <v>64</v>
      </c>
      <c r="N10" s="28"/>
      <c r="O10" s="29">
        <f t="shared" ref="O10:AB10" si="0">SUM(O7:O9)</f>
        <v>0</v>
      </c>
      <c r="P10" s="109"/>
      <c r="Q10" s="29">
        <f t="shared" si="0"/>
        <v>1</v>
      </c>
      <c r="R10" s="109"/>
      <c r="S10" s="29">
        <f t="shared" si="0"/>
        <v>0</v>
      </c>
      <c r="T10" s="29">
        <f t="shared" si="0"/>
        <v>2</v>
      </c>
      <c r="U10" s="29">
        <f t="shared" si="0"/>
        <v>0</v>
      </c>
      <c r="V10" s="29">
        <f t="shared" si="0"/>
        <v>0</v>
      </c>
      <c r="W10" s="29">
        <f t="shared" si="0"/>
        <v>0</v>
      </c>
      <c r="X10" s="29">
        <f t="shared" si="0"/>
        <v>0</v>
      </c>
      <c r="Y10" s="29">
        <f t="shared" si="0"/>
        <v>0</v>
      </c>
      <c r="Z10" s="29">
        <f t="shared" si="0"/>
        <v>0</v>
      </c>
      <c r="AA10" s="29">
        <f t="shared" si="0"/>
        <v>0</v>
      </c>
      <c r="AB10" s="29">
        <f t="shared" si="0"/>
        <v>0</v>
      </c>
      <c r="AC10" s="29">
        <f>SUM(O10:AB10)</f>
        <v>3</v>
      </c>
      <c r="AD10" s="158" t="s">
        <v>178</v>
      </c>
      <c r="AE10" s="158"/>
    </row>
    <row r="11" spans="1:31" ht="50.25" customHeight="1" x14ac:dyDescent="0.4">
      <c r="A11" s="7" t="s">
        <v>15</v>
      </c>
      <c r="B11" s="8" t="s">
        <v>16</v>
      </c>
      <c r="C11" s="142"/>
      <c r="D11" s="21" t="s">
        <v>18</v>
      </c>
      <c r="E11" s="147"/>
      <c r="F11" s="148"/>
      <c r="G11" s="148"/>
      <c r="H11" s="148"/>
      <c r="I11" s="148"/>
      <c r="J11" s="148"/>
      <c r="K11" s="148"/>
      <c r="L11" s="148"/>
      <c r="M11" s="27" t="s">
        <v>179</v>
      </c>
      <c r="N11" s="28"/>
      <c r="O11" s="29">
        <f>+O12</f>
        <v>8208.58</v>
      </c>
      <c r="P11" s="109"/>
      <c r="Q11" s="29">
        <f t="shared" ref="Q11:AB11" si="1">+Q12</f>
        <v>8208.58</v>
      </c>
      <c r="R11" s="109"/>
      <c r="S11" s="29">
        <f t="shared" si="1"/>
        <v>8208.58</v>
      </c>
      <c r="T11" s="29">
        <f t="shared" si="1"/>
        <v>8208.58</v>
      </c>
      <c r="U11" s="29">
        <f t="shared" si="1"/>
        <v>8208.58</v>
      </c>
      <c r="V11" s="29">
        <f t="shared" si="1"/>
        <v>8208.58</v>
      </c>
      <c r="W11" s="29">
        <f t="shared" si="1"/>
        <v>8508.58</v>
      </c>
      <c r="X11" s="29">
        <f t="shared" si="1"/>
        <v>8208.58</v>
      </c>
      <c r="Y11" s="29">
        <f t="shared" si="1"/>
        <v>8208.58</v>
      </c>
      <c r="Z11" s="29">
        <f t="shared" si="1"/>
        <v>8208.58</v>
      </c>
      <c r="AA11" s="29">
        <f t="shared" si="1"/>
        <v>8000</v>
      </c>
      <c r="AB11" s="29">
        <f t="shared" si="1"/>
        <v>0</v>
      </c>
      <c r="AC11" s="29">
        <f t="shared" ref="AC11:AC23" si="2">SUM(O11:AB11)</f>
        <v>90385.8</v>
      </c>
      <c r="AD11" s="159"/>
      <c r="AE11" s="159"/>
    </row>
    <row r="12" spans="1:31" ht="50.25" customHeight="1" x14ac:dyDescent="0.4">
      <c r="A12" s="7"/>
      <c r="B12" s="8" t="s">
        <v>16</v>
      </c>
      <c r="C12" s="142"/>
      <c r="D12" s="21" t="s">
        <v>18</v>
      </c>
      <c r="E12" s="147"/>
      <c r="F12" s="148"/>
      <c r="G12" s="148"/>
      <c r="H12" s="148"/>
      <c r="I12" s="148"/>
      <c r="J12" s="148"/>
      <c r="K12" s="148"/>
      <c r="L12" s="148"/>
      <c r="M12" s="32" t="s">
        <v>180</v>
      </c>
      <c r="N12" s="33"/>
      <c r="O12" s="29">
        <f>SUM(O13:O15)</f>
        <v>8208.58</v>
      </c>
      <c r="P12" s="109"/>
      <c r="Q12" s="29">
        <f t="shared" ref="Q12:AB12" si="3">SUM(Q13:Q15)</f>
        <v>8208.58</v>
      </c>
      <c r="R12" s="109"/>
      <c r="S12" s="29">
        <f t="shared" si="3"/>
        <v>8208.58</v>
      </c>
      <c r="T12" s="29">
        <f t="shared" si="3"/>
        <v>8208.58</v>
      </c>
      <c r="U12" s="29">
        <f t="shared" si="3"/>
        <v>8208.58</v>
      </c>
      <c r="V12" s="29">
        <f t="shared" si="3"/>
        <v>8208.58</v>
      </c>
      <c r="W12" s="29">
        <f t="shared" si="3"/>
        <v>8508.58</v>
      </c>
      <c r="X12" s="29">
        <f t="shared" si="3"/>
        <v>8208.58</v>
      </c>
      <c r="Y12" s="29">
        <f t="shared" si="3"/>
        <v>8208.58</v>
      </c>
      <c r="Z12" s="29">
        <f t="shared" si="3"/>
        <v>8208.58</v>
      </c>
      <c r="AA12" s="29">
        <f t="shared" si="3"/>
        <v>8000</v>
      </c>
      <c r="AB12" s="29">
        <f t="shared" si="3"/>
        <v>0</v>
      </c>
      <c r="AC12" s="29">
        <f t="shared" si="2"/>
        <v>90385.8</v>
      </c>
      <c r="AD12" s="159"/>
      <c r="AE12" s="159"/>
    </row>
    <row r="13" spans="1:31" ht="50.25" customHeight="1" x14ac:dyDescent="0.4">
      <c r="A13" s="7"/>
      <c r="B13" s="8" t="s">
        <v>16</v>
      </c>
      <c r="C13" s="142"/>
      <c r="D13" s="21" t="s">
        <v>18</v>
      </c>
      <c r="E13" s="147"/>
      <c r="F13" s="148"/>
      <c r="G13" s="148"/>
      <c r="H13" s="148"/>
      <c r="I13" s="148"/>
      <c r="J13" s="148"/>
      <c r="K13" s="148"/>
      <c r="L13" s="148"/>
      <c r="M13" s="32" t="s">
        <v>181</v>
      </c>
      <c r="N13" s="28" t="s">
        <v>182</v>
      </c>
      <c r="O13" s="29">
        <v>8000</v>
      </c>
      <c r="P13" s="109"/>
      <c r="Q13" s="29">
        <v>8000</v>
      </c>
      <c r="R13" s="109"/>
      <c r="S13" s="29">
        <v>8000</v>
      </c>
      <c r="T13" s="29">
        <v>8000</v>
      </c>
      <c r="U13" s="29">
        <v>8000</v>
      </c>
      <c r="V13" s="29">
        <v>8000</v>
      </c>
      <c r="W13" s="105">
        <v>8000</v>
      </c>
      <c r="X13" s="105">
        <v>8000</v>
      </c>
      <c r="Y13" s="105">
        <v>8000</v>
      </c>
      <c r="Z13" s="105">
        <v>8000</v>
      </c>
      <c r="AA13" s="105">
        <v>8000</v>
      </c>
      <c r="AB13" s="29"/>
      <c r="AC13" s="29">
        <f t="shared" si="2"/>
        <v>88000</v>
      </c>
      <c r="AD13" s="159"/>
      <c r="AE13" s="159"/>
    </row>
    <row r="14" spans="1:31" ht="50.25" customHeight="1" x14ac:dyDescent="0.4">
      <c r="A14" s="7"/>
      <c r="B14" s="8" t="s">
        <v>16</v>
      </c>
      <c r="C14" s="142"/>
      <c r="D14" s="21" t="s">
        <v>18</v>
      </c>
      <c r="E14" s="147"/>
      <c r="F14" s="148"/>
      <c r="G14" s="148"/>
      <c r="H14" s="148"/>
      <c r="I14" s="148"/>
      <c r="J14" s="148"/>
      <c r="K14" s="148"/>
      <c r="L14" s="148"/>
      <c r="M14" s="32" t="s">
        <v>183</v>
      </c>
      <c r="N14" s="28" t="s">
        <v>184</v>
      </c>
      <c r="O14" s="29"/>
      <c r="P14" s="109"/>
      <c r="Q14" s="29"/>
      <c r="R14" s="109"/>
      <c r="S14" s="29"/>
      <c r="T14" s="29"/>
      <c r="U14" s="29"/>
      <c r="V14" s="29"/>
      <c r="W14" s="29">
        <v>300</v>
      </c>
      <c r="X14" s="29"/>
      <c r="Y14" s="29"/>
      <c r="Z14" s="29"/>
      <c r="AA14" s="29"/>
      <c r="AB14" s="29"/>
      <c r="AC14" s="29">
        <f t="shared" si="2"/>
        <v>300</v>
      </c>
      <c r="AD14" s="159"/>
      <c r="AE14" s="159"/>
    </row>
    <row r="15" spans="1:31" ht="50.25" customHeight="1" x14ac:dyDescent="0.4">
      <c r="A15" s="7"/>
      <c r="B15" s="8" t="s">
        <v>16</v>
      </c>
      <c r="C15" s="142"/>
      <c r="D15" s="21" t="s">
        <v>18</v>
      </c>
      <c r="E15" s="147"/>
      <c r="F15" s="148"/>
      <c r="G15" s="148"/>
      <c r="H15" s="148"/>
      <c r="I15" s="148"/>
      <c r="J15" s="148"/>
      <c r="K15" s="148"/>
      <c r="L15" s="148"/>
      <c r="M15" s="32" t="s">
        <v>185</v>
      </c>
      <c r="N15" s="28" t="s">
        <v>186</v>
      </c>
      <c r="O15" s="29">
        <v>208.58</v>
      </c>
      <c r="P15" s="109"/>
      <c r="Q15" s="29">
        <v>208.58</v>
      </c>
      <c r="R15" s="109"/>
      <c r="S15" s="29">
        <v>208.58</v>
      </c>
      <c r="T15" s="29">
        <v>208.58</v>
      </c>
      <c r="U15" s="29">
        <v>208.58</v>
      </c>
      <c r="V15" s="29">
        <v>208.58</v>
      </c>
      <c r="W15" s="105">
        <v>208.58</v>
      </c>
      <c r="X15" s="105">
        <v>208.58</v>
      </c>
      <c r="Y15" s="105">
        <v>208.58</v>
      </c>
      <c r="Z15" s="105">
        <v>208.58</v>
      </c>
      <c r="AA15" s="29"/>
      <c r="AB15" s="29"/>
      <c r="AC15" s="29">
        <f t="shared" si="2"/>
        <v>2085.7999999999997</v>
      </c>
      <c r="AD15" s="159"/>
      <c r="AE15" s="159"/>
    </row>
    <row r="16" spans="1:31" ht="82.5" customHeight="1" x14ac:dyDescent="0.4">
      <c r="A16" s="7" t="s">
        <v>15</v>
      </c>
      <c r="B16" s="8" t="s">
        <v>16</v>
      </c>
      <c r="C16" s="142"/>
      <c r="D16" s="21" t="s">
        <v>18</v>
      </c>
      <c r="E16" s="147"/>
      <c r="F16" s="148"/>
      <c r="G16" s="148"/>
      <c r="H16" s="148"/>
      <c r="I16" s="148"/>
      <c r="J16" s="148"/>
      <c r="K16" s="148"/>
      <c r="L16" s="148"/>
      <c r="M16" s="32" t="s">
        <v>187</v>
      </c>
      <c r="N16" s="33"/>
      <c r="O16" s="29">
        <f>+O17</f>
        <v>21000</v>
      </c>
      <c r="P16" s="109"/>
      <c r="Q16" s="29">
        <f t="shared" ref="Q16:AB16" si="4">+Q17</f>
        <v>21000</v>
      </c>
      <c r="R16" s="109"/>
      <c r="S16" s="29">
        <f t="shared" si="4"/>
        <v>21000</v>
      </c>
      <c r="T16" s="29">
        <f t="shared" si="4"/>
        <v>21000</v>
      </c>
      <c r="U16" s="29">
        <f t="shared" si="4"/>
        <v>21000</v>
      </c>
      <c r="V16" s="29">
        <f t="shared" si="4"/>
        <v>20700</v>
      </c>
      <c r="W16" s="29">
        <f t="shared" si="4"/>
        <v>13000</v>
      </c>
      <c r="X16" s="29">
        <f t="shared" si="4"/>
        <v>0</v>
      </c>
      <c r="Y16" s="29">
        <f t="shared" si="4"/>
        <v>0</v>
      </c>
      <c r="Z16" s="29">
        <f t="shared" si="4"/>
        <v>0</v>
      </c>
      <c r="AA16" s="29">
        <f t="shared" si="4"/>
        <v>0</v>
      </c>
      <c r="AB16" s="29">
        <f t="shared" si="4"/>
        <v>0</v>
      </c>
      <c r="AC16" s="29">
        <f>SUM(O16:AB16)</f>
        <v>138700</v>
      </c>
      <c r="AD16" s="159"/>
      <c r="AE16" s="159"/>
    </row>
    <row r="17" spans="1:31" ht="82.5" customHeight="1" x14ac:dyDescent="0.4">
      <c r="A17" s="7"/>
      <c r="B17" s="8" t="s">
        <v>16</v>
      </c>
      <c r="C17" s="142"/>
      <c r="D17" s="21" t="s">
        <v>18</v>
      </c>
      <c r="E17" s="147"/>
      <c r="F17" s="148"/>
      <c r="G17" s="148"/>
      <c r="H17" s="148"/>
      <c r="I17" s="148"/>
      <c r="J17" s="148"/>
      <c r="K17" s="148"/>
      <c r="L17" s="148"/>
      <c r="M17" s="32" t="s">
        <v>180</v>
      </c>
      <c r="N17" s="28"/>
      <c r="O17" s="29">
        <f>SUM(O18:O20)</f>
        <v>21000</v>
      </c>
      <c r="P17" s="109"/>
      <c r="Q17" s="29">
        <f t="shared" ref="Q17:AB17" si="5">SUM(Q18:Q20)</f>
        <v>21000</v>
      </c>
      <c r="R17" s="109"/>
      <c r="S17" s="29">
        <f t="shared" si="5"/>
        <v>21000</v>
      </c>
      <c r="T17" s="29">
        <f t="shared" si="5"/>
        <v>21000</v>
      </c>
      <c r="U17" s="29">
        <f t="shared" si="5"/>
        <v>21000</v>
      </c>
      <c r="V17" s="29">
        <f t="shared" si="5"/>
        <v>20700</v>
      </c>
      <c r="W17" s="29">
        <f t="shared" si="5"/>
        <v>13000</v>
      </c>
      <c r="X17" s="29">
        <f t="shared" si="5"/>
        <v>0</v>
      </c>
      <c r="Y17" s="29">
        <f t="shared" si="5"/>
        <v>0</v>
      </c>
      <c r="Z17" s="29">
        <f t="shared" si="5"/>
        <v>0</v>
      </c>
      <c r="AA17" s="29">
        <f t="shared" si="5"/>
        <v>0</v>
      </c>
      <c r="AB17" s="29">
        <f t="shared" si="5"/>
        <v>0</v>
      </c>
      <c r="AC17" s="29">
        <f t="shared" si="2"/>
        <v>138700</v>
      </c>
      <c r="AD17" s="159"/>
      <c r="AE17" s="159"/>
    </row>
    <row r="18" spans="1:31" ht="82.5" customHeight="1" x14ac:dyDescent="0.4">
      <c r="A18" s="7"/>
      <c r="B18" s="8" t="s">
        <v>16</v>
      </c>
      <c r="C18" s="142"/>
      <c r="D18" s="21" t="s">
        <v>18</v>
      </c>
      <c r="E18" s="147"/>
      <c r="F18" s="148"/>
      <c r="G18" s="148"/>
      <c r="H18" s="148"/>
      <c r="I18" s="148"/>
      <c r="J18" s="148"/>
      <c r="K18" s="148"/>
      <c r="L18" s="148"/>
      <c r="M18" s="32" t="s">
        <v>188</v>
      </c>
      <c r="N18" s="28" t="s">
        <v>189</v>
      </c>
      <c r="O18" s="29">
        <v>6000</v>
      </c>
      <c r="P18" s="109"/>
      <c r="Q18" s="29">
        <v>6000</v>
      </c>
      <c r="R18" s="109"/>
      <c r="S18" s="29">
        <v>6000</v>
      </c>
      <c r="T18" s="29">
        <v>6000</v>
      </c>
      <c r="U18" s="29">
        <v>6000</v>
      </c>
      <c r="V18" s="29">
        <v>6000</v>
      </c>
      <c r="W18" s="29">
        <v>6000</v>
      </c>
      <c r="X18" s="29"/>
      <c r="Y18" s="29"/>
      <c r="Z18" s="29"/>
      <c r="AA18" s="29"/>
      <c r="AB18" s="29"/>
      <c r="AC18" s="29">
        <f t="shared" si="2"/>
        <v>42000</v>
      </c>
      <c r="AD18" s="159"/>
      <c r="AE18" s="159"/>
    </row>
    <row r="19" spans="1:31" ht="82.5" customHeight="1" x14ac:dyDescent="0.4">
      <c r="A19" s="7"/>
      <c r="B19" s="8" t="s">
        <v>16</v>
      </c>
      <c r="C19" s="142"/>
      <c r="D19" s="21" t="s">
        <v>18</v>
      </c>
      <c r="E19" s="147"/>
      <c r="F19" s="148"/>
      <c r="G19" s="148"/>
      <c r="H19" s="148"/>
      <c r="I19" s="148"/>
      <c r="J19" s="148"/>
      <c r="K19" s="148"/>
      <c r="L19" s="148"/>
      <c r="M19" s="32" t="s">
        <v>190</v>
      </c>
      <c r="N19" s="28" t="s">
        <v>189</v>
      </c>
      <c r="O19" s="29">
        <v>7000</v>
      </c>
      <c r="P19" s="109"/>
      <c r="Q19" s="29">
        <v>7000</v>
      </c>
      <c r="R19" s="109"/>
      <c r="S19" s="29">
        <v>7000</v>
      </c>
      <c r="T19" s="29">
        <v>7000</v>
      </c>
      <c r="U19" s="29">
        <v>7000</v>
      </c>
      <c r="V19" s="29">
        <v>7000</v>
      </c>
      <c r="W19" s="29">
        <v>7000</v>
      </c>
      <c r="X19" s="29"/>
      <c r="Y19" s="29"/>
      <c r="Z19" s="29"/>
      <c r="AA19" s="29"/>
      <c r="AB19" s="29"/>
      <c r="AC19" s="29">
        <f t="shared" si="2"/>
        <v>49000</v>
      </c>
      <c r="AD19" s="159"/>
      <c r="AE19" s="159"/>
    </row>
    <row r="20" spans="1:31" ht="82.5" customHeight="1" x14ac:dyDescent="0.4">
      <c r="A20" s="7"/>
      <c r="B20" s="8" t="s">
        <v>16</v>
      </c>
      <c r="C20" s="142"/>
      <c r="D20" s="21" t="s">
        <v>18</v>
      </c>
      <c r="E20" s="147"/>
      <c r="F20" s="148"/>
      <c r="G20" s="148"/>
      <c r="H20" s="148"/>
      <c r="I20" s="148"/>
      <c r="J20" s="148"/>
      <c r="K20" s="148"/>
      <c r="L20" s="148"/>
      <c r="M20" s="32" t="s">
        <v>191</v>
      </c>
      <c r="N20" s="28" t="s">
        <v>189</v>
      </c>
      <c r="O20" s="29">
        <v>8000</v>
      </c>
      <c r="P20" s="109"/>
      <c r="Q20" s="29">
        <v>8000</v>
      </c>
      <c r="R20" s="109"/>
      <c r="S20" s="29">
        <v>8000</v>
      </c>
      <c r="T20" s="29">
        <v>8000</v>
      </c>
      <c r="U20" s="29">
        <v>8000</v>
      </c>
      <c r="V20" s="29">
        <v>7700</v>
      </c>
      <c r="W20" s="29"/>
      <c r="X20" s="29"/>
      <c r="Y20" s="29"/>
      <c r="Z20" s="29"/>
      <c r="AA20" s="29"/>
      <c r="AB20" s="29"/>
      <c r="AC20" s="29">
        <f t="shared" si="2"/>
        <v>47700</v>
      </c>
      <c r="AD20" s="159"/>
      <c r="AE20" s="159"/>
    </row>
    <row r="21" spans="1:31" ht="82.5" customHeight="1" x14ac:dyDescent="0.4">
      <c r="A21" s="7"/>
      <c r="B21" s="8" t="s">
        <v>16</v>
      </c>
      <c r="C21" s="142"/>
      <c r="D21" s="21" t="s">
        <v>18</v>
      </c>
      <c r="E21" s="147"/>
      <c r="F21" s="148"/>
      <c r="G21" s="148"/>
      <c r="H21" s="148"/>
      <c r="I21" s="148"/>
      <c r="J21" s="148"/>
      <c r="K21" s="148"/>
      <c r="L21" s="148"/>
      <c r="M21" s="32" t="s">
        <v>187</v>
      </c>
      <c r="N21" s="28"/>
      <c r="O21" s="29">
        <f>+O22</f>
        <v>800</v>
      </c>
      <c r="P21" s="109"/>
      <c r="Q21" s="29">
        <f t="shared" ref="Q21:W21" si="6">+Q22</f>
        <v>0</v>
      </c>
      <c r="R21" s="109"/>
      <c r="S21" s="29">
        <f t="shared" si="6"/>
        <v>0</v>
      </c>
      <c r="T21" s="29">
        <f t="shared" si="6"/>
        <v>0</v>
      </c>
      <c r="U21" s="29">
        <f t="shared" si="6"/>
        <v>0</v>
      </c>
      <c r="V21" s="29">
        <f t="shared" si="6"/>
        <v>0</v>
      </c>
      <c r="W21" s="29">
        <f t="shared" si="6"/>
        <v>0</v>
      </c>
      <c r="X21" s="29"/>
      <c r="Y21" s="29"/>
      <c r="Z21" s="29"/>
      <c r="AA21" s="29"/>
      <c r="AB21" s="29"/>
      <c r="AC21" s="29">
        <f t="shared" si="2"/>
        <v>800</v>
      </c>
      <c r="AD21" s="159"/>
      <c r="AE21" s="159"/>
    </row>
    <row r="22" spans="1:31" ht="82.5" customHeight="1" x14ac:dyDescent="0.4">
      <c r="A22" s="7"/>
      <c r="B22" s="8" t="s">
        <v>16</v>
      </c>
      <c r="C22" s="142"/>
      <c r="D22" s="21" t="s">
        <v>18</v>
      </c>
      <c r="E22" s="147"/>
      <c r="F22" s="148"/>
      <c r="G22" s="148"/>
      <c r="H22" s="148"/>
      <c r="I22" s="148"/>
      <c r="J22" s="148"/>
      <c r="K22" s="148"/>
      <c r="L22" s="148"/>
      <c r="M22" s="32" t="s">
        <v>192</v>
      </c>
      <c r="N22" s="28" t="s">
        <v>193</v>
      </c>
      <c r="O22" s="29">
        <v>800</v>
      </c>
      <c r="P22" s="109"/>
      <c r="Q22" s="29"/>
      <c r="R22" s="109"/>
      <c r="S22" s="29"/>
      <c r="T22" s="29"/>
      <c r="U22" s="29"/>
      <c r="V22" s="29"/>
      <c r="W22" s="29"/>
      <c r="X22" s="29"/>
      <c r="Y22" s="29"/>
      <c r="Z22" s="29"/>
      <c r="AA22" s="29"/>
      <c r="AB22" s="29"/>
      <c r="AC22" s="29">
        <f t="shared" si="2"/>
        <v>800</v>
      </c>
      <c r="AD22" s="159"/>
      <c r="AE22" s="159"/>
    </row>
    <row r="23" spans="1:31" ht="80.25" customHeight="1" x14ac:dyDescent="0.4">
      <c r="A23" s="7" t="s">
        <v>15</v>
      </c>
      <c r="B23" s="8" t="s">
        <v>16</v>
      </c>
      <c r="C23" s="143"/>
      <c r="D23" s="21" t="s">
        <v>18</v>
      </c>
      <c r="E23" s="149"/>
      <c r="F23" s="150"/>
      <c r="G23" s="150"/>
      <c r="H23" s="150"/>
      <c r="I23" s="150"/>
      <c r="J23" s="150"/>
      <c r="K23" s="150"/>
      <c r="L23" s="150"/>
      <c r="M23" s="27" t="s">
        <v>90</v>
      </c>
      <c r="N23" s="28"/>
      <c r="O23" s="29">
        <f>+O11+O16+O21</f>
        <v>30008.58</v>
      </c>
      <c r="P23" s="109"/>
      <c r="Q23" s="29">
        <f t="shared" ref="Q23:AB23" si="7">+Q11+Q16+Q21</f>
        <v>29208.58</v>
      </c>
      <c r="R23" s="109"/>
      <c r="S23" s="29">
        <f t="shared" si="7"/>
        <v>29208.58</v>
      </c>
      <c r="T23" s="29">
        <f t="shared" si="7"/>
        <v>29208.58</v>
      </c>
      <c r="U23" s="29">
        <f t="shared" si="7"/>
        <v>29208.58</v>
      </c>
      <c r="V23" s="29">
        <f t="shared" si="7"/>
        <v>28908.58</v>
      </c>
      <c r="W23" s="29">
        <f t="shared" si="7"/>
        <v>21508.58</v>
      </c>
      <c r="X23" s="29">
        <f t="shared" si="7"/>
        <v>8208.58</v>
      </c>
      <c r="Y23" s="29">
        <f t="shared" si="7"/>
        <v>8208.58</v>
      </c>
      <c r="Z23" s="29">
        <f t="shared" si="7"/>
        <v>8208.58</v>
      </c>
      <c r="AA23" s="29">
        <f t="shared" si="7"/>
        <v>8000</v>
      </c>
      <c r="AB23" s="29">
        <f t="shared" si="7"/>
        <v>0</v>
      </c>
      <c r="AC23" s="31">
        <f t="shared" si="2"/>
        <v>229885.80000000002</v>
      </c>
      <c r="AD23" s="160"/>
      <c r="AE23" s="160"/>
    </row>
    <row r="24" spans="1:31" ht="139.5" customHeight="1" x14ac:dyDescent="0.4">
      <c r="A24" s="7" t="s">
        <v>194</v>
      </c>
      <c r="B24" s="8" t="s">
        <v>195</v>
      </c>
      <c r="C24" s="141" t="s">
        <v>196</v>
      </c>
      <c r="D24" s="21" t="s">
        <v>92</v>
      </c>
      <c r="E24" s="144" t="s">
        <v>197</v>
      </c>
      <c r="F24" s="144" t="s">
        <v>59</v>
      </c>
      <c r="G24" s="7" t="s">
        <v>29</v>
      </c>
      <c r="H24" s="21" t="s">
        <v>22</v>
      </c>
      <c r="I24" s="7" t="s">
        <v>198</v>
      </c>
      <c r="J24" s="34" t="s">
        <v>59</v>
      </c>
      <c r="K24" s="7" t="s">
        <v>199</v>
      </c>
      <c r="L24" s="7" t="s">
        <v>200</v>
      </c>
      <c r="M24" s="23" t="s">
        <v>27</v>
      </c>
      <c r="N24" s="24"/>
      <c r="O24" s="26">
        <v>1</v>
      </c>
      <c r="P24" s="109"/>
      <c r="Q24" s="26"/>
      <c r="R24" s="109"/>
      <c r="S24" s="26"/>
      <c r="T24" s="26"/>
      <c r="U24" s="26"/>
      <c r="V24" s="26"/>
      <c r="W24" s="26"/>
      <c r="X24" s="26"/>
      <c r="Y24" s="26"/>
      <c r="Z24" s="26"/>
      <c r="AA24" s="26"/>
      <c r="AB24" s="26"/>
      <c r="AC24" s="29">
        <f>SUM(O24:AB24)</f>
        <v>1</v>
      </c>
      <c r="AD24" s="7" t="s">
        <v>201</v>
      </c>
      <c r="AE24" s="7"/>
    </row>
    <row r="25" spans="1:31" ht="72" x14ac:dyDescent="0.4">
      <c r="A25" s="7" t="s">
        <v>194</v>
      </c>
      <c r="B25" s="8" t="s">
        <v>195</v>
      </c>
      <c r="C25" s="142"/>
      <c r="D25" s="21" t="s">
        <v>92</v>
      </c>
      <c r="E25" s="144"/>
      <c r="F25" s="144"/>
      <c r="G25" s="7" t="s">
        <v>29</v>
      </c>
      <c r="H25" s="21" t="s">
        <v>30</v>
      </c>
      <c r="I25" s="7" t="s">
        <v>202</v>
      </c>
      <c r="J25" s="34" t="s">
        <v>59</v>
      </c>
      <c r="K25" s="7" t="s">
        <v>203</v>
      </c>
      <c r="L25" s="7" t="s">
        <v>204</v>
      </c>
      <c r="M25" s="23" t="s">
        <v>27</v>
      </c>
      <c r="N25" s="24"/>
      <c r="O25" s="26"/>
      <c r="P25" s="109"/>
      <c r="Q25" s="26">
        <v>1</v>
      </c>
      <c r="R25" s="109"/>
      <c r="S25" s="26"/>
      <c r="T25" s="26"/>
      <c r="U25" s="26"/>
      <c r="V25" s="26"/>
      <c r="W25" s="26"/>
      <c r="X25" s="26"/>
      <c r="Y25" s="26"/>
      <c r="Z25" s="26"/>
      <c r="AA25" s="26"/>
      <c r="AB25" s="26"/>
      <c r="AC25" s="29">
        <f>SUM(O25:AB25)</f>
        <v>1</v>
      </c>
      <c r="AD25" s="7" t="s">
        <v>205</v>
      </c>
      <c r="AE25" s="7"/>
    </row>
    <row r="26" spans="1:31" ht="120" x14ac:dyDescent="0.4">
      <c r="A26" s="7" t="s">
        <v>194</v>
      </c>
      <c r="B26" s="8" t="s">
        <v>195</v>
      </c>
      <c r="C26" s="142"/>
      <c r="D26" s="21" t="s">
        <v>92</v>
      </c>
      <c r="E26" s="144"/>
      <c r="F26" s="144"/>
      <c r="G26" s="7" t="s">
        <v>29</v>
      </c>
      <c r="H26" s="21" t="s">
        <v>36</v>
      </c>
      <c r="I26" s="7" t="s">
        <v>206</v>
      </c>
      <c r="J26" s="34" t="s">
        <v>59</v>
      </c>
      <c r="K26" s="7" t="s">
        <v>207</v>
      </c>
      <c r="L26" s="7" t="s">
        <v>200</v>
      </c>
      <c r="M26" s="23" t="s">
        <v>27</v>
      </c>
      <c r="N26" s="24"/>
      <c r="O26" s="26"/>
      <c r="P26" s="109"/>
      <c r="Q26" s="26"/>
      <c r="R26" s="109"/>
      <c r="S26" s="26">
        <v>1</v>
      </c>
      <c r="T26" s="26"/>
      <c r="U26" s="26"/>
      <c r="V26" s="26"/>
      <c r="W26" s="26"/>
      <c r="X26" s="26"/>
      <c r="Y26" s="26"/>
      <c r="Z26" s="26"/>
      <c r="AA26" s="26"/>
      <c r="AB26" s="26"/>
      <c r="AC26" s="29">
        <f>SUM(O26:AB26)</f>
        <v>1</v>
      </c>
      <c r="AD26" s="7" t="s">
        <v>208</v>
      </c>
      <c r="AE26" s="7"/>
    </row>
    <row r="27" spans="1:31" ht="73.5" customHeight="1" x14ac:dyDescent="0.4">
      <c r="A27" s="7" t="s">
        <v>194</v>
      </c>
      <c r="B27" s="8" t="s">
        <v>195</v>
      </c>
      <c r="C27" s="142"/>
      <c r="D27" s="21" t="s">
        <v>92</v>
      </c>
      <c r="E27" s="145" t="s">
        <v>92</v>
      </c>
      <c r="F27" s="146"/>
      <c r="G27" s="146"/>
      <c r="H27" s="146"/>
      <c r="I27" s="146"/>
      <c r="J27" s="146"/>
      <c r="K27" s="146"/>
      <c r="L27" s="146"/>
      <c r="M27" s="27" t="s">
        <v>64</v>
      </c>
      <c r="N27" s="28"/>
      <c r="O27" s="29">
        <f t="shared" ref="O27:AB27" ca="1" si="8">SUM(O24:O127)</f>
        <v>0</v>
      </c>
      <c r="P27" s="109"/>
      <c r="Q27" s="29">
        <f t="shared" ca="1" si="8"/>
        <v>0</v>
      </c>
      <c r="R27" s="109"/>
      <c r="S27" s="29">
        <f t="shared" ca="1" si="8"/>
        <v>0</v>
      </c>
      <c r="T27" s="29">
        <f t="shared" ca="1" si="8"/>
        <v>0</v>
      </c>
      <c r="U27" s="29">
        <f t="shared" ca="1" si="8"/>
        <v>0</v>
      </c>
      <c r="V27" s="29">
        <f t="shared" ca="1" si="8"/>
        <v>0</v>
      </c>
      <c r="W27" s="29">
        <f t="shared" ca="1" si="8"/>
        <v>0</v>
      </c>
      <c r="X27" s="29">
        <f t="shared" ca="1" si="8"/>
        <v>0</v>
      </c>
      <c r="Y27" s="29">
        <f t="shared" ca="1" si="8"/>
        <v>0</v>
      </c>
      <c r="Z27" s="29">
        <f t="shared" ca="1" si="8"/>
        <v>0</v>
      </c>
      <c r="AA27" s="29">
        <f t="shared" ca="1" si="8"/>
        <v>0</v>
      </c>
      <c r="AB27" s="29">
        <f t="shared" ca="1" si="8"/>
        <v>0</v>
      </c>
      <c r="AC27" s="29">
        <f ca="1">SUM(O27:AB27)</f>
        <v>4</v>
      </c>
      <c r="AD27" s="158" t="s">
        <v>209</v>
      </c>
      <c r="AE27" s="158"/>
    </row>
    <row r="28" spans="1:31" ht="73.5" customHeight="1" x14ac:dyDescent="0.4">
      <c r="A28" s="7" t="s">
        <v>194</v>
      </c>
      <c r="B28" s="8" t="s">
        <v>195</v>
      </c>
      <c r="C28" s="142"/>
      <c r="D28" s="21" t="s">
        <v>92</v>
      </c>
      <c r="E28" s="147"/>
      <c r="F28" s="148"/>
      <c r="G28" s="148"/>
      <c r="H28" s="148"/>
      <c r="I28" s="148"/>
      <c r="J28" s="148"/>
      <c r="K28" s="148"/>
      <c r="L28" s="148"/>
      <c r="M28" s="27" t="s">
        <v>179</v>
      </c>
      <c r="N28" s="28"/>
      <c r="O28" s="29">
        <f>10000+208.58</f>
        <v>10208.58</v>
      </c>
      <c r="P28" s="109"/>
      <c r="Q28" s="29">
        <f t="shared" ref="Q28:Y28" si="9">10000+208.58</f>
        <v>10208.58</v>
      </c>
      <c r="R28" s="109"/>
      <c r="S28" s="29">
        <f t="shared" si="9"/>
        <v>10208.58</v>
      </c>
      <c r="T28" s="29">
        <f t="shared" si="9"/>
        <v>10208.58</v>
      </c>
      <c r="U28" s="29">
        <f t="shared" si="9"/>
        <v>10208.58</v>
      </c>
      <c r="V28" s="29">
        <f t="shared" si="9"/>
        <v>10208.58</v>
      </c>
      <c r="W28" s="29">
        <f>10000+208.58+300</f>
        <v>10508.58</v>
      </c>
      <c r="X28" s="29">
        <f t="shared" si="9"/>
        <v>10208.58</v>
      </c>
      <c r="Y28" s="29">
        <f t="shared" si="9"/>
        <v>10208.58</v>
      </c>
      <c r="Z28" s="29">
        <f>10000+208.58</f>
        <v>10208.58</v>
      </c>
      <c r="AA28" s="29">
        <f>10000</f>
        <v>10000</v>
      </c>
      <c r="AB28" s="29">
        <f>10000+300</f>
        <v>10300</v>
      </c>
      <c r="AC28" s="29">
        <f>SUM(O28:AB28)</f>
        <v>122685.8</v>
      </c>
      <c r="AD28" s="159"/>
      <c r="AE28" s="159"/>
    </row>
    <row r="29" spans="1:31" ht="73.5" customHeight="1" x14ac:dyDescent="0.4">
      <c r="A29" s="7"/>
      <c r="B29" s="8" t="s">
        <v>195</v>
      </c>
      <c r="C29" s="142"/>
      <c r="D29" s="21" t="s">
        <v>92</v>
      </c>
      <c r="E29" s="147"/>
      <c r="F29" s="148"/>
      <c r="G29" s="148"/>
      <c r="H29" s="148"/>
      <c r="I29" s="148"/>
      <c r="J29" s="148"/>
      <c r="K29" s="148"/>
      <c r="L29" s="148"/>
      <c r="M29" s="32" t="s">
        <v>180</v>
      </c>
      <c r="N29" s="28"/>
      <c r="O29" s="29">
        <f>SUM(O30:O32)</f>
        <v>10208.58</v>
      </c>
      <c r="P29" s="109"/>
      <c r="Q29" s="29">
        <f t="shared" ref="Q29:AB29" si="10">SUM(Q30:Q32)</f>
        <v>10208.58</v>
      </c>
      <c r="R29" s="109"/>
      <c r="S29" s="29">
        <f t="shared" si="10"/>
        <v>10208.58</v>
      </c>
      <c r="T29" s="29">
        <f t="shared" si="10"/>
        <v>10208.58</v>
      </c>
      <c r="U29" s="29">
        <f t="shared" si="10"/>
        <v>10208.58</v>
      </c>
      <c r="V29" s="29">
        <f t="shared" si="10"/>
        <v>10208.58</v>
      </c>
      <c r="W29" s="29">
        <f t="shared" si="10"/>
        <v>10508.58</v>
      </c>
      <c r="X29" s="29">
        <f t="shared" si="10"/>
        <v>10208.58</v>
      </c>
      <c r="Y29" s="29">
        <f t="shared" si="10"/>
        <v>10208.58</v>
      </c>
      <c r="Z29" s="29">
        <f t="shared" si="10"/>
        <v>10208.58</v>
      </c>
      <c r="AA29" s="29">
        <f t="shared" si="10"/>
        <v>10000</v>
      </c>
      <c r="AB29" s="29">
        <f t="shared" si="10"/>
        <v>10300</v>
      </c>
      <c r="AC29" s="29">
        <f t="shared" ref="AC29:AC34" si="11">SUM(O29:AB29)</f>
        <v>122685.8</v>
      </c>
      <c r="AD29" s="159"/>
      <c r="AE29" s="159"/>
    </row>
    <row r="30" spans="1:31" ht="73.5" customHeight="1" x14ac:dyDescent="0.4">
      <c r="A30" s="7"/>
      <c r="B30" s="8" t="s">
        <v>195</v>
      </c>
      <c r="C30" s="142"/>
      <c r="D30" s="21" t="s">
        <v>92</v>
      </c>
      <c r="E30" s="147"/>
      <c r="F30" s="148"/>
      <c r="G30" s="148"/>
      <c r="H30" s="148"/>
      <c r="I30" s="148"/>
      <c r="J30" s="148"/>
      <c r="K30" s="148"/>
      <c r="L30" s="148"/>
      <c r="M30" s="32" t="s">
        <v>210</v>
      </c>
      <c r="N30" s="28" t="s">
        <v>211</v>
      </c>
      <c r="O30" s="29">
        <v>10000</v>
      </c>
      <c r="P30" s="109"/>
      <c r="Q30" s="29">
        <v>10000</v>
      </c>
      <c r="R30" s="109"/>
      <c r="S30" s="29">
        <v>10000</v>
      </c>
      <c r="T30" s="29">
        <v>10000</v>
      </c>
      <c r="U30" s="29">
        <v>10000</v>
      </c>
      <c r="V30" s="29">
        <v>10000</v>
      </c>
      <c r="W30" s="29">
        <v>10000</v>
      </c>
      <c r="X30" s="29">
        <v>10000</v>
      </c>
      <c r="Y30" s="29">
        <v>10000</v>
      </c>
      <c r="Z30" s="29">
        <v>10000</v>
      </c>
      <c r="AA30" s="29">
        <v>10000</v>
      </c>
      <c r="AB30" s="29">
        <v>10000</v>
      </c>
      <c r="AC30" s="29">
        <f t="shared" si="11"/>
        <v>120000</v>
      </c>
      <c r="AD30" s="159"/>
      <c r="AE30" s="159"/>
    </row>
    <row r="31" spans="1:31" ht="73.5" customHeight="1" x14ac:dyDescent="0.4">
      <c r="A31" s="7"/>
      <c r="B31" s="8" t="s">
        <v>195</v>
      </c>
      <c r="C31" s="142"/>
      <c r="D31" s="21" t="s">
        <v>92</v>
      </c>
      <c r="E31" s="147"/>
      <c r="F31" s="148"/>
      <c r="G31" s="148"/>
      <c r="H31" s="148"/>
      <c r="I31" s="148"/>
      <c r="J31" s="148"/>
      <c r="K31" s="148"/>
      <c r="L31" s="148"/>
      <c r="M31" s="32" t="s">
        <v>183</v>
      </c>
      <c r="N31" s="28" t="s">
        <v>184</v>
      </c>
      <c r="O31" s="29"/>
      <c r="P31" s="109"/>
      <c r="Q31" s="29"/>
      <c r="R31" s="109"/>
      <c r="S31" s="29"/>
      <c r="T31" s="29"/>
      <c r="U31" s="29"/>
      <c r="V31" s="29"/>
      <c r="W31" s="29">
        <v>300</v>
      </c>
      <c r="X31" s="29"/>
      <c r="Y31" s="29"/>
      <c r="Z31" s="29"/>
      <c r="AA31" s="29"/>
      <c r="AB31" s="29">
        <v>300</v>
      </c>
      <c r="AC31" s="29">
        <f t="shared" si="11"/>
        <v>600</v>
      </c>
      <c r="AD31" s="159"/>
      <c r="AE31" s="159"/>
    </row>
    <row r="32" spans="1:31" ht="73.5" customHeight="1" x14ac:dyDescent="0.4">
      <c r="A32" s="7"/>
      <c r="B32" s="8" t="s">
        <v>195</v>
      </c>
      <c r="C32" s="142"/>
      <c r="D32" s="21" t="s">
        <v>92</v>
      </c>
      <c r="E32" s="147"/>
      <c r="F32" s="148"/>
      <c r="G32" s="148"/>
      <c r="H32" s="148"/>
      <c r="I32" s="148"/>
      <c r="J32" s="148"/>
      <c r="K32" s="148"/>
      <c r="L32" s="148"/>
      <c r="M32" s="32" t="s">
        <v>185</v>
      </c>
      <c r="N32" s="28" t="s">
        <v>186</v>
      </c>
      <c r="O32" s="29">
        <v>208.58</v>
      </c>
      <c r="P32" s="109"/>
      <c r="Q32" s="29">
        <v>208.58</v>
      </c>
      <c r="R32" s="109"/>
      <c r="S32" s="29">
        <v>208.58</v>
      </c>
      <c r="T32" s="29">
        <v>208.58</v>
      </c>
      <c r="U32" s="29">
        <v>208.58</v>
      </c>
      <c r="V32" s="29">
        <v>208.58</v>
      </c>
      <c r="W32" s="29">
        <v>208.58</v>
      </c>
      <c r="X32" s="29">
        <v>208.58</v>
      </c>
      <c r="Y32" s="29">
        <v>208.58</v>
      </c>
      <c r="Z32" s="29">
        <v>208.58</v>
      </c>
      <c r="AA32" s="29"/>
      <c r="AB32" s="29"/>
      <c r="AC32" s="29">
        <f t="shared" si="11"/>
        <v>2085.7999999999997</v>
      </c>
      <c r="AD32" s="159"/>
      <c r="AE32" s="159"/>
    </row>
    <row r="33" spans="1:31" ht="73.5" customHeight="1" x14ac:dyDescent="0.4">
      <c r="A33" s="7" t="s">
        <v>194</v>
      </c>
      <c r="B33" s="8" t="s">
        <v>195</v>
      </c>
      <c r="C33" s="142"/>
      <c r="D33" s="21" t="s">
        <v>92</v>
      </c>
      <c r="E33" s="147"/>
      <c r="F33" s="148"/>
      <c r="G33" s="148"/>
      <c r="H33" s="148"/>
      <c r="I33" s="148"/>
      <c r="J33" s="148"/>
      <c r="K33" s="148"/>
      <c r="L33" s="148"/>
      <c r="M33" s="32" t="s">
        <v>187</v>
      </c>
      <c r="N33" s="28"/>
      <c r="O33" s="29">
        <f>+O34</f>
        <v>9000</v>
      </c>
      <c r="P33" s="109"/>
      <c r="Q33" s="29">
        <f t="shared" ref="Q33:AB33" si="12">+Q34</f>
        <v>9000</v>
      </c>
      <c r="R33" s="109"/>
      <c r="S33" s="29">
        <f t="shared" si="12"/>
        <v>9000</v>
      </c>
      <c r="T33" s="29">
        <f t="shared" si="12"/>
        <v>9000</v>
      </c>
      <c r="U33" s="29">
        <f t="shared" si="12"/>
        <v>9000</v>
      </c>
      <c r="V33" s="29">
        <f t="shared" si="12"/>
        <v>9000</v>
      </c>
      <c r="W33" s="29">
        <f t="shared" si="12"/>
        <v>9000</v>
      </c>
      <c r="X33" s="29">
        <f t="shared" si="12"/>
        <v>0</v>
      </c>
      <c r="Y33" s="29">
        <f t="shared" si="12"/>
        <v>0</v>
      </c>
      <c r="Z33" s="29">
        <f t="shared" si="12"/>
        <v>0</v>
      </c>
      <c r="AA33" s="29">
        <f t="shared" si="12"/>
        <v>0</v>
      </c>
      <c r="AB33" s="29">
        <f t="shared" si="12"/>
        <v>0</v>
      </c>
      <c r="AC33" s="29">
        <f>SUM(O33:AB33)</f>
        <v>63000</v>
      </c>
      <c r="AD33" s="159"/>
      <c r="AE33" s="159"/>
    </row>
    <row r="34" spans="1:31" ht="73.5" customHeight="1" x14ac:dyDescent="0.4">
      <c r="A34" s="7"/>
      <c r="B34" s="8" t="s">
        <v>195</v>
      </c>
      <c r="C34" s="142"/>
      <c r="D34" s="21" t="s">
        <v>92</v>
      </c>
      <c r="E34" s="147"/>
      <c r="F34" s="148"/>
      <c r="G34" s="148"/>
      <c r="H34" s="148"/>
      <c r="I34" s="148"/>
      <c r="J34" s="148"/>
      <c r="K34" s="148"/>
      <c r="L34" s="148"/>
      <c r="M34" s="27" t="s">
        <v>212</v>
      </c>
      <c r="N34" s="28" t="s">
        <v>189</v>
      </c>
      <c r="O34" s="29">
        <v>9000</v>
      </c>
      <c r="P34" s="109"/>
      <c r="Q34" s="29">
        <v>9000</v>
      </c>
      <c r="R34" s="109"/>
      <c r="S34" s="29">
        <v>9000</v>
      </c>
      <c r="T34" s="29">
        <v>9000</v>
      </c>
      <c r="U34" s="29">
        <v>9000</v>
      </c>
      <c r="V34" s="29">
        <v>9000</v>
      </c>
      <c r="W34" s="29">
        <v>9000</v>
      </c>
      <c r="X34" s="29"/>
      <c r="Y34" s="29"/>
      <c r="Z34" s="29"/>
      <c r="AA34" s="29"/>
      <c r="AB34" s="29"/>
      <c r="AC34" s="29">
        <f t="shared" si="11"/>
        <v>63000</v>
      </c>
      <c r="AD34" s="159"/>
      <c r="AE34" s="159"/>
    </row>
    <row r="35" spans="1:31" ht="73.5" customHeight="1" x14ac:dyDescent="0.4">
      <c r="A35" s="7" t="s">
        <v>194</v>
      </c>
      <c r="B35" s="8" t="s">
        <v>195</v>
      </c>
      <c r="C35" s="143"/>
      <c r="D35" s="21" t="s">
        <v>92</v>
      </c>
      <c r="E35" s="149"/>
      <c r="F35" s="150"/>
      <c r="G35" s="150"/>
      <c r="H35" s="150"/>
      <c r="I35" s="150"/>
      <c r="J35" s="150"/>
      <c r="K35" s="150"/>
      <c r="L35" s="150"/>
      <c r="M35" s="27" t="s">
        <v>213</v>
      </c>
      <c r="N35" s="28"/>
      <c r="O35" s="29">
        <f t="shared" ref="O35:AB35" si="13">+O28+O33</f>
        <v>19208.580000000002</v>
      </c>
      <c r="P35" s="109"/>
      <c r="Q35" s="29">
        <f t="shared" si="13"/>
        <v>19208.580000000002</v>
      </c>
      <c r="R35" s="109"/>
      <c r="S35" s="29">
        <f t="shared" si="13"/>
        <v>19208.580000000002</v>
      </c>
      <c r="T35" s="29">
        <f t="shared" si="13"/>
        <v>19208.580000000002</v>
      </c>
      <c r="U35" s="29">
        <f t="shared" si="13"/>
        <v>19208.580000000002</v>
      </c>
      <c r="V35" s="29">
        <f t="shared" si="13"/>
        <v>19208.580000000002</v>
      </c>
      <c r="W35" s="29">
        <f t="shared" si="13"/>
        <v>19508.580000000002</v>
      </c>
      <c r="X35" s="29">
        <f t="shared" si="13"/>
        <v>10208.58</v>
      </c>
      <c r="Y35" s="29">
        <f t="shared" si="13"/>
        <v>10208.58</v>
      </c>
      <c r="Z35" s="29">
        <f t="shared" si="13"/>
        <v>10208.58</v>
      </c>
      <c r="AA35" s="29">
        <f t="shared" si="13"/>
        <v>10000</v>
      </c>
      <c r="AB35" s="29">
        <f t="shared" si="13"/>
        <v>10300</v>
      </c>
      <c r="AC35" s="31">
        <f t="shared" ref="AC35:AC40" si="14">SUM(O35:AB35)</f>
        <v>185685.79999999996</v>
      </c>
      <c r="AD35" s="160"/>
      <c r="AE35" s="160"/>
    </row>
    <row r="36" spans="1:31" ht="139.5" customHeight="1" x14ac:dyDescent="0.4">
      <c r="A36" s="7" t="s">
        <v>194</v>
      </c>
      <c r="B36" s="8" t="s">
        <v>195</v>
      </c>
      <c r="C36" s="141" t="s">
        <v>214</v>
      </c>
      <c r="D36" s="21" t="s">
        <v>108</v>
      </c>
      <c r="E36" s="144" t="s">
        <v>215</v>
      </c>
      <c r="F36" s="7" t="s">
        <v>59</v>
      </c>
      <c r="G36" s="7" t="s">
        <v>29</v>
      </c>
      <c r="H36" s="21" t="s">
        <v>22</v>
      </c>
      <c r="I36" s="7" t="s">
        <v>216</v>
      </c>
      <c r="J36" s="35" t="s">
        <v>59</v>
      </c>
      <c r="K36" s="7" t="s">
        <v>217</v>
      </c>
      <c r="L36" s="7" t="s">
        <v>218</v>
      </c>
      <c r="M36" s="23" t="s">
        <v>27</v>
      </c>
      <c r="N36" s="24"/>
      <c r="O36" s="36"/>
      <c r="P36" s="115"/>
      <c r="Q36" s="36"/>
      <c r="R36" s="115"/>
      <c r="S36" s="26">
        <v>1</v>
      </c>
      <c r="T36" s="36"/>
      <c r="U36" s="36"/>
      <c r="V36" s="36"/>
      <c r="W36" s="36"/>
      <c r="X36" s="36"/>
      <c r="Y36" s="36"/>
      <c r="Z36" s="36"/>
      <c r="AA36" s="36"/>
      <c r="AB36" s="36"/>
      <c r="AC36" s="29">
        <f t="shared" si="14"/>
        <v>1</v>
      </c>
      <c r="AD36" s="26" t="s">
        <v>219</v>
      </c>
      <c r="AE36" s="26"/>
    </row>
    <row r="37" spans="1:31" ht="72" x14ac:dyDescent="0.4">
      <c r="A37" s="7" t="s">
        <v>194</v>
      </c>
      <c r="B37" s="8" t="s">
        <v>195</v>
      </c>
      <c r="C37" s="142"/>
      <c r="D37" s="21" t="s">
        <v>108</v>
      </c>
      <c r="E37" s="144"/>
      <c r="F37" s="7" t="s">
        <v>59</v>
      </c>
      <c r="G37" s="7" t="s">
        <v>29</v>
      </c>
      <c r="H37" s="21" t="s">
        <v>30</v>
      </c>
      <c r="I37" s="7" t="s">
        <v>220</v>
      </c>
      <c r="J37" s="34" t="s">
        <v>59</v>
      </c>
      <c r="K37" s="7" t="s">
        <v>221</v>
      </c>
      <c r="L37" s="7" t="s">
        <v>222</v>
      </c>
      <c r="M37" s="23" t="s">
        <v>27</v>
      </c>
      <c r="N37" s="24"/>
      <c r="O37" s="26"/>
      <c r="P37" s="109"/>
      <c r="Q37" s="26"/>
      <c r="R37" s="109"/>
      <c r="S37" s="26"/>
      <c r="T37" s="26"/>
      <c r="U37" s="26"/>
      <c r="V37" s="26"/>
      <c r="W37" s="26"/>
      <c r="X37" s="26"/>
      <c r="Y37" s="26"/>
      <c r="Z37" s="26"/>
      <c r="AA37" s="26">
        <v>1</v>
      </c>
      <c r="AB37" s="26"/>
      <c r="AC37" s="29">
        <f t="shared" si="14"/>
        <v>1</v>
      </c>
      <c r="AD37" s="7" t="s">
        <v>223</v>
      </c>
      <c r="AE37" s="7"/>
    </row>
    <row r="38" spans="1:31" ht="72" x14ac:dyDescent="0.4">
      <c r="A38" s="7" t="s">
        <v>194</v>
      </c>
      <c r="B38" s="8" t="s">
        <v>195</v>
      </c>
      <c r="C38" s="142"/>
      <c r="D38" s="21" t="s">
        <v>108</v>
      </c>
      <c r="E38" s="144"/>
      <c r="F38" s="7" t="s">
        <v>59</v>
      </c>
      <c r="G38" s="7" t="s">
        <v>29</v>
      </c>
      <c r="H38" s="21" t="s">
        <v>36</v>
      </c>
      <c r="I38" s="7" t="s">
        <v>224</v>
      </c>
      <c r="J38" s="34" t="s">
        <v>99</v>
      </c>
      <c r="K38" s="7" t="s">
        <v>225</v>
      </c>
      <c r="L38" s="7" t="s">
        <v>222</v>
      </c>
      <c r="M38" s="23" t="s">
        <v>27</v>
      </c>
      <c r="N38" s="24"/>
      <c r="O38" s="26"/>
      <c r="P38" s="109"/>
      <c r="Q38" s="26"/>
      <c r="R38" s="109"/>
      <c r="S38" s="26"/>
      <c r="T38" s="26"/>
      <c r="U38" s="26"/>
      <c r="V38" s="26"/>
      <c r="W38" s="26"/>
      <c r="X38" s="26"/>
      <c r="Y38" s="26"/>
      <c r="Z38" s="26"/>
      <c r="AA38" s="26">
        <v>1</v>
      </c>
      <c r="AB38" s="26"/>
      <c r="AC38" s="29">
        <f t="shared" si="14"/>
        <v>1</v>
      </c>
      <c r="AD38" s="7" t="s">
        <v>226</v>
      </c>
      <c r="AE38" s="7"/>
    </row>
    <row r="39" spans="1:31" ht="82.5" customHeight="1" x14ac:dyDescent="0.4">
      <c r="A39" s="7" t="s">
        <v>194</v>
      </c>
      <c r="B39" s="8" t="s">
        <v>195</v>
      </c>
      <c r="C39" s="142"/>
      <c r="D39" s="21" t="s">
        <v>108</v>
      </c>
      <c r="E39" s="145" t="s">
        <v>108</v>
      </c>
      <c r="F39" s="146"/>
      <c r="G39" s="146"/>
      <c r="H39" s="146"/>
      <c r="I39" s="146"/>
      <c r="J39" s="146"/>
      <c r="K39" s="146"/>
      <c r="L39" s="146"/>
      <c r="M39" s="27" t="s">
        <v>64</v>
      </c>
      <c r="N39" s="28"/>
      <c r="O39" s="29">
        <f>SUM(O36:O38)</f>
        <v>0</v>
      </c>
      <c r="P39" s="109"/>
      <c r="Q39" s="29">
        <f t="shared" ref="Q39:AB39" si="15">SUM(Q36:Q38)</f>
        <v>0</v>
      </c>
      <c r="R39" s="109"/>
      <c r="S39" s="29">
        <f t="shared" si="15"/>
        <v>1</v>
      </c>
      <c r="T39" s="29">
        <f t="shared" si="15"/>
        <v>0</v>
      </c>
      <c r="U39" s="29">
        <f t="shared" si="15"/>
        <v>0</v>
      </c>
      <c r="V39" s="29">
        <f t="shared" si="15"/>
        <v>0</v>
      </c>
      <c r="W39" s="29">
        <f t="shared" si="15"/>
        <v>0</v>
      </c>
      <c r="X39" s="29">
        <f t="shared" si="15"/>
        <v>0</v>
      </c>
      <c r="Y39" s="29">
        <f t="shared" si="15"/>
        <v>0</v>
      </c>
      <c r="Z39" s="29">
        <f t="shared" si="15"/>
        <v>0</v>
      </c>
      <c r="AA39" s="29">
        <f t="shared" si="15"/>
        <v>2</v>
      </c>
      <c r="AB39" s="29">
        <f t="shared" si="15"/>
        <v>0</v>
      </c>
      <c r="AC39" s="29">
        <f t="shared" si="14"/>
        <v>3</v>
      </c>
      <c r="AD39" s="158" t="s">
        <v>227</v>
      </c>
      <c r="AE39" s="158"/>
    </row>
    <row r="40" spans="1:31" ht="82.5" customHeight="1" x14ac:dyDescent="0.4">
      <c r="A40" s="7" t="s">
        <v>194</v>
      </c>
      <c r="B40" s="8" t="s">
        <v>195</v>
      </c>
      <c r="C40" s="142"/>
      <c r="D40" s="21" t="s">
        <v>108</v>
      </c>
      <c r="E40" s="147"/>
      <c r="F40" s="148"/>
      <c r="G40" s="148"/>
      <c r="H40" s="148"/>
      <c r="I40" s="148"/>
      <c r="J40" s="148"/>
      <c r="K40" s="148"/>
      <c r="L40" s="148"/>
      <c r="M40" s="27" t="s">
        <v>179</v>
      </c>
      <c r="N40" s="28"/>
      <c r="O40" s="29">
        <f t="shared" ref="O40:AB40" si="16">+O41+O45</f>
        <v>18417.16</v>
      </c>
      <c r="P40" s="109"/>
      <c r="Q40" s="29">
        <f t="shared" si="16"/>
        <v>18417.16</v>
      </c>
      <c r="R40" s="109"/>
      <c r="S40" s="29">
        <f t="shared" si="16"/>
        <v>18417.16</v>
      </c>
      <c r="T40" s="29">
        <f t="shared" si="16"/>
        <v>18417.16</v>
      </c>
      <c r="U40" s="29">
        <f t="shared" si="16"/>
        <v>18417.16</v>
      </c>
      <c r="V40" s="29">
        <f t="shared" si="16"/>
        <v>18417.16</v>
      </c>
      <c r="W40" s="29">
        <f t="shared" si="16"/>
        <v>19017.16</v>
      </c>
      <c r="X40" s="29">
        <f t="shared" si="16"/>
        <v>18417.16</v>
      </c>
      <c r="Y40" s="29">
        <f t="shared" si="16"/>
        <v>12530.16</v>
      </c>
      <c r="Z40" s="29">
        <f t="shared" si="16"/>
        <v>10208.58</v>
      </c>
      <c r="AA40" s="29">
        <f t="shared" si="16"/>
        <v>10000</v>
      </c>
      <c r="AB40" s="29">
        <f t="shared" si="16"/>
        <v>10300</v>
      </c>
      <c r="AC40" s="29">
        <f t="shared" si="14"/>
        <v>190976.02</v>
      </c>
      <c r="AD40" s="159"/>
      <c r="AE40" s="159"/>
    </row>
    <row r="41" spans="1:31" ht="82.5" customHeight="1" x14ac:dyDescent="0.4">
      <c r="A41" s="7"/>
      <c r="B41" s="8" t="s">
        <v>195</v>
      </c>
      <c r="C41" s="142"/>
      <c r="D41" s="21" t="s">
        <v>108</v>
      </c>
      <c r="E41" s="147"/>
      <c r="F41" s="148"/>
      <c r="G41" s="148"/>
      <c r="H41" s="148"/>
      <c r="I41" s="148"/>
      <c r="J41" s="148"/>
      <c r="K41" s="148"/>
      <c r="L41" s="148"/>
      <c r="M41" s="27" t="s">
        <v>228</v>
      </c>
      <c r="N41" s="27"/>
      <c r="O41" s="29">
        <f>SUM(O42:O44)</f>
        <v>10208.58</v>
      </c>
      <c r="P41" s="109"/>
      <c r="Q41" s="29">
        <f t="shared" ref="Q41:AB41" si="17">SUM(Q42:Q44)</f>
        <v>10208.58</v>
      </c>
      <c r="R41" s="109"/>
      <c r="S41" s="29">
        <f t="shared" si="17"/>
        <v>10208.58</v>
      </c>
      <c r="T41" s="29">
        <f t="shared" si="17"/>
        <v>10208.58</v>
      </c>
      <c r="U41" s="29">
        <f t="shared" si="17"/>
        <v>10208.58</v>
      </c>
      <c r="V41" s="29">
        <f t="shared" si="17"/>
        <v>10208.58</v>
      </c>
      <c r="W41" s="29">
        <f t="shared" si="17"/>
        <v>10508.58</v>
      </c>
      <c r="X41" s="29">
        <f t="shared" si="17"/>
        <v>10208.58</v>
      </c>
      <c r="Y41" s="29">
        <f t="shared" si="17"/>
        <v>10208.58</v>
      </c>
      <c r="Z41" s="29">
        <f t="shared" si="17"/>
        <v>10208.58</v>
      </c>
      <c r="AA41" s="29">
        <f t="shared" si="17"/>
        <v>10000</v>
      </c>
      <c r="AB41" s="29">
        <f t="shared" si="17"/>
        <v>10300</v>
      </c>
      <c r="AC41" s="29">
        <f t="shared" ref="AC41:AC53" si="18">SUM(O41:AB41)</f>
        <v>122685.8</v>
      </c>
      <c r="AD41" s="159"/>
      <c r="AE41" s="159"/>
    </row>
    <row r="42" spans="1:31" ht="82.5" customHeight="1" x14ac:dyDescent="0.4">
      <c r="A42" s="7"/>
      <c r="B42" s="8" t="s">
        <v>195</v>
      </c>
      <c r="C42" s="142"/>
      <c r="D42" s="21" t="s">
        <v>108</v>
      </c>
      <c r="E42" s="147"/>
      <c r="F42" s="148"/>
      <c r="G42" s="148"/>
      <c r="H42" s="148"/>
      <c r="I42" s="148"/>
      <c r="J42" s="148"/>
      <c r="K42" s="148"/>
      <c r="L42" s="148"/>
      <c r="M42" s="27" t="s">
        <v>229</v>
      </c>
      <c r="N42" s="27" t="s">
        <v>211</v>
      </c>
      <c r="O42" s="29">
        <v>10000</v>
      </c>
      <c r="P42" s="109"/>
      <c r="Q42" s="29">
        <v>10000</v>
      </c>
      <c r="R42" s="109"/>
      <c r="S42" s="29">
        <v>10000</v>
      </c>
      <c r="T42" s="29">
        <v>10000</v>
      </c>
      <c r="U42" s="29">
        <v>10000</v>
      </c>
      <c r="V42" s="29">
        <v>10000</v>
      </c>
      <c r="W42" s="29">
        <v>10000</v>
      </c>
      <c r="X42" s="29">
        <v>10000</v>
      </c>
      <c r="Y42" s="29">
        <v>10000</v>
      </c>
      <c r="Z42" s="29">
        <v>10000</v>
      </c>
      <c r="AA42" s="29">
        <v>10000</v>
      </c>
      <c r="AB42" s="29">
        <f>8800.6+1199.4</f>
        <v>10000</v>
      </c>
      <c r="AC42" s="29">
        <f t="shared" si="18"/>
        <v>120000</v>
      </c>
      <c r="AD42" s="159"/>
      <c r="AE42" s="159"/>
    </row>
    <row r="43" spans="1:31" ht="82.5" customHeight="1" x14ac:dyDescent="0.4">
      <c r="A43" s="7"/>
      <c r="B43" s="8" t="s">
        <v>195</v>
      </c>
      <c r="C43" s="142"/>
      <c r="D43" s="21" t="s">
        <v>108</v>
      </c>
      <c r="E43" s="147"/>
      <c r="F43" s="148"/>
      <c r="G43" s="148"/>
      <c r="H43" s="148"/>
      <c r="I43" s="148"/>
      <c r="J43" s="148"/>
      <c r="K43" s="148"/>
      <c r="L43" s="148"/>
      <c r="M43" s="27" t="s">
        <v>230</v>
      </c>
      <c r="N43" s="27" t="s">
        <v>184</v>
      </c>
      <c r="O43" s="29"/>
      <c r="P43" s="109"/>
      <c r="Q43" s="29"/>
      <c r="R43" s="109"/>
      <c r="S43" s="29"/>
      <c r="T43" s="29"/>
      <c r="U43" s="29"/>
      <c r="V43" s="29"/>
      <c r="W43" s="29">
        <v>300</v>
      </c>
      <c r="X43" s="29"/>
      <c r="Y43" s="29"/>
      <c r="Z43" s="29"/>
      <c r="AA43" s="29"/>
      <c r="AB43" s="29">
        <v>300</v>
      </c>
      <c r="AC43" s="29">
        <f t="shared" si="18"/>
        <v>600</v>
      </c>
      <c r="AD43" s="159"/>
      <c r="AE43" s="159"/>
    </row>
    <row r="44" spans="1:31" ht="82.5" customHeight="1" x14ac:dyDescent="0.4">
      <c r="A44" s="7"/>
      <c r="B44" s="8" t="s">
        <v>195</v>
      </c>
      <c r="C44" s="142"/>
      <c r="D44" s="21" t="s">
        <v>108</v>
      </c>
      <c r="E44" s="147"/>
      <c r="F44" s="148"/>
      <c r="G44" s="148"/>
      <c r="H44" s="148"/>
      <c r="I44" s="148"/>
      <c r="J44" s="148"/>
      <c r="K44" s="148"/>
      <c r="L44" s="148"/>
      <c r="M44" s="27" t="s">
        <v>231</v>
      </c>
      <c r="N44" s="27" t="s">
        <v>186</v>
      </c>
      <c r="O44" s="29">
        <f t="shared" ref="O44:Y44" si="19">208.58</f>
        <v>208.58</v>
      </c>
      <c r="P44" s="109"/>
      <c r="Q44" s="29">
        <f t="shared" si="19"/>
        <v>208.58</v>
      </c>
      <c r="R44" s="109"/>
      <c r="S44" s="29">
        <f t="shared" si="19"/>
        <v>208.58</v>
      </c>
      <c r="T44" s="29">
        <f t="shared" si="19"/>
        <v>208.58</v>
      </c>
      <c r="U44" s="29">
        <f t="shared" si="19"/>
        <v>208.58</v>
      </c>
      <c r="V44" s="29">
        <f t="shared" si="19"/>
        <v>208.58</v>
      </c>
      <c r="W44" s="29">
        <f t="shared" si="19"/>
        <v>208.58</v>
      </c>
      <c r="X44" s="29">
        <f t="shared" si="19"/>
        <v>208.58</v>
      </c>
      <c r="Y44" s="29">
        <f t="shared" si="19"/>
        <v>208.58</v>
      </c>
      <c r="Z44" s="29">
        <f>208.58</f>
        <v>208.58</v>
      </c>
      <c r="AA44" s="29"/>
      <c r="AB44" s="29"/>
      <c r="AC44" s="29">
        <f t="shared" si="18"/>
        <v>2085.7999999999997</v>
      </c>
      <c r="AD44" s="159"/>
      <c r="AE44" s="159"/>
    </row>
    <row r="45" spans="1:31" ht="82.5" customHeight="1" x14ac:dyDescent="0.4">
      <c r="A45" s="7"/>
      <c r="B45" s="8" t="s">
        <v>195</v>
      </c>
      <c r="C45" s="142"/>
      <c r="D45" s="21" t="s">
        <v>108</v>
      </c>
      <c r="E45" s="147"/>
      <c r="F45" s="148"/>
      <c r="G45" s="148"/>
      <c r="H45" s="148"/>
      <c r="I45" s="148"/>
      <c r="J45" s="148"/>
      <c r="K45" s="148"/>
      <c r="L45" s="148"/>
      <c r="M45" s="27" t="s">
        <v>232</v>
      </c>
      <c r="N45" s="27"/>
      <c r="O45" s="29">
        <f>SUM(O46:O48)</f>
        <v>8208.58</v>
      </c>
      <c r="P45" s="109"/>
      <c r="Q45" s="29">
        <f t="shared" ref="Q45:AB45" si="20">SUM(Q46:Q48)</f>
        <v>8208.58</v>
      </c>
      <c r="R45" s="109"/>
      <c r="S45" s="29">
        <f t="shared" si="20"/>
        <v>8208.58</v>
      </c>
      <c r="T45" s="29">
        <f t="shared" si="20"/>
        <v>8208.58</v>
      </c>
      <c r="U45" s="29">
        <f t="shared" si="20"/>
        <v>8208.58</v>
      </c>
      <c r="V45" s="29">
        <f t="shared" si="20"/>
        <v>8208.58</v>
      </c>
      <c r="W45" s="29">
        <f t="shared" si="20"/>
        <v>8508.58</v>
      </c>
      <c r="X45" s="29">
        <f t="shared" si="20"/>
        <v>8208.58</v>
      </c>
      <c r="Y45" s="29">
        <f t="shared" si="20"/>
        <v>2321.58</v>
      </c>
      <c r="Z45" s="29">
        <f t="shared" si="20"/>
        <v>0</v>
      </c>
      <c r="AA45" s="29">
        <f t="shared" si="20"/>
        <v>0</v>
      </c>
      <c r="AB45" s="29">
        <f t="shared" si="20"/>
        <v>0</v>
      </c>
      <c r="AC45" s="29">
        <f t="shared" ref="AC45:AC50" si="21">SUM(O45:AB45)</f>
        <v>68290.22</v>
      </c>
      <c r="AD45" s="159"/>
      <c r="AE45" s="159"/>
    </row>
    <row r="46" spans="1:31" ht="82.5" customHeight="1" x14ac:dyDescent="0.4">
      <c r="A46" s="7"/>
      <c r="B46" s="8" t="s">
        <v>195</v>
      </c>
      <c r="C46" s="142"/>
      <c r="D46" s="21" t="s">
        <v>108</v>
      </c>
      <c r="E46" s="147"/>
      <c r="F46" s="148"/>
      <c r="G46" s="148"/>
      <c r="H46" s="148"/>
      <c r="I46" s="148"/>
      <c r="J46" s="148"/>
      <c r="K46" s="148"/>
      <c r="L46" s="148"/>
      <c r="M46" s="32" t="s">
        <v>233</v>
      </c>
      <c r="N46" s="27" t="s">
        <v>182</v>
      </c>
      <c r="O46" s="29">
        <f>(8000)</f>
        <v>8000</v>
      </c>
      <c r="P46" s="109"/>
      <c r="Q46" s="29">
        <f>(8000)</f>
        <v>8000</v>
      </c>
      <c r="R46" s="109"/>
      <c r="S46" s="29">
        <f>(8000)</f>
        <v>8000</v>
      </c>
      <c r="T46" s="29">
        <f>(8000)</f>
        <v>8000</v>
      </c>
      <c r="U46" s="29">
        <f>(8000)</f>
        <v>8000</v>
      </c>
      <c r="V46" s="29">
        <f>(8000)</f>
        <v>8000</v>
      </c>
      <c r="W46" s="29">
        <f>(8000)</f>
        <v>8000</v>
      </c>
      <c r="X46" s="29">
        <f>(8000)</f>
        <v>8000</v>
      </c>
      <c r="Y46" s="29">
        <f>986.6+1126.4</f>
        <v>2113</v>
      </c>
      <c r="Z46" s="29"/>
      <c r="AA46" s="29"/>
      <c r="AB46" s="29"/>
      <c r="AC46" s="29">
        <f t="shared" si="21"/>
        <v>66113</v>
      </c>
      <c r="AD46" s="159"/>
      <c r="AE46" s="159"/>
    </row>
    <row r="47" spans="1:31" ht="82.5" customHeight="1" x14ac:dyDescent="0.4">
      <c r="A47" s="7"/>
      <c r="B47" s="8" t="s">
        <v>195</v>
      </c>
      <c r="C47" s="142"/>
      <c r="D47" s="21" t="s">
        <v>108</v>
      </c>
      <c r="E47" s="147"/>
      <c r="F47" s="148"/>
      <c r="G47" s="148"/>
      <c r="H47" s="148"/>
      <c r="I47" s="148"/>
      <c r="J47" s="148"/>
      <c r="K47" s="148"/>
      <c r="L47" s="148"/>
      <c r="M47" s="32" t="s">
        <v>234</v>
      </c>
      <c r="N47" s="27" t="s">
        <v>184</v>
      </c>
      <c r="O47" s="29"/>
      <c r="P47" s="109"/>
      <c r="Q47" s="29"/>
      <c r="R47" s="109"/>
      <c r="S47" s="29"/>
      <c r="T47" s="29"/>
      <c r="U47" s="29"/>
      <c r="V47" s="29"/>
      <c r="W47" s="29">
        <v>300</v>
      </c>
      <c r="X47" s="29"/>
      <c r="Y47" s="29"/>
      <c r="Z47" s="29"/>
      <c r="AA47" s="29"/>
      <c r="AB47" s="29"/>
      <c r="AC47" s="29">
        <f t="shared" si="21"/>
        <v>300</v>
      </c>
      <c r="AD47" s="159"/>
      <c r="AE47" s="159"/>
    </row>
    <row r="48" spans="1:31" ht="82.5" customHeight="1" x14ac:dyDescent="0.4">
      <c r="A48" s="7"/>
      <c r="B48" s="8" t="s">
        <v>195</v>
      </c>
      <c r="C48" s="142"/>
      <c r="D48" s="21" t="s">
        <v>108</v>
      </c>
      <c r="E48" s="147"/>
      <c r="F48" s="148"/>
      <c r="G48" s="148"/>
      <c r="H48" s="148"/>
      <c r="I48" s="148"/>
      <c r="J48" s="148"/>
      <c r="K48" s="148"/>
      <c r="L48" s="148"/>
      <c r="M48" s="32" t="s">
        <v>235</v>
      </c>
      <c r="N48" s="27" t="s">
        <v>186</v>
      </c>
      <c r="O48" s="29">
        <f t="shared" ref="O48:Y48" si="22">208.58</f>
        <v>208.58</v>
      </c>
      <c r="P48" s="109"/>
      <c r="Q48" s="29">
        <f t="shared" si="22"/>
        <v>208.58</v>
      </c>
      <c r="R48" s="109"/>
      <c r="S48" s="29">
        <f t="shared" si="22"/>
        <v>208.58</v>
      </c>
      <c r="T48" s="29">
        <f t="shared" si="22"/>
        <v>208.58</v>
      </c>
      <c r="U48" s="29">
        <f t="shared" si="22"/>
        <v>208.58</v>
      </c>
      <c r="V48" s="29">
        <f t="shared" si="22"/>
        <v>208.58</v>
      </c>
      <c r="W48" s="29">
        <f t="shared" si="22"/>
        <v>208.58</v>
      </c>
      <c r="X48" s="29">
        <f t="shared" si="22"/>
        <v>208.58</v>
      </c>
      <c r="Y48" s="29">
        <f t="shared" si="22"/>
        <v>208.58</v>
      </c>
      <c r="Z48" s="29"/>
      <c r="AA48" s="29"/>
      <c r="AB48" s="29"/>
      <c r="AC48" s="29">
        <f t="shared" si="21"/>
        <v>1877.2199999999998</v>
      </c>
      <c r="AD48" s="159"/>
      <c r="AE48" s="159"/>
    </row>
    <row r="49" spans="1:31" ht="82.5" customHeight="1" x14ac:dyDescent="0.4">
      <c r="A49" s="7" t="s">
        <v>194</v>
      </c>
      <c r="B49" s="8" t="s">
        <v>195</v>
      </c>
      <c r="C49" s="142"/>
      <c r="D49" s="21" t="s">
        <v>108</v>
      </c>
      <c r="E49" s="147"/>
      <c r="F49" s="148"/>
      <c r="G49" s="148"/>
      <c r="H49" s="148"/>
      <c r="I49" s="148"/>
      <c r="J49" s="148"/>
      <c r="K49" s="148"/>
      <c r="L49" s="148"/>
      <c r="M49" s="32" t="s">
        <v>187</v>
      </c>
      <c r="N49" s="27"/>
      <c r="O49" s="29">
        <f>+O50+O51</f>
        <v>18000</v>
      </c>
      <c r="P49" s="109"/>
      <c r="Q49" s="29">
        <f t="shared" ref="Q49:AB49" si="23">+Q50+Q51</f>
        <v>18000</v>
      </c>
      <c r="R49" s="109"/>
      <c r="S49" s="29">
        <f t="shared" si="23"/>
        <v>18000</v>
      </c>
      <c r="T49" s="29">
        <f t="shared" si="23"/>
        <v>18000</v>
      </c>
      <c r="U49" s="29">
        <f t="shared" si="23"/>
        <v>18000</v>
      </c>
      <c r="V49" s="29">
        <f t="shared" si="23"/>
        <v>18000</v>
      </c>
      <c r="W49" s="29">
        <f t="shared" si="23"/>
        <v>18000</v>
      </c>
      <c r="X49" s="29">
        <f t="shared" si="23"/>
        <v>8000</v>
      </c>
      <c r="Y49" s="29">
        <f t="shared" si="23"/>
        <v>0</v>
      </c>
      <c r="Z49" s="29">
        <f t="shared" si="23"/>
        <v>0</v>
      </c>
      <c r="AA49" s="29">
        <f t="shared" si="23"/>
        <v>0</v>
      </c>
      <c r="AB49" s="29">
        <f t="shared" si="23"/>
        <v>0</v>
      </c>
      <c r="AC49" s="29">
        <f t="shared" si="21"/>
        <v>134000</v>
      </c>
      <c r="AD49" s="159"/>
      <c r="AE49" s="159"/>
    </row>
    <row r="50" spans="1:31" ht="82.5" customHeight="1" x14ac:dyDescent="0.4">
      <c r="A50" s="7"/>
      <c r="B50" s="8" t="s">
        <v>195</v>
      </c>
      <c r="C50" s="142"/>
      <c r="D50" s="21" t="s">
        <v>108</v>
      </c>
      <c r="E50" s="147"/>
      <c r="F50" s="148"/>
      <c r="G50" s="148"/>
      <c r="H50" s="148"/>
      <c r="I50" s="148"/>
      <c r="J50" s="148"/>
      <c r="K50" s="148"/>
      <c r="L50" s="148"/>
      <c r="M50" s="27" t="s">
        <v>236</v>
      </c>
      <c r="N50" s="27" t="s">
        <v>189</v>
      </c>
      <c r="O50" s="29">
        <v>9000</v>
      </c>
      <c r="P50" s="109"/>
      <c r="Q50" s="29">
        <v>9000</v>
      </c>
      <c r="R50" s="109"/>
      <c r="S50" s="29">
        <v>9000</v>
      </c>
      <c r="T50" s="29">
        <v>9000</v>
      </c>
      <c r="U50" s="29">
        <v>9000</v>
      </c>
      <c r="V50" s="29">
        <v>9000</v>
      </c>
      <c r="W50" s="29">
        <v>9000</v>
      </c>
      <c r="X50" s="29">
        <v>8000</v>
      </c>
      <c r="Y50" s="29"/>
      <c r="Z50" s="29"/>
      <c r="AA50" s="29"/>
      <c r="AB50" s="29"/>
      <c r="AC50" s="29">
        <f t="shared" si="21"/>
        <v>71000</v>
      </c>
      <c r="AD50" s="159"/>
      <c r="AE50" s="159"/>
    </row>
    <row r="51" spans="1:31" ht="82.5" customHeight="1" x14ac:dyDescent="0.4">
      <c r="A51" s="7"/>
      <c r="B51" s="8" t="s">
        <v>195</v>
      </c>
      <c r="C51" s="142"/>
      <c r="D51" s="21" t="s">
        <v>108</v>
      </c>
      <c r="E51" s="147"/>
      <c r="F51" s="148"/>
      <c r="G51" s="148"/>
      <c r="H51" s="148"/>
      <c r="I51" s="148"/>
      <c r="J51" s="148"/>
      <c r="K51" s="148"/>
      <c r="L51" s="148"/>
      <c r="M51" s="27" t="s">
        <v>237</v>
      </c>
      <c r="N51" s="27" t="s">
        <v>189</v>
      </c>
      <c r="O51" s="29">
        <v>9000</v>
      </c>
      <c r="P51" s="109"/>
      <c r="Q51" s="29">
        <v>9000</v>
      </c>
      <c r="R51" s="109"/>
      <c r="S51" s="29">
        <v>9000</v>
      </c>
      <c r="T51" s="29">
        <v>9000</v>
      </c>
      <c r="U51" s="29">
        <v>9000</v>
      </c>
      <c r="V51" s="29">
        <v>9000</v>
      </c>
      <c r="W51" s="29">
        <v>9000</v>
      </c>
      <c r="X51" s="29"/>
      <c r="Y51" s="29"/>
      <c r="Z51" s="29"/>
      <c r="AA51" s="29"/>
      <c r="AB51" s="29"/>
      <c r="AC51" s="29">
        <f t="shared" si="18"/>
        <v>63000</v>
      </c>
      <c r="AD51" s="159"/>
      <c r="AE51" s="159"/>
    </row>
    <row r="52" spans="1:31" ht="82.5" customHeight="1" x14ac:dyDescent="0.4">
      <c r="A52" s="7"/>
      <c r="B52" s="8" t="s">
        <v>195</v>
      </c>
      <c r="C52" s="142"/>
      <c r="D52" s="21" t="s">
        <v>108</v>
      </c>
      <c r="E52" s="147"/>
      <c r="F52" s="148"/>
      <c r="G52" s="148"/>
      <c r="H52" s="148"/>
      <c r="I52" s="148"/>
      <c r="J52" s="148"/>
      <c r="K52" s="148"/>
      <c r="L52" s="148"/>
      <c r="M52" s="32" t="s">
        <v>187</v>
      </c>
      <c r="N52" s="27"/>
      <c r="O52" s="29">
        <f>+O53</f>
        <v>0</v>
      </c>
      <c r="P52" s="109"/>
      <c r="Q52" s="29">
        <f t="shared" ref="Q52:AB52" si="24">+Q53</f>
        <v>0</v>
      </c>
      <c r="R52" s="109"/>
      <c r="S52" s="29">
        <f t="shared" si="24"/>
        <v>0</v>
      </c>
      <c r="T52" s="29">
        <f t="shared" si="24"/>
        <v>0</v>
      </c>
      <c r="U52" s="29">
        <f t="shared" si="24"/>
        <v>0</v>
      </c>
      <c r="V52" s="29">
        <f t="shared" si="24"/>
        <v>0</v>
      </c>
      <c r="W52" s="29">
        <f t="shared" si="24"/>
        <v>0</v>
      </c>
      <c r="X52" s="29">
        <f t="shared" si="24"/>
        <v>0</v>
      </c>
      <c r="Y52" s="29">
        <f t="shared" si="24"/>
        <v>0</v>
      </c>
      <c r="Z52" s="29">
        <f t="shared" si="24"/>
        <v>0</v>
      </c>
      <c r="AA52" s="29">
        <f t="shared" si="24"/>
        <v>150</v>
      </c>
      <c r="AB52" s="29">
        <f t="shared" si="24"/>
        <v>0</v>
      </c>
      <c r="AC52" s="29">
        <f t="shared" si="18"/>
        <v>150</v>
      </c>
      <c r="AD52" s="159"/>
      <c r="AE52" s="159"/>
    </row>
    <row r="53" spans="1:31" ht="82.5" customHeight="1" x14ac:dyDescent="0.4">
      <c r="A53" s="7"/>
      <c r="B53" s="8" t="s">
        <v>195</v>
      </c>
      <c r="C53" s="142"/>
      <c r="D53" s="21" t="s">
        <v>108</v>
      </c>
      <c r="E53" s="147"/>
      <c r="F53" s="148"/>
      <c r="G53" s="148"/>
      <c r="H53" s="148"/>
      <c r="I53" s="148"/>
      <c r="J53" s="148"/>
      <c r="K53" s="148"/>
      <c r="L53" s="148"/>
      <c r="M53" s="27" t="s">
        <v>238</v>
      </c>
      <c r="N53" s="27" t="s">
        <v>239</v>
      </c>
      <c r="O53" s="29"/>
      <c r="P53" s="109"/>
      <c r="Q53" s="29"/>
      <c r="R53" s="109"/>
      <c r="S53" s="29"/>
      <c r="T53" s="29"/>
      <c r="U53" s="29"/>
      <c r="V53" s="29"/>
      <c r="W53" s="29"/>
      <c r="X53" s="29"/>
      <c r="Y53" s="29"/>
      <c r="Z53" s="29"/>
      <c r="AA53" s="29">
        <v>150</v>
      </c>
      <c r="AB53" s="29"/>
      <c r="AC53" s="29">
        <f t="shared" si="18"/>
        <v>150</v>
      </c>
      <c r="AD53" s="159"/>
      <c r="AE53" s="159"/>
    </row>
    <row r="54" spans="1:31" ht="82.5" customHeight="1" x14ac:dyDescent="0.4">
      <c r="A54" s="7" t="s">
        <v>194</v>
      </c>
      <c r="B54" s="8" t="s">
        <v>195</v>
      </c>
      <c r="C54" s="143"/>
      <c r="D54" s="21" t="s">
        <v>108</v>
      </c>
      <c r="E54" s="149"/>
      <c r="F54" s="150"/>
      <c r="G54" s="150"/>
      <c r="H54" s="150"/>
      <c r="I54" s="150"/>
      <c r="J54" s="150"/>
      <c r="K54" s="150"/>
      <c r="L54" s="150"/>
      <c r="M54" s="27" t="s">
        <v>240</v>
      </c>
      <c r="N54" s="27"/>
      <c r="O54" s="29">
        <f>+O40+O49+O52</f>
        <v>36417.160000000003</v>
      </c>
      <c r="P54" s="109"/>
      <c r="Q54" s="29">
        <f t="shared" ref="Q54:AB54" si="25">+Q40+Q49+Q52</f>
        <v>36417.160000000003</v>
      </c>
      <c r="R54" s="109"/>
      <c r="S54" s="29">
        <f t="shared" si="25"/>
        <v>36417.160000000003</v>
      </c>
      <c r="T54" s="29">
        <f t="shared" si="25"/>
        <v>36417.160000000003</v>
      </c>
      <c r="U54" s="29">
        <f t="shared" si="25"/>
        <v>36417.160000000003</v>
      </c>
      <c r="V54" s="29">
        <f t="shared" si="25"/>
        <v>36417.160000000003</v>
      </c>
      <c r="W54" s="29">
        <f t="shared" si="25"/>
        <v>37017.160000000003</v>
      </c>
      <c r="X54" s="29">
        <f t="shared" si="25"/>
        <v>26417.16</v>
      </c>
      <c r="Y54" s="29">
        <f t="shared" si="25"/>
        <v>12530.16</v>
      </c>
      <c r="Z54" s="29">
        <f t="shared" si="25"/>
        <v>10208.58</v>
      </c>
      <c r="AA54" s="29">
        <f t="shared" si="25"/>
        <v>10150</v>
      </c>
      <c r="AB54" s="29">
        <f t="shared" si="25"/>
        <v>10300</v>
      </c>
      <c r="AC54" s="31">
        <f t="shared" ref="AC54:AC71" si="26">SUM(O54:AB54)</f>
        <v>325126.02</v>
      </c>
      <c r="AD54" s="160"/>
      <c r="AE54" s="160"/>
    </row>
    <row r="55" spans="1:31" ht="82.5" customHeight="1" x14ac:dyDescent="0.4">
      <c r="A55" s="7" t="s">
        <v>194</v>
      </c>
      <c r="B55" s="8" t="s">
        <v>195</v>
      </c>
      <c r="C55" s="141" t="s">
        <v>241</v>
      </c>
      <c r="D55" s="21" t="s">
        <v>242</v>
      </c>
      <c r="E55" s="7" t="s">
        <v>243</v>
      </c>
      <c r="F55" s="7" t="s">
        <v>59</v>
      </c>
      <c r="G55" s="7" t="s">
        <v>29</v>
      </c>
      <c r="H55" s="21" t="s">
        <v>22</v>
      </c>
      <c r="I55" s="7" t="s">
        <v>244</v>
      </c>
      <c r="J55" s="37" t="s">
        <v>59</v>
      </c>
      <c r="K55" s="7" t="s">
        <v>245</v>
      </c>
      <c r="L55" s="7" t="s">
        <v>246</v>
      </c>
      <c r="M55" s="23" t="s">
        <v>27</v>
      </c>
      <c r="N55" s="27"/>
      <c r="O55" s="26">
        <v>10</v>
      </c>
      <c r="P55" s="109"/>
      <c r="Q55" s="26">
        <v>10</v>
      </c>
      <c r="R55" s="109"/>
      <c r="S55" s="26">
        <v>10</v>
      </c>
      <c r="T55" s="26">
        <v>10</v>
      </c>
      <c r="U55" s="26">
        <v>10</v>
      </c>
      <c r="V55" s="26">
        <v>10</v>
      </c>
      <c r="W55" s="26">
        <v>10</v>
      </c>
      <c r="X55" s="26">
        <v>10</v>
      </c>
      <c r="Y55" s="26">
        <v>10</v>
      </c>
      <c r="Z55" s="26">
        <v>10</v>
      </c>
      <c r="AA55" s="26">
        <v>10</v>
      </c>
      <c r="AB55" s="26">
        <v>10</v>
      </c>
      <c r="AC55" s="29">
        <f t="shared" si="26"/>
        <v>120</v>
      </c>
      <c r="AD55" s="26" t="s">
        <v>247</v>
      </c>
      <c r="AE55" s="26"/>
    </row>
    <row r="56" spans="1:31" ht="82.5" customHeight="1" x14ac:dyDescent="0.4">
      <c r="A56" s="7" t="s">
        <v>194</v>
      </c>
      <c r="B56" s="8" t="s">
        <v>195</v>
      </c>
      <c r="C56" s="142"/>
      <c r="D56" s="21" t="s">
        <v>242</v>
      </c>
      <c r="E56" s="145" t="s">
        <v>242</v>
      </c>
      <c r="F56" s="146"/>
      <c r="G56" s="146"/>
      <c r="H56" s="146"/>
      <c r="I56" s="146"/>
      <c r="J56" s="146"/>
      <c r="K56" s="146"/>
      <c r="L56" s="146"/>
      <c r="M56" s="27" t="s">
        <v>64</v>
      </c>
      <c r="N56" s="27"/>
      <c r="O56" s="29">
        <f>+O55</f>
        <v>10</v>
      </c>
      <c r="P56" s="109"/>
      <c r="Q56" s="29">
        <f t="shared" ref="Q56:AB56" si="27">+Q55</f>
        <v>10</v>
      </c>
      <c r="R56" s="109"/>
      <c r="S56" s="29">
        <f t="shared" si="27"/>
        <v>10</v>
      </c>
      <c r="T56" s="29">
        <f t="shared" si="27"/>
        <v>10</v>
      </c>
      <c r="U56" s="29">
        <f t="shared" si="27"/>
        <v>10</v>
      </c>
      <c r="V56" s="29">
        <f t="shared" si="27"/>
        <v>10</v>
      </c>
      <c r="W56" s="29">
        <f t="shared" si="27"/>
        <v>10</v>
      </c>
      <c r="X56" s="29">
        <f t="shared" si="27"/>
        <v>10</v>
      </c>
      <c r="Y56" s="29">
        <f t="shared" si="27"/>
        <v>10</v>
      </c>
      <c r="Z56" s="29">
        <f t="shared" si="27"/>
        <v>10</v>
      </c>
      <c r="AA56" s="29">
        <f t="shared" si="27"/>
        <v>10</v>
      </c>
      <c r="AB56" s="29">
        <f t="shared" si="27"/>
        <v>10</v>
      </c>
      <c r="AC56" s="29">
        <f t="shared" si="26"/>
        <v>120</v>
      </c>
      <c r="AD56" s="158" t="s">
        <v>248</v>
      </c>
      <c r="AE56" s="158"/>
    </row>
    <row r="57" spans="1:31" ht="82.5" customHeight="1" x14ac:dyDescent="0.4">
      <c r="A57" s="7" t="s">
        <v>194</v>
      </c>
      <c r="B57" s="8" t="s">
        <v>195</v>
      </c>
      <c r="C57" s="142"/>
      <c r="D57" s="21" t="s">
        <v>242</v>
      </c>
      <c r="E57" s="147"/>
      <c r="F57" s="148"/>
      <c r="G57" s="148"/>
      <c r="H57" s="148"/>
      <c r="I57" s="148"/>
      <c r="J57" s="148"/>
      <c r="K57" s="148"/>
      <c r="L57" s="148"/>
      <c r="M57" s="27" t="s">
        <v>179</v>
      </c>
      <c r="N57" s="27"/>
      <c r="O57" s="29">
        <f>8000+208.58</f>
        <v>8208.58</v>
      </c>
      <c r="P57" s="109"/>
      <c r="Q57" s="29">
        <f t="shared" ref="Q57:Y57" si="28">8000+208.58</f>
        <v>8208.58</v>
      </c>
      <c r="R57" s="109"/>
      <c r="S57" s="29">
        <f t="shared" si="28"/>
        <v>8208.58</v>
      </c>
      <c r="T57" s="29">
        <f t="shared" si="28"/>
        <v>8208.58</v>
      </c>
      <c r="U57" s="29">
        <f t="shared" si="28"/>
        <v>8208.58</v>
      </c>
      <c r="V57" s="29">
        <f t="shared" si="28"/>
        <v>8208.58</v>
      </c>
      <c r="W57" s="29">
        <f>8000+208.58+300</f>
        <v>8508.58</v>
      </c>
      <c r="X57" s="29">
        <f t="shared" si="28"/>
        <v>8208.58</v>
      </c>
      <c r="Y57" s="29">
        <f t="shared" si="28"/>
        <v>8208.58</v>
      </c>
      <c r="Z57" s="29">
        <f>8000+208.58</f>
        <v>8208.58</v>
      </c>
      <c r="AA57" s="29">
        <f>8000</f>
        <v>8000</v>
      </c>
      <c r="AB57" s="29">
        <f>8000+300</f>
        <v>8300</v>
      </c>
      <c r="AC57" s="29">
        <f t="shared" si="26"/>
        <v>98685.8</v>
      </c>
      <c r="AD57" s="159"/>
      <c r="AE57" s="159"/>
    </row>
    <row r="58" spans="1:31" ht="82.5" customHeight="1" x14ac:dyDescent="0.4">
      <c r="A58" s="7"/>
      <c r="B58" s="8" t="s">
        <v>195</v>
      </c>
      <c r="C58" s="142"/>
      <c r="D58" s="21" t="s">
        <v>242</v>
      </c>
      <c r="E58" s="147"/>
      <c r="F58" s="148"/>
      <c r="G58" s="148"/>
      <c r="H58" s="148"/>
      <c r="I58" s="148"/>
      <c r="J58" s="148"/>
      <c r="K58" s="148"/>
      <c r="L58" s="148"/>
      <c r="M58" s="32" t="s">
        <v>180</v>
      </c>
      <c r="N58" s="27"/>
      <c r="O58" s="29">
        <f>SUM(O59:O61)</f>
        <v>8208.58</v>
      </c>
      <c r="P58" s="109"/>
      <c r="Q58" s="29">
        <f t="shared" ref="Q58:AB58" si="29">SUM(Q59:Q61)</f>
        <v>8208.58</v>
      </c>
      <c r="R58" s="109"/>
      <c r="S58" s="29">
        <f t="shared" si="29"/>
        <v>8208.58</v>
      </c>
      <c r="T58" s="29">
        <f t="shared" si="29"/>
        <v>8208.58</v>
      </c>
      <c r="U58" s="29">
        <f t="shared" si="29"/>
        <v>8208.58</v>
      </c>
      <c r="V58" s="29">
        <f t="shared" si="29"/>
        <v>8208.58</v>
      </c>
      <c r="W58" s="29">
        <f t="shared" si="29"/>
        <v>8508.58</v>
      </c>
      <c r="X58" s="29">
        <f t="shared" si="29"/>
        <v>8208.58</v>
      </c>
      <c r="Y58" s="29">
        <f t="shared" si="29"/>
        <v>8208.58</v>
      </c>
      <c r="Z58" s="29">
        <f t="shared" si="29"/>
        <v>8208.58</v>
      </c>
      <c r="AA58" s="29">
        <f t="shared" si="29"/>
        <v>8000</v>
      </c>
      <c r="AB58" s="29">
        <f t="shared" si="29"/>
        <v>8300</v>
      </c>
      <c r="AC58" s="29">
        <f t="shared" si="26"/>
        <v>98685.8</v>
      </c>
      <c r="AD58" s="159"/>
      <c r="AE58" s="159"/>
    </row>
    <row r="59" spans="1:31" ht="82.5" customHeight="1" x14ac:dyDescent="0.4">
      <c r="A59" s="7"/>
      <c r="B59" s="8" t="s">
        <v>195</v>
      </c>
      <c r="C59" s="142"/>
      <c r="D59" s="21" t="s">
        <v>242</v>
      </c>
      <c r="E59" s="147"/>
      <c r="F59" s="148"/>
      <c r="G59" s="148"/>
      <c r="H59" s="148"/>
      <c r="I59" s="148"/>
      <c r="J59" s="148"/>
      <c r="K59" s="148"/>
      <c r="L59" s="148"/>
      <c r="M59" s="32" t="s">
        <v>210</v>
      </c>
      <c r="N59" s="27" t="s">
        <v>211</v>
      </c>
      <c r="O59" s="29">
        <v>8000</v>
      </c>
      <c r="P59" s="109"/>
      <c r="Q59" s="29">
        <v>8000</v>
      </c>
      <c r="R59" s="109"/>
      <c r="S59" s="29">
        <v>8000</v>
      </c>
      <c r="T59" s="29">
        <v>8000</v>
      </c>
      <c r="U59" s="29">
        <v>8000</v>
      </c>
      <c r="V59" s="29">
        <v>8000</v>
      </c>
      <c r="W59" s="29">
        <v>8000</v>
      </c>
      <c r="X59" s="29">
        <v>8000</v>
      </c>
      <c r="Y59" s="29">
        <v>8000</v>
      </c>
      <c r="Z59" s="29">
        <v>8000</v>
      </c>
      <c r="AA59" s="29">
        <v>8000</v>
      </c>
      <c r="AB59" s="29">
        <v>8000</v>
      </c>
      <c r="AC59" s="29">
        <f t="shared" si="26"/>
        <v>96000</v>
      </c>
      <c r="AD59" s="159"/>
      <c r="AE59" s="159"/>
    </row>
    <row r="60" spans="1:31" ht="82.5" customHeight="1" x14ac:dyDescent="0.4">
      <c r="A60" s="7"/>
      <c r="B60" s="8" t="s">
        <v>195</v>
      </c>
      <c r="C60" s="142"/>
      <c r="D60" s="21" t="s">
        <v>242</v>
      </c>
      <c r="E60" s="147"/>
      <c r="F60" s="148"/>
      <c r="G60" s="148"/>
      <c r="H60" s="148"/>
      <c r="I60" s="148"/>
      <c r="J60" s="148"/>
      <c r="K60" s="148"/>
      <c r="L60" s="148"/>
      <c r="M60" s="32" t="s">
        <v>183</v>
      </c>
      <c r="N60" s="27" t="s">
        <v>184</v>
      </c>
      <c r="O60" s="29"/>
      <c r="P60" s="109"/>
      <c r="Q60" s="29"/>
      <c r="R60" s="109"/>
      <c r="S60" s="29"/>
      <c r="T60" s="29"/>
      <c r="U60" s="29"/>
      <c r="V60" s="29"/>
      <c r="W60" s="29">
        <v>300</v>
      </c>
      <c r="X60" s="29"/>
      <c r="Y60" s="29"/>
      <c r="Z60" s="29"/>
      <c r="AA60" s="29"/>
      <c r="AB60" s="29">
        <v>300</v>
      </c>
      <c r="AC60" s="29">
        <f t="shared" si="26"/>
        <v>600</v>
      </c>
      <c r="AD60" s="159"/>
      <c r="AE60" s="159"/>
    </row>
    <row r="61" spans="1:31" ht="82.5" customHeight="1" x14ac:dyDescent="0.4">
      <c r="A61" s="7"/>
      <c r="B61" s="8" t="s">
        <v>195</v>
      </c>
      <c r="C61" s="142"/>
      <c r="D61" s="21" t="s">
        <v>242</v>
      </c>
      <c r="E61" s="147"/>
      <c r="F61" s="148"/>
      <c r="G61" s="148"/>
      <c r="H61" s="148"/>
      <c r="I61" s="148"/>
      <c r="J61" s="148"/>
      <c r="K61" s="148"/>
      <c r="L61" s="148"/>
      <c r="M61" s="32" t="s">
        <v>185</v>
      </c>
      <c r="N61" s="27" t="s">
        <v>186</v>
      </c>
      <c r="O61" s="29">
        <v>208.58</v>
      </c>
      <c r="P61" s="109"/>
      <c r="Q61" s="29">
        <v>208.58</v>
      </c>
      <c r="R61" s="109"/>
      <c r="S61" s="29">
        <v>208.58</v>
      </c>
      <c r="T61" s="29">
        <v>208.58</v>
      </c>
      <c r="U61" s="29">
        <v>208.58</v>
      </c>
      <c r="V61" s="29">
        <v>208.58</v>
      </c>
      <c r="W61" s="29">
        <v>208.58</v>
      </c>
      <c r="X61" s="29">
        <v>208.58</v>
      </c>
      <c r="Y61" s="29">
        <v>208.58</v>
      </c>
      <c r="Z61" s="29">
        <v>208.58</v>
      </c>
      <c r="AA61" s="29"/>
      <c r="AB61" s="29"/>
      <c r="AC61" s="29">
        <f t="shared" si="26"/>
        <v>2085.7999999999997</v>
      </c>
      <c r="AD61" s="159"/>
      <c r="AE61" s="159"/>
    </row>
    <row r="62" spans="1:31" ht="82.5" customHeight="1" x14ac:dyDescent="0.4">
      <c r="A62" s="7" t="s">
        <v>194</v>
      </c>
      <c r="B62" s="8" t="s">
        <v>195</v>
      </c>
      <c r="C62" s="142"/>
      <c r="D62" s="21" t="s">
        <v>242</v>
      </c>
      <c r="E62" s="147"/>
      <c r="F62" s="148"/>
      <c r="G62" s="148"/>
      <c r="H62" s="148"/>
      <c r="I62" s="148"/>
      <c r="J62" s="148"/>
      <c r="K62" s="148"/>
      <c r="L62" s="148"/>
      <c r="M62" s="32" t="s">
        <v>187</v>
      </c>
      <c r="N62" s="27"/>
      <c r="O62" s="29">
        <f>+O63</f>
        <v>3500</v>
      </c>
      <c r="P62" s="109"/>
      <c r="Q62" s="29">
        <f t="shared" ref="Q62:AB62" si="30">+Q63</f>
        <v>3500</v>
      </c>
      <c r="R62" s="109"/>
      <c r="S62" s="29">
        <f t="shared" si="30"/>
        <v>3500</v>
      </c>
      <c r="T62" s="29">
        <f t="shared" si="30"/>
        <v>3500</v>
      </c>
      <c r="U62" s="29">
        <f t="shared" si="30"/>
        <v>3500</v>
      </c>
      <c r="V62" s="29">
        <f t="shared" si="30"/>
        <v>3500</v>
      </c>
      <c r="W62" s="29">
        <f t="shared" si="30"/>
        <v>3500</v>
      </c>
      <c r="X62" s="29">
        <f t="shared" si="30"/>
        <v>0</v>
      </c>
      <c r="Y62" s="29">
        <f t="shared" si="30"/>
        <v>0</v>
      </c>
      <c r="Z62" s="29">
        <f t="shared" si="30"/>
        <v>0</v>
      </c>
      <c r="AA62" s="29">
        <f t="shared" si="30"/>
        <v>0</v>
      </c>
      <c r="AB62" s="29">
        <f t="shared" si="30"/>
        <v>0</v>
      </c>
      <c r="AC62" s="29">
        <f t="shared" si="26"/>
        <v>24500</v>
      </c>
      <c r="AD62" s="159"/>
      <c r="AE62" s="159"/>
    </row>
    <row r="63" spans="1:31" ht="82.5" customHeight="1" x14ac:dyDescent="0.4">
      <c r="A63" s="7"/>
      <c r="B63" s="8" t="s">
        <v>195</v>
      </c>
      <c r="C63" s="142"/>
      <c r="D63" s="21" t="s">
        <v>242</v>
      </c>
      <c r="E63" s="147"/>
      <c r="F63" s="148"/>
      <c r="G63" s="148"/>
      <c r="H63" s="148"/>
      <c r="I63" s="148"/>
      <c r="J63" s="148"/>
      <c r="K63" s="148"/>
      <c r="L63" s="148"/>
      <c r="M63" s="27" t="s">
        <v>249</v>
      </c>
      <c r="N63" s="27" t="s">
        <v>189</v>
      </c>
      <c r="O63" s="29">
        <v>3500</v>
      </c>
      <c r="P63" s="109"/>
      <c r="Q63" s="29">
        <v>3500</v>
      </c>
      <c r="R63" s="109"/>
      <c r="S63" s="29">
        <v>3500</v>
      </c>
      <c r="T63" s="29">
        <v>3500</v>
      </c>
      <c r="U63" s="29">
        <v>3500</v>
      </c>
      <c r="V63" s="29">
        <v>3500</v>
      </c>
      <c r="W63" s="29">
        <v>3500</v>
      </c>
      <c r="X63" s="29"/>
      <c r="Y63" s="29"/>
      <c r="Z63" s="29"/>
      <c r="AA63" s="29"/>
      <c r="AB63" s="29"/>
      <c r="AC63" s="29">
        <f t="shared" si="26"/>
        <v>24500</v>
      </c>
      <c r="AD63" s="159"/>
      <c r="AE63" s="159"/>
    </row>
    <row r="64" spans="1:31" ht="82.5" customHeight="1" x14ac:dyDescent="0.4">
      <c r="A64" s="7"/>
      <c r="B64" s="8" t="s">
        <v>195</v>
      </c>
      <c r="C64" s="142"/>
      <c r="D64" s="21" t="s">
        <v>242</v>
      </c>
      <c r="E64" s="147"/>
      <c r="F64" s="148"/>
      <c r="G64" s="148"/>
      <c r="H64" s="148"/>
      <c r="I64" s="148"/>
      <c r="J64" s="148"/>
      <c r="K64" s="148"/>
      <c r="L64" s="148"/>
      <c r="M64" s="32" t="s">
        <v>250</v>
      </c>
      <c r="N64" s="27"/>
      <c r="O64" s="29">
        <f>+O65</f>
        <v>50</v>
      </c>
      <c r="P64" s="109"/>
      <c r="Q64" s="29">
        <f t="shared" ref="Q64:AB64" si="31">+Q65</f>
        <v>0</v>
      </c>
      <c r="R64" s="109"/>
      <c r="S64" s="29">
        <f t="shared" si="31"/>
        <v>0</v>
      </c>
      <c r="T64" s="29">
        <f t="shared" si="31"/>
        <v>0</v>
      </c>
      <c r="U64" s="29">
        <f t="shared" si="31"/>
        <v>0</v>
      </c>
      <c r="V64" s="29">
        <f t="shared" si="31"/>
        <v>0</v>
      </c>
      <c r="W64" s="29">
        <f t="shared" si="31"/>
        <v>0</v>
      </c>
      <c r="X64" s="29">
        <f t="shared" si="31"/>
        <v>0</v>
      </c>
      <c r="Y64" s="29">
        <f t="shared" si="31"/>
        <v>0</v>
      </c>
      <c r="Z64" s="29">
        <f t="shared" si="31"/>
        <v>0</v>
      </c>
      <c r="AA64" s="29">
        <f t="shared" si="31"/>
        <v>0</v>
      </c>
      <c r="AB64" s="29">
        <f t="shared" si="31"/>
        <v>0</v>
      </c>
      <c r="AC64" s="29">
        <f t="shared" si="26"/>
        <v>50</v>
      </c>
      <c r="AD64" s="159"/>
      <c r="AE64" s="159"/>
    </row>
    <row r="65" spans="1:31" ht="82.5" customHeight="1" x14ac:dyDescent="0.4">
      <c r="A65" s="7"/>
      <c r="B65" s="8" t="s">
        <v>195</v>
      </c>
      <c r="C65" s="142"/>
      <c r="D65" s="21" t="s">
        <v>242</v>
      </c>
      <c r="E65" s="147"/>
      <c r="F65" s="148"/>
      <c r="G65" s="148"/>
      <c r="H65" s="148"/>
      <c r="I65" s="148"/>
      <c r="J65" s="148"/>
      <c r="K65" s="148"/>
      <c r="L65" s="148"/>
      <c r="M65" s="27" t="s">
        <v>251</v>
      </c>
      <c r="N65" s="27" t="s">
        <v>252</v>
      </c>
      <c r="O65" s="29">
        <v>50</v>
      </c>
      <c r="P65" s="109"/>
      <c r="Q65" s="29"/>
      <c r="R65" s="109"/>
      <c r="S65" s="29"/>
      <c r="T65" s="29"/>
      <c r="U65" s="29"/>
      <c r="V65" s="29"/>
      <c r="W65" s="29"/>
      <c r="X65" s="29"/>
      <c r="Y65" s="29"/>
      <c r="Z65" s="29"/>
      <c r="AA65" s="29"/>
      <c r="AB65" s="29"/>
      <c r="AC65" s="29">
        <f t="shared" si="26"/>
        <v>50</v>
      </c>
      <c r="AD65" s="159"/>
      <c r="AE65" s="159"/>
    </row>
    <row r="66" spans="1:31" ht="82.5" customHeight="1" x14ac:dyDescent="0.4">
      <c r="A66" s="7" t="s">
        <v>194</v>
      </c>
      <c r="B66" s="8" t="s">
        <v>195</v>
      </c>
      <c r="C66" s="143"/>
      <c r="D66" s="21" t="s">
        <v>242</v>
      </c>
      <c r="E66" s="149"/>
      <c r="F66" s="150"/>
      <c r="G66" s="150"/>
      <c r="H66" s="150"/>
      <c r="I66" s="150"/>
      <c r="J66" s="150"/>
      <c r="K66" s="150"/>
      <c r="L66" s="150"/>
      <c r="M66" s="27" t="s">
        <v>253</v>
      </c>
      <c r="N66" s="27"/>
      <c r="O66" s="29">
        <f>+O57+O62+O64</f>
        <v>11758.58</v>
      </c>
      <c r="P66" s="109"/>
      <c r="Q66" s="29">
        <f t="shared" ref="Q66:AB66" si="32">+Q57+Q62+Q64</f>
        <v>11708.58</v>
      </c>
      <c r="R66" s="109"/>
      <c r="S66" s="29">
        <f t="shared" si="32"/>
        <v>11708.58</v>
      </c>
      <c r="T66" s="29">
        <f t="shared" si="32"/>
        <v>11708.58</v>
      </c>
      <c r="U66" s="29">
        <f t="shared" si="32"/>
        <v>11708.58</v>
      </c>
      <c r="V66" s="29">
        <f t="shared" si="32"/>
        <v>11708.58</v>
      </c>
      <c r="W66" s="29">
        <f t="shared" si="32"/>
        <v>12008.58</v>
      </c>
      <c r="X66" s="29">
        <f t="shared" si="32"/>
        <v>8208.58</v>
      </c>
      <c r="Y66" s="29">
        <f t="shared" si="32"/>
        <v>8208.58</v>
      </c>
      <c r="Z66" s="29">
        <f t="shared" si="32"/>
        <v>8208.58</v>
      </c>
      <c r="AA66" s="29">
        <f t="shared" si="32"/>
        <v>8000</v>
      </c>
      <c r="AB66" s="29">
        <f t="shared" si="32"/>
        <v>8300</v>
      </c>
      <c r="AC66" s="31">
        <f t="shared" si="26"/>
        <v>123235.8</v>
      </c>
      <c r="AD66" s="160"/>
      <c r="AE66" s="160"/>
    </row>
    <row r="67" spans="1:31" ht="48" x14ac:dyDescent="0.4">
      <c r="A67" s="7" t="s">
        <v>15</v>
      </c>
      <c r="B67" s="8" t="s">
        <v>16</v>
      </c>
      <c r="C67" s="141" t="s">
        <v>254</v>
      </c>
      <c r="D67" s="21" t="s">
        <v>255</v>
      </c>
      <c r="E67" s="144" t="s">
        <v>256</v>
      </c>
      <c r="F67" s="144" t="s">
        <v>59</v>
      </c>
      <c r="G67" s="7" t="s">
        <v>29</v>
      </c>
      <c r="H67" s="21" t="s">
        <v>22</v>
      </c>
      <c r="I67" s="7" t="s">
        <v>257</v>
      </c>
      <c r="J67" s="34" t="s">
        <v>59</v>
      </c>
      <c r="K67" s="7" t="s">
        <v>258</v>
      </c>
      <c r="L67" s="7" t="s">
        <v>259</v>
      </c>
      <c r="M67" s="23" t="s">
        <v>27</v>
      </c>
      <c r="N67" s="27"/>
      <c r="O67" s="26">
        <v>1</v>
      </c>
      <c r="P67" s="109"/>
      <c r="Q67" s="26"/>
      <c r="R67" s="109"/>
      <c r="S67" s="26"/>
      <c r="T67" s="26"/>
      <c r="U67" s="26"/>
      <c r="V67" s="26"/>
      <c r="W67" s="26"/>
      <c r="X67" s="26"/>
      <c r="Y67" s="26"/>
      <c r="Z67" s="26"/>
      <c r="AA67" s="26"/>
      <c r="AB67" s="26"/>
      <c r="AC67" s="29">
        <f t="shared" si="26"/>
        <v>1</v>
      </c>
      <c r="AD67" s="26" t="s">
        <v>260</v>
      </c>
      <c r="AE67" s="26"/>
    </row>
    <row r="68" spans="1:31" ht="126.75" customHeight="1" x14ac:dyDescent="0.4">
      <c r="A68" s="7" t="s">
        <v>15</v>
      </c>
      <c r="B68" s="8" t="s">
        <v>16</v>
      </c>
      <c r="C68" s="142"/>
      <c r="D68" s="21" t="s">
        <v>255</v>
      </c>
      <c r="E68" s="144"/>
      <c r="F68" s="144"/>
      <c r="G68" s="7" t="s">
        <v>29</v>
      </c>
      <c r="H68" s="21" t="s">
        <v>30</v>
      </c>
      <c r="I68" s="7" t="s">
        <v>261</v>
      </c>
      <c r="J68" s="34" t="s">
        <v>59</v>
      </c>
      <c r="K68" s="7"/>
      <c r="L68" s="7" t="s">
        <v>262</v>
      </c>
      <c r="M68" s="23" t="s">
        <v>27</v>
      </c>
      <c r="N68" s="27"/>
      <c r="O68" s="26"/>
      <c r="P68" s="109"/>
      <c r="Q68" s="26"/>
      <c r="R68" s="109"/>
      <c r="S68" s="26">
        <v>3</v>
      </c>
      <c r="T68" s="26"/>
      <c r="U68" s="26"/>
      <c r="V68" s="26">
        <v>3</v>
      </c>
      <c r="W68" s="26"/>
      <c r="X68" s="26"/>
      <c r="Y68" s="26">
        <v>3</v>
      </c>
      <c r="Z68" s="26"/>
      <c r="AA68" s="26"/>
      <c r="AB68" s="26">
        <v>3</v>
      </c>
      <c r="AC68" s="29">
        <f t="shared" si="26"/>
        <v>12</v>
      </c>
      <c r="AD68" s="7" t="s">
        <v>263</v>
      </c>
      <c r="AE68" s="7"/>
    </row>
    <row r="69" spans="1:31" ht="144" x14ac:dyDescent="0.4">
      <c r="A69" s="7" t="s">
        <v>15</v>
      </c>
      <c r="B69" s="8" t="s">
        <v>16</v>
      </c>
      <c r="C69" s="142"/>
      <c r="D69" s="21" t="s">
        <v>255</v>
      </c>
      <c r="E69" s="144"/>
      <c r="F69" s="144"/>
      <c r="G69" s="7" t="s">
        <v>29</v>
      </c>
      <c r="H69" s="21" t="s">
        <v>36</v>
      </c>
      <c r="I69" s="7" t="s">
        <v>264</v>
      </c>
      <c r="J69" s="34" t="s">
        <v>59</v>
      </c>
      <c r="K69" s="38"/>
      <c r="L69" s="7" t="s">
        <v>265</v>
      </c>
      <c r="M69" s="23" t="s">
        <v>27</v>
      </c>
      <c r="N69" s="27"/>
      <c r="O69" s="39"/>
      <c r="P69" s="109"/>
      <c r="Q69" s="39"/>
      <c r="R69" s="109"/>
      <c r="S69" s="39">
        <v>9</v>
      </c>
      <c r="T69" s="39"/>
      <c r="U69" s="39"/>
      <c r="V69" s="39">
        <v>8</v>
      </c>
      <c r="W69" s="39"/>
      <c r="X69" s="39"/>
      <c r="Y69" s="39">
        <v>8</v>
      </c>
      <c r="Z69" s="39">
        <v>1</v>
      </c>
      <c r="AA69" s="39"/>
      <c r="AB69" s="39">
        <v>8</v>
      </c>
      <c r="AC69" s="29">
        <f t="shared" si="26"/>
        <v>34</v>
      </c>
      <c r="AD69" s="26" t="s">
        <v>247</v>
      </c>
      <c r="AE69" s="26"/>
    </row>
    <row r="70" spans="1:31" ht="75" customHeight="1" x14ac:dyDescent="0.4">
      <c r="A70" s="7" t="s">
        <v>15</v>
      </c>
      <c r="B70" s="8" t="s">
        <v>16</v>
      </c>
      <c r="C70" s="142"/>
      <c r="D70" s="21" t="s">
        <v>255</v>
      </c>
      <c r="E70" s="145" t="s">
        <v>255</v>
      </c>
      <c r="F70" s="146"/>
      <c r="G70" s="146"/>
      <c r="H70" s="146"/>
      <c r="I70" s="146"/>
      <c r="J70" s="146"/>
      <c r="K70" s="146"/>
      <c r="L70" s="146"/>
      <c r="M70" s="27" t="s">
        <v>266</v>
      </c>
      <c r="N70" s="27"/>
      <c r="O70" s="29">
        <f>SUM(O67:O69)</f>
        <v>1</v>
      </c>
      <c r="P70" s="109"/>
      <c r="Q70" s="29">
        <f>SUM(Q67:Q69)</f>
        <v>0</v>
      </c>
      <c r="R70" s="109"/>
      <c r="S70" s="29">
        <f>SUM(S67:S69)</f>
        <v>12</v>
      </c>
      <c r="T70" s="29">
        <f t="shared" ref="T70:AB70" si="33">SUM(T67:T69)</f>
        <v>0</v>
      </c>
      <c r="U70" s="29">
        <f t="shared" si="33"/>
        <v>0</v>
      </c>
      <c r="V70" s="29">
        <f t="shared" si="33"/>
        <v>11</v>
      </c>
      <c r="W70" s="29">
        <f t="shared" si="33"/>
        <v>0</v>
      </c>
      <c r="X70" s="29">
        <f t="shared" si="33"/>
        <v>0</v>
      </c>
      <c r="Y70" s="29">
        <f t="shared" si="33"/>
        <v>11</v>
      </c>
      <c r="Z70" s="29">
        <f t="shared" si="33"/>
        <v>1</v>
      </c>
      <c r="AA70" s="29">
        <f t="shared" si="33"/>
        <v>0</v>
      </c>
      <c r="AB70" s="29">
        <f t="shared" si="33"/>
        <v>11</v>
      </c>
      <c r="AC70" s="29">
        <f t="shared" si="26"/>
        <v>47</v>
      </c>
      <c r="AD70" s="158" t="s">
        <v>267</v>
      </c>
      <c r="AE70" s="158"/>
    </row>
    <row r="71" spans="1:31" ht="75" customHeight="1" x14ac:dyDescent="0.4">
      <c r="A71" s="7" t="s">
        <v>15</v>
      </c>
      <c r="B71" s="8" t="s">
        <v>16</v>
      </c>
      <c r="C71" s="142"/>
      <c r="D71" s="21" t="s">
        <v>255</v>
      </c>
      <c r="E71" s="147"/>
      <c r="F71" s="148"/>
      <c r="G71" s="148"/>
      <c r="H71" s="148"/>
      <c r="I71" s="148"/>
      <c r="J71" s="148"/>
      <c r="K71" s="148"/>
      <c r="L71" s="148"/>
      <c r="M71" s="27" t="s">
        <v>179</v>
      </c>
      <c r="N71" s="27"/>
      <c r="O71" s="29">
        <f>9000+208.58</f>
        <v>9208.58</v>
      </c>
      <c r="P71" s="109"/>
      <c r="Q71" s="29">
        <f t="shared" ref="Q71:Y71" si="34">9000+208.58</f>
        <v>9208.58</v>
      </c>
      <c r="R71" s="109"/>
      <c r="S71" s="29">
        <f t="shared" si="34"/>
        <v>9208.58</v>
      </c>
      <c r="T71" s="29">
        <f t="shared" si="34"/>
        <v>9208.58</v>
      </c>
      <c r="U71" s="29">
        <f t="shared" si="34"/>
        <v>9208.58</v>
      </c>
      <c r="V71" s="29">
        <f t="shared" si="34"/>
        <v>9208.58</v>
      </c>
      <c r="W71" s="29">
        <f>9000+208.58+300</f>
        <v>9508.58</v>
      </c>
      <c r="X71" s="29">
        <f t="shared" si="34"/>
        <v>9208.58</v>
      </c>
      <c r="Y71" s="29">
        <f t="shared" si="34"/>
        <v>9208.58</v>
      </c>
      <c r="Z71" s="29">
        <f>9000+208.58</f>
        <v>9208.58</v>
      </c>
      <c r="AA71" s="29">
        <f>9000</f>
        <v>9000</v>
      </c>
      <c r="AB71" s="29">
        <f>9000+300</f>
        <v>9300</v>
      </c>
      <c r="AC71" s="29">
        <f t="shared" si="26"/>
        <v>110685.8</v>
      </c>
      <c r="AD71" s="159"/>
      <c r="AE71" s="159"/>
    </row>
    <row r="72" spans="1:31" ht="75" customHeight="1" x14ac:dyDescent="0.4">
      <c r="A72" s="7"/>
      <c r="B72" s="8" t="s">
        <v>16</v>
      </c>
      <c r="C72" s="142"/>
      <c r="D72" s="21" t="s">
        <v>255</v>
      </c>
      <c r="E72" s="147"/>
      <c r="F72" s="148"/>
      <c r="G72" s="148"/>
      <c r="H72" s="148"/>
      <c r="I72" s="148"/>
      <c r="J72" s="148"/>
      <c r="K72" s="148"/>
      <c r="L72" s="148"/>
      <c r="M72" s="32" t="s">
        <v>268</v>
      </c>
      <c r="N72" s="27"/>
      <c r="O72" s="29">
        <f>SUM(O73:O75)</f>
        <v>9208.58</v>
      </c>
      <c r="P72" s="109"/>
      <c r="Q72" s="29">
        <f t="shared" ref="Q72:AB72" si="35">SUM(Q73:Q75)</f>
        <v>9208.58</v>
      </c>
      <c r="R72" s="109"/>
      <c r="S72" s="29">
        <f t="shared" si="35"/>
        <v>9208.58</v>
      </c>
      <c r="T72" s="29">
        <f t="shared" si="35"/>
        <v>9208.58</v>
      </c>
      <c r="U72" s="29">
        <f t="shared" si="35"/>
        <v>9208.58</v>
      </c>
      <c r="V72" s="29">
        <f t="shared" si="35"/>
        <v>9208.58</v>
      </c>
      <c r="W72" s="29">
        <f t="shared" si="35"/>
        <v>9508.58</v>
      </c>
      <c r="X72" s="29">
        <f t="shared" si="35"/>
        <v>9208.58</v>
      </c>
      <c r="Y72" s="29">
        <f t="shared" si="35"/>
        <v>9208.58</v>
      </c>
      <c r="Z72" s="29">
        <f t="shared" si="35"/>
        <v>9208.58</v>
      </c>
      <c r="AA72" s="29">
        <f t="shared" si="35"/>
        <v>9000</v>
      </c>
      <c r="AB72" s="29">
        <f t="shared" si="35"/>
        <v>9300</v>
      </c>
      <c r="AC72" s="29">
        <f t="shared" ref="AC72:AC80" si="36">SUM(O72:AB72)</f>
        <v>110685.8</v>
      </c>
      <c r="AD72" s="159"/>
      <c r="AE72" s="159"/>
    </row>
    <row r="73" spans="1:31" ht="75" customHeight="1" x14ac:dyDescent="0.4">
      <c r="A73" s="7"/>
      <c r="B73" s="8" t="s">
        <v>16</v>
      </c>
      <c r="C73" s="142"/>
      <c r="D73" s="21" t="s">
        <v>255</v>
      </c>
      <c r="E73" s="147"/>
      <c r="F73" s="148"/>
      <c r="G73" s="148"/>
      <c r="H73" s="148"/>
      <c r="I73" s="148"/>
      <c r="J73" s="148"/>
      <c r="K73" s="148"/>
      <c r="L73" s="148"/>
      <c r="M73" s="32" t="s">
        <v>210</v>
      </c>
      <c r="N73" s="27" t="s">
        <v>211</v>
      </c>
      <c r="O73" s="29">
        <v>9000</v>
      </c>
      <c r="P73" s="109"/>
      <c r="Q73" s="29">
        <v>9000</v>
      </c>
      <c r="R73" s="109"/>
      <c r="S73" s="29">
        <v>9000</v>
      </c>
      <c r="T73" s="29">
        <v>9000</v>
      </c>
      <c r="U73" s="29">
        <v>9000</v>
      </c>
      <c r="V73" s="29">
        <v>9000</v>
      </c>
      <c r="W73" s="29">
        <v>9000</v>
      </c>
      <c r="X73" s="29">
        <v>9000</v>
      </c>
      <c r="Y73" s="29">
        <v>9000</v>
      </c>
      <c r="Z73" s="29">
        <v>9000</v>
      </c>
      <c r="AA73" s="29">
        <v>9000</v>
      </c>
      <c r="AB73" s="29">
        <v>9000</v>
      </c>
      <c r="AC73" s="29">
        <f t="shared" si="36"/>
        <v>108000</v>
      </c>
      <c r="AD73" s="159"/>
      <c r="AE73" s="159"/>
    </row>
    <row r="74" spans="1:31" ht="75" customHeight="1" x14ac:dyDescent="0.4">
      <c r="A74" s="7"/>
      <c r="B74" s="8" t="s">
        <v>16</v>
      </c>
      <c r="C74" s="142"/>
      <c r="D74" s="21" t="s">
        <v>255</v>
      </c>
      <c r="E74" s="147"/>
      <c r="F74" s="148"/>
      <c r="G74" s="148"/>
      <c r="H74" s="148"/>
      <c r="I74" s="148"/>
      <c r="J74" s="148"/>
      <c r="K74" s="148"/>
      <c r="L74" s="148"/>
      <c r="M74" s="32" t="s">
        <v>183</v>
      </c>
      <c r="N74" s="27" t="s">
        <v>184</v>
      </c>
      <c r="O74" s="29"/>
      <c r="P74" s="109"/>
      <c r="Q74" s="29"/>
      <c r="R74" s="109"/>
      <c r="S74" s="29"/>
      <c r="T74" s="29"/>
      <c r="U74" s="29"/>
      <c r="V74" s="29"/>
      <c r="W74" s="29">
        <v>300</v>
      </c>
      <c r="X74" s="29"/>
      <c r="Y74" s="29"/>
      <c r="Z74" s="29"/>
      <c r="AA74" s="29"/>
      <c r="AB74" s="29">
        <v>300</v>
      </c>
      <c r="AC74" s="29">
        <f t="shared" si="36"/>
        <v>600</v>
      </c>
      <c r="AD74" s="159"/>
      <c r="AE74" s="159"/>
    </row>
    <row r="75" spans="1:31" ht="75" customHeight="1" x14ac:dyDescent="0.4">
      <c r="A75" s="7"/>
      <c r="B75" s="8" t="s">
        <v>16</v>
      </c>
      <c r="C75" s="142"/>
      <c r="D75" s="21" t="s">
        <v>255</v>
      </c>
      <c r="E75" s="147"/>
      <c r="F75" s="148"/>
      <c r="G75" s="148"/>
      <c r="H75" s="148"/>
      <c r="I75" s="148"/>
      <c r="J75" s="148"/>
      <c r="K75" s="148"/>
      <c r="L75" s="148"/>
      <c r="M75" s="32" t="s">
        <v>185</v>
      </c>
      <c r="N75" s="27" t="s">
        <v>186</v>
      </c>
      <c r="O75" s="29">
        <v>208.58</v>
      </c>
      <c r="P75" s="109"/>
      <c r="Q75" s="29">
        <v>208.58</v>
      </c>
      <c r="R75" s="109"/>
      <c r="S75" s="29">
        <v>208.58</v>
      </c>
      <c r="T75" s="29">
        <v>208.58</v>
      </c>
      <c r="U75" s="29">
        <v>208.58</v>
      </c>
      <c r="V75" s="29">
        <v>208.58</v>
      </c>
      <c r="W75" s="29">
        <v>208.58</v>
      </c>
      <c r="X75" s="29">
        <v>208.58</v>
      </c>
      <c r="Y75" s="29">
        <v>208.58</v>
      </c>
      <c r="Z75" s="29">
        <v>208.58</v>
      </c>
      <c r="AA75" s="29"/>
      <c r="AB75" s="29"/>
      <c r="AC75" s="29">
        <f t="shared" si="36"/>
        <v>2085.7999999999997</v>
      </c>
      <c r="AD75" s="159"/>
      <c r="AE75" s="159"/>
    </row>
    <row r="76" spans="1:31" ht="75" customHeight="1" x14ac:dyDescent="0.4">
      <c r="A76" s="7" t="s">
        <v>15</v>
      </c>
      <c r="B76" s="8" t="s">
        <v>16</v>
      </c>
      <c r="C76" s="142"/>
      <c r="D76" s="21" t="s">
        <v>255</v>
      </c>
      <c r="E76" s="147"/>
      <c r="F76" s="148"/>
      <c r="G76" s="148"/>
      <c r="H76" s="148"/>
      <c r="I76" s="148"/>
      <c r="J76" s="148"/>
      <c r="K76" s="148"/>
      <c r="L76" s="148"/>
      <c r="M76" s="32" t="s">
        <v>187</v>
      </c>
      <c r="N76" s="27"/>
      <c r="O76" s="29">
        <f>+O77</f>
        <v>7000</v>
      </c>
      <c r="P76" s="109"/>
      <c r="Q76" s="29">
        <f t="shared" ref="Q76:AB77" si="37">+Q77</f>
        <v>7000</v>
      </c>
      <c r="R76" s="109"/>
      <c r="S76" s="29">
        <f t="shared" si="37"/>
        <v>7000</v>
      </c>
      <c r="T76" s="29">
        <f t="shared" si="37"/>
        <v>7000</v>
      </c>
      <c r="U76" s="29">
        <f t="shared" si="37"/>
        <v>7000</v>
      </c>
      <c r="V76" s="29">
        <f t="shared" si="37"/>
        <v>7000</v>
      </c>
      <c r="W76" s="29">
        <f t="shared" si="37"/>
        <v>7000</v>
      </c>
      <c r="X76" s="29">
        <f t="shared" si="37"/>
        <v>0</v>
      </c>
      <c r="Y76" s="29">
        <f t="shared" si="37"/>
        <v>0</v>
      </c>
      <c r="Z76" s="29">
        <f t="shared" si="37"/>
        <v>0</v>
      </c>
      <c r="AA76" s="29">
        <f t="shared" si="37"/>
        <v>0</v>
      </c>
      <c r="AB76" s="29">
        <f t="shared" si="37"/>
        <v>0</v>
      </c>
      <c r="AC76" s="29">
        <f>SUM(O76:AB76)</f>
        <v>49000</v>
      </c>
      <c r="AD76" s="159"/>
      <c r="AE76" s="159"/>
    </row>
    <row r="77" spans="1:31" ht="75" customHeight="1" x14ac:dyDescent="0.4">
      <c r="A77" s="7"/>
      <c r="B77" s="8" t="s">
        <v>16</v>
      </c>
      <c r="C77" s="142"/>
      <c r="D77" s="21" t="s">
        <v>255</v>
      </c>
      <c r="E77" s="147"/>
      <c r="F77" s="148"/>
      <c r="G77" s="148"/>
      <c r="H77" s="148"/>
      <c r="I77" s="148"/>
      <c r="J77" s="148"/>
      <c r="K77" s="148"/>
      <c r="L77" s="148"/>
      <c r="M77" s="32" t="s">
        <v>180</v>
      </c>
      <c r="N77" s="27"/>
      <c r="O77" s="29">
        <f>+O78</f>
        <v>7000</v>
      </c>
      <c r="P77" s="109"/>
      <c r="Q77" s="29">
        <f t="shared" si="37"/>
        <v>7000</v>
      </c>
      <c r="R77" s="109"/>
      <c r="S77" s="29">
        <f t="shared" si="37"/>
        <v>7000</v>
      </c>
      <c r="T77" s="29">
        <f t="shared" si="37"/>
        <v>7000</v>
      </c>
      <c r="U77" s="29">
        <f t="shared" si="37"/>
        <v>7000</v>
      </c>
      <c r="V77" s="29">
        <f t="shared" si="37"/>
        <v>7000</v>
      </c>
      <c r="W77" s="29">
        <f t="shared" si="37"/>
        <v>7000</v>
      </c>
      <c r="X77" s="29">
        <f t="shared" si="37"/>
        <v>0</v>
      </c>
      <c r="Y77" s="29">
        <f t="shared" si="37"/>
        <v>0</v>
      </c>
      <c r="Z77" s="29">
        <f t="shared" si="37"/>
        <v>0</v>
      </c>
      <c r="AA77" s="29">
        <f t="shared" si="37"/>
        <v>0</v>
      </c>
      <c r="AB77" s="29">
        <f t="shared" si="37"/>
        <v>0</v>
      </c>
      <c r="AC77" s="29">
        <f t="shared" si="36"/>
        <v>49000</v>
      </c>
      <c r="AD77" s="159"/>
      <c r="AE77" s="159"/>
    </row>
    <row r="78" spans="1:31" ht="75" customHeight="1" x14ac:dyDescent="0.4">
      <c r="A78" s="7"/>
      <c r="B78" s="8" t="s">
        <v>16</v>
      </c>
      <c r="C78" s="142"/>
      <c r="D78" s="21" t="s">
        <v>255</v>
      </c>
      <c r="E78" s="147"/>
      <c r="F78" s="148"/>
      <c r="G78" s="148"/>
      <c r="H78" s="148"/>
      <c r="I78" s="148"/>
      <c r="J78" s="148"/>
      <c r="K78" s="148"/>
      <c r="L78" s="148"/>
      <c r="M78" s="27" t="s">
        <v>269</v>
      </c>
      <c r="N78" s="27" t="s">
        <v>189</v>
      </c>
      <c r="O78" s="29">
        <v>7000</v>
      </c>
      <c r="P78" s="109"/>
      <c r="Q78" s="29">
        <v>7000</v>
      </c>
      <c r="R78" s="109"/>
      <c r="S78" s="29">
        <v>7000</v>
      </c>
      <c r="T78" s="29">
        <v>7000</v>
      </c>
      <c r="U78" s="29">
        <v>7000</v>
      </c>
      <c r="V78" s="29">
        <v>7000</v>
      </c>
      <c r="W78" s="29">
        <f>7000</f>
        <v>7000</v>
      </c>
      <c r="X78" s="29"/>
      <c r="Y78" s="29"/>
      <c r="Z78" s="29"/>
      <c r="AA78" s="29"/>
      <c r="AB78" s="29"/>
      <c r="AC78" s="29">
        <f t="shared" si="36"/>
        <v>49000</v>
      </c>
      <c r="AD78" s="159"/>
      <c r="AE78" s="159"/>
    </row>
    <row r="79" spans="1:31" ht="75" customHeight="1" x14ac:dyDescent="0.4">
      <c r="A79" s="7"/>
      <c r="B79" s="8" t="s">
        <v>16</v>
      </c>
      <c r="C79" s="142"/>
      <c r="D79" s="21" t="s">
        <v>255</v>
      </c>
      <c r="E79" s="147"/>
      <c r="F79" s="148"/>
      <c r="G79" s="148"/>
      <c r="H79" s="148"/>
      <c r="I79" s="148"/>
      <c r="J79" s="148"/>
      <c r="K79" s="148"/>
      <c r="L79" s="148"/>
      <c r="M79" s="32" t="s">
        <v>270</v>
      </c>
      <c r="N79" s="27"/>
      <c r="O79" s="29">
        <f>+O80</f>
        <v>0</v>
      </c>
      <c r="P79" s="109"/>
      <c r="Q79" s="29">
        <f t="shared" ref="Q79:AB79" si="38">+Q80</f>
        <v>4241.25</v>
      </c>
      <c r="R79" s="109"/>
      <c r="S79" s="29">
        <f t="shared" si="38"/>
        <v>4241.25</v>
      </c>
      <c r="T79" s="29">
        <f t="shared" si="38"/>
        <v>3770</v>
      </c>
      <c r="U79" s="29">
        <f t="shared" si="38"/>
        <v>4241.25</v>
      </c>
      <c r="V79" s="29">
        <f t="shared" si="38"/>
        <v>4241.25</v>
      </c>
      <c r="W79" s="29">
        <f t="shared" si="38"/>
        <v>4241.25</v>
      </c>
      <c r="X79" s="29">
        <f t="shared" si="38"/>
        <v>3770</v>
      </c>
      <c r="Y79" s="29">
        <f t="shared" si="38"/>
        <v>4241.25</v>
      </c>
      <c r="Z79" s="29">
        <f t="shared" si="38"/>
        <v>4241.25</v>
      </c>
      <c r="AA79" s="29">
        <f t="shared" si="38"/>
        <v>4241.25</v>
      </c>
      <c r="AB79" s="29">
        <f t="shared" si="38"/>
        <v>861</v>
      </c>
      <c r="AC79" s="29">
        <f t="shared" si="36"/>
        <v>42331</v>
      </c>
      <c r="AD79" s="159"/>
      <c r="AE79" s="159"/>
    </row>
    <row r="80" spans="1:31" ht="75" customHeight="1" x14ac:dyDescent="0.4">
      <c r="A80" s="7"/>
      <c r="B80" s="8" t="s">
        <v>16</v>
      </c>
      <c r="C80" s="142"/>
      <c r="D80" s="21" t="s">
        <v>255</v>
      </c>
      <c r="E80" s="147"/>
      <c r="F80" s="148"/>
      <c r="G80" s="148"/>
      <c r="H80" s="148"/>
      <c r="I80" s="148"/>
      <c r="J80" s="148"/>
      <c r="K80" s="148"/>
      <c r="L80" s="148"/>
      <c r="M80" s="27" t="s">
        <v>271</v>
      </c>
      <c r="N80" s="27" t="s">
        <v>272</v>
      </c>
      <c r="O80" s="29"/>
      <c r="P80" s="109"/>
      <c r="Q80" s="29">
        <v>4241.25</v>
      </c>
      <c r="R80" s="109"/>
      <c r="S80" s="29">
        <v>4241.25</v>
      </c>
      <c r="T80" s="29">
        <v>3770</v>
      </c>
      <c r="U80" s="29">
        <v>4241.25</v>
      </c>
      <c r="V80" s="29">
        <v>4241.25</v>
      </c>
      <c r="W80" s="29">
        <v>4241.25</v>
      </c>
      <c r="X80" s="29">
        <v>3770</v>
      </c>
      <c r="Y80" s="29">
        <v>4241.25</v>
      </c>
      <c r="Z80" s="29">
        <v>4241.25</v>
      </c>
      <c r="AA80" s="29">
        <v>4241.25</v>
      </c>
      <c r="AB80" s="29">
        <v>861</v>
      </c>
      <c r="AC80" s="29">
        <f t="shared" si="36"/>
        <v>42331</v>
      </c>
      <c r="AD80" s="159"/>
      <c r="AE80" s="159"/>
    </row>
    <row r="81" spans="1:31" ht="75" customHeight="1" x14ac:dyDescent="0.4">
      <c r="A81" s="7" t="s">
        <v>15</v>
      </c>
      <c r="B81" s="8" t="s">
        <v>16</v>
      </c>
      <c r="C81" s="143"/>
      <c r="D81" s="21" t="s">
        <v>255</v>
      </c>
      <c r="E81" s="149"/>
      <c r="F81" s="150"/>
      <c r="G81" s="150"/>
      <c r="H81" s="150"/>
      <c r="I81" s="150"/>
      <c r="J81" s="150"/>
      <c r="K81" s="150"/>
      <c r="L81" s="150"/>
      <c r="M81" s="27" t="s">
        <v>273</v>
      </c>
      <c r="N81" s="27"/>
      <c r="O81" s="29">
        <f>+O71+O76+O79</f>
        <v>16208.58</v>
      </c>
      <c r="P81" s="109"/>
      <c r="Q81" s="29">
        <f t="shared" ref="Q81:AB81" si="39">+Q71+Q76+Q79</f>
        <v>20449.830000000002</v>
      </c>
      <c r="R81" s="109"/>
      <c r="S81" s="29">
        <f t="shared" si="39"/>
        <v>20449.830000000002</v>
      </c>
      <c r="T81" s="29">
        <f t="shared" si="39"/>
        <v>19978.580000000002</v>
      </c>
      <c r="U81" s="29">
        <f t="shared" si="39"/>
        <v>20449.830000000002</v>
      </c>
      <c r="V81" s="29">
        <f t="shared" si="39"/>
        <v>20449.830000000002</v>
      </c>
      <c r="W81" s="29">
        <f t="shared" si="39"/>
        <v>20749.830000000002</v>
      </c>
      <c r="X81" s="29">
        <f t="shared" si="39"/>
        <v>12978.58</v>
      </c>
      <c r="Y81" s="29">
        <f t="shared" si="39"/>
        <v>13449.83</v>
      </c>
      <c r="Z81" s="29">
        <f t="shared" si="39"/>
        <v>13449.83</v>
      </c>
      <c r="AA81" s="29">
        <f t="shared" si="39"/>
        <v>13241.25</v>
      </c>
      <c r="AB81" s="29">
        <f t="shared" si="39"/>
        <v>10161</v>
      </c>
      <c r="AC81" s="31">
        <f t="shared" ref="AC81:AC86" si="40">SUM(O81:AB81)</f>
        <v>202016.79999999996</v>
      </c>
      <c r="AD81" s="160"/>
      <c r="AE81" s="160"/>
    </row>
    <row r="82" spans="1:31" ht="70.900000000000006" customHeight="1" x14ac:dyDescent="0.4">
      <c r="A82" s="7" t="s">
        <v>15</v>
      </c>
      <c r="B82" s="8" t="s">
        <v>16</v>
      </c>
      <c r="C82" s="141" t="s">
        <v>274</v>
      </c>
      <c r="D82" s="21" t="s">
        <v>275</v>
      </c>
      <c r="E82" s="144" t="s">
        <v>276</v>
      </c>
      <c r="F82" s="144" t="s">
        <v>59</v>
      </c>
      <c r="G82" s="7" t="s">
        <v>29</v>
      </c>
      <c r="H82" s="21" t="s">
        <v>22</v>
      </c>
      <c r="I82" s="34" t="s">
        <v>277</v>
      </c>
      <c r="J82" s="34" t="s">
        <v>279</v>
      </c>
      <c r="K82" s="7"/>
      <c r="L82" s="7" t="s">
        <v>278</v>
      </c>
      <c r="M82" s="23" t="s">
        <v>27</v>
      </c>
      <c r="N82" s="27"/>
      <c r="O82" s="26">
        <v>1</v>
      </c>
      <c r="P82" s="109"/>
      <c r="Q82" s="26"/>
      <c r="R82" s="109"/>
      <c r="S82" s="26"/>
      <c r="T82" s="26"/>
      <c r="U82" s="26"/>
      <c r="V82" s="26"/>
      <c r="W82" s="26"/>
      <c r="X82" s="26"/>
      <c r="Y82" s="26"/>
      <c r="Z82" s="26"/>
      <c r="AA82" s="26"/>
      <c r="AB82" s="26"/>
      <c r="AC82" s="29">
        <f t="shared" si="40"/>
        <v>1</v>
      </c>
      <c r="AD82" s="7" t="s">
        <v>280</v>
      </c>
      <c r="AE82" s="7"/>
    </row>
    <row r="83" spans="1:31" ht="120" x14ac:dyDescent="0.4">
      <c r="A83" s="7" t="s">
        <v>15</v>
      </c>
      <c r="B83" s="8" t="s">
        <v>16</v>
      </c>
      <c r="C83" s="142"/>
      <c r="D83" s="21" t="s">
        <v>275</v>
      </c>
      <c r="E83" s="144"/>
      <c r="F83" s="144"/>
      <c r="G83" s="7" t="s">
        <v>29</v>
      </c>
      <c r="H83" s="21" t="s">
        <v>30</v>
      </c>
      <c r="I83" s="34" t="s">
        <v>281</v>
      </c>
      <c r="J83" s="34" t="s">
        <v>59</v>
      </c>
      <c r="K83" s="40" t="s">
        <v>282</v>
      </c>
      <c r="L83" s="40" t="s">
        <v>283</v>
      </c>
      <c r="M83" s="23" t="s">
        <v>27</v>
      </c>
      <c r="N83" s="27"/>
      <c r="O83" s="26"/>
      <c r="P83" s="109"/>
      <c r="Q83" s="26">
        <v>4</v>
      </c>
      <c r="R83" s="109"/>
      <c r="S83" s="26">
        <v>4</v>
      </c>
      <c r="T83" s="26">
        <v>4</v>
      </c>
      <c r="U83" s="26">
        <v>4</v>
      </c>
      <c r="V83" s="26">
        <v>4</v>
      </c>
      <c r="W83" s="26">
        <v>4</v>
      </c>
      <c r="X83" s="26">
        <v>4</v>
      </c>
      <c r="Y83" s="26">
        <v>4</v>
      </c>
      <c r="Z83" s="26">
        <v>4</v>
      </c>
      <c r="AA83" s="26">
        <v>4</v>
      </c>
      <c r="AB83" s="26"/>
      <c r="AC83" s="29">
        <f t="shared" si="40"/>
        <v>40</v>
      </c>
      <c r="AD83" s="7" t="s">
        <v>284</v>
      </c>
      <c r="AE83" s="7"/>
    </row>
    <row r="84" spans="1:31" ht="96" x14ac:dyDescent="0.4">
      <c r="A84" s="7" t="s">
        <v>15</v>
      </c>
      <c r="B84" s="8" t="s">
        <v>16</v>
      </c>
      <c r="C84" s="142"/>
      <c r="D84" s="21" t="s">
        <v>275</v>
      </c>
      <c r="E84" s="144"/>
      <c r="F84" s="144"/>
      <c r="G84" s="7" t="s">
        <v>29</v>
      </c>
      <c r="H84" s="21" t="s">
        <v>36</v>
      </c>
      <c r="I84" s="34" t="s">
        <v>285</v>
      </c>
      <c r="J84" s="34" t="s">
        <v>59</v>
      </c>
      <c r="K84" s="7" t="s">
        <v>282</v>
      </c>
      <c r="L84" s="7" t="s">
        <v>286</v>
      </c>
      <c r="M84" s="23" t="s">
        <v>27</v>
      </c>
      <c r="N84" s="27"/>
      <c r="O84" s="26"/>
      <c r="P84" s="109"/>
      <c r="Q84" s="26">
        <v>4</v>
      </c>
      <c r="R84" s="109"/>
      <c r="S84" s="26">
        <v>4</v>
      </c>
      <c r="T84" s="26">
        <v>4</v>
      </c>
      <c r="U84" s="26">
        <v>4</v>
      </c>
      <c r="V84" s="26">
        <v>4</v>
      </c>
      <c r="W84" s="26">
        <v>4</v>
      </c>
      <c r="X84" s="26">
        <v>4</v>
      </c>
      <c r="Y84" s="26">
        <v>4</v>
      </c>
      <c r="Z84" s="26">
        <v>4</v>
      </c>
      <c r="AA84" s="26">
        <v>4</v>
      </c>
      <c r="AB84" s="26"/>
      <c r="AC84" s="29">
        <f t="shared" si="40"/>
        <v>40</v>
      </c>
      <c r="AD84" s="7" t="s">
        <v>287</v>
      </c>
      <c r="AE84" s="7"/>
    </row>
    <row r="85" spans="1:31" ht="144" x14ac:dyDescent="0.4">
      <c r="A85" s="7" t="s">
        <v>15</v>
      </c>
      <c r="B85" s="8" t="s">
        <v>16</v>
      </c>
      <c r="C85" s="142"/>
      <c r="D85" s="21" t="s">
        <v>275</v>
      </c>
      <c r="E85" s="144"/>
      <c r="F85" s="7"/>
      <c r="G85" s="7" t="s">
        <v>29</v>
      </c>
      <c r="H85" s="21" t="s">
        <v>41</v>
      </c>
      <c r="I85" s="34" t="s">
        <v>288</v>
      </c>
      <c r="J85" s="34" t="s">
        <v>59</v>
      </c>
      <c r="K85" s="7" t="s">
        <v>289</v>
      </c>
      <c r="L85" s="7" t="s">
        <v>290</v>
      </c>
      <c r="M85" s="23" t="s">
        <v>27</v>
      </c>
      <c r="N85" s="27"/>
      <c r="O85" s="26"/>
      <c r="P85" s="109"/>
      <c r="Q85" s="26">
        <v>1</v>
      </c>
      <c r="R85" s="109"/>
      <c r="S85" s="26"/>
      <c r="T85" s="26">
        <v>1</v>
      </c>
      <c r="U85" s="26"/>
      <c r="V85" s="26">
        <v>1</v>
      </c>
      <c r="W85" s="26"/>
      <c r="X85" s="26">
        <v>1</v>
      </c>
      <c r="Y85" s="26"/>
      <c r="Z85" s="26">
        <v>1</v>
      </c>
      <c r="AA85" s="26"/>
      <c r="AB85" s="26"/>
      <c r="AC85" s="29">
        <f t="shared" si="40"/>
        <v>5</v>
      </c>
      <c r="AD85" s="26" t="s">
        <v>291</v>
      </c>
      <c r="AE85" s="26"/>
    </row>
    <row r="86" spans="1:31" ht="85.5" customHeight="1" x14ac:dyDescent="0.4">
      <c r="A86" s="7" t="s">
        <v>15</v>
      </c>
      <c r="B86" s="8" t="s">
        <v>16</v>
      </c>
      <c r="C86" s="142"/>
      <c r="D86" s="21" t="s">
        <v>275</v>
      </c>
      <c r="E86" s="145" t="s">
        <v>275</v>
      </c>
      <c r="F86" s="146"/>
      <c r="G86" s="146"/>
      <c r="H86" s="146"/>
      <c r="I86" s="146"/>
      <c r="J86" s="146"/>
      <c r="K86" s="146"/>
      <c r="L86" s="146"/>
      <c r="M86" s="27" t="s">
        <v>292</v>
      </c>
      <c r="N86" s="27"/>
      <c r="O86" s="29">
        <f t="shared" ref="O86:AB86" si="41">SUM(O82:O85)</f>
        <v>1</v>
      </c>
      <c r="P86" s="109"/>
      <c r="Q86" s="29">
        <f t="shared" si="41"/>
        <v>9</v>
      </c>
      <c r="R86" s="109"/>
      <c r="S86" s="29">
        <f t="shared" si="41"/>
        <v>8</v>
      </c>
      <c r="T86" s="29">
        <f t="shared" si="41"/>
        <v>9</v>
      </c>
      <c r="U86" s="29">
        <f t="shared" si="41"/>
        <v>8</v>
      </c>
      <c r="V86" s="29">
        <f t="shared" si="41"/>
        <v>9</v>
      </c>
      <c r="W86" s="29">
        <f t="shared" si="41"/>
        <v>8</v>
      </c>
      <c r="X86" s="29">
        <f t="shared" si="41"/>
        <v>9</v>
      </c>
      <c r="Y86" s="29">
        <f t="shared" si="41"/>
        <v>8</v>
      </c>
      <c r="Z86" s="29">
        <f t="shared" si="41"/>
        <v>9</v>
      </c>
      <c r="AA86" s="29">
        <f t="shared" si="41"/>
        <v>8</v>
      </c>
      <c r="AB86" s="29">
        <f t="shared" si="41"/>
        <v>0</v>
      </c>
      <c r="AC86" s="29">
        <f t="shared" si="40"/>
        <v>86</v>
      </c>
      <c r="AD86" s="154" t="s">
        <v>293</v>
      </c>
      <c r="AE86" s="154"/>
    </row>
    <row r="87" spans="1:31" ht="85.5" customHeight="1" x14ac:dyDescent="0.4">
      <c r="A87" s="7" t="s">
        <v>15</v>
      </c>
      <c r="B87" s="8" t="s">
        <v>16</v>
      </c>
      <c r="C87" s="142"/>
      <c r="D87" s="21" t="s">
        <v>275</v>
      </c>
      <c r="E87" s="147"/>
      <c r="F87" s="148"/>
      <c r="G87" s="148"/>
      <c r="H87" s="148"/>
      <c r="I87" s="148"/>
      <c r="J87" s="148"/>
      <c r="K87" s="148"/>
      <c r="L87" s="148"/>
      <c r="M87" s="27" t="s">
        <v>179</v>
      </c>
      <c r="N87" s="27"/>
      <c r="O87" s="29">
        <f>(9000+8000+8000+3000)+(208.58*4)</f>
        <v>28834.32</v>
      </c>
      <c r="P87" s="109"/>
      <c r="Q87" s="29">
        <f t="shared" ref="Q87:Y87" si="42">(9000+8000+8000+3000)+(208.58*4)</f>
        <v>28834.32</v>
      </c>
      <c r="R87" s="109"/>
      <c r="S87" s="29">
        <f t="shared" si="42"/>
        <v>28834.32</v>
      </c>
      <c r="T87" s="29">
        <f t="shared" si="42"/>
        <v>28834.32</v>
      </c>
      <c r="U87" s="29">
        <f t="shared" si="42"/>
        <v>28834.32</v>
      </c>
      <c r="V87" s="29">
        <f t="shared" si="42"/>
        <v>28834.32</v>
      </c>
      <c r="W87" s="29">
        <f>(9000+8000+8000+3000)+(208.58*4)+(300*4)</f>
        <v>30034.32</v>
      </c>
      <c r="X87" s="29">
        <f t="shared" si="42"/>
        <v>28834.32</v>
      </c>
      <c r="Y87" s="29">
        <f t="shared" si="42"/>
        <v>28834.32</v>
      </c>
      <c r="Z87" s="29">
        <f>(9000+8000+8000+3000)+(208.58*3)</f>
        <v>28625.74</v>
      </c>
      <c r="AA87" s="29">
        <f>(8000+8000+3000)</f>
        <v>19000</v>
      </c>
      <c r="AB87" s="29">
        <f>(8000+4226+3000)+(300*3)</f>
        <v>16126</v>
      </c>
      <c r="AC87" s="29">
        <f t="shared" ref="AC87:AC106" si="43">SUM(O87:AB87)</f>
        <v>324460.62000000005</v>
      </c>
      <c r="AD87" s="155"/>
      <c r="AE87" s="155"/>
    </row>
    <row r="88" spans="1:31" ht="85.5" customHeight="1" x14ac:dyDescent="0.4">
      <c r="A88" s="7"/>
      <c r="B88" s="8" t="s">
        <v>16</v>
      </c>
      <c r="C88" s="142"/>
      <c r="D88" s="21" t="s">
        <v>275</v>
      </c>
      <c r="E88" s="147"/>
      <c r="F88" s="148"/>
      <c r="G88" s="148"/>
      <c r="H88" s="148"/>
      <c r="I88" s="148"/>
      <c r="J88" s="148"/>
      <c r="K88" s="148"/>
      <c r="L88" s="148"/>
      <c r="M88" s="32" t="s">
        <v>294</v>
      </c>
      <c r="N88" s="27"/>
      <c r="O88" s="29">
        <f>SUM(O89:O91)</f>
        <v>9208.58</v>
      </c>
      <c r="P88" s="109"/>
      <c r="Q88" s="29">
        <f t="shared" ref="Q88:AB88" si="44">SUM(Q89:Q91)</f>
        <v>9208.58</v>
      </c>
      <c r="R88" s="109"/>
      <c r="S88" s="29">
        <f t="shared" si="44"/>
        <v>9208.58</v>
      </c>
      <c r="T88" s="29">
        <f t="shared" si="44"/>
        <v>9208.58</v>
      </c>
      <c r="U88" s="29">
        <f t="shared" si="44"/>
        <v>9208.58</v>
      </c>
      <c r="V88" s="29">
        <f t="shared" si="44"/>
        <v>9208.58</v>
      </c>
      <c r="W88" s="29">
        <f t="shared" si="44"/>
        <v>9508.58</v>
      </c>
      <c r="X88" s="29">
        <f t="shared" si="44"/>
        <v>9208.58</v>
      </c>
      <c r="Y88" s="29">
        <f t="shared" si="44"/>
        <v>9208.58</v>
      </c>
      <c r="Z88" s="29">
        <f t="shared" si="44"/>
        <v>9000</v>
      </c>
      <c r="AA88" s="29">
        <f t="shared" si="44"/>
        <v>0</v>
      </c>
      <c r="AB88" s="29">
        <f t="shared" si="44"/>
        <v>0</v>
      </c>
      <c r="AC88" s="29">
        <f>SUM(O88:AB88)</f>
        <v>92177.22</v>
      </c>
      <c r="AD88" s="155"/>
      <c r="AE88" s="155"/>
    </row>
    <row r="89" spans="1:31" ht="85.5" customHeight="1" x14ac:dyDescent="0.4">
      <c r="A89" s="7"/>
      <c r="B89" s="8" t="s">
        <v>16</v>
      </c>
      <c r="C89" s="142"/>
      <c r="D89" s="21" t="s">
        <v>275</v>
      </c>
      <c r="E89" s="147"/>
      <c r="F89" s="148"/>
      <c r="G89" s="148"/>
      <c r="H89" s="148"/>
      <c r="I89" s="148"/>
      <c r="J89" s="148"/>
      <c r="K89" s="148"/>
      <c r="L89" s="148"/>
      <c r="M89" s="32" t="s">
        <v>295</v>
      </c>
      <c r="N89" s="27" t="s">
        <v>182</v>
      </c>
      <c r="O89" s="29">
        <f>9000</f>
        <v>9000</v>
      </c>
      <c r="P89" s="109"/>
      <c r="Q89" s="29">
        <f>9000</f>
        <v>9000</v>
      </c>
      <c r="R89" s="109"/>
      <c r="S89" s="29">
        <f>9000</f>
        <v>9000</v>
      </c>
      <c r="T89" s="29">
        <f>9000</f>
        <v>9000</v>
      </c>
      <c r="U89" s="29">
        <f>9000</f>
        <v>9000</v>
      </c>
      <c r="V89" s="29">
        <f>9000</f>
        <v>9000</v>
      </c>
      <c r="W89" s="29">
        <f>9000</f>
        <v>9000</v>
      </c>
      <c r="X89" s="29">
        <f>9000</f>
        <v>9000</v>
      </c>
      <c r="Y89" s="29">
        <f>9000</f>
        <v>9000</v>
      </c>
      <c r="Z89" s="29">
        <f>9000</f>
        <v>9000</v>
      </c>
      <c r="AA89" s="29"/>
      <c r="AB89" s="29"/>
      <c r="AC89" s="29">
        <f>SUM(O89:AB89)</f>
        <v>90000</v>
      </c>
      <c r="AD89" s="155"/>
      <c r="AE89" s="155"/>
    </row>
    <row r="90" spans="1:31" ht="85.5" customHeight="1" x14ac:dyDescent="0.4">
      <c r="A90" s="7"/>
      <c r="B90" s="8" t="s">
        <v>16</v>
      </c>
      <c r="C90" s="142"/>
      <c r="D90" s="21" t="s">
        <v>275</v>
      </c>
      <c r="E90" s="147"/>
      <c r="F90" s="148"/>
      <c r="G90" s="148"/>
      <c r="H90" s="148"/>
      <c r="I90" s="148"/>
      <c r="J90" s="148"/>
      <c r="K90" s="148"/>
      <c r="L90" s="148"/>
      <c r="M90" s="32" t="s">
        <v>183</v>
      </c>
      <c r="N90" s="27" t="s">
        <v>184</v>
      </c>
      <c r="O90" s="29"/>
      <c r="P90" s="109"/>
      <c r="Q90" s="29"/>
      <c r="R90" s="109"/>
      <c r="S90" s="29"/>
      <c r="T90" s="29"/>
      <c r="U90" s="29"/>
      <c r="V90" s="29"/>
      <c r="W90" s="29">
        <v>300</v>
      </c>
      <c r="X90" s="29"/>
      <c r="Y90" s="29"/>
      <c r="Z90" s="29"/>
      <c r="AA90" s="29"/>
      <c r="AB90" s="29"/>
      <c r="AC90" s="29">
        <f>SUM(O90:AB90)</f>
        <v>300</v>
      </c>
      <c r="AD90" s="155"/>
      <c r="AE90" s="155"/>
    </row>
    <row r="91" spans="1:31" ht="85.5" customHeight="1" x14ac:dyDescent="0.4">
      <c r="A91" s="7"/>
      <c r="B91" s="8" t="s">
        <v>16</v>
      </c>
      <c r="C91" s="142"/>
      <c r="D91" s="21" t="s">
        <v>275</v>
      </c>
      <c r="E91" s="147"/>
      <c r="F91" s="148"/>
      <c r="G91" s="148"/>
      <c r="H91" s="148"/>
      <c r="I91" s="148"/>
      <c r="J91" s="148"/>
      <c r="K91" s="148"/>
      <c r="L91" s="148"/>
      <c r="M91" s="32" t="s">
        <v>185</v>
      </c>
      <c r="N91" s="27" t="s">
        <v>186</v>
      </c>
      <c r="O91" s="29">
        <f>208.58</f>
        <v>208.58</v>
      </c>
      <c r="P91" s="109"/>
      <c r="Q91" s="29">
        <f t="shared" ref="Q91:Y91" si="45">208.58</f>
        <v>208.58</v>
      </c>
      <c r="R91" s="109"/>
      <c r="S91" s="29">
        <f t="shared" si="45"/>
        <v>208.58</v>
      </c>
      <c r="T91" s="29">
        <f t="shared" si="45"/>
        <v>208.58</v>
      </c>
      <c r="U91" s="29">
        <f t="shared" si="45"/>
        <v>208.58</v>
      </c>
      <c r="V91" s="29">
        <f t="shared" si="45"/>
        <v>208.58</v>
      </c>
      <c r="W91" s="29">
        <f t="shared" si="45"/>
        <v>208.58</v>
      </c>
      <c r="X91" s="29">
        <f t="shared" si="45"/>
        <v>208.58</v>
      </c>
      <c r="Y91" s="29">
        <f t="shared" si="45"/>
        <v>208.58</v>
      </c>
      <c r="Z91" s="29"/>
      <c r="AA91" s="29"/>
      <c r="AB91" s="29"/>
      <c r="AC91" s="29">
        <f>SUM(O91:AB91)</f>
        <v>1877.2199999999998</v>
      </c>
      <c r="AD91" s="155"/>
      <c r="AE91" s="155"/>
    </row>
    <row r="92" spans="1:31" ht="85.5" customHeight="1" x14ac:dyDescent="0.4">
      <c r="A92" s="7"/>
      <c r="B92" s="8" t="s">
        <v>16</v>
      </c>
      <c r="C92" s="142"/>
      <c r="D92" s="21" t="s">
        <v>275</v>
      </c>
      <c r="E92" s="147"/>
      <c r="F92" s="148"/>
      <c r="G92" s="148"/>
      <c r="H92" s="148"/>
      <c r="I92" s="148"/>
      <c r="J92" s="148"/>
      <c r="K92" s="148"/>
      <c r="L92" s="148"/>
      <c r="M92" s="32" t="s">
        <v>296</v>
      </c>
      <c r="N92" s="27"/>
      <c r="O92" s="29">
        <f>SUM(O93:O95)</f>
        <v>19625.740000000002</v>
      </c>
      <c r="P92" s="109"/>
      <c r="Q92" s="29">
        <f t="shared" ref="Q92:AB92" si="46">SUM(Q93:Q95)</f>
        <v>19625.740000000002</v>
      </c>
      <c r="R92" s="109"/>
      <c r="S92" s="29">
        <f t="shared" si="46"/>
        <v>19625.740000000002</v>
      </c>
      <c r="T92" s="29">
        <f t="shared" si="46"/>
        <v>19625.740000000002</v>
      </c>
      <c r="U92" s="29">
        <f t="shared" si="46"/>
        <v>19625.740000000002</v>
      </c>
      <c r="V92" s="29">
        <f t="shared" si="46"/>
        <v>19625.740000000002</v>
      </c>
      <c r="W92" s="29">
        <f t="shared" si="46"/>
        <v>20525.740000000002</v>
      </c>
      <c r="X92" s="29">
        <f t="shared" si="46"/>
        <v>19625.740000000002</v>
      </c>
      <c r="Y92" s="29">
        <f t="shared" si="46"/>
        <v>19625.740000000002</v>
      </c>
      <c r="Z92" s="29">
        <f t="shared" si="46"/>
        <v>19625.740000000002</v>
      </c>
      <c r="AA92" s="29">
        <f t="shared" si="46"/>
        <v>19000</v>
      </c>
      <c r="AB92" s="29">
        <f t="shared" si="46"/>
        <v>16126</v>
      </c>
      <c r="AC92" s="29">
        <f t="shared" si="43"/>
        <v>232283.4</v>
      </c>
      <c r="AD92" s="155"/>
      <c r="AE92" s="155"/>
    </row>
    <row r="93" spans="1:31" ht="85.5" customHeight="1" x14ac:dyDescent="0.4">
      <c r="A93" s="7"/>
      <c r="B93" s="8" t="s">
        <v>16</v>
      </c>
      <c r="C93" s="142"/>
      <c r="D93" s="21" t="s">
        <v>275</v>
      </c>
      <c r="E93" s="147"/>
      <c r="F93" s="148"/>
      <c r="G93" s="148"/>
      <c r="H93" s="148"/>
      <c r="I93" s="148"/>
      <c r="J93" s="148"/>
      <c r="K93" s="148"/>
      <c r="L93" s="148"/>
      <c r="M93" s="32" t="s">
        <v>210</v>
      </c>
      <c r="N93" s="27" t="s">
        <v>211</v>
      </c>
      <c r="O93" s="29">
        <f>(8000+8000+3000)</f>
        <v>19000</v>
      </c>
      <c r="P93" s="109"/>
      <c r="Q93" s="29">
        <f t="shared" ref="Q93:Z93" si="47">(8000+8000+3000)</f>
        <v>19000</v>
      </c>
      <c r="R93" s="109"/>
      <c r="S93" s="29">
        <f t="shared" si="47"/>
        <v>19000</v>
      </c>
      <c r="T93" s="29">
        <f t="shared" si="47"/>
        <v>19000</v>
      </c>
      <c r="U93" s="29">
        <f t="shared" si="47"/>
        <v>19000</v>
      </c>
      <c r="V93" s="29">
        <f t="shared" si="47"/>
        <v>19000</v>
      </c>
      <c r="W93" s="29">
        <f t="shared" si="47"/>
        <v>19000</v>
      </c>
      <c r="X93" s="29">
        <f t="shared" si="47"/>
        <v>19000</v>
      </c>
      <c r="Y93" s="29">
        <f t="shared" si="47"/>
        <v>19000</v>
      </c>
      <c r="Z93" s="29">
        <f t="shared" si="47"/>
        <v>19000</v>
      </c>
      <c r="AA93" s="29">
        <f>(8000+8000+3000)</f>
        <v>19000</v>
      </c>
      <c r="AB93" s="29">
        <f>(8000+4226+3000)</f>
        <v>15226</v>
      </c>
      <c r="AC93" s="29">
        <f t="shared" si="43"/>
        <v>224226</v>
      </c>
      <c r="AD93" s="155"/>
      <c r="AE93" s="155"/>
    </row>
    <row r="94" spans="1:31" ht="85.5" customHeight="1" x14ac:dyDescent="0.4">
      <c r="A94" s="7"/>
      <c r="B94" s="8" t="s">
        <v>16</v>
      </c>
      <c r="C94" s="142"/>
      <c r="D94" s="21" t="s">
        <v>275</v>
      </c>
      <c r="E94" s="147"/>
      <c r="F94" s="148"/>
      <c r="G94" s="148"/>
      <c r="H94" s="148"/>
      <c r="I94" s="148"/>
      <c r="J94" s="148"/>
      <c r="K94" s="148"/>
      <c r="L94" s="148"/>
      <c r="M94" s="32" t="s">
        <v>183</v>
      </c>
      <c r="N94" s="27" t="s">
        <v>184</v>
      </c>
      <c r="O94" s="29"/>
      <c r="P94" s="109"/>
      <c r="Q94" s="29"/>
      <c r="R94" s="109"/>
      <c r="S94" s="29"/>
      <c r="T94" s="29"/>
      <c r="U94" s="29"/>
      <c r="V94" s="29"/>
      <c r="W94" s="29">
        <f>300*3</f>
        <v>900</v>
      </c>
      <c r="X94" s="29"/>
      <c r="Y94" s="29"/>
      <c r="Z94" s="29"/>
      <c r="AA94" s="29"/>
      <c r="AB94" s="29">
        <f>300*3</f>
        <v>900</v>
      </c>
      <c r="AC94" s="29">
        <f t="shared" si="43"/>
        <v>1800</v>
      </c>
      <c r="AD94" s="155"/>
      <c r="AE94" s="155"/>
    </row>
    <row r="95" spans="1:31" ht="85.5" customHeight="1" x14ac:dyDescent="0.4">
      <c r="A95" s="7"/>
      <c r="B95" s="8" t="s">
        <v>16</v>
      </c>
      <c r="C95" s="142"/>
      <c r="D95" s="21" t="s">
        <v>275</v>
      </c>
      <c r="E95" s="147"/>
      <c r="F95" s="148"/>
      <c r="G95" s="148"/>
      <c r="H95" s="148"/>
      <c r="I95" s="148"/>
      <c r="J95" s="148"/>
      <c r="K95" s="148"/>
      <c r="L95" s="148"/>
      <c r="M95" s="32" t="s">
        <v>185</v>
      </c>
      <c r="N95" s="27" t="s">
        <v>186</v>
      </c>
      <c r="O95" s="29">
        <f>208.58*3</f>
        <v>625.74</v>
      </c>
      <c r="P95" s="109"/>
      <c r="Q95" s="29">
        <f t="shared" ref="Q95:Y95" si="48">208.58*3</f>
        <v>625.74</v>
      </c>
      <c r="R95" s="109"/>
      <c r="S95" s="29">
        <f t="shared" si="48"/>
        <v>625.74</v>
      </c>
      <c r="T95" s="29">
        <f t="shared" si="48"/>
        <v>625.74</v>
      </c>
      <c r="U95" s="29">
        <f t="shared" si="48"/>
        <v>625.74</v>
      </c>
      <c r="V95" s="29">
        <f t="shared" si="48"/>
        <v>625.74</v>
      </c>
      <c r="W95" s="29">
        <f t="shared" si="48"/>
        <v>625.74</v>
      </c>
      <c r="X95" s="29">
        <f t="shared" si="48"/>
        <v>625.74</v>
      </c>
      <c r="Y95" s="29">
        <f t="shared" si="48"/>
        <v>625.74</v>
      </c>
      <c r="Z95" s="29">
        <f>208.58*3</f>
        <v>625.74</v>
      </c>
      <c r="AA95" s="29"/>
      <c r="AB95" s="29"/>
      <c r="AC95" s="29">
        <f t="shared" si="43"/>
        <v>6257.3999999999987</v>
      </c>
      <c r="AD95" s="155"/>
      <c r="AE95" s="155"/>
    </row>
    <row r="96" spans="1:31" ht="85.5" customHeight="1" x14ac:dyDescent="0.4">
      <c r="A96" s="7" t="s">
        <v>15</v>
      </c>
      <c r="B96" s="8" t="s">
        <v>16</v>
      </c>
      <c r="C96" s="142"/>
      <c r="D96" s="21" t="s">
        <v>275</v>
      </c>
      <c r="E96" s="147"/>
      <c r="F96" s="148"/>
      <c r="G96" s="148"/>
      <c r="H96" s="148"/>
      <c r="I96" s="148"/>
      <c r="J96" s="148"/>
      <c r="K96" s="148"/>
      <c r="L96" s="148"/>
      <c r="M96" s="32" t="s">
        <v>187</v>
      </c>
      <c r="N96" s="27"/>
      <c r="O96" s="29">
        <f>+O97</f>
        <v>50000</v>
      </c>
      <c r="P96" s="109"/>
      <c r="Q96" s="29">
        <f t="shared" ref="Q96:AB96" si="49">+Q97</f>
        <v>50000</v>
      </c>
      <c r="R96" s="109"/>
      <c r="S96" s="29">
        <f t="shared" si="49"/>
        <v>50000</v>
      </c>
      <c r="T96" s="29">
        <f t="shared" si="49"/>
        <v>50000</v>
      </c>
      <c r="U96" s="29">
        <f t="shared" si="49"/>
        <v>50000</v>
      </c>
      <c r="V96" s="29">
        <f t="shared" si="49"/>
        <v>50000</v>
      </c>
      <c r="W96" s="29">
        <f t="shared" si="49"/>
        <v>50000</v>
      </c>
      <c r="X96" s="29">
        <f t="shared" si="49"/>
        <v>0</v>
      </c>
      <c r="Y96" s="29">
        <f t="shared" si="49"/>
        <v>0</v>
      </c>
      <c r="Z96" s="29">
        <f t="shared" si="49"/>
        <v>0</v>
      </c>
      <c r="AA96" s="29">
        <f t="shared" si="49"/>
        <v>0</v>
      </c>
      <c r="AB96" s="29">
        <f t="shared" si="49"/>
        <v>0</v>
      </c>
      <c r="AC96" s="29">
        <f t="shared" si="43"/>
        <v>350000</v>
      </c>
      <c r="AD96" s="155"/>
      <c r="AE96" s="155"/>
    </row>
    <row r="97" spans="1:31" ht="85.5" customHeight="1" x14ac:dyDescent="0.4">
      <c r="A97" s="7"/>
      <c r="B97" s="8" t="s">
        <v>16</v>
      </c>
      <c r="C97" s="142"/>
      <c r="D97" s="21" t="s">
        <v>275</v>
      </c>
      <c r="E97" s="147"/>
      <c r="F97" s="148"/>
      <c r="G97" s="148"/>
      <c r="H97" s="148"/>
      <c r="I97" s="148"/>
      <c r="J97" s="148"/>
      <c r="K97" s="148"/>
      <c r="L97" s="148"/>
      <c r="M97" s="27" t="s">
        <v>180</v>
      </c>
      <c r="N97" s="27"/>
      <c r="O97" s="29">
        <f>SUM(O98:O103)</f>
        <v>50000</v>
      </c>
      <c r="P97" s="109"/>
      <c r="Q97" s="29">
        <f t="shared" ref="Q97:AB97" si="50">SUM(Q98:Q103)</f>
        <v>50000</v>
      </c>
      <c r="R97" s="109"/>
      <c r="S97" s="29">
        <f t="shared" si="50"/>
        <v>50000</v>
      </c>
      <c r="T97" s="29">
        <f t="shared" si="50"/>
        <v>50000</v>
      </c>
      <c r="U97" s="29">
        <f t="shared" si="50"/>
        <v>50000</v>
      </c>
      <c r="V97" s="29">
        <f t="shared" si="50"/>
        <v>50000</v>
      </c>
      <c r="W97" s="29">
        <f t="shared" si="50"/>
        <v>50000</v>
      </c>
      <c r="X97" s="29">
        <f t="shared" si="50"/>
        <v>0</v>
      </c>
      <c r="Y97" s="29">
        <f t="shared" si="50"/>
        <v>0</v>
      </c>
      <c r="Z97" s="29">
        <f t="shared" si="50"/>
        <v>0</v>
      </c>
      <c r="AA97" s="29">
        <f t="shared" si="50"/>
        <v>0</v>
      </c>
      <c r="AB97" s="29">
        <f t="shared" si="50"/>
        <v>0</v>
      </c>
      <c r="AC97" s="29">
        <f t="shared" si="43"/>
        <v>350000</v>
      </c>
      <c r="AD97" s="155"/>
      <c r="AE97" s="155"/>
    </row>
    <row r="98" spans="1:31" ht="85.5" customHeight="1" x14ac:dyDescent="0.4">
      <c r="A98" s="7"/>
      <c r="B98" s="8" t="s">
        <v>16</v>
      </c>
      <c r="C98" s="142"/>
      <c r="D98" s="21" t="s">
        <v>275</v>
      </c>
      <c r="E98" s="147"/>
      <c r="F98" s="148"/>
      <c r="G98" s="148"/>
      <c r="H98" s="148"/>
      <c r="I98" s="148"/>
      <c r="J98" s="148"/>
      <c r="K98" s="148"/>
      <c r="L98" s="148"/>
      <c r="M98" s="27" t="s">
        <v>297</v>
      </c>
      <c r="N98" s="27" t="s">
        <v>189</v>
      </c>
      <c r="O98" s="29">
        <v>10000</v>
      </c>
      <c r="P98" s="109"/>
      <c r="Q98" s="29">
        <v>10000</v>
      </c>
      <c r="R98" s="109"/>
      <c r="S98" s="29">
        <v>10000</v>
      </c>
      <c r="T98" s="29">
        <v>10000</v>
      </c>
      <c r="U98" s="29">
        <v>10000</v>
      </c>
      <c r="V98" s="29">
        <v>10000</v>
      </c>
      <c r="W98" s="29">
        <v>10000</v>
      </c>
      <c r="X98" s="29"/>
      <c r="Y98" s="29"/>
      <c r="Z98" s="29"/>
      <c r="AA98" s="29"/>
      <c r="AB98" s="29"/>
      <c r="AC98" s="29">
        <f t="shared" si="43"/>
        <v>70000</v>
      </c>
      <c r="AD98" s="155"/>
      <c r="AE98" s="155"/>
    </row>
    <row r="99" spans="1:31" ht="85.5" customHeight="1" x14ac:dyDescent="0.4">
      <c r="A99" s="7"/>
      <c r="B99" s="8" t="s">
        <v>16</v>
      </c>
      <c r="C99" s="142"/>
      <c r="D99" s="21" t="s">
        <v>275</v>
      </c>
      <c r="E99" s="147"/>
      <c r="F99" s="148"/>
      <c r="G99" s="148"/>
      <c r="H99" s="148"/>
      <c r="I99" s="148"/>
      <c r="J99" s="148"/>
      <c r="K99" s="148"/>
      <c r="L99" s="148"/>
      <c r="M99" s="27" t="s">
        <v>298</v>
      </c>
      <c r="N99" s="27" t="s">
        <v>189</v>
      </c>
      <c r="O99" s="29">
        <v>5000</v>
      </c>
      <c r="P99" s="109"/>
      <c r="Q99" s="29">
        <v>5000</v>
      </c>
      <c r="R99" s="109"/>
      <c r="S99" s="29">
        <v>5000</v>
      </c>
      <c r="T99" s="29">
        <v>5000</v>
      </c>
      <c r="U99" s="29">
        <v>5000</v>
      </c>
      <c r="V99" s="29">
        <v>5000</v>
      </c>
      <c r="W99" s="29">
        <v>5000</v>
      </c>
      <c r="X99" s="29"/>
      <c r="Y99" s="29"/>
      <c r="Z99" s="29"/>
      <c r="AA99" s="29"/>
      <c r="AB99" s="29"/>
      <c r="AC99" s="29">
        <f t="shared" si="43"/>
        <v>35000</v>
      </c>
      <c r="AD99" s="155"/>
      <c r="AE99" s="155"/>
    </row>
    <row r="100" spans="1:31" ht="85.5" customHeight="1" x14ac:dyDescent="0.4">
      <c r="A100" s="7"/>
      <c r="B100" s="8" t="s">
        <v>16</v>
      </c>
      <c r="C100" s="142"/>
      <c r="D100" s="21" t="s">
        <v>275</v>
      </c>
      <c r="E100" s="147"/>
      <c r="F100" s="148"/>
      <c r="G100" s="148"/>
      <c r="H100" s="148"/>
      <c r="I100" s="148"/>
      <c r="J100" s="148"/>
      <c r="K100" s="148"/>
      <c r="L100" s="148"/>
      <c r="M100" s="27" t="s">
        <v>299</v>
      </c>
      <c r="N100" s="27" t="s">
        <v>189</v>
      </c>
      <c r="O100" s="29">
        <v>8000</v>
      </c>
      <c r="P100" s="109"/>
      <c r="Q100" s="29">
        <v>8000</v>
      </c>
      <c r="R100" s="109"/>
      <c r="S100" s="29">
        <v>8000</v>
      </c>
      <c r="T100" s="29">
        <v>8000</v>
      </c>
      <c r="U100" s="29">
        <v>8000</v>
      </c>
      <c r="V100" s="29">
        <v>8000</v>
      </c>
      <c r="W100" s="29">
        <v>8000</v>
      </c>
      <c r="X100" s="29"/>
      <c r="Y100" s="29"/>
      <c r="Z100" s="29"/>
      <c r="AA100" s="29"/>
      <c r="AB100" s="29"/>
      <c r="AC100" s="29">
        <f t="shared" si="43"/>
        <v>56000</v>
      </c>
      <c r="AD100" s="155"/>
      <c r="AE100" s="155"/>
    </row>
    <row r="101" spans="1:31" ht="85.5" customHeight="1" x14ac:dyDescent="0.4">
      <c r="A101" s="7"/>
      <c r="B101" s="8" t="s">
        <v>16</v>
      </c>
      <c r="C101" s="142"/>
      <c r="D101" s="21" t="s">
        <v>275</v>
      </c>
      <c r="E101" s="147"/>
      <c r="F101" s="148"/>
      <c r="G101" s="148"/>
      <c r="H101" s="148"/>
      <c r="I101" s="148"/>
      <c r="J101" s="148"/>
      <c r="K101" s="148"/>
      <c r="L101" s="148"/>
      <c r="M101" s="27" t="s">
        <v>300</v>
      </c>
      <c r="N101" s="27" t="s">
        <v>189</v>
      </c>
      <c r="O101" s="29">
        <v>9000</v>
      </c>
      <c r="P101" s="109"/>
      <c r="Q101" s="29">
        <v>9000</v>
      </c>
      <c r="R101" s="109"/>
      <c r="S101" s="29">
        <v>9000</v>
      </c>
      <c r="T101" s="29">
        <v>9000</v>
      </c>
      <c r="U101" s="29">
        <v>9000</v>
      </c>
      <c r="V101" s="29">
        <v>9000</v>
      </c>
      <c r="W101" s="29">
        <v>9000</v>
      </c>
      <c r="X101" s="29"/>
      <c r="Y101" s="29"/>
      <c r="Z101" s="29"/>
      <c r="AA101" s="29"/>
      <c r="AB101" s="29"/>
      <c r="AC101" s="29">
        <f t="shared" si="43"/>
        <v>63000</v>
      </c>
      <c r="AD101" s="155"/>
      <c r="AE101" s="155"/>
    </row>
    <row r="102" spans="1:31" ht="85.5" customHeight="1" x14ac:dyDescent="0.4">
      <c r="A102" s="7"/>
      <c r="B102" s="8" t="s">
        <v>16</v>
      </c>
      <c r="C102" s="142"/>
      <c r="D102" s="21" t="s">
        <v>275</v>
      </c>
      <c r="E102" s="147"/>
      <c r="F102" s="148"/>
      <c r="G102" s="148"/>
      <c r="H102" s="148"/>
      <c r="I102" s="148"/>
      <c r="J102" s="148"/>
      <c r="K102" s="148"/>
      <c r="L102" s="148"/>
      <c r="M102" s="27" t="s">
        <v>301</v>
      </c>
      <c r="N102" s="27" t="s">
        <v>189</v>
      </c>
      <c r="O102" s="29">
        <v>9000</v>
      </c>
      <c r="P102" s="109"/>
      <c r="Q102" s="29">
        <v>9000</v>
      </c>
      <c r="R102" s="109"/>
      <c r="S102" s="29">
        <v>9000</v>
      </c>
      <c r="T102" s="29">
        <v>9000</v>
      </c>
      <c r="U102" s="29">
        <v>9000</v>
      </c>
      <c r="V102" s="29">
        <v>9000</v>
      </c>
      <c r="W102" s="29">
        <v>9000</v>
      </c>
      <c r="X102" s="29"/>
      <c r="Y102" s="29"/>
      <c r="Z102" s="29"/>
      <c r="AA102" s="29"/>
      <c r="AB102" s="29"/>
      <c r="AC102" s="29">
        <f t="shared" si="43"/>
        <v>63000</v>
      </c>
      <c r="AD102" s="155"/>
      <c r="AE102" s="155"/>
    </row>
    <row r="103" spans="1:31" ht="85.5" customHeight="1" x14ac:dyDescent="0.4">
      <c r="A103" s="7"/>
      <c r="B103" s="8" t="s">
        <v>16</v>
      </c>
      <c r="C103" s="142"/>
      <c r="D103" s="21" t="s">
        <v>275</v>
      </c>
      <c r="E103" s="147"/>
      <c r="F103" s="148"/>
      <c r="G103" s="148"/>
      <c r="H103" s="148"/>
      <c r="I103" s="148"/>
      <c r="J103" s="148"/>
      <c r="K103" s="148"/>
      <c r="L103" s="148"/>
      <c r="M103" s="27" t="s">
        <v>302</v>
      </c>
      <c r="N103" s="27" t="s">
        <v>189</v>
      </c>
      <c r="O103" s="29">
        <v>9000</v>
      </c>
      <c r="P103" s="109"/>
      <c r="Q103" s="29">
        <v>9000</v>
      </c>
      <c r="R103" s="109"/>
      <c r="S103" s="29">
        <v>9000</v>
      </c>
      <c r="T103" s="29">
        <v>9000</v>
      </c>
      <c r="U103" s="29">
        <v>9000</v>
      </c>
      <c r="V103" s="29">
        <v>9000</v>
      </c>
      <c r="W103" s="29">
        <v>9000</v>
      </c>
      <c r="X103" s="29"/>
      <c r="Y103" s="29"/>
      <c r="Z103" s="29"/>
      <c r="AA103" s="29"/>
      <c r="AB103" s="29"/>
      <c r="AC103" s="29">
        <f t="shared" si="43"/>
        <v>63000</v>
      </c>
      <c r="AD103" s="155"/>
      <c r="AE103" s="155"/>
    </row>
    <row r="104" spans="1:31" ht="85.5" customHeight="1" x14ac:dyDescent="0.4">
      <c r="A104" s="7"/>
      <c r="B104" s="8" t="s">
        <v>16</v>
      </c>
      <c r="C104" s="142"/>
      <c r="D104" s="21" t="s">
        <v>275</v>
      </c>
      <c r="E104" s="147"/>
      <c r="F104" s="148"/>
      <c r="G104" s="148"/>
      <c r="H104" s="148"/>
      <c r="I104" s="148"/>
      <c r="J104" s="148"/>
      <c r="K104" s="148"/>
      <c r="L104" s="148"/>
      <c r="M104" s="32" t="s">
        <v>270</v>
      </c>
      <c r="N104" s="27"/>
      <c r="O104" s="29">
        <f>+O105</f>
        <v>0</v>
      </c>
      <c r="P104" s="109"/>
      <c r="Q104" s="29">
        <f t="shared" ref="Q104:AB104" si="51">+Q105</f>
        <v>4241.25</v>
      </c>
      <c r="R104" s="109"/>
      <c r="S104" s="29">
        <f t="shared" si="51"/>
        <v>4241.25</v>
      </c>
      <c r="T104" s="29">
        <f t="shared" si="51"/>
        <v>3770</v>
      </c>
      <c r="U104" s="29">
        <f t="shared" si="51"/>
        <v>4241.25</v>
      </c>
      <c r="V104" s="29">
        <f t="shared" si="51"/>
        <v>4241.25</v>
      </c>
      <c r="W104" s="29">
        <f t="shared" si="51"/>
        <v>4241.25</v>
      </c>
      <c r="X104" s="29">
        <f t="shared" si="51"/>
        <v>3770</v>
      </c>
      <c r="Y104" s="29">
        <f t="shared" si="51"/>
        <v>4241.25</v>
      </c>
      <c r="Z104" s="29">
        <f t="shared" si="51"/>
        <v>4241.25</v>
      </c>
      <c r="AA104" s="29">
        <f t="shared" si="51"/>
        <v>4241.25</v>
      </c>
      <c r="AB104" s="29">
        <f t="shared" si="51"/>
        <v>0</v>
      </c>
      <c r="AC104" s="29">
        <f t="shared" si="43"/>
        <v>41470</v>
      </c>
      <c r="AD104" s="155"/>
      <c r="AE104" s="155"/>
    </row>
    <row r="105" spans="1:31" ht="85.5" customHeight="1" x14ac:dyDescent="0.4">
      <c r="A105" s="7"/>
      <c r="B105" s="8" t="s">
        <v>16</v>
      </c>
      <c r="C105" s="142"/>
      <c r="D105" s="21" t="s">
        <v>275</v>
      </c>
      <c r="E105" s="147"/>
      <c r="F105" s="148"/>
      <c r="G105" s="148"/>
      <c r="H105" s="148"/>
      <c r="I105" s="148"/>
      <c r="J105" s="148"/>
      <c r="K105" s="148"/>
      <c r="L105" s="148"/>
      <c r="M105" s="27" t="s">
        <v>271</v>
      </c>
      <c r="N105" s="27" t="s">
        <v>272</v>
      </c>
      <c r="O105" s="29"/>
      <c r="P105" s="109"/>
      <c r="Q105" s="29">
        <v>4241.25</v>
      </c>
      <c r="R105" s="109"/>
      <c r="S105" s="29">
        <v>4241.25</v>
      </c>
      <c r="T105" s="29">
        <v>3770</v>
      </c>
      <c r="U105" s="29">
        <v>4241.25</v>
      </c>
      <c r="V105" s="29">
        <v>4241.25</v>
      </c>
      <c r="W105" s="29">
        <v>4241.25</v>
      </c>
      <c r="X105" s="29">
        <v>3770</v>
      </c>
      <c r="Y105" s="29">
        <v>4241.25</v>
      </c>
      <c r="Z105" s="29">
        <v>4241.25</v>
      </c>
      <c r="AA105" s="29">
        <v>4241.25</v>
      </c>
      <c r="AB105" s="29"/>
      <c r="AC105" s="29">
        <f t="shared" si="43"/>
        <v>41470</v>
      </c>
      <c r="AD105" s="155"/>
      <c r="AE105" s="155"/>
    </row>
    <row r="106" spans="1:31" ht="85.5" customHeight="1" x14ac:dyDescent="0.4">
      <c r="A106" s="7" t="s">
        <v>15</v>
      </c>
      <c r="B106" s="8" t="s">
        <v>16</v>
      </c>
      <c r="C106" s="143"/>
      <c r="D106" s="21" t="s">
        <v>275</v>
      </c>
      <c r="E106" s="149"/>
      <c r="F106" s="150"/>
      <c r="G106" s="150"/>
      <c r="H106" s="150"/>
      <c r="I106" s="150"/>
      <c r="J106" s="150"/>
      <c r="K106" s="150"/>
      <c r="L106" s="150"/>
      <c r="M106" s="27" t="s">
        <v>303</v>
      </c>
      <c r="N106" s="27"/>
      <c r="O106" s="29">
        <f>+O87+O96+O104</f>
        <v>78834.320000000007</v>
      </c>
      <c r="P106" s="109"/>
      <c r="Q106" s="29">
        <f t="shared" ref="Q106:AB106" si="52">+Q87+Q96+Q104</f>
        <v>83075.570000000007</v>
      </c>
      <c r="R106" s="109"/>
      <c r="S106" s="29">
        <f t="shared" si="52"/>
        <v>83075.570000000007</v>
      </c>
      <c r="T106" s="29">
        <f t="shared" si="52"/>
        <v>82604.320000000007</v>
      </c>
      <c r="U106" s="29">
        <f t="shared" si="52"/>
        <v>83075.570000000007</v>
      </c>
      <c r="V106" s="29">
        <f t="shared" si="52"/>
        <v>83075.570000000007</v>
      </c>
      <c r="W106" s="29">
        <f t="shared" si="52"/>
        <v>84275.57</v>
      </c>
      <c r="X106" s="29">
        <f t="shared" si="52"/>
        <v>32604.32</v>
      </c>
      <c r="Y106" s="29">
        <f t="shared" si="52"/>
        <v>33075.57</v>
      </c>
      <c r="Z106" s="29">
        <f t="shared" si="52"/>
        <v>32866.990000000005</v>
      </c>
      <c r="AA106" s="29">
        <f t="shared" si="52"/>
        <v>23241.25</v>
      </c>
      <c r="AB106" s="29">
        <f t="shared" si="52"/>
        <v>16126</v>
      </c>
      <c r="AC106" s="31">
        <f t="shared" si="43"/>
        <v>715930.61999999988</v>
      </c>
      <c r="AD106" s="156"/>
      <c r="AE106" s="156"/>
    </row>
    <row r="107" spans="1:31" ht="162.75" customHeight="1" x14ac:dyDescent="0.4">
      <c r="A107" s="7" t="s">
        <v>15</v>
      </c>
      <c r="B107" s="8" t="s">
        <v>16</v>
      </c>
      <c r="C107" s="141" t="s">
        <v>304</v>
      </c>
      <c r="D107" s="21" t="s">
        <v>305</v>
      </c>
      <c r="E107" s="144" t="s">
        <v>306</v>
      </c>
      <c r="F107" s="144" t="s">
        <v>59</v>
      </c>
      <c r="G107" s="7" t="s">
        <v>29</v>
      </c>
      <c r="H107" s="21" t="s">
        <v>22</v>
      </c>
      <c r="I107" s="7" t="s">
        <v>307</v>
      </c>
      <c r="J107" s="34" t="s">
        <v>59</v>
      </c>
      <c r="K107" s="7" t="s">
        <v>308</v>
      </c>
      <c r="L107" s="7" t="s">
        <v>309</v>
      </c>
      <c r="M107" s="23" t="s">
        <v>27</v>
      </c>
      <c r="N107" s="27"/>
      <c r="O107" s="26"/>
      <c r="P107" s="109"/>
      <c r="Q107" s="26">
        <v>1</v>
      </c>
      <c r="R107" s="109"/>
      <c r="S107" s="26">
        <v>1</v>
      </c>
      <c r="T107" s="26">
        <v>1</v>
      </c>
      <c r="U107" s="26">
        <v>1</v>
      </c>
      <c r="V107" s="26">
        <v>1</v>
      </c>
      <c r="W107" s="26">
        <v>1</v>
      </c>
      <c r="X107" s="26">
        <v>1</v>
      </c>
      <c r="Y107" s="26">
        <v>1</v>
      </c>
      <c r="Z107" s="26">
        <v>1</v>
      </c>
      <c r="AA107" s="29">
        <v>1</v>
      </c>
      <c r="AB107" s="26"/>
      <c r="AC107" s="29">
        <f>SUM(O107:AB107)</f>
        <v>10</v>
      </c>
      <c r="AD107" s="26" t="s">
        <v>310</v>
      </c>
      <c r="AE107" s="26"/>
    </row>
    <row r="108" spans="1:31" ht="96" x14ac:dyDescent="0.4">
      <c r="A108" s="7" t="s">
        <v>15</v>
      </c>
      <c r="B108" s="8" t="s">
        <v>16</v>
      </c>
      <c r="C108" s="142"/>
      <c r="D108" s="21" t="s">
        <v>305</v>
      </c>
      <c r="E108" s="144"/>
      <c r="F108" s="144"/>
      <c r="G108" s="7" t="s">
        <v>29</v>
      </c>
      <c r="H108" s="21" t="s">
        <v>30</v>
      </c>
      <c r="I108" s="7" t="s">
        <v>311</v>
      </c>
      <c r="J108" s="34" t="s">
        <v>59</v>
      </c>
      <c r="K108" s="7" t="s">
        <v>312</v>
      </c>
      <c r="L108" s="7" t="s">
        <v>313</v>
      </c>
      <c r="M108" s="23" t="s">
        <v>27</v>
      </c>
      <c r="N108" s="27"/>
      <c r="O108" s="26">
        <v>1</v>
      </c>
      <c r="P108" s="109"/>
      <c r="Q108" s="26"/>
      <c r="R108" s="109"/>
      <c r="S108" s="26"/>
      <c r="T108" s="26"/>
      <c r="U108" s="26"/>
      <c r="V108" s="26"/>
      <c r="W108" s="26">
        <v>1</v>
      </c>
      <c r="X108" s="26"/>
      <c r="Y108" s="26"/>
      <c r="Z108" s="26"/>
      <c r="AA108" s="29"/>
      <c r="AB108" s="26"/>
      <c r="AC108" s="29">
        <f>SUM(O108:AB108)</f>
        <v>2</v>
      </c>
      <c r="AD108" s="26" t="s">
        <v>310</v>
      </c>
      <c r="AE108" s="26"/>
    </row>
    <row r="109" spans="1:31" ht="96" x14ac:dyDescent="0.4">
      <c r="A109" s="7" t="s">
        <v>15</v>
      </c>
      <c r="B109" s="8" t="s">
        <v>16</v>
      </c>
      <c r="C109" s="142"/>
      <c r="D109" s="21" t="s">
        <v>305</v>
      </c>
      <c r="E109" s="144"/>
      <c r="F109" s="144"/>
      <c r="G109" s="7" t="s">
        <v>29</v>
      </c>
      <c r="H109" s="21" t="s">
        <v>36</v>
      </c>
      <c r="I109" s="7" t="s">
        <v>314</v>
      </c>
      <c r="J109" s="34" t="s">
        <v>59</v>
      </c>
      <c r="K109" s="7" t="s">
        <v>315</v>
      </c>
      <c r="L109" s="7" t="s">
        <v>316</v>
      </c>
      <c r="M109" s="23" t="s">
        <v>27</v>
      </c>
      <c r="N109" s="27"/>
      <c r="O109" s="26"/>
      <c r="P109" s="109"/>
      <c r="Q109" s="26"/>
      <c r="R109" s="109"/>
      <c r="S109" s="26"/>
      <c r="T109" s="26">
        <v>1</v>
      </c>
      <c r="U109" s="26"/>
      <c r="V109" s="26"/>
      <c r="W109" s="26"/>
      <c r="X109" s="26">
        <v>1</v>
      </c>
      <c r="Y109" s="26"/>
      <c r="Z109" s="26"/>
      <c r="AA109" s="29">
        <v>1</v>
      </c>
      <c r="AB109" s="26"/>
      <c r="AC109" s="29">
        <f>SUM(O109:AB109)</f>
        <v>3</v>
      </c>
      <c r="AD109" s="26" t="s">
        <v>310</v>
      </c>
      <c r="AE109" s="26"/>
    </row>
    <row r="110" spans="1:31" s="9" customFormat="1" ht="78" customHeight="1" x14ac:dyDescent="0.4">
      <c r="A110" s="7" t="s">
        <v>15</v>
      </c>
      <c r="B110" s="8" t="s">
        <v>16</v>
      </c>
      <c r="C110" s="142"/>
      <c r="D110" s="21" t="s">
        <v>305</v>
      </c>
      <c r="E110" s="145" t="s">
        <v>305</v>
      </c>
      <c r="F110" s="146"/>
      <c r="G110" s="146"/>
      <c r="H110" s="146"/>
      <c r="I110" s="146"/>
      <c r="J110" s="146"/>
      <c r="K110" s="146"/>
      <c r="L110" s="146"/>
      <c r="M110" s="27" t="s">
        <v>64</v>
      </c>
      <c r="N110" s="27"/>
      <c r="O110" s="30">
        <f>SUM(O107:O109)</f>
        <v>1</v>
      </c>
      <c r="P110" s="116"/>
      <c r="Q110" s="30">
        <f t="shared" ref="Q110:AC110" si="53">SUM(Q107:Q109)</f>
        <v>1</v>
      </c>
      <c r="R110" s="116"/>
      <c r="S110" s="30">
        <f t="shared" si="53"/>
        <v>1</v>
      </c>
      <c r="T110" s="30">
        <f t="shared" si="53"/>
        <v>2</v>
      </c>
      <c r="U110" s="30">
        <f t="shared" si="53"/>
        <v>1</v>
      </c>
      <c r="V110" s="30">
        <f t="shared" si="53"/>
        <v>1</v>
      </c>
      <c r="W110" s="30">
        <f t="shared" si="53"/>
        <v>2</v>
      </c>
      <c r="X110" s="30">
        <f t="shared" si="53"/>
        <v>2</v>
      </c>
      <c r="Y110" s="30">
        <f t="shared" si="53"/>
        <v>1</v>
      </c>
      <c r="Z110" s="30">
        <f t="shared" si="53"/>
        <v>1</v>
      </c>
      <c r="AA110" s="29">
        <f t="shared" si="53"/>
        <v>2</v>
      </c>
      <c r="AB110" s="30">
        <f t="shared" si="53"/>
        <v>0</v>
      </c>
      <c r="AC110" s="29">
        <f t="shared" si="53"/>
        <v>15</v>
      </c>
      <c r="AD110" s="154" t="s">
        <v>317</v>
      </c>
      <c r="AE110" s="154"/>
    </row>
    <row r="111" spans="1:31" s="9" customFormat="1" ht="78" customHeight="1" x14ac:dyDescent="0.4">
      <c r="A111" s="7" t="s">
        <v>15</v>
      </c>
      <c r="B111" s="8" t="s">
        <v>16</v>
      </c>
      <c r="C111" s="142"/>
      <c r="D111" s="21" t="s">
        <v>305</v>
      </c>
      <c r="E111" s="147"/>
      <c r="F111" s="148"/>
      <c r="G111" s="148"/>
      <c r="H111" s="148"/>
      <c r="I111" s="148"/>
      <c r="J111" s="148"/>
      <c r="K111" s="148"/>
      <c r="L111" s="148"/>
      <c r="M111" s="27" t="s">
        <v>179</v>
      </c>
      <c r="N111" s="27"/>
      <c r="O111" s="29">
        <f>6000+208.58</f>
        <v>6208.58</v>
      </c>
      <c r="P111" s="109"/>
      <c r="Q111" s="29">
        <f t="shared" ref="Q111:Y111" si="54">6000+208.58</f>
        <v>6208.58</v>
      </c>
      <c r="R111" s="109"/>
      <c r="S111" s="29">
        <f t="shared" si="54"/>
        <v>6208.58</v>
      </c>
      <c r="T111" s="29">
        <f t="shared" si="54"/>
        <v>6208.58</v>
      </c>
      <c r="U111" s="29">
        <f t="shared" si="54"/>
        <v>6208.58</v>
      </c>
      <c r="V111" s="29">
        <f t="shared" si="54"/>
        <v>6208.58</v>
      </c>
      <c r="W111" s="29">
        <f>6000+208.58+300</f>
        <v>6508.58</v>
      </c>
      <c r="X111" s="29">
        <f t="shared" si="54"/>
        <v>6208.58</v>
      </c>
      <c r="Y111" s="29">
        <f t="shared" si="54"/>
        <v>6208.58</v>
      </c>
      <c r="Z111" s="29">
        <f>6000+208.22+0.72</f>
        <v>6208.9400000000005</v>
      </c>
      <c r="AA111" s="29"/>
      <c r="AB111" s="30"/>
      <c r="AC111" s="29">
        <f t="shared" ref="AC111:AC118" si="55">SUM(O111:AB111)</f>
        <v>62386.160000000011</v>
      </c>
      <c r="AD111" s="155"/>
      <c r="AE111" s="155"/>
    </row>
    <row r="112" spans="1:31" s="9" customFormat="1" ht="78" customHeight="1" x14ac:dyDescent="0.4">
      <c r="A112" s="7"/>
      <c r="B112" s="8" t="s">
        <v>16</v>
      </c>
      <c r="C112" s="142"/>
      <c r="D112" s="21" t="s">
        <v>305</v>
      </c>
      <c r="E112" s="147"/>
      <c r="F112" s="148"/>
      <c r="G112" s="148"/>
      <c r="H112" s="148"/>
      <c r="I112" s="148"/>
      <c r="J112" s="148"/>
      <c r="K112" s="148"/>
      <c r="L112" s="148"/>
      <c r="M112" s="32" t="s">
        <v>180</v>
      </c>
      <c r="N112" s="27"/>
      <c r="O112" s="29">
        <f>SUM(O113:O115)</f>
        <v>6208.58</v>
      </c>
      <c r="P112" s="109"/>
      <c r="Q112" s="29">
        <f t="shared" ref="Q112:AB112" si="56">SUM(Q113:Q115)</f>
        <v>6208.58</v>
      </c>
      <c r="R112" s="109"/>
      <c r="S112" s="29">
        <f t="shared" si="56"/>
        <v>6208.58</v>
      </c>
      <c r="T112" s="29">
        <f t="shared" si="56"/>
        <v>6208.58</v>
      </c>
      <c r="U112" s="29">
        <f t="shared" si="56"/>
        <v>6208.58</v>
      </c>
      <c r="V112" s="29">
        <f t="shared" si="56"/>
        <v>6208.58</v>
      </c>
      <c r="W112" s="29">
        <f t="shared" si="56"/>
        <v>6508.58</v>
      </c>
      <c r="X112" s="29">
        <f t="shared" si="56"/>
        <v>6208.58</v>
      </c>
      <c r="Y112" s="29">
        <f t="shared" si="56"/>
        <v>6208.58</v>
      </c>
      <c r="Z112" s="29">
        <f t="shared" si="56"/>
        <v>6208.94</v>
      </c>
      <c r="AA112" s="29">
        <f t="shared" si="56"/>
        <v>0</v>
      </c>
      <c r="AB112" s="29">
        <f t="shared" si="56"/>
        <v>0</v>
      </c>
      <c r="AC112" s="29">
        <f t="shared" si="55"/>
        <v>62386.160000000011</v>
      </c>
      <c r="AD112" s="155"/>
      <c r="AE112" s="155"/>
    </row>
    <row r="113" spans="1:31" s="9" customFormat="1" ht="78" customHeight="1" x14ac:dyDescent="0.4">
      <c r="A113" s="7"/>
      <c r="B113" s="8" t="s">
        <v>16</v>
      </c>
      <c r="C113" s="142"/>
      <c r="D113" s="21" t="s">
        <v>305</v>
      </c>
      <c r="E113" s="147"/>
      <c r="F113" s="148"/>
      <c r="G113" s="148"/>
      <c r="H113" s="148"/>
      <c r="I113" s="148"/>
      <c r="J113" s="148"/>
      <c r="K113" s="148"/>
      <c r="L113" s="148"/>
      <c r="M113" s="32" t="s">
        <v>318</v>
      </c>
      <c r="N113" s="27" t="s">
        <v>182</v>
      </c>
      <c r="O113" s="29">
        <v>6000</v>
      </c>
      <c r="P113" s="109"/>
      <c r="Q113" s="29">
        <v>6000</v>
      </c>
      <c r="R113" s="109"/>
      <c r="S113" s="29">
        <v>6000</v>
      </c>
      <c r="T113" s="29">
        <v>6000</v>
      </c>
      <c r="U113" s="29">
        <v>6000</v>
      </c>
      <c r="V113" s="29">
        <v>6000</v>
      </c>
      <c r="W113" s="29">
        <v>6000</v>
      </c>
      <c r="X113" s="29">
        <v>6000</v>
      </c>
      <c r="Y113" s="29">
        <v>6000</v>
      </c>
      <c r="Z113" s="29">
        <v>6000</v>
      </c>
      <c r="AA113" s="29"/>
      <c r="AB113" s="29"/>
      <c r="AC113" s="29">
        <f t="shared" si="55"/>
        <v>60000</v>
      </c>
      <c r="AD113" s="155"/>
      <c r="AE113" s="155"/>
    </row>
    <row r="114" spans="1:31" s="9" customFormat="1" ht="78" customHeight="1" x14ac:dyDescent="0.4">
      <c r="A114" s="7"/>
      <c r="B114" s="8" t="s">
        <v>16</v>
      </c>
      <c r="C114" s="142"/>
      <c r="D114" s="21" t="s">
        <v>305</v>
      </c>
      <c r="E114" s="147"/>
      <c r="F114" s="148"/>
      <c r="G114" s="148"/>
      <c r="H114" s="148"/>
      <c r="I114" s="148"/>
      <c r="J114" s="148"/>
      <c r="K114" s="148"/>
      <c r="L114" s="148"/>
      <c r="M114" s="32" t="s">
        <v>183</v>
      </c>
      <c r="N114" s="27" t="s">
        <v>184</v>
      </c>
      <c r="O114" s="29"/>
      <c r="P114" s="109"/>
      <c r="Q114" s="29"/>
      <c r="R114" s="109"/>
      <c r="S114" s="29"/>
      <c r="T114" s="29"/>
      <c r="U114" s="29"/>
      <c r="V114" s="29"/>
      <c r="W114" s="29">
        <v>300</v>
      </c>
      <c r="X114" s="29"/>
      <c r="Y114" s="29"/>
      <c r="Z114" s="29"/>
      <c r="AA114" s="29"/>
      <c r="AB114" s="29"/>
      <c r="AC114" s="29">
        <f t="shared" si="55"/>
        <v>300</v>
      </c>
      <c r="AD114" s="155"/>
      <c r="AE114" s="155"/>
    </row>
    <row r="115" spans="1:31" s="9" customFormat="1" ht="78" customHeight="1" x14ac:dyDescent="0.4">
      <c r="A115" s="7"/>
      <c r="B115" s="8" t="s">
        <v>16</v>
      </c>
      <c r="C115" s="142"/>
      <c r="D115" s="21" t="s">
        <v>305</v>
      </c>
      <c r="E115" s="147"/>
      <c r="F115" s="148"/>
      <c r="G115" s="148"/>
      <c r="H115" s="148"/>
      <c r="I115" s="148"/>
      <c r="J115" s="148"/>
      <c r="K115" s="148"/>
      <c r="L115" s="148"/>
      <c r="M115" s="32" t="s">
        <v>185</v>
      </c>
      <c r="N115" s="27" t="s">
        <v>186</v>
      </c>
      <c r="O115" s="29">
        <v>208.58</v>
      </c>
      <c r="P115" s="109"/>
      <c r="Q115" s="29">
        <v>208.58</v>
      </c>
      <c r="R115" s="109"/>
      <c r="S115" s="29">
        <v>208.58</v>
      </c>
      <c r="T115" s="29">
        <v>208.58</v>
      </c>
      <c r="U115" s="29">
        <v>208.58</v>
      </c>
      <c r="V115" s="29">
        <v>208.58</v>
      </c>
      <c r="W115" s="29">
        <v>208.58</v>
      </c>
      <c r="X115" s="29">
        <v>208.58</v>
      </c>
      <c r="Y115" s="29">
        <v>208.58</v>
      </c>
      <c r="Z115" s="29">
        <f>208.22+0.72</f>
        <v>208.94</v>
      </c>
      <c r="AA115" s="29"/>
      <c r="AB115" s="29"/>
      <c r="AC115" s="29">
        <f t="shared" si="55"/>
        <v>2086.16</v>
      </c>
      <c r="AD115" s="155"/>
      <c r="AE115" s="155"/>
    </row>
    <row r="116" spans="1:31" s="9" customFormat="1" ht="78" customHeight="1" x14ac:dyDescent="0.4">
      <c r="A116" s="7" t="s">
        <v>15</v>
      </c>
      <c r="B116" s="8" t="s">
        <v>16</v>
      </c>
      <c r="C116" s="143"/>
      <c r="D116" s="21" t="s">
        <v>305</v>
      </c>
      <c r="E116" s="149"/>
      <c r="F116" s="150"/>
      <c r="G116" s="150"/>
      <c r="H116" s="150"/>
      <c r="I116" s="150"/>
      <c r="J116" s="150"/>
      <c r="K116" s="150"/>
      <c r="L116" s="150"/>
      <c r="M116" s="27" t="s">
        <v>319</v>
      </c>
      <c r="N116" s="27"/>
      <c r="O116" s="30">
        <f>+O111</f>
        <v>6208.58</v>
      </c>
      <c r="P116" s="116"/>
      <c r="Q116" s="30">
        <f t="shared" ref="Q116:AB116" si="57">+Q111</f>
        <v>6208.58</v>
      </c>
      <c r="R116" s="116"/>
      <c r="S116" s="30">
        <f t="shared" si="57"/>
        <v>6208.58</v>
      </c>
      <c r="T116" s="30">
        <f t="shared" si="57"/>
        <v>6208.58</v>
      </c>
      <c r="U116" s="30">
        <f t="shared" si="57"/>
        <v>6208.58</v>
      </c>
      <c r="V116" s="30">
        <f t="shared" si="57"/>
        <v>6208.58</v>
      </c>
      <c r="W116" s="30">
        <f t="shared" si="57"/>
        <v>6508.58</v>
      </c>
      <c r="X116" s="30">
        <f t="shared" si="57"/>
        <v>6208.58</v>
      </c>
      <c r="Y116" s="30">
        <f t="shared" si="57"/>
        <v>6208.58</v>
      </c>
      <c r="Z116" s="30">
        <f t="shared" si="57"/>
        <v>6208.9400000000005</v>
      </c>
      <c r="AA116" s="30">
        <f t="shared" si="57"/>
        <v>0</v>
      </c>
      <c r="AB116" s="30">
        <f t="shared" si="57"/>
        <v>0</v>
      </c>
      <c r="AC116" s="31">
        <f t="shared" si="55"/>
        <v>62386.160000000011</v>
      </c>
      <c r="AD116" s="156"/>
      <c r="AE116" s="156"/>
    </row>
    <row r="117" spans="1:31" ht="162.75" customHeight="1" x14ac:dyDescent="0.4">
      <c r="A117" s="7" t="s">
        <v>15</v>
      </c>
      <c r="B117" s="8" t="s">
        <v>16</v>
      </c>
      <c r="C117" s="141" t="s">
        <v>304</v>
      </c>
      <c r="D117" s="21" t="s">
        <v>320</v>
      </c>
      <c r="E117" s="7" t="s">
        <v>321</v>
      </c>
      <c r="F117" s="7" t="s">
        <v>59</v>
      </c>
      <c r="G117" s="7" t="s">
        <v>29</v>
      </c>
      <c r="H117" s="21" t="s">
        <v>22</v>
      </c>
      <c r="I117" s="7" t="s">
        <v>322</v>
      </c>
      <c r="J117" s="34" t="s">
        <v>59</v>
      </c>
      <c r="K117" s="7" t="s">
        <v>323</v>
      </c>
      <c r="L117" s="7" t="s">
        <v>324</v>
      </c>
      <c r="M117" s="23" t="s">
        <v>27</v>
      </c>
      <c r="N117" s="27"/>
      <c r="O117" s="26"/>
      <c r="P117" s="109"/>
      <c r="Q117" s="26">
        <v>1</v>
      </c>
      <c r="R117" s="109"/>
      <c r="S117" s="26"/>
      <c r="T117" s="26">
        <v>1</v>
      </c>
      <c r="U117" s="26"/>
      <c r="V117" s="26">
        <v>1</v>
      </c>
      <c r="W117" s="26"/>
      <c r="X117" s="26">
        <v>1</v>
      </c>
      <c r="Y117" s="26"/>
      <c r="Z117" s="26">
        <v>1</v>
      </c>
      <c r="AA117" s="26"/>
      <c r="AB117" s="26"/>
      <c r="AC117" s="26">
        <f t="shared" si="55"/>
        <v>5</v>
      </c>
      <c r="AD117" s="26" t="s">
        <v>310</v>
      </c>
      <c r="AE117" s="26"/>
    </row>
    <row r="118" spans="1:31" s="9" customFormat="1" ht="78" customHeight="1" x14ac:dyDescent="0.4">
      <c r="A118" s="7" t="s">
        <v>15</v>
      </c>
      <c r="B118" s="8" t="s">
        <v>16</v>
      </c>
      <c r="C118" s="142"/>
      <c r="D118" s="21" t="s">
        <v>320</v>
      </c>
      <c r="E118" s="145" t="s">
        <v>320</v>
      </c>
      <c r="F118" s="146"/>
      <c r="G118" s="146"/>
      <c r="H118" s="146"/>
      <c r="I118" s="146"/>
      <c r="J118" s="146"/>
      <c r="K118" s="146"/>
      <c r="L118" s="146"/>
      <c r="M118" s="27" t="s">
        <v>64</v>
      </c>
      <c r="N118" s="27"/>
      <c r="O118" s="30">
        <f>SUM(O117:O117)</f>
        <v>0</v>
      </c>
      <c r="P118" s="116"/>
      <c r="Q118" s="30">
        <f t="shared" ref="Q118:AB118" si="58">SUM(Q117:Q117)</f>
        <v>1</v>
      </c>
      <c r="R118" s="116"/>
      <c r="S118" s="30">
        <f t="shared" si="58"/>
        <v>0</v>
      </c>
      <c r="T118" s="30">
        <f t="shared" si="58"/>
        <v>1</v>
      </c>
      <c r="U118" s="30">
        <f t="shared" si="58"/>
        <v>0</v>
      </c>
      <c r="V118" s="30">
        <f t="shared" si="58"/>
        <v>1</v>
      </c>
      <c r="W118" s="30">
        <f t="shared" si="58"/>
        <v>0</v>
      </c>
      <c r="X118" s="30">
        <f t="shared" si="58"/>
        <v>1</v>
      </c>
      <c r="Y118" s="30">
        <f t="shared" si="58"/>
        <v>0</v>
      </c>
      <c r="Z118" s="30">
        <f t="shared" si="58"/>
        <v>1</v>
      </c>
      <c r="AA118" s="30">
        <f t="shared" si="58"/>
        <v>0</v>
      </c>
      <c r="AB118" s="30">
        <f t="shared" si="58"/>
        <v>0</v>
      </c>
      <c r="AC118" s="30">
        <f t="shared" si="55"/>
        <v>5</v>
      </c>
      <c r="AD118" s="154" t="s">
        <v>317</v>
      </c>
      <c r="AE118" s="154"/>
    </row>
    <row r="119" spans="1:31" s="9" customFormat="1" ht="78" customHeight="1" x14ac:dyDescent="0.4">
      <c r="A119" s="7" t="s">
        <v>15</v>
      </c>
      <c r="B119" s="8" t="s">
        <v>16</v>
      </c>
      <c r="C119" s="142"/>
      <c r="D119" s="21" t="s">
        <v>320</v>
      </c>
      <c r="E119" s="147"/>
      <c r="F119" s="148"/>
      <c r="G119" s="148"/>
      <c r="H119" s="148"/>
      <c r="I119" s="148"/>
      <c r="J119" s="148"/>
      <c r="K119" s="148"/>
      <c r="L119" s="148"/>
      <c r="M119" s="27" t="s">
        <v>179</v>
      </c>
      <c r="N119" s="27"/>
      <c r="O119" s="30"/>
      <c r="P119" s="116"/>
      <c r="Q119" s="30"/>
      <c r="R119" s="116"/>
      <c r="S119" s="30"/>
      <c r="T119" s="30"/>
      <c r="U119" s="30"/>
      <c r="V119" s="30"/>
      <c r="W119" s="30"/>
      <c r="X119" s="30"/>
      <c r="Y119" s="30"/>
      <c r="Z119" s="30"/>
      <c r="AA119" s="30"/>
      <c r="AB119" s="30"/>
      <c r="AC119" s="30">
        <f t="shared" ref="AC119:AC124" si="59">SUM(O119:AB119)</f>
        <v>0</v>
      </c>
      <c r="AD119" s="155"/>
      <c r="AE119" s="155"/>
    </row>
    <row r="120" spans="1:31" s="9" customFormat="1" ht="78" customHeight="1" x14ac:dyDescent="0.4">
      <c r="A120" s="7" t="s">
        <v>15</v>
      </c>
      <c r="B120" s="8" t="s">
        <v>16</v>
      </c>
      <c r="C120" s="142"/>
      <c r="D120" s="21" t="s">
        <v>320</v>
      </c>
      <c r="E120" s="147"/>
      <c r="F120" s="148"/>
      <c r="G120" s="148"/>
      <c r="H120" s="148"/>
      <c r="I120" s="148"/>
      <c r="J120" s="148"/>
      <c r="K120" s="148"/>
      <c r="L120" s="148"/>
      <c r="M120" s="32" t="s">
        <v>187</v>
      </c>
      <c r="N120" s="27"/>
      <c r="O120" s="30">
        <f>+O121</f>
        <v>4000</v>
      </c>
      <c r="P120" s="116"/>
      <c r="Q120" s="30">
        <f t="shared" ref="Q120:AB120" si="60">+Q121</f>
        <v>4000</v>
      </c>
      <c r="R120" s="116"/>
      <c r="S120" s="30">
        <f t="shared" si="60"/>
        <v>4000</v>
      </c>
      <c r="T120" s="30">
        <f t="shared" si="60"/>
        <v>4000</v>
      </c>
      <c r="U120" s="30">
        <f t="shared" si="60"/>
        <v>4000</v>
      </c>
      <c r="V120" s="30">
        <f t="shared" si="60"/>
        <v>4000</v>
      </c>
      <c r="W120" s="30">
        <f t="shared" si="60"/>
        <v>4000</v>
      </c>
      <c r="X120" s="30">
        <f t="shared" si="60"/>
        <v>150</v>
      </c>
      <c r="Y120" s="30">
        <f t="shared" si="60"/>
        <v>0</v>
      </c>
      <c r="Z120" s="30">
        <f t="shared" si="60"/>
        <v>0</v>
      </c>
      <c r="AA120" s="30">
        <f t="shared" si="60"/>
        <v>0</v>
      </c>
      <c r="AB120" s="30">
        <f t="shared" si="60"/>
        <v>0</v>
      </c>
      <c r="AC120" s="30">
        <f t="shared" si="59"/>
        <v>28150</v>
      </c>
      <c r="AD120" s="155"/>
      <c r="AE120" s="155"/>
    </row>
    <row r="121" spans="1:31" s="9" customFormat="1" ht="78" customHeight="1" x14ac:dyDescent="0.4">
      <c r="A121" s="7"/>
      <c r="B121" s="8" t="s">
        <v>16</v>
      </c>
      <c r="C121" s="142"/>
      <c r="D121" s="21" t="s">
        <v>320</v>
      </c>
      <c r="E121" s="147"/>
      <c r="F121" s="148"/>
      <c r="G121" s="148"/>
      <c r="H121" s="148"/>
      <c r="I121" s="148"/>
      <c r="J121" s="148"/>
      <c r="K121" s="148"/>
      <c r="L121" s="148"/>
      <c r="M121" s="27" t="s">
        <v>325</v>
      </c>
      <c r="N121" s="27" t="s">
        <v>189</v>
      </c>
      <c r="O121" s="30">
        <v>4000</v>
      </c>
      <c r="P121" s="116"/>
      <c r="Q121" s="30">
        <v>4000</v>
      </c>
      <c r="R121" s="116"/>
      <c r="S121" s="30">
        <v>4000</v>
      </c>
      <c r="T121" s="30">
        <v>4000</v>
      </c>
      <c r="U121" s="30">
        <v>4000</v>
      </c>
      <c r="V121" s="30">
        <v>4000</v>
      </c>
      <c r="W121" s="30">
        <v>4000</v>
      </c>
      <c r="X121" s="30">
        <v>150</v>
      </c>
      <c r="Y121" s="30"/>
      <c r="Z121" s="30"/>
      <c r="AA121" s="30"/>
      <c r="AB121" s="30"/>
      <c r="AC121" s="29">
        <f t="shared" si="59"/>
        <v>28150</v>
      </c>
      <c r="AD121" s="155"/>
      <c r="AE121" s="155"/>
    </row>
    <row r="122" spans="1:31" s="9" customFormat="1" ht="78" customHeight="1" x14ac:dyDescent="0.4">
      <c r="A122" s="7"/>
      <c r="B122" s="8" t="s">
        <v>16</v>
      </c>
      <c r="C122" s="142"/>
      <c r="D122" s="21" t="s">
        <v>320</v>
      </c>
      <c r="E122" s="147"/>
      <c r="F122" s="148"/>
      <c r="G122" s="148"/>
      <c r="H122" s="148"/>
      <c r="I122" s="148"/>
      <c r="J122" s="148"/>
      <c r="K122" s="148"/>
      <c r="L122" s="148"/>
      <c r="M122" s="32" t="s">
        <v>187</v>
      </c>
      <c r="N122" s="27"/>
      <c r="O122" s="30">
        <f>+O123</f>
        <v>0</v>
      </c>
      <c r="P122" s="116"/>
      <c r="Q122" s="30">
        <f t="shared" ref="Q122:AB122" si="61">+Q123</f>
        <v>150</v>
      </c>
      <c r="R122" s="116"/>
      <c r="S122" s="30">
        <f t="shared" si="61"/>
        <v>0</v>
      </c>
      <c r="T122" s="30">
        <f t="shared" si="61"/>
        <v>0</v>
      </c>
      <c r="U122" s="30">
        <f t="shared" si="61"/>
        <v>0</v>
      </c>
      <c r="V122" s="30">
        <f t="shared" si="61"/>
        <v>0</v>
      </c>
      <c r="W122" s="30">
        <f t="shared" si="61"/>
        <v>0</v>
      </c>
      <c r="X122" s="30">
        <f t="shared" si="61"/>
        <v>0</v>
      </c>
      <c r="Y122" s="30">
        <f t="shared" si="61"/>
        <v>0</v>
      </c>
      <c r="Z122" s="30">
        <f t="shared" si="61"/>
        <v>0</v>
      </c>
      <c r="AA122" s="30">
        <f t="shared" si="61"/>
        <v>0</v>
      </c>
      <c r="AB122" s="30">
        <f t="shared" si="61"/>
        <v>0</v>
      </c>
      <c r="AC122" s="30">
        <f t="shared" si="59"/>
        <v>150</v>
      </c>
      <c r="AD122" s="155"/>
      <c r="AE122" s="155"/>
    </row>
    <row r="123" spans="1:31" s="9" customFormat="1" ht="78" customHeight="1" x14ac:dyDescent="0.4">
      <c r="A123" s="7"/>
      <c r="B123" s="8" t="s">
        <v>16</v>
      </c>
      <c r="C123" s="142"/>
      <c r="D123" s="21" t="s">
        <v>320</v>
      </c>
      <c r="E123" s="147"/>
      <c r="F123" s="148"/>
      <c r="G123" s="148"/>
      <c r="H123" s="148"/>
      <c r="I123" s="148"/>
      <c r="J123" s="148"/>
      <c r="K123" s="148"/>
      <c r="L123" s="148"/>
      <c r="M123" s="27" t="s">
        <v>238</v>
      </c>
      <c r="N123" s="27" t="s">
        <v>239</v>
      </c>
      <c r="O123" s="30"/>
      <c r="P123" s="116"/>
      <c r="Q123" s="30">
        <v>150</v>
      </c>
      <c r="R123" s="116"/>
      <c r="S123" s="30"/>
      <c r="T123" s="30"/>
      <c r="U123" s="30"/>
      <c r="V123" s="30"/>
      <c r="W123" s="30"/>
      <c r="X123" s="30"/>
      <c r="Y123" s="30"/>
      <c r="Z123" s="30"/>
      <c r="AA123" s="30"/>
      <c r="AB123" s="30"/>
      <c r="AC123" s="29">
        <f t="shared" si="59"/>
        <v>150</v>
      </c>
      <c r="AD123" s="155"/>
      <c r="AE123" s="155"/>
    </row>
    <row r="124" spans="1:31" s="9" customFormat="1" ht="78" customHeight="1" x14ac:dyDescent="0.4">
      <c r="A124" s="7" t="s">
        <v>15</v>
      </c>
      <c r="B124" s="8" t="s">
        <v>16</v>
      </c>
      <c r="C124" s="143"/>
      <c r="D124" s="21" t="s">
        <v>320</v>
      </c>
      <c r="E124" s="149"/>
      <c r="F124" s="150"/>
      <c r="G124" s="150"/>
      <c r="H124" s="150"/>
      <c r="I124" s="150"/>
      <c r="J124" s="150"/>
      <c r="K124" s="150"/>
      <c r="L124" s="150"/>
      <c r="M124" s="27" t="s">
        <v>326</v>
      </c>
      <c r="N124" s="27"/>
      <c r="O124" s="30">
        <f>+O120+O122</f>
        <v>4000</v>
      </c>
      <c r="P124" s="116"/>
      <c r="Q124" s="30">
        <f t="shared" ref="Q124:AB124" si="62">+Q120+Q122</f>
        <v>4150</v>
      </c>
      <c r="R124" s="116"/>
      <c r="S124" s="30">
        <f t="shared" si="62"/>
        <v>4000</v>
      </c>
      <c r="T124" s="30">
        <f t="shared" si="62"/>
        <v>4000</v>
      </c>
      <c r="U124" s="30">
        <f t="shared" si="62"/>
        <v>4000</v>
      </c>
      <c r="V124" s="30">
        <f t="shared" si="62"/>
        <v>4000</v>
      </c>
      <c r="W124" s="30">
        <f t="shared" si="62"/>
        <v>4000</v>
      </c>
      <c r="X124" s="30">
        <f t="shared" si="62"/>
        <v>150</v>
      </c>
      <c r="Y124" s="30">
        <f t="shared" si="62"/>
        <v>0</v>
      </c>
      <c r="Z124" s="30">
        <f t="shared" si="62"/>
        <v>0</v>
      </c>
      <c r="AA124" s="30">
        <f t="shared" si="62"/>
        <v>0</v>
      </c>
      <c r="AB124" s="30">
        <f t="shared" si="62"/>
        <v>0</v>
      </c>
      <c r="AC124" s="31">
        <f t="shared" si="59"/>
        <v>28300</v>
      </c>
      <c r="AD124" s="156"/>
      <c r="AE124" s="156"/>
    </row>
    <row r="125" spans="1:31" ht="96" x14ac:dyDescent="0.4">
      <c r="A125" s="7" t="s">
        <v>15</v>
      </c>
      <c r="B125" s="8" t="s">
        <v>16</v>
      </c>
      <c r="C125" s="141" t="s">
        <v>327</v>
      </c>
      <c r="D125" s="21" t="s">
        <v>328</v>
      </c>
      <c r="E125" s="157" t="s">
        <v>329</v>
      </c>
      <c r="F125" s="7" t="s">
        <v>330</v>
      </c>
      <c r="G125" s="7" t="s">
        <v>21</v>
      </c>
      <c r="H125" s="21" t="s">
        <v>22</v>
      </c>
      <c r="I125" s="7" t="s">
        <v>331</v>
      </c>
      <c r="J125" s="7" t="s">
        <v>99</v>
      </c>
      <c r="K125" s="7" t="s">
        <v>332</v>
      </c>
      <c r="L125" s="7" t="s">
        <v>333</v>
      </c>
      <c r="M125" s="23" t="s">
        <v>27</v>
      </c>
      <c r="N125" s="27"/>
      <c r="O125" s="26">
        <v>1</v>
      </c>
      <c r="P125" s="109"/>
      <c r="Q125" s="26"/>
      <c r="R125" s="109"/>
      <c r="S125" s="26"/>
      <c r="T125" s="26"/>
      <c r="U125" s="26"/>
      <c r="V125" s="26"/>
      <c r="W125" s="26"/>
      <c r="X125" s="26"/>
      <c r="Y125" s="26"/>
      <c r="Z125" s="26"/>
      <c r="AA125" s="26"/>
      <c r="AB125" s="26"/>
      <c r="AC125" s="26">
        <f>SUM(O125:AB125)</f>
        <v>1</v>
      </c>
      <c r="AD125" s="26"/>
      <c r="AE125" s="26"/>
    </row>
    <row r="126" spans="1:31" ht="120" x14ac:dyDescent="0.4">
      <c r="A126" s="7" t="s">
        <v>15</v>
      </c>
      <c r="B126" s="8" t="s">
        <v>16</v>
      </c>
      <c r="C126" s="142"/>
      <c r="D126" s="21" t="s">
        <v>328</v>
      </c>
      <c r="E126" s="157"/>
      <c r="F126" s="7" t="s">
        <v>330</v>
      </c>
      <c r="G126" s="7" t="s">
        <v>21</v>
      </c>
      <c r="H126" s="21" t="s">
        <v>30</v>
      </c>
      <c r="I126" s="7" t="s">
        <v>334</v>
      </c>
      <c r="J126" s="7" t="s">
        <v>99</v>
      </c>
      <c r="K126" s="7" t="s">
        <v>335</v>
      </c>
      <c r="L126" s="7" t="s">
        <v>336</v>
      </c>
      <c r="M126" s="23" t="s">
        <v>27</v>
      </c>
      <c r="N126" s="27"/>
      <c r="O126" s="26"/>
      <c r="P126" s="109"/>
      <c r="Q126" s="26">
        <v>1</v>
      </c>
      <c r="R126" s="109"/>
      <c r="S126" s="26"/>
      <c r="T126" s="26"/>
      <c r="U126" s="26"/>
      <c r="V126" s="26"/>
      <c r="W126" s="26"/>
      <c r="X126" s="26"/>
      <c r="Y126" s="26"/>
      <c r="Z126" s="26"/>
      <c r="AA126" s="26"/>
      <c r="AB126" s="26"/>
      <c r="AC126" s="26">
        <f>SUM(O126:AB126)</f>
        <v>1</v>
      </c>
      <c r="AD126" s="26"/>
      <c r="AE126" s="26"/>
    </row>
    <row r="127" spans="1:31" ht="168" x14ac:dyDescent="0.4">
      <c r="A127" s="7" t="s">
        <v>15</v>
      </c>
      <c r="B127" s="8" t="s">
        <v>16</v>
      </c>
      <c r="C127" s="142"/>
      <c r="D127" s="21" t="s">
        <v>328</v>
      </c>
      <c r="E127" s="157"/>
      <c r="F127" s="7" t="s">
        <v>330</v>
      </c>
      <c r="G127" s="7" t="s">
        <v>29</v>
      </c>
      <c r="H127" s="21" t="s">
        <v>36</v>
      </c>
      <c r="I127" s="7" t="s">
        <v>337</v>
      </c>
      <c r="J127" s="7" t="s">
        <v>340</v>
      </c>
      <c r="K127" s="7" t="s">
        <v>338</v>
      </c>
      <c r="L127" s="7" t="s">
        <v>339</v>
      </c>
      <c r="M127" s="23" t="s">
        <v>27</v>
      </c>
      <c r="N127" s="27"/>
      <c r="O127" s="26">
        <v>1</v>
      </c>
      <c r="P127" s="109"/>
      <c r="Q127" s="26">
        <v>1</v>
      </c>
      <c r="R127" s="109"/>
      <c r="S127" s="26"/>
      <c r="T127" s="26"/>
      <c r="U127" s="26"/>
      <c r="V127" s="26"/>
      <c r="W127" s="26"/>
      <c r="X127" s="26"/>
      <c r="Y127" s="26"/>
      <c r="Z127" s="26"/>
      <c r="AA127" s="26"/>
      <c r="AB127" s="26">
        <v>1</v>
      </c>
      <c r="AC127" s="26">
        <f>SUM(O127:AB127)</f>
        <v>3</v>
      </c>
      <c r="AD127" s="26"/>
      <c r="AE127" s="26"/>
    </row>
    <row r="128" spans="1:31" ht="120" x14ac:dyDescent="0.4">
      <c r="A128" s="7" t="s">
        <v>15</v>
      </c>
      <c r="B128" s="8" t="s">
        <v>16</v>
      </c>
      <c r="C128" s="142"/>
      <c r="D128" s="21" t="s">
        <v>328</v>
      </c>
      <c r="E128" s="157"/>
      <c r="F128" s="7" t="s">
        <v>330</v>
      </c>
      <c r="G128" s="7" t="s">
        <v>21</v>
      </c>
      <c r="H128" s="21" t="s">
        <v>46</v>
      </c>
      <c r="I128" s="7" t="s">
        <v>341</v>
      </c>
      <c r="J128" s="7" t="s">
        <v>99</v>
      </c>
      <c r="K128" s="7" t="s">
        <v>342</v>
      </c>
      <c r="L128" s="7" t="s">
        <v>343</v>
      </c>
      <c r="M128" s="23" t="s">
        <v>27</v>
      </c>
      <c r="N128" s="27"/>
      <c r="O128" s="26"/>
      <c r="P128" s="109"/>
      <c r="Q128" s="26"/>
      <c r="R128" s="109"/>
      <c r="S128" s="26"/>
      <c r="T128" s="26"/>
      <c r="U128" s="26"/>
      <c r="V128" s="26"/>
      <c r="W128" s="26"/>
      <c r="X128" s="26"/>
      <c r="Y128" s="26"/>
      <c r="Z128" s="26"/>
      <c r="AA128" s="26"/>
      <c r="AB128" s="26">
        <v>1</v>
      </c>
      <c r="AC128" s="26">
        <f>SUM(O128:AB128)</f>
        <v>1</v>
      </c>
      <c r="AD128" s="26"/>
      <c r="AE128" s="26"/>
    </row>
    <row r="129" spans="1:31" s="9" customFormat="1" ht="73.5" customHeight="1" x14ac:dyDescent="0.4">
      <c r="A129" s="7" t="s">
        <v>15</v>
      </c>
      <c r="B129" s="8" t="s">
        <v>16</v>
      </c>
      <c r="C129" s="142"/>
      <c r="D129" s="21" t="s">
        <v>328</v>
      </c>
      <c r="E129" s="145" t="s">
        <v>328</v>
      </c>
      <c r="F129" s="146"/>
      <c r="G129" s="146"/>
      <c r="H129" s="146"/>
      <c r="I129" s="146"/>
      <c r="J129" s="146"/>
      <c r="K129" s="146"/>
      <c r="L129" s="146"/>
      <c r="M129" s="27" t="s">
        <v>64</v>
      </c>
      <c r="N129" s="27"/>
      <c r="O129" s="30">
        <f>SUM(O125,O126,O128)</f>
        <v>1</v>
      </c>
      <c r="P129" s="116"/>
      <c r="Q129" s="30">
        <f t="shared" ref="Q129:AB129" si="63">SUM(Q125,Q126,Q128)</f>
        <v>1</v>
      </c>
      <c r="R129" s="116"/>
      <c r="S129" s="30">
        <f t="shared" si="63"/>
        <v>0</v>
      </c>
      <c r="T129" s="30">
        <f t="shared" si="63"/>
        <v>0</v>
      </c>
      <c r="U129" s="30">
        <f t="shared" si="63"/>
        <v>0</v>
      </c>
      <c r="V129" s="30">
        <f t="shared" si="63"/>
        <v>0</v>
      </c>
      <c r="W129" s="30">
        <f t="shared" si="63"/>
        <v>0</v>
      </c>
      <c r="X129" s="30">
        <f t="shared" si="63"/>
        <v>0</v>
      </c>
      <c r="Y129" s="30">
        <f t="shared" si="63"/>
        <v>0</v>
      </c>
      <c r="Z129" s="30">
        <f t="shared" si="63"/>
        <v>0</v>
      </c>
      <c r="AA129" s="30">
        <f t="shared" si="63"/>
        <v>0</v>
      </c>
      <c r="AB129" s="30">
        <f t="shared" si="63"/>
        <v>1</v>
      </c>
      <c r="AC129" s="30">
        <f>SUM(O129:AB129)</f>
        <v>3</v>
      </c>
      <c r="AD129" s="151"/>
      <c r="AE129" s="151"/>
    </row>
    <row r="130" spans="1:31" s="9" customFormat="1" ht="73.5" customHeight="1" x14ac:dyDescent="0.4">
      <c r="A130" s="7" t="s">
        <v>15</v>
      </c>
      <c r="B130" s="8" t="s">
        <v>16</v>
      </c>
      <c r="C130" s="142"/>
      <c r="D130" s="21" t="s">
        <v>328</v>
      </c>
      <c r="E130" s="147"/>
      <c r="F130" s="148"/>
      <c r="G130" s="148"/>
      <c r="H130" s="148"/>
      <c r="I130" s="148"/>
      <c r="J130" s="148"/>
      <c r="K130" s="148"/>
      <c r="L130" s="148"/>
      <c r="M130" s="27" t="s">
        <v>179</v>
      </c>
      <c r="N130" s="27"/>
      <c r="O130" s="30"/>
      <c r="P130" s="116"/>
      <c r="Q130" s="30"/>
      <c r="R130" s="116"/>
      <c r="S130" s="30"/>
      <c r="T130" s="30"/>
      <c r="U130" s="30"/>
      <c r="V130" s="30"/>
      <c r="W130" s="30"/>
      <c r="X130" s="30"/>
      <c r="Y130" s="30"/>
      <c r="Z130" s="30"/>
      <c r="AA130" s="30"/>
      <c r="AB130" s="30"/>
      <c r="AC130" s="30">
        <f t="shared" ref="AC130:AC135" si="64">SUM(O130:AB130)</f>
        <v>0</v>
      </c>
      <c r="AD130" s="152"/>
      <c r="AE130" s="152"/>
    </row>
    <row r="131" spans="1:31" s="9" customFormat="1" ht="73.5" customHeight="1" x14ac:dyDescent="0.4">
      <c r="A131" s="7" t="s">
        <v>15</v>
      </c>
      <c r="B131" s="8" t="s">
        <v>16</v>
      </c>
      <c r="C131" s="142"/>
      <c r="D131" s="21" t="s">
        <v>328</v>
      </c>
      <c r="E131" s="147"/>
      <c r="F131" s="148"/>
      <c r="G131" s="148"/>
      <c r="H131" s="148"/>
      <c r="I131" s="148"/>
      <c r="J131" s="148"/>
      <c r="K131" s="148"/>
      <c r="L131" s="148"/>
      <c r="M131" s="32" t="s">
        <v>187</v>
      </c>
      <c r="N131" s="27"/>
      <c r="O131" s="30">
        <f>+O132</f>
        <v>4000</v>
      </c>
      <c r="P131" s="116"/>
      <c r="Q131" s="30">
        <f t="shared" ref="Q131:AB131" si="65">+Q132</f>
        <v>4000</v>
      </c>
      <c r="R131" s="116"/>
      <c r="S131" s="30">
        <f t="shared" si="65"/>
        <v>4000</v>
      </c>
      <c r="T131" s="30">
        <f t="shared" si="65"/>
        <v>4000</v>
      </c>
      <c r="U131" s="30">
        <f t="shared" si="65"/>
        <v>4000</v>
      </c>
      <c r="V131" s="30">
        <f t="shared" si="65"/>
        <v>4000</v>
      </c>
      <c r="W131" s="30">
        <f t="shared" si="65"/>
        <v>4000</v>
      </c>
      <c r="X131" s="30">
        <f t="shared" si="65"/>
        <v>150</v>
      </c>
      <c r="Y131" s="30">
        <f t="shared" si="65"/>
        <v>0</v>
      </c>
      <c r="Z131" s="30">
        <f t="shared" si="65"/>
        <v>0</v>
      </c>
      <c r="AA131" s="30">
        <f t="shared" si="65"/>
        <v>0</v>
      </c>
      <c r="AB131" s="30">
        <f t="shared" si="65"/>
        <v>0</v>
      </c>
      <c r="AC131" s="30">
        <f t="shared" si="64"/>
        <v>28150</v>
      </c>
      <c r="AD131" s="152"/>
      <c r="AE131" s="152"/>
    </row>
    <row r="132" spans="1:31" s="9" customFormat="1" ht="73.5" customHeight="1" x14ac:dyDescent="0.4">
      <c r="A132" s="7"/>
      <c r="B132" s="8" t="s">
        <v>16</v>
      </c>
      <c r="C132" s="142"/>
      <c r="D132" s="21" t="s">
        <v>328</v>
      </c>
      <c r="E132" s="147"/>
      <c r="F132" s="148"/>
      <c r="G132" s="148"/>
      <c r="H132" s="148"/>
      <c r="I132" s="148"/>
      <c r="J132" s="148"/>
      <c r="K132" s="148"/>
      <c r="L132" s="148"/>
      <c r="M132" s="27" t="s">
        <v>325</v>
      </c>
      <c r="N132" s="27" t="s">
        <v>189</v>
      </c>
      <c r="O132" s="30">
        <v>4000</v>
      </c>
      <c r="P132" s="116"/>
      <c r="Q132" s="30">
        <v>4000</v>
      </c>
      <c r="R132" s="116"/>
      <c r="S132" s="30">
        <v>4000</v>
      </c>
      <c r="T132" s="30">
        <v>4000</v>
      </c>
      <c r="U132" s="30">
        <v>4000</v>
      </c>
      <c r="V132" s="30">
        <v>4000</v>
      </c>
      <c r="W132" s="30">
        <v>4000</v>
      </c>
      <c r="X132" s="30">
        <v>150</v>
      </c>
      <c r="Y132" s="30"/>
      <c r="Z132" s="30"/>
      <c r="AA132" s="30"/>
      <c r="AB132" s="30"/>
      <c r="AC132" s="29">
        <f>SUM(O132:AB132)</f>
        <v>28150</v>
      </c>
      <c r="AD132" s="152"/>
      <c r="AE132" s="152"/>
    </row>
    <row r="133" spans="1:31" s="9" customFormat="1" ht="73.5" customHeight="1" x14ac:dyDescent="0.4">
      <c r="A133" s="7"/>
      <c r="B133" s="8" t="s">
        <v>16</v>
      </c>
      <c r="C133" s="142"/>
      <c r="D133" s="21" t="s">
        <v>328</v>
      </c>
      <c r="E133" s="147"/>
      <c r="F133" s="148"/>
      <c r="G133" s="148"/>
      <c r="H133" s="148"/>
      <c r="I133" s="148"/>
      <c r="J133" s="148"/>
      <c r="K133" s="148"/>
      <c r="L133" s="148"/>
      <c r="M133" s="32" t="s">
        <v>187</v>
      </c>
      <c r="N133" s="27"/>
      <c r="O133" s="30">
        <f>+O134</f>
        <v>0</v>
      </c>
      <c r="P133" s="116"/>
      <c r="Q133" s="30">
        <f t="shared" ref="Q133:AB133" si="66">+Q134</f>
        <v>0</v>
      </c>
      <c r="R133" s="116"/>
      <c r="S133" s="30">
        <f t="shared" si="66"/>
        <v>0</v>
      </c>
      <c r="T133" s="30">
        <f t="shared" si="66"/>
        <v>0</v>
      </c>
      <c r="U133" s="30">
        <f t="shared" si="66"/>
        <v>0</v>
      </c>
      <c r="V133" s="30">
        <f t="shared" si="66"/>
        <v>0</v>
      </c>
      <c r="W133" s="30">
        <f t="shared" si="66"/>
        <v>0</v>
      </c>
      <c r="X133" s="30">
        <f t="shared" si="66"/>
        <v>0</v>
      </c>
      <c r="Y133" s="30">
        <f t="shared" si="66"/>
        <v>0</v>
      </c>
      <c r="Z133" s="30">
        <f t="shared" si="66"/>
        <v>0</v>
      </c>
      <c r="AA133" s="30">
        <f t="shared" si="66"/>
        <v>0</v>
      </c>
      <c r="AB133" s="30">
        <f t="shared" si="66"/>
        <v>0</v>
      </c>
      <c r="AC133" s="30">
        <f t="shared" si="64"/>
        <v>0</v>
      </c>
      <c r="AD133" s="152"/>
      <c r="AE133" s="152"/>
    </row>
    <row r="134" spans="1:31" s="9" customFormat="1" ht="73.5" customHeight="1" x14ac:dyDescent="0.4">
      <c r="A134" s="7"/>
      <c r="B134" s="8" t="s">
        <v>16</v>
      </c>
      <c r="C134" s="142"/>
      <c r="D134" s="21" t="s">
        <v>328</v>
      </c>
      <c r="E134" s="147"/>
      <c r="F134" s="148"/>
      <c r="G134" s="148"/>
      <c r="H134" s="148"/>
      <c r="I134" s="148"/>
      <c r="J134" s="148"/>
      <c r="K134" s="148"/>
      <c r="L134" s="148"/>
      <c r="M134" s="27"/>
      <c r="N134" s="27"/>
      <c r="O134" s="30"/>
      <c r="P134" s="116"/>
      <c r="Q134" s="30"/>
      <c r="R134" s="116"/>
      <c r="S134" s="30"/>
      <c r="T134" s="30"/>
      <c r="U134" s="30"/>
      <c r="V134" s="30"/>
      <c r="W134" s="30"/>
      <c r="X134" s="30"/>
      <c r="Y134" s="30"/>
      <c r="Z134" s="30"/>
      <c r="AA134" s="30"/>
      <c r="AB134" s="30"/>
      <c r="AC134" s="29">
        <f>SUM(O134:AB134)</f>
        <v>0</v>
      </c>
      <c r="AD134" s="152"/>
      <c r="AE134" s="152"/>
    </row>
    <row r="135" spans="1:31" s="9" customFormat="1" ht="73.5" customHeight="1" x14ac:dyDescent="0.4">
      <c r="A135" s="7" t="s">
        <v>15</v>
      </c>
      <c r="B135" s="8" t="s">
        <v>16</v>
      </c>
      <c r="C135" s="143"/>
      <c r="D135" s="21" t="s">
        <v>328</v>
      </c>
      <c r="E135" s="149"/>
      <c r="F135" s="150"/>
      <c r="G135" s="150"/>
      <c r="H135" s="150"/>
      <c r="I135" s="150"/>
      <c r="J135" s="150"/>
      <c r="K135" s="150"/>
      <c r="L135" s="150"/>
      <c r="M135" s="27" t="s">
        <v>344</v>
      </c>
      <c r="N135" s="27"/>
      <c r="O135" s="30">
        <f>+O131+O133</f>
        <v>4000</v>
      </c>
      <c r="P135" s="116"/>
      <c r="Q135" s="30">
        <f t="shared" ref="Q135:AB135" si="67">+Q131+Q133</f>
        <v>4000</v>
      </c>
      <c r="R135" s="116"/>
      <c r="S135" s="30">
        <f t="shared" si="67"/>
        <v>4000</v>
      </c>
      <c r="T135" s="30">
        <f t="shared" si="67"/>
        <v>4000</v>
      </c>
      <c r="U135" s="30">
        <f t="shared" si="67"/>
        <v>4000</v>
      </c>
      <c r="V135" s="30">
        <f t="shared" si="67"/>
        <v>4000</v>
      </c>
      <c r="W135" s="30">
        <f t="shared" si="67"/>
        <v>4000</v>
      </c>
      <c r="X135" s="30">
        <f t="shared" si="67"/>
        <v>150</v>
      </c>
      <c r="Y135" s="30">
        <f t="shared" si="67"/>
        <v>0</v>
      </c>
      <c r="Z135" s="30">
        <f t="shared" si="67"/>
        <v>0</v>
      </c>
      <c r="AA135" s="30">
        <f t="shared" si="67"/>
        <v>0</v>
      </c>
      <c r="AB135" s="30">
        <f t="shared" si="67"/>
        <v>0</v>
      </c>
      <c r="AC135" s="31">
        <f t="shared" si="64"/>
        <v>28150</v>
      </c>
      <c r="AD135" s="153"/>
      <c r="AE135" s="153"/>
    </row>
    <row r="136" spans="1:31" ht="96" x14ac:dyDescent="0.4">
      <c r="A136" s="7" t="s">
        <v>15</v>
      </c>
      <c r="B136" s="8" t="s">
        <v>16</v>
      </c>
      <c r="C136" s="141" t="s">
        <v>327</v>
      </c>
      <c r="D136" s="21" t="s">
        <v>345</v>
      </c>
      <c r="E136" s="144" t="s">
        <v>346</v>
      </c>
      <c r="F136" s="7" t="s">
        <v>330</v>
      </c>
      <c r="G136" s="7" t="s">
        <v>21</v>
      </c>
      <c r="H136" s="21" t="s">
        <v>22</v>
      </c>
      <c r="I136" s="7" t="s">
        <v>347</v>
      </c>
      <c r="J136" s="7" t="s">
        <v>99</v>
      </c>
      <c r="K136" s="7" t="s">
        <v>348</v>
      </c>
      <c r="L136" s="7" t="s">
        <v>349</v>
      </c>
      <c r="M136" s="23" t="s">
        <v>27</v>
      </c>
      <c r="N136" s="27"/>
      <c r="O136" s="26"/>
      <c r="P136" s="109"/>
      <c r="Q136" s="26"/>
      <c r="R136" s="109"/>
      <c r="S136" s="26"/>
      <c r="T136" s="26">
        <v>1</v>
      </c>
      <c r="U136" s="26"/>
      <c r="V136" s="26"/>
      <c r="W136" s="26"/>
      <c r="X136" s="26"/>
      <c r="Y136" s="26"/>
      <c r="Z136" s="26"/>
      <c r="AA136" s="26"/>
      <c r="AB136" s="26"/>
      <c r="AC136" s="26">
        <f t="shared" ref="AC136:AC142" si="68">SUM(O136:AB136)</f>
        <v>1</v>
      </c>
      <c r="AD136" s="26"/>
      <c r="AE136" s="26"/>
    </row>
    <row r="137" spans="1:31" ht="144" x14ac:dyDescent="0.4">
      <c r="A137" s="7" t="s">
        <v>15</v>
      </c>
      <c r="B137" s="8" t="s">
        <v>16</v>
      </c>
      <c r="C137" s="142"/>
      <c r="D137" s="21" t="s">
        <v>345</v>
      </c>
      <c r="E137" s="144"/>
      <c r="F137" s="7" t="s">
        <v>330</v>
      </c>
      <c r="G137" s="7" t="s">
        <v>21</v>
      </c>
      <c r="H137" s="21" t="s">
        <v>30</v>
      </c>
      <c r="I137" s="7" t="s">
        <v>350</v>
      </c>
      <c r="J137" s="7" t="s">
        <v>99</v>
      </c>
      <c r="K137" s="7" t="s">
        <v>351</v>
      </c>
      <c r="L137" s="7" t="s">
        <v>352</v>
      </c>
      <c r="M137" s="23" t="s">
        <v>27</v>
      </c>
      <c r="N137" s="27"/>
      <c r="O137" s="26"/>
      <c r="P137" s="109"/>
      <c r="Q137" s="26"/>
      <c r="R137" s="109"/>
      <c r="S137" s="26"/>
      <c r="T137" s="26"/>
      <c r="U137" s="26"/>
      <c r="V137" s="26">
        <v>1</v>
      </c>
      <c r="W137" s="26"/>
      <c r="X137" s="26"/>
      <c r="Y137" s="26"/>
      <c r="Z137" s="26"/>
      <c r="AA137" s="26"/>
      <c r="AB137" s="26"/>
      <c r="AC137" s="26">
        <f t="shared" si="68"/>
        <v>1</v>
      </c>
      <c r="AD137" s="26"/>
      <c r="AE137" s="26"/>
    </row>
    <row r="138" spans="1:31" ht="144" x14ac:dyDescent="0.4">
      <c r="A138" s="7" t="s">
        <v>15</v>
      </c>
      <c r="B138" s="8" t="s">
        <v>16</v>
      </c>
      <c r="C138" s="142"/>
      <c r="D138" s="21" t="s">
        <v>345</v>
      </c>
      <c r="E138" s="144"/>
      <c r="F138" s="7" t="s">
        <v>330</v>
      </c>
      <c r="G138" s="7" t="s">
        <v>21</v>
      </c>
      <c r="H138" s="21" t="s">
        <v>36</v>
      </c>
      <c r="I138" s="7" t="s">
        <v>353</v>
      </c>
      <c r="J138" s="7" t="s">
        <v>99</v>
      </c>
      <c r="K138" s="7" t="s">
        <v>354</v>
      </c>
      <c r="L138" s="7" t="s">
        <v>355</v>
      </c>
      <c r="M138" s="23" t="s">
        <v>27</v>
      </c>
      <c r="N138" s="27"/>
      <c r="O138" s="26"/>
      <c r="P138" s="109"/>
      <c r="Q138" s="26"/>
      <c r="R138" s="109"/>
      <c r="S138" s="26"/>
      <c r="T138" s="26"/>
      <c r="U138" s="26"/>
      <c r="V138" s="26">
        <v>1</v>
      </c>
      <c r="W138" s="26"/>
      <c r="X138" s="26"/>
      <c r="Y138" s="26"/>
      <c r="Z138" s="26"/>
      <c r="AA138" s="26"/>
      <c r="AB138" s="26"/>
      <c r="AC138" s="26">
        <f t="shared" si="68"/>
        <v>1</v>
      </c>
      <c r="AD138" s="36"/>
      <c r="AE138" s="36"/>
    </row>
    <row r="139" spans="1:31" ht="120" x14ac:dyDescent="0.4">
      <c r="A139" s="7" t="s">
        <v>15</v>
      </c>
      <c r="B139" s="8" t="s">
        <v>16</v>
      </c>
      <c r="C139" s="142"/>
      <c r="D139" s="21" t="s">
        <v>345</v>
      </c>
      <c r="E139" s="144"/>
      <c r="F139" s="7" t="s">
        <v>330</v>
      </c>
      <c r="G139" s="7" t="s">
        <v>21</v>
      </c>
      <c r="H139" s="21" t="s">
        <v>41</v>
      </c>
      <c r="I139" s="7" t="s">
        <v>356</v>
      </c>
      <c r="J139" s="7" t="s">
        <v>99</v>
      </c>
      <c r="K139" s="7" t="s">
        <v>357</v>
      </c>
      <c r="L139" s="7" t="s">
        <v>358</v>
      </c>
      <c r="M139" s="23" t="s">
        <v>27</v>
      </c>
      <c r="N139" s="27"/>
      <c r="O139" s="26"/>
      <c r="P139" s="109"/>
      <c r="Q139" s="26"/>
      <c r="R139" s="109"/>
      <c r="S139" s="26"/>
      <c r="T139" s="26"/>
      <c r="U139" s="26"/>
      <c r="V139" s="26"/>
      <c r="W139" s="26">
        <v>1</v>
      </c>
      <c r="X139" s="26"/>
      <c r="Y139" s="26"/>
      <c r="Z139" s="26"/>
      <c r="AA139" s="26"/>
      <c r="AB139" s="26"/>
      <c r="AC139" s="26">
        <f t="shared" si="68"/>
        <v>1</v>
      </c>
      <c r="AD139" s="36"/>
      <c r="AE139" s="36"/>
    </row>
    <row r="140" spans="1:31" ht="120" x14ac:dyDescent="0.4">
      <c r="A140" s="7" t="s">
        <v>15</v>
      </c>
      <c r="B140" s="8" t="s">
        <v>16</v>
      </c>
      <c r="C140" s="142"/>
      <c r="D140" s="21" t="s">
        <v>345</v>
      </c>
      <c r="E140" s="144"/>
      <c r="F140" s="7" t="s">
        <v>330</v>
      </c>
      <c r="G140" s="7" t="s">
        <v>29</v>
      </c>
      <c r="H140" s="21" t="s">
        <v>46</v>
      </c>
      <c r="I140" s="7" t="s">
        <v>359</v>
      </c>
      <c r="J140" s="7" t="s">
        <v>99</v>
      </c>
      <c r="K140" s="7" t="s">
        <v>360</v>
      </c>
      <c r="L140" s="7" t="s">
        <v>361</v>
      </c>
      <c r="M140" s="23" t="s">
        <v>27</v>
      </c>
      <c r="N140" s="27"/>
      <c r="O140" s="26"/>
      <c r="P140" s="109"/>
      <c r="Q140" s="26">
        <v>1</v>
      </c>
      <c r="R140" s="109"/>
      <c r="S140" s="26">
        <v>1</v>
      </c>
      <c r="T140" s="26"/>
      <c r="U140" s="26"/>
      <c r="V140" s="26"/>
      <c r="W140" s="26"/>
      <c r="X140" s="26"/>
      <c r="Y140" s="26"/>
      <c r="Z140" s="26"/>
      <c r="AA140" s="26"/>
      <c r="AB140" s="26"/>
      <c r="AC140" s="26">
        <f t="shared" si="68"/>
        <v>2</v>
      </c>
      <c r="AD140" s="36"/>
      <c r="AE140" s="36"/>
    </row>
    <row r="141" spans="1:31" ht="168" x14ac:dyDescent="0.4">
      <c r="A141" s="7" t="s">
        <v>15</v>
      </c>
      <c r="B141" s="8" t="s">
        <v>16</v>
      </c>
      <c r="C141" s="142"/>
      <c r="D141" s="21" t="s">
        <v>345</v>
      </c>
      <c r="E141" s="144"/>
      <c r="F141" s="7" t="s">
        <v>330</v>
      </c>
      <c r="G141" s="7" t="s">
        <v>21</v>
      </c>
      <c r="H141" s="21" t="s">
        <v>51</v>
      </c>
      <c r="I141" s="7" t="s">
        <v>362</v>
      </c>
      <c r="J141" s="7" t="s">
        <v>340</v>
      </c>
      <c r="K141" s="7" t="s">
        <v>363</v>
      </c>
      <c r="L141" s="7" t="s">
        <v>364</v>
      </c>
      <c r="M141" s="23" t="s">
        <v>27</v>
      </c>
      <c r="N141" s="27"/>
      <c r="O141" s="26"/>
      <c r="P141" s="109"/>
      <c r="Q141" s="26"/>
      <c r="R141" s="109"/>
      <c r="S141" s="26"/>
      <c r="T141" s="26">
        <v>1</v>
      </c>
      <c r="U141" s="26"/>
      <c r="V141" s="26">
        <v>1</v>
      </c>
      <c r="W141" s="26">
        <v>1</v>
      </c>
      <c r="X141" s="26"/>
      <c r="Y141" s="26"/>
      <c r="Z141" s="26"/>
      <c r="AA141" s="26"/>
      <c r="AB141" s="26"/>
      <c r="AC141" s="26">
        <f t="shared" si="68"/>
        <v>3</v>
      </c>
      <c r="AD141" s="36"/>
      <c r="AE141" s="36"/>
    </row>
    <row r="142" spans="1:31" s="9" customFormat="1" ht="75" customHeight="1" x14ac:dyDescent="0.4">
      <c r="A142" s="7" t="s">
        <v>15</v>
      </c>
      <c r="B142" s="8" t="s">
        <v>16</v>
      </c>
      <c r="C142" s="142"/>
      <c r="D142" s="21" t="s">
        <v>345</v>
      </c>
      <c r="E142" s="145" t="s">
        <v>345</v>
      </c>
      <c r="F142" s="146"/>
      <c r="G142" s="146"/>
      <c r="H142" s="146"/>
      <c r="I142" s="146"/>
      <c r="J142" s="146"/>
      <c r="K142" s="146"/>
      <c r="L142" s="146"/>
      <c r="M142" s="27" t="s">
        <v>64</v>
      </c>
      <c r="N142" s="27"/>
      <c r="O142" s="30">
        <f>SUM(O136:O141)</f>
        <v>0</v>
      </c>
      <c r="P142" s="116"/>
      <c r="Q142" s="30">
        <f t="shared" ref="Q142:AB142" si="69">SUM(Q136:Q141)</f>
        <v>1</v>
      </c>
      <c r="R142" s="116"/>
      <c r="S142" s="30">
        <f t="shared" si="69"/>
        <v>1</v>
      </c>
      <c r="T142" s="30">
        <f t="shared" si="69"/>
        <v>2</v>
      </c>
      <c r="U142" s="30">
        <f t="shared" si="69"/>
        <v>0</v>
      </c>
      <c r="V142" s="30">
        <f t="shared" si="69"/>
        <v>3</v>
      </c>
      <c r="W142" s="30">
        <f t="shared" si="69"/>
        <v>2</v>
      </c>
      <c r="X142" s="30">
        <f t="shared" si="69"/>
        <v>0</v>
      </c>
      <c r="Y142" s="30">
        <f t="shared" si="69"/>
        <v>0</v>
      </c>
      <c r="Z142" s="30">
        <f t="shared" si="69"/>
        <v>0</v>
      </c>
      <c r="AA142" s="30">
        <f t="shared" si="69"/>
        <v>0</v>
      </c>
      <c r="AB142" s="30">
        <f t="shared" si="69"/>
        <v>0</v>
      </c>
      <c r="AC142" s="30">
        <f t="shared" si="68"/>
        <v>9</v>
      </c>
      <c r="AD142" s="151"/>
      <c r="AE142" s="151"/>
    </row>
    <row r="143" spans="1:31" s="9" customFormat="1" ht="75" customHeight="1" x14ac:dyDescent="0.4">
      <c r="A143" s="7" t="s">
        <v>15</v>
      </c>
      <c r="B143" s="8" t="s">
        <v>16</v>
      </c>
      <c r="C143" s="142"/>
      <c r="D143" s="21" t="s">
        <v>345</v>
      </c>
      <c r="E143" s="147"/>
      <c r="F143" s="148"/>
      <c r="G143" s="148"/>
      <c r="H143" s="148"/>
      <c r="I143" s="148"/>
      <c r="J143" s="148"/>
      <c r="K143" s="148"/>
      <c r="L143" s="148"/>
      <c r="M143" s="27" t="s">
        <v>179</v>
      </c>
      <c r="N143" s="27"/>
      <c r="O143" s="30"/>
      <c r="P143" s="116"/>
      <c r="Q143" s="30"/>
      <c r="R143" s="116"/>
      <c r="S143" s="30"/>
      <c r="T143" s="30"/>
      <c r="U143" s="30"/>
      <c r="V143" s="30"/>
      <c r="W143" s="30"/>
      <c r="X143" s="30"/>
      <c r="Y143" s="30"/>
      <c r="Z143" s="30"/>
      <c r="AA143" s="30"/>
      <c r="AB143" s="30"/>
      <c r="AC143" s="30">
        <f t="shared" ref="AC143:AC150" si="70">SUM(O143:AB143)</f>
        <v>0</v>
      </c>
      <c r="AD143" s="152"/>
      <c r="AE143" s="152"/>
    </row>
    <row r="144" spans="1:31" s="9" customFormat="1" ht="75" customHeight="1" x14ac:dyDescent="0.4">
      <c r="A144" s="7" t="s">
        <v>15</v>
      </c>
      <c r="B144" s="8" t="s">
        <v>16</v>
      </c>
      <c r="C144" s="142"/>
      <c r="D144" s="21" t="s">
        <v>345</v>
      </c>
      <c r="E144" s="147"/>
      <c r="F144" s="148"/>
      <c r="G144" s="148"/>
      <c r="H144" s="148"/>
      <c r="I144" s="148"/>
      <c r="J144" s="148"/>
      <c r="K144" s="148"/>
      <c r="L144" s="148"/>
      <c r="M144" s="32" t="s">
        <v>187</v>
      </c>
      <c r="N144" s="27"/>
      <c r="O144" s="30">
        <f>+O145</f>
        <v>4000</v>
      </c>
      <c r="P144" s="116"/>
      <c r="Q144" s="30">
        <f t="shared" ref="Q144:AB144" si="71">+Q145</f>
        <v>4000</v>
      </c>
      <c r="R144" s="116"/>
      <c r="S144" s="30">
        <f t="shared" si="71"/>
        <v>4000</v>
      </c>
      <c r="T144" s="30">
        <f t="shared" si="71"/>
        <v>4000</v>
      </c>
      <c r="U144" s="30">
        <f t="shared" si="71"/>
        <v>4000</v>
      </c>
      <c r="V144" s="30">
        <f t="shared" si="71"/>
        <v>4000</v>
      </c>
      <c r="W144" s="30">
        <f t="shared" si="71"/>
        <v>4000</v>
      </c>
      <c r="X144" s="30">
        <f t="shared" si="71"/>
        <v>2500</v>
      </c>
      <c r="Y144" s="30">
        <f t="shared" si="71"/>
        <v>0</v>
      </c>
      <c r="Z144" s="30">
        <f t="shared" si="71"/>
        <v>0</v>
      </c>
      <c r="AA144" s="30">
        <f t="shared" si="71"/>
        <v>0</v>
      </c>
      <c r="AB144" s="30">
        <f t="shared" si="71"/>
        <v>0</v>
      </c>
      <c r="AC144" s="30">
        <f t="shared" si="70"/>
        <v>30500</v>
      </c>
      <c r="AD144" s="152"/>
      <c r="AE144" s="152"/>
    </row>
    <row r="145" spans="1:31" s="9" customFormat="1" ht="75" customHeight="1" x14ac:dyDescent="0.4">
      <c r="A145" s="7"/>
      <c r="B145" s="8"/>
      <c r="C145" s="142"/>
      <c r="D145" s="21"/>
      <c r="E145" s="147"/>
      <c r="F145" s="148"/>
      <c r="G145" s="148"/>
      <c r="H145" s="148"/>
      <c r="I145" s="148"/>
      <c r="J145" s="148"/>
      <c r="K145" s="148"/>
      <c r="L145" s="148"/>
      <c r="M145" s="27" t="s">
        <v>365</v>
      </c>
      <c r="N145" s="27" t="s">
        <v>189</v>
      </c>
      <c r="O145" s="30">
        <v>4000</v>
      </c>
      <c r="P145" s="116"/>
      <c r="Q145" s="30">
        <v>4000</v>
      </c>
      <c r="R145" s="116"/>
      <c r="S145" s="30">
        <v>4000</v>
      </c>
      <c r="T145" s="30">
        <v>4000</v>
      </c>
      <c r="U145" s="30">
        <v>4000</v>
      </c>
      <c r="V145" s="30">
        <v>4000</v>
      </c>
      <c r="W145" s="30">
        <v>4000</v>
      </c>
      <c r="X145" s="30">
        <v>2500</v>
      </c>
      <c r="Y145" s="30"/>
      <c r="Z145" s="30"/>
      <c r="AA145" s="30"/>
      <c r="AB145" s="30"/>
      <c r="AC145" s="29">
        <f t="shared" si="70"/>
        <v>30500</v>
      </c>
      <c r="AD145" s="152"/>
      <c r="AE145" s="152"/>
    </row>
    <row r="146" spans="1:31" s="9" customFormat="1" ht="75" customHeight="1" x14ac:dyDescent="0.4">
      <c r="A146" s="7" t="s">
        <v>15</v>
      </c>
      <c r="B146" s="8" t="s">
        <v>16</v>
      </c>
      <c r="C146" s="143"/>
      <c r="D146" s="21" t="s">
        <v>345</v>
      </c>
      <c r="E146" s="149"/>
      <c r="F146" s="150"/>
      <c r="G146" s="150"/>
      <c r="H146" s="150"/>
      <c r="I146" s="150"/>
      <c r="J146" s="150"/>
      <c r="K146" s="150"/>
      <c r="L146" s="150"/>
      <c r="M146" s="27" t="s">
        <v>366</v>
      </c>
      <c r="N146" s="27"/>
      <c r="O146" s="30">
        <f>+O144</f>
        <v>4000</v>
      </c>
      <c r="P146" s="116"/>
      <c r="Q146" s="30">
        <f t="shared" ref="Q146:AB146" si="72">+Q144</f>
        <v>4000</v>
      </c>
      <c r="R146" s="116"/>
      <c r="S146" s="30">
        <f t="shared" si="72"/>
        <v>4000</v>
      </c>
      <c r="T146" s="30">
        <f t="shared" si="72"/>
        <v>4000</v>
      </c>
      <c r="U146" s="30">
        <f t="shared" si="72"/>
        <v>4000</v>
      </c>
      <c r="V146" s="30">
        <f t="shared" si="72"/>
        <v>4000</v>
      </c>
      <c r="W146" s="30">
        <f t="shared" si="72"/>
        <v>4000</v>
      </c>
      <c r="X146" s="30">
        <f t="shared" si="72"/>
        <v>2500</v>
      </c>
      <c r="Y146" s="30">
        <f t="shared" si="72"/>
        <v>0</v>
      </c>
      <c r="Z146" s="30">
        <f t="shared" si="72"/>
        <v>0</v>
      </c>
      <c r="AA146" s="30">
        <f t="shared" si="72"/>
        <v>0</v>
      </c>
      <c r="AB146" s="30">
        <f t="shared" si="72"/>
        <v>0</v>
      </c>
      <c r="AC146" s="31">
        <f t="shared" si="70"/>
        <v>30500</v>
      </c>
      <c r="AD146" s="153"/>
      <c r="AE146" s="153"/>
    </row>
    <row r="147" spans="1:31" ht="168" x14ac:dyDescent="0.4">
      <c r="A147" s="7" t="s">
        <v>15</v>
      </c>
      <c r="B147" s="8" t="s">
        <v>16</v>
      </c>
      <c r="C147" s="144" t="s">
        <v>327</v>
      </c>
      <c r="D147" s="21" t="s">
        <v>367</v>
      </c>
      <c r="E147" s="144" t="s">
        <v>368</v>
      </c>
      <c r="F147" s="144" t="s">
        <v>330</v>
      </c>
      <c r="G147" s="7" t="s">
        <v>21</v>
      </c>
      <c r="H147" s="21" t="s">
        <v>22</v>
      </c>
      <c r="I147" s="7" t="s">
        <v>369</v>
      </c>
      <c r="J147" s="7" t="s">
        <v>372</v>
      </c>
      <c r="K147" s="7" t="s">
        <v>370</v>
      </c>
      <c r="L147" s="7" t="s">
        <v>371</v>
      </c>
      <c r="M147" s="23" t="s">
        <v>27</v>
      </c>
      <c r="N147" s="27"/>
      <c r="O147" s="26"/>
      <c r="P147" s="109"/>
      <c r="Q147" s="26"/>
      <c r="R147" s="109"/>
      <c r="S147" s="26">
        <v>25</v>
      </c>
      <c r="T147" s="26">
        <v>20</v>
      </c>
      <c r="U147" s="26"/>
      <c r="V147" s="26"/>
      <c r="W147" s="26"/>
      <c r="X147" s="26"/>
      <c r="Y147" s="26"/>
      <c r="Z147" s="26"/>
      <c r="AA147" s="26"/>
      <c r="AB147" s="26"/>
      <c r="AC147" s="26">
        <f t="shared" si="70"/>
        <v>45</v>
      </c>
      <c r="AD147" s="36"/>
      <c r="AE147" s="36"/>
    </row>
    <row r="148" spans="1:31" ht="96" x14ac:dyDescent="0.4">
      <c r="A148" s="7" t="s">
        <v>15</v>
      </c>
      <c r="B148" s="8" t="s">
        <v>16</v>
      </c>
      <c r="C148" s="144"/>
      <c r="D148" s="21" t="s">
        <v>367</v>
      </c>
      <c r="E148" s="144"/>
      <c r="F148" s="144"/>
      <c r="G148" s="7" t="s">
        <v>21</v>
      </c>
      <c r="H148" s="21" t="s">
        <v>30</v>
      </c>
      <c r="I148" s="7" t="s">
        <v>373</v>
      </c>
      <c r="J148" s="7" t="s">
        <v>59</v>
      </c>
      <c r="K148" s="7" t="s">
        <v>374</v>
      </c>
      <c r="L148" s="7" t="s">
        <v>375</v>
      </c>
      <c r="M148" s="23" t="s">
        <v>27</v>
      </c>
      <c r="N148" s="27"/>
      <c r="O148" s="26"/>
      <c r="P148" s="109"/>
      <c r="Q148" s="26"/>
      <c r="R148" s="109"/>
      <c r="S148" s="26"/>
      <c r="T148" s="26"/>
      <c r="U148" s="26">
        <v>1</v>
      </c>
      <c r="V148" s="26">
        <v>1</v>
      </c>
      <c r="W148" s="26"/>
      <c r="X148" s="26"/>
      <c r="Y148" s="26"/>
      <c r="Z148" s="26"/>
      <c r="AA148" s="26"/>
      <c r="AB148" s="26"/>
      <c r="AC148" s="26">
        <f t="shared" si="70"/>
        <v>2</v>
      </c>
      <c r="AD148" s="36"/>
      <c r="AE148" s="36"/>
    </row>
    <row r="149" spans="1:31" ht="120" x14ac:dyDescent="0.4">
      <c r="A149" s="7" t="s">
        <v>15</v>
      </c>
      <c r="B149" s="8" t="s">
        <v>16</v>
      </c>
      <c r="C149" s="144"/>
      <c r="D149" s="21" t="s">
        <v>367</v>
      </c>
      <c r="E149" s="144"/>
      <c r="F149" s="144"/>
      <c r="G149" s="7" t="s">
        <v>21</v>
      </c>
      <c r="H149" s="21"/>
      <c r="I149" s="7" t="s">
        <v>376</v>
      </c>
      <c r="J149" s="7" t="s">
        <v>379</v>
      </c>
      <c r="K149" s="7" t="s">
        <v>377</v>
      </c>
      <c r="L149" s="7" t="s">
        <v>378</v>
      </c>
      <c r="M149" s="23" t="s">
        <v>27</v>
      </c>
      <c r="N149" s="27"/>
      <c r="O149" s="26"/>
      <c r="P149" s="109"/>
      <c r="Q149" s="26"/>
      <c r="R149" s="109"/>
      <c r="S149" s="26"/>
      <c r="T149" s="26"/>
      <c r="U149" s="36"/>
      <c r="V149" s="26">
        <v>25</v>
      </c>
      <c r="W149" s="26">
        <v>30</v>
      </c>
      <c r="X149" s="26"/>
      <c r="Y149" s="26"/>
      <c r="Z149" s="26"/>
      <c r="AA149" s="26"/>
      <c r="AB149" s="26"/>
      <c r="AC149" s="26">
        <f t="shared" si="70"/>
        <v>55</v>
      </c>
      <c r="AD149" s="36"/>
      <c r="AE149" s="36"/>
    </row>
    <row r="150" spans="1:31" ht="168" x14ac:dyDescent="0.4">
      <c r="A150" s="7" t="s">
        <v>15</v>
      </c>
      <c r="B150" s="8" t="s">
        <v>16</v>
      </c>
      <c r="C150" s="144"/>
      <c r="D150" s="21" t="s">
        <v>367</v>
      </c>
      <c r="E150" s="144"/>
      <c r="F150" s="144"/>
      <c r="G150" s="7" t="s">
        <v>29</v>
      </c>
      <c r="H150" s="21" t="s">
        <v>380</v>
      </c>
      <c r="I150" s="7" t="s">
        <v>381</v>
      </c>
      <c r="J150" s="7" t="s">
        <v>340</v>
      </c>
      <c r="K150" s="7" t="s">
        <v>382</v>
      </c>
      <c r="L150" s="7" t="s">
        <v>383</v>
      </c>
      <c r="M150" s="23" t="s">
        <v>27</v>
      </c>
      <c r="N150" s="27"/>
      <c r="O150" s="26"/>
      <c r="P150" s="109"/>
      <c r="Q150" s="26">
        <v>1</v>
      </c>
      <c r="R150" s="109"/>
      <c r="S150" s="26"/>
      <c r="T150" s="26">
        <v>1</v>
      </c>
      <c r="U150" s="26"/>
      <c r="V150" s="26">
        <v>1</v>
      </c>
      <c r="W150" s="26">
        <v>1</v>
      </c>
      <c r="X150" s="26"/>
      <c r="Y150" s="26"/>
      <c r="Z150" s="26"/>
      <c r="AA150" s="26"/>
      <c r="AB150" s="26"/>
      <c r="AC150" s="26">
        <f t="shared" si="70"/>
        <v>4</v>
      </c>
      <c r="AD150" s="36"/>
      <c r="AE150" s="36"/>
    </row>
    <row r="151" spans="1:31" s="9" customFormat="1" ht="93" customHeight="1" x14ac:dyDescent="0.4">
      <c r="A151" s="7" t="s">
        <v>15</v>
      </c>
      <c r="B151" s="8" t="s">
        <v>16</v>
      </c>
      <c r="C151" s="144"/>
      <c r="D151" s="21" t="s">
        <v>367</v>
      </c>
      <c r="E151" s="146" t="s">
        <v>367</v>
      </c>
      <c r="F151" s="146"/>
      <c r="G151" s="146"/>
      <c r="H151" s="146"/>
      <c r="I151" s="146"/>
      <c r="J151" s="146"/>
      <c r="K151" s="146"/>
      <c r="L151" s="146"/>
      <c r="M151" s="27" t="s">
        <v>64</v>
      </c>
      <c r="N151" s="27"/>
      <c r="O151" s="30">
        <f>SUM(O149)</f>
        <v>0</v>
      </c>
      <c r="P151" s="116"/>
      <c r="Q151" s="30">
        <f t="shared" ref="Q151:AB151" si="73">SUM(Q149)</f>
        <v>0</v>
      </c>
      <c r="R151" s="116"/>
      <c r="S151" s="30">
        <f t="shared" si="73"/>
        <v>0</v>
      </c>
      <c r="T151" s="30">
        <f t="shared" si="73"/>
        <v>0</v>
      </c>
      <c r="U151" s="30">
        <f t="shared" si="73"/>
        <v>0</v>
      </c>
      <c r="V151" s="30">
        <f>SUM(V149)</f>
        <v>25</v>
      </c>
      <c r="W151" s="30">
        <f>SUM(W149)</f>
        <v>30</v>
      </c>
      <c r="X151" s="30">
        <f t="shared" si="73"/>
        <v>0</v>
      </c>
      <c r="Y151" s="30">
        <f t="shared" si="73"/>
        <v>0</v>
      </c>
      <c r="Z151" s="30">
        <f t="shared" si="73"/>
        <v>0</v>
      </c>
      <c r="AA151" s="30">
        <f t="shared" si="73"/>
        <v>0</v>
      </c>
      <c r="AB151" s="30">
        <f t="shared" si="73"/>
        <v>0</v>
      </c>
      <c r="AC151" s="30">
        <f>SUM(O151:AB151)</f>
        <v>55</v>
      </c>
      <c r="AD151" s="151"/>
      <c r="AE151" s="151"/>
    </row>
    <row r="152" spans="1:31" ht="93" customHeight="1" x14ac:dyDescent="0.4">
      <c r="A152" s="7" t="s">
        <v>15</v>
      </c>
      <c r="B152" s="8" t="s">
        <v>16</v>
      </c>
      <c r="C152" s="144"/>
      <c r="D152" s="21" t="s">
        <v>367</v>
      </c>
      <c r="E152" s="148"/>
      <c r="F152" s="148"/>
      <c r="G152" s="148"/>
      <c r="H152" s="148"/>
      <c r="I152" s="148"/>
      <c r="J152" s="148"/>
      <c r="K152" s="148"/>
      <c r="L152" s="148"/>
      <c r="M152" s="27" t="s">
        <v>179</v>
      </c>
      <c r="N152" s="27"/>
      <c r="O152" s="30"/>
      <c r="P152" s="116"/>
      <c r="Q152" s="30"/>
      <c r="R152" s="116"/>
      <c r="S152" s="30"/>
      <c r="T152" s="30"/>
      <c r="U152" s="30"/>
      <c r="V152" s="30"/>
      <c r="W152" s="30"/>
      <c r="X152" s="30"/>
      <c r="Y152" s="30"/>
      <c r="Z152" s="30"/>
      <c r="AA152" s="30"/>
      <c r="AB152" s="30"/>
      <c r="AC152" s="30">
        <f>SUM(O152:AB152)</f>
        <v>0</v>
      </c>
      <c r="AD152" s="152"/>
      <c r="AE152" s="152"/>
    </row>
    <row r="153" spans="1:31" ht="93" customHeight="1" x14ac:dyDescent="0.4">
      <c r="A153" s="7" t="s">
        <v>15</v>
      </c>
      <c r="B153" s="8" t="s">
        <v>16</v>
      </c>
      <c r="C153" s="144"/>
      <c r="D153" s="21" t="s">
        <v>367</v>
      </c>
      <c r="E153" s="148"/>
      <c r="F153" s="148"/>
      <c r="G153" s="148"/>
      <c r="H153" s="148"/>
      <c r="I153" s="148"/>
      <c r="J153" s="148"/>
      <c r="K153" s="148"/>
      <c r="L153" s="148"/>
      <c r="M153" s="32" t="s">
        <v>187</v>
      </c>
      <c r="N153" s="27"/>
      <c r="O153" s="30">
        <f>+O154</f>
        <v>4000</v>
      </c>
      <c r="P153" s="116"/>
      <c r="Q153" s="30">
        <f t="shared" ref="Q153:AB153" si="74">+Q154</f>
        <v>4000</v>
      </c>
      <c r="R153" s="116"/>
      <c r="S153" s="30">
        <f t="shared" si="74"/>
        <v>4000</v>
      </c>
      <c r="T153" s="30">
        <f t="shared" si="74"/>
        <v>4000</v>
      </c>
      <c r="U153" s="30">
        <f t="shared" si="74"/>
        <v>4000</v>
      </c>
      <c r="V153" s="30">
        <f t="shared" si="74"/>
        <v>4000</v>
      </c>
      <c r="W153" s="30">
        <f t="shared" si="74"/>
        <v>4000</v>
      </c>
      <c r="X153" s="30">
        <f t="shared" si="74"/>
        <v>4000</v>
      </c>
      <c r="Y153" s="30">
        <f t="shared" si="74"/>
        <v>0</v>
      </c>
      <c r="Z153" s="30">
        <f t="shared" si="74"/>
        <v>0</v>
      </c>
      <c r="AA153" s="30">
        <f t="shared" si="74"/>
        <v>0</v>
      </c>
      <c r="AB153" s="30">
        <f t="shared" si="74"/>
        <v>0</v>
      </c>
      <c r="AC153" s="30">
        <f>SUM(O153:AB153)</f>
        <v>32000</v>
      </c>
      <c r="AD153" s="152"/>
      <c r="AE153" s="152"/>
    </row>
    <row r="154" spans="1:31" ht="93" customHeight="1" x14ac:dyDescent="0.4">
      <c r="A154" s="7"/>
      <c r="B154" s="8"/>
      <c r="C154" s="144"/>
      <c r="D154" s="21"/>
      <c r="E154" s="148"/>
      <c r="F154" s="148"/>
      <c r="G154" s="148"/>
      <c r="H154" s="148"/>
      <c r="I154" s="148"/>
      <c r="J154" s="148"/>
      <c r="K154" s="148"/>
      <c r="L154" s="148"/>
      <c r="M154" s="27" t="s">
        <v>365</v>
      </c>
      <c r="N154" s="27" t="s">
        <v>189</v>
      </c>
      <c r="O154" s="29">
        <v>4000</v>
      </c>
      <c r="P154" s="109"/>
      <c r="Q154" s="29">
        <v>4000</v>
      </c>
      <c r="R154" s="109"/>
      <c r="S154" s="29">
        <v>4000</v>
      </c>
      <c r="T154" s="29">
        <v>4000</v>
      </c>
      <c r="U154" s="29">
        <v>4000</v>
      </c>
      <c r="V154" s="29">
        <v>4000</v>
      </c>
      <c r="W154" s="29">
        <v>4000</v>
      </c>
      <c r="X154" s="29">
        <v>4000</v>
      </c>
      <c r="Y154" s="29"/>
      <c r="Z154" s="29"/>
      <c r="AA154" s="29"/>
      <c r="AB154" s="29"/>
      <c r="AC154" s="29">
        <f>SUM(O154:AB154)</f>
        <v>32000</v>
      </c>
      <c r="AD154" s="152"/>
      <c r="AE154" s="152"/>
    </row>
    <row r="155" spans="1:31" ht="93" customHeight="1" x14ac:dyDescent="0.4">
      <c r="A155" s="7" t="s">
        <v>15</v>
      </c>
      <c r="B155" s="8" t="s">
        <v>16</v>
      </c>
      <c r="C155" s="144"/>
      <c r="D155" s="21" t="s">
        <v>367</v>
      </c>
      <c r="E155" s="148"/>
      <c r="F155" s="148"/>
      <c r="G155" s="148"/>
      <c r="H155" s="148"/>
      <c r="I155" s="148"/>
      <c r="J155" s="148"/>
      <c r="K155" s="148"/>
      <c r="L155" s="148"/>
      <c r="M155" s="27" t="s">
        <v>384</v>
      </c>
      <c r="N155" s="27"/>
      <c r="O155" s="30">
        <f>+O153</f>
        <v>4000</v>
      </c>
      <c r="P155" s="116"/>
      <c r="Q155" s="30">
        <f t="shared" ref="Q155:AB155" si="75">+Q153</f>
        <v>4000</v>
      </c>
      <c r="R155" s="116"/>
      <c r="S155" s="30">
        <f t="shared" si="75"/>
        <v>4000</v>
      </c>
      <c r="T155" s="30">
        <f t="shared" si="75"/>
        <v>4000</v>
      </c>
      <c r="U155" s="30">
        <f t="shared" si="75"/>
        <v>4000</v>
      </c>
      <c r="V155" s="30">
        <f t="shared" si="75"/>
        <v>4000</v>
      </c>
      <c r="W155" s="30">
        <f t="shared" si="75"/>
        <v>4000</v>
      </c>
      <c r="X155" s="30">
        <f t="shared" si="75"/>
        <v>4000</v>
      </c>
      <c r="Y155" s="30">
        <f t="shared" si="75"/>
        <v>0</v>
      </c>
      <c r="Z155" s="30">
        <f t="shared" si="75"/>
        <v>0</v>
      </c>
      <c r="AA155" s="30">
        <f t="shared" si="75"/>
        <v>0</v>
      </c>
      <c r="AB155" s="30">
        <f t="shared" si="75"/>
        <v>0</v>
      </c>
      <c r="AC155" s="31">
        <f>SUM(O155:AB155)</f>
        <v>32000</v>
      </c>
      <c r="AD155" s="152"/>
      <c r="AE155" s="152"/>
    </row>
  </sheetData>
  <autoFilter ref="A6:AD155" xr:uid="{59DD297E-CDFD-4D7E-8F93-B2342226C223}"/>
  <mergeCells count="65">
    <mergeCell ref="AE110:AE116"/>
    <mergeCell ref="AE118:AE124"/>
    <mergeCell ref="AE129:AE135"/>
    <mergeCell ref="AE142:AE146"/>
    <mergeCell ref="AE151:AE155"/>
    <mergeCell ref="AE27:AE35"/>
    <mergeCell ref="AE39:AE54"/>
    <mergeCell ref="AE56:AE66"/>
    <mergeCell ref="AE70:AE81"/>
    <mergeCell ref="AE86:AE106"/>
    <mergeCell ref="D2:AD3"/>
    <mergeCell ref="A5:L5"/>
    <mergeCell ref="M5:AB5"/>
    <mergeCell ref="AC5:AC6"/>
    <mergeCell ref="AD5:AD6"/>
    <mergeCell ref="AE5:AE6"/>
    <mergeCell ref="AE10:AE23"/>
    <mergeCell ref="C36:C54"/>
    <mergeCell ref="E36:E38"/>
    <mergeCell ref="E39:L54"/>
    <mergeCell ref="AD39:AD54"/>
    <mergeCell ref="C24:C35"/>
    <mergeCell ref="E24:E26"/>
    <mergeCell ref="F24:F26"/>
    <mergeCell ref="E27:L35"/>
    <mergeCell ref="AD27:AD35"/>
    <mergeCell ref="C7:C23"/>
    <mergeCell ref="E7:E9"/>
    <mergeCell ref="F7:F9"/>
    <mergeCell ref="E10:L23"/>
    <mergeCell ref="AD10:AD23"/>
    <mergeCell ref="C55:C66"/>
    <mergeCell ref="E56:L66"/>
    <mergeCell ref="AD56:AD66"/>
    <mergeCell ref="C67:C81"/>
    <mergeCell ref="E67:E69"/>
    <mergeCell ref="F67:F69"/>
    <mergeCell ref="E70:L81"/>
    <mergeCell ref="AD70:AD81"/>
    <mergeCell ref="C107:C116"/>
    <mergeCell ref="E107:E109"/>
    <mergeCell ref="F107:F109"/>
    <mergeCell ref="E110:L116"/>
    <mergeCell ref="AD110:AD116"/>
    <mergeCell ref="C82:C106"/>
    <mergeCell ref="E82:E85"/>
    <mergeCell ref="F82:F84"/>
    <mergeCell ref="E86:L106"/>
    <mergeCell ref="AD86:AD106"/>
    <mergeCell ref="C117:C124"/>
    <mergeCell ref="E118:L124"/>
    <mergeCell ref="AD118:AD124"/>
    <mergeCell ref="C125:C135"/>
    <mergeCell ref="E125:E128"/>
    <mergeCell ref="E129:L135"/>
    <mergeCell ref="AD129:AD135"/>
    <mergeCell ref="C136:C146"/>
    <mergeCell ref="E136:E141"/>
    <mergeCell ref="E142:L146"/>
    <mergeCell ref="AD142:AD146"/>
    <mergeCell ref="C147:C155"/>
    <mergeCell ref="E147:E150"/>
    <mergeCell ref="F147:F150"/>
    <mergeCell ref="E151:L155"/>
    <mergeCell ref="AD151:AD155"/>
  </mergeCells>
  <phoneticPr fontId="26" type="noConversion"/>
  <dataValidations count="1">
    <dataValidation type="list" allowBlank="1" showInputMessage="1" showErrorMessage="1" sqref="G7:G9 G24:G26 G55 G107:G109 G117 G36:G38 G67:G69 G82:G85 G136:G141 G147:G150 G125:G128" xr:uid="{0C843E97-1893-4DD8-B7A5-7BCB59BA947D}">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07B8-6052-4959-984A-70EB825B5E6C}">
  <sheetPr>
    <tabColor rgb="FFFF0000"/>
    <pageSetUpPr fitToPage="1"/>
  </sheetPr>
  <dimension ref="A1:AE112"/>
  <sheetViews>
    <sheetView showGridLines="0" topLeftCell="I1" zoomScale="60" zoomScaleNormal="60" zoomScalePageLayoutView="71" workbookViewId="0">
      <selection activeCell="AD9" sqref="AD9"/>
    </sheetView>
  </sheetViews>
  <sheetFormatPr baseColWidth="10" defaultColWidth="11.42578125" defaultRowHeight="24" x14ac:dyDescent="0.4"/>
  <cols>
    <col min="1" max="1" width="66.42578125" style="1" customWidth="1"/>
    <col min="2" max="2" width="62.28515625" style="1" customWidth="1"/>
    <col min="3" max="3" width="70" style="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15.85546875" style="1" customWidth="1"/>
    <col min="11" max="11" width="65.28515625" style="1" customWidth="1"/>
    <col min="12" max="12" width="25.140625" style="1" customWidth="1"/>
    <col min="13" max="14" width="27.85546875" style="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6.42578125" style="1" bestFit="1" customWidth="1"/>
    <col min="32" max="16384" width="11.42578125" style="1"/>
  </cols>
  <sheetData>
    <row r="1" spans="1:31" ht="63.75" x14ac:dyDescent="0.4">
      <c r="E1" s="2"/>
      <c r="F1" s="1"/>
      <c r="G1" s="3"/>
      <c r="H1" s="3"/>
      <c r="I1" s="4"/>
      <c r="J1" s="4"/>
      <c r="K1" s="4"/>
      <c r="L1" s="4"/>
      <c r="M1" s="5"/>
      <c r="N1" s="5"/>
      <c r="O1" s="5"/>
      <c r="P1" s="5"/>
      <c r="Q1" s="5"/>
      <c r="R1" s="5"/>
      <c r="S1" s="5"/>
      <c r="T1" s="5"/>
      <c r="U1" s="5"/>
      <c r="V1" s="5"/>
      <c r="W1" s="5"/>
      <c r="X1" s="5"/>
      <c r="Y1" s="5"/>
      <c r="Z1" s="5"/>
      <c r="AA1" s="5"/>
      <c r="AB1" s="5"/>
    </row>
    <row r="2" spans="1:31" ht="34.5" customHeight="1" x14ac:dyDescent="0.4">
      <c r="D2" s="138" t="s">
        <v>385</v>
      </c>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row>
    <row r="3" spans="1:31" ht="34.5" customHeight="1" x14ac:dyDescent="0.4">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row>
    <row r="4" spans="1:31" ht="26.25" customHeight="1" x14ac:dyDescent="0.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1" s="18" customFormat="1" ht="26.25" x14ac:dyDescent="0.4">
      <c r="A5" s="164"/>
      <c r="B5" s="164"/>
      <c r="C5" s="164"/>
      <c r="D5" s="164"/>
      <c r="E5" s="164"/>
      <c r="F5" s="164"/>
      <c r="G5" s="164"/>
      <c r="H5" s="164"/>
      <c r="I5" s="164"/>
      <c r="J5" s="164"/>
      <c r="K5" s="164"/>
      <c r="L5" s="164"/>
      <c r="M5" s="164" t="s">
        <v>0</v>
      </c>
      <c r="N5" s="164"/>
      <c r="O5" s="164"/>
      <c r="P5" s="164"/>
      <c r="Q5" s="164"/>
      <c r="R5" s="164"/>
      <c r="S5" s="164"/>
      <c r="T5" s="164"/>
      <c r="U5" s="164"/>
      <c r="V5" s="164"/>
      <c r="W5" s="164"/>
      <c r="X5" s="164"/>
      <c r="Y5" s="164"/>
      <c r="Z5" s="164"/>
      <c r="AA5" s="164"/>
      <c r="AB5" s="164"/>
      <c r="AC5" s="165" t="s">
        <v>1</v>
      </c>
      <c r="AD5" s="165" t="s">
        <v>2</v>
      </c>
      <c r="AE5" s="161" t="s">
        <v>512</v>
      </c>
    </row>
    <row r="6" spans="1:31" s="18" customFormat="1" ht="67.5" customHeight="1" thickBot="1" x14ac:dyDescent="0.45">
      <c r="A6" s="6" t="s">
        <v>3</v>
      </c>
      <c r="B6" s="6" t="s">
        <v>4</v>
      </c>
      <c r="C6" s="6" t="s">
        <v>5</v>
      </c>
      <c r="D6" s="6" t="s">
        <v>6</v>
      </c>
      <c r="E6" s="6" t="s">
        <v>7</v>
      </c>
      <c r="F6" s="6" t="s">
        <v>8</v>
      </c>
      <c r="G6" s="6" t="s">
        <v>162</v>
      </c>
      <c r="H6" s="19" t="s">
        <v>6</v>
      </c>
      <c r="I6" s="6" t="s">
        <v>10</v>
      </c>
      <c r="J6" s="6" t="s">
        <v>8</v>
      </c>
      <c r="K6" s="6" t="s">
        <v>163</v>
      </c>
      <c r="L6" s="6" t="s">
        <v>164</v>
      </c>
      <c r="M6" s="6" t="s">
        <v>13</v>
      </c>
      <c r="N6" s="20" t="s">
        <v>165</v>
      </c>
      <c r="O6" s="6">
        <v>1</v>
      </c>
      <c r="P6" s="106" t="s">
        <v>509</v>
      </c>
      <c r="Q6" s="6">
        <v>2</v>
      </c>
      <c r="R6" s="106" t="s">
        <v>511</v>
      </c>
      <c r="S6" s="6">
        <v>3</v>
      </c>
      <c r="T6" s="6">
        <v>4</v>
      </c>
      <c r="U6" s="6">
        <v>5</v>
      </c>
      <c r="V6" s="6">
        <v>6</v>
      </c>
      <c r="W6" s="6">
        <v>7</v>
      </c>
      <c r="X6" s="6">
        <v>8</v>
      </c>
      <c r="Y6" s="6">
        <v>9</v>
      </c>
      <c r="Z6" s="6">
        <v>10</v>
      </c>
      <c r="AA6" s="6">
        <v>11</v>
      </c>
      <c r="AB6" s="6">
        <v>12</v>
      </c>
      <c r="AC6" s="166"/>
      <c r="AD6" s="166"/>
      <c r="AE6" s="162"/>
    </row>
    <row r="7" spans="1:31" ht="105" customHeight="1" x14ac:dyDescent="0.4">
      <c r="A7" s="34" t="s">
        <v>386</v>
      </c>
      <c r="B7" s="34" t="s">
        <v>387</v>
      </c>
      <c r="C7" s="167" t="s">
        <v>388</v>
      </c>
      <c r="D7" s="21" t="s">
        <v>18</v>
      </c>
      <c r="E7" s="144" t="s">
        <v>389</v>
      </c>
      <c r="F7" s="144" t="s">
        <v>20</v>
      </c>
      <c r="G7" s="7" t="s">
        <v>21</v>
      </c>
      <c r="H7" s="21" t="s">
        <v>22</v>
      </c>
      <c r="I7" s="42" t="s">
        <v>390</v>
      </c>
      <c r="J7" s="98"/>
      <c r="K7" s="34" t="s">
        <v>391</v>
      </c>
      <c r="L7" s="7" t="s">
        <v>392</v>
      </c>
      <c r="M7" s="23" t="s">
        <v>27</v>
      </c>
      <c r="N7" s="23"/>
      <c r="O7" s="7"/>
      <c r="P7" s="108"/>
      <c r="Q7" s="7"/>
      <c r="R7" s="108"/>
      <c r="S7" s="7"/>
      <c r="T7" s="7">
        <v>1</v>
      </c>
      <c r="U7" s="7"/>
      <c r="V7" s="7"/>
      <c r="W7" s="7"/>
      <c r="X7" s="7"/>
      <c r="Y7" s="7"/>
      <c r="Z7" s="7"/>
      <c r="AA7" s="7"/>
      <c r="AB7" s="8"/>
      <c r="AC7" s="26"/>
      <c r="AD7" s="7"/>
      <c r="AE7" s="7"/>
    </row>
    <row r="8" spans="1:31" ht="105" customHeight="1" x14ac:dyDescent="0.4">
      <c r="A8" s="34" t="s">
        <v>386</v>
      </c>
      <c r="B8" s="34" t="s">
        <v>387</v>
      </c>
      <c r="C8" s="168"/>
      <c r="D8" s="21" t="s">
        <v>18</v>
      </c>
      <c r="E8" s="144"/>
      <c r="F8" s="144"/>
      <c r="G8" s="7" t="s">
        <v>21</v>
      </c>
      <c r="H8" s="21" t="s">
        <v>30</v>
      </c>
      <c r="I8" s="43" t="s">
        <v>393</v>
      </c>
      <c r="J8" s="98"/>
      <c r="K8" s="34" t="s">
        <v>394</v>
      </c>
      <c r="L8" s="7" t="s">
        <v>392</v>
      </c>
      <c r="M8" s="23" t="s">
        <v>27</v>
      </c>
      <c r="N8" s="23"/>
      <c r="O8" s="7"/>
      <c r="P8" s="108"/>
      <c r="Q8" s="7">
        <v>1</v>
      </c>
      <c r="R8" s="108"/>
      <c r="S8" s="7"/>
      <c r="T8" s="7"/>
      <c r="U8" s="7"/>
      <c r="V8" s="7"/>
      <c r="W8" s="7"/>
      <c r="X8" s="7"/>
      <c r="Y8" s="7"/>
      <c r="Z8" s="7"/>
      <c r="AA8" s="7"/>
      <c r="AB8" s="8"/>
      <c r="AC8" s="26"/>
      <c r="AD8" s="7"/>
      <c r="AE8" s="7"/>
    </row>
    <row r="9" spans="1:31" ht="105" customHeight="1" x14ac:dyDescent="0.4">
      <c r="A9" s="34" t="s">
        <v>386</v>
      </c>
      <c r="B9" s="34" t="s">
        <v>387</v>
      </c>
      <c r="C9" s="168"/>
      <c r="D9" s="21" t="s">
        <v>18</v>
      </c>
      <c r="E9" s="144"/>
      <c r="F9" s="144"/>
      <c r="G9" s="7" t="s">
        <v>21</v>
      </c>
      <c r="H9" s="21" t="s">
        <v>36</v>
      </c>
      <c r="I9" s="43" t="s">
        <v>395</v>
      </c>
      <c r="J9" s="98"/>
      <c r="K9" s="34" t="s">
        <v>396</v>
      </c>
      <c r="L9" s="7" t="s">
        <v>392</v>
      </c>
      <c r="M9" s="23" t="s">
        <v>27</v>
      </c>
      <c r="N9" s="23"/>
      <c r="O9" s="7"/>
      <c r="P9" s="108"/>
      <c r="Q9" s="7"/>
      <c r="R9" s="108"/>
      <c r="S9" s="7"/>
      <c r="T9" s="7">
        <v>1</v>
      </c>
      <c r="U9" s="7"/>
      <c r="V9" s="7"/>
      <c r="W9" s="7"/>
      <c r="X9" s="7"/>
      <c r="Y9" s="7"/>
      <c r="Z9" s="7"/>
      <c r="AA9" s="7"/>
      <c r="AB9" s="8"/>
      <c r="AC9" s="26"/>
      <c r="AD9" s="7"/>
      <c r="AE9" s="7"/>
    </row>
    <row r="10" spans="1:31" ht="105" customHeight="1" x14ac:dyDescent="0.4">
      <c r="A10" s="34" t="s">
        <v>386</v>
      </c>
      <c r="B10" s="34" t="s">
        <v>387</v>
      </c>
      <c r="C10" s="168"/>
      <c r="D10" s="21" t="s">
        <v>18</v>
      </c>
      <c r="E10" s="144"/>
      <c r="F10" s="144"/>
      <c r="G10" s="7" t="s">
        <v>21</v>
      </c>
      <c r="H10" s="21" t="s">
        <v>41</v>
      </c>
      <c r="I10" s="43" t="s">
        <v>397</v>
      </c>
      <c r="J10" s="98"/>
      <c r="K10" s="34" t="s">
        <v>398</v>
      </c>
      <c r="L10" s="7" t="s">
        <v>392</v>
      </c>
      <c r="M10" s="23" t="s">
        <v>27</v>
      </c>
      <c r="N10" s="23"/>
      <c r="O10" s="7"/>
      <c r="P10" s="108"/>
      <c r="Q10" s="7"/>
      <c r="R10" s="108"/>
      <c r="S10" s="7"/>
      <c r="T10" s="7">
        <v>1</v>
      </c>
      <c r="U10" s="7"/>
      <c r="V10" s="7"/>
      <c r="W10" s="7"/>
      <c r="X10" s="7"/>
      <c r="Y10" s="7"/>
      <c r="Z10" s="7"/>
      <c r="AA10" s="7"/>
      <c r="AB10" s="8"/>
      <c r="AC10" s="26"/>
      <c r="AD10" s="7"/>
      <c r="AE10" s="7"/>
    </row>
    <row r="11" spans="1:31" ht="105" customHeight="1" x14ac:dyDescent="0.4">
      <c r="A11" s="34" t="s">
        <v>386</v>
      </c>
      <c r="B11" s="34" t="s">
        <v>387</v>
      </c>
      <c r="C11" s="168"/>
      <c r="D11" s="21" t="s">
        <v>18</v>
      </c>
      <c r="E11" s="144"/>
      <c r="F11" s="144"/>
      <c r="G11" s="7" t="s">
        <v>21</v>
      </c>
      <c r="H11" s="21" t="s">
        <v>46</v>
      </c>
      <c r="I11" s="43" t="s">
        <v>399</v>
      </c>
      <c r="J11" s="98"/>
      <c r="K11" s="34" t="s">
        <v>400</v>
      </c>
      <c r="L11" s="7" t="s">
        <v>392</v>
      </c>
      <c r="M11" s="23" t="s">
        <v>27</v>
      </c>
      <c r="N11" s="23"/>
      <c r="O11" s="7"/>
      <c r="P11" s="108"/>
      <c r="Q11" s="7"/>
      <c r="R11" s="108"/>
      <c r="S11" s="7"/>
      <c r="T11" s="7"/>
      <c r="U11" s="7">
        <v>1</v>
      </c>
      <c r="V11" s="7"/>
      <c r="W11" s="7"/>
      <c r="X11" s="7"/>
      <c r="Y11" s="7"/>
      <c r="Z11" s="7"/>
      <c r="AA11" s="7"/>
      <c r="AB11" s="8"/>
      <c r="AC11" s="26"/>
      <c r="AD11" s="7"/>
      <c r="AE11" s="7"/>
    </row>
    <row r="12" spans="1:31" ht="105" customHeight="1" x14ac:dyDescent="0.4">
      <c r="A12" s="34" t="s">
        <v>386</v>
      </c>
      <c r="B12" s="34" t="s">
        <v>387</v>
      </c>
      <c r="C12" s="168"/>
      <c r="D12" s="21" t="s">
        <v>18</v>
      </c>
      <c r="E12" s="144"/>
      <c r="F12" s="144"/>
      <c r="G12" s="7" t="s">
        <v>21</v>
      </c>
      <c r="H12" s="21" t="s">
        <v>51</v>
      </c>
      <c r="I12" s="43" t="s">
        <v>401</v>
      </c>
      <c r="J12" s="98"/>
      <c r="K12" s="34" t="s">
        <v>402</v>
      </c>
      <c r="L12" s="7" t="s">
        <v>392</v>
      </c>
      <c r="M12" s="23" t="s">
        <v>27</v>
      </c>
      <c r="N12" s="23"/>
      <c r="O12" s="7"/>
      <c r="P12" s="108"/>
      <c r="Q12" s="7"/>
      <c r="R12" s="108"/>
      <c r="S12" s="7"/>
      <c r="T12" s="7"/>
      <c r="U12" s="7">
        <v>1</v>
      </c>
      <c r="V12" s="7"/>
      <c r="W12" s="7"/>
      <c r="X12" s="7"/>
      <c r="Y12" s="7"/>
      <c r="Z12" s="7"/>
      <c r="AA12" s="7"/>
      <c r="AB12" s="8"/>
      <c r="AC12" s="26"/>
      <c r="AD12" s="7"/>
      <c r="AE12" s="7"/>
    </row>
    <row r="13" spans="1:31" ht="105" customHeight="1" x14ac:dyDescent="0.4">
      <c r="A13" s="34" t="s">
        <v>386</v>
      </c>
      <c r="B13" s="34" t="s">
        <v>387</v>
      </c>
      <c r="C13" s="168"/>
      <c r="D13" s="21" t="s">
        <v>18</v>
      </c>
      <c r="E13" s="144"/>
      <c r="F13" s="144"/>
      <c r="G13" s="7" t="s">
        <v>21</v>
      </c>
      <c r="H13" s="21" t="s">
        <v>57</v>
      </c>
      <c r="I13" s="43" t="s">
        <v>403</v>
      </c>
      <c r="J13" s="98"/>
      <c r="K13" s="34" t="s">
        <v>402</v>
      </c>
      <c r="L13" s="7" t="s">
        <v>392</v>
      </c>
      <c r="M13" s="23" t="s">
        <v>27</v>
      </c>
      <c r="N13" s="23"/>
      <c r="O13" s="7"/>
      <c r="P13" s="108"/>
      <c r="Q13" s="7"/>
      <c r="R13" s="108"/>
      <c r="S13" s="7"/>
      <c r="T13" s="7"/>
      <c r="U13" s="7"/>
      <c r="V13" s="7">
        <v>1</v>
      </c>
      <c r="W13" s="7"/>
      <c r="X13" s="7"/>
      <c r="Y13" s="7"/>
      <c r="Z13" s="7"/>
      <c r="AA13" s="7"/>
      <c r="AB13" s="8"/>
      <c r="AC13" s="26"/>
      <c r="AD13" s="7"/>
      <c r="AE13" s="7"/>
    </row>
    <row r="14" spans="1:31" ht="105" customHeight="1" x14ac:dyDescent="0.4">
      <c r="A14" s="34" t="s">
        <v>386</v>
      </c>
      <c r="B14" s="34" t="s">
        <v>387</v>
      </c>
      <c r="C14" s="168"/>
      <c r="D14" s="21" t="s">
        <v>18</v>
      </c>
      <c r="E14" s="144"/>
      <c r="F14" s="144"/>
      <c r="G14" s="7" t="s">
        <v>21</v>
      </c>
      <c r="H14" s="21" t="s">
        <v>404</v>
      </c>
      <c r="I14" s="44" t="s">
        <v>405</v>
      </c>
      <c r="J14" s="99"/>
      <c r="K14" s="34" t="s">
        <v>402</v>
      </c>
      <c r="L14" s="7" t="s">
        <v>392</v>
      </c>
      <c r="M14" s="23" t="s">
        <v>27</v>
      </c>
      <c r="N14" s="23"/>
      <c r="O14" s="7"/>
      <c r="P14" s="108"/>
      <c r="Q14" s="7"/>
      <c r="R14" s="108"/>
      <c r="S14" s="7"/>
      <c r="T14" s="7"/>
      <c r="U14" s="7"/>
      <c r="V14" s="7">
        <v>1</v>
      </c>
      <c r="W14" s="7"/>
      <c r="X14" s="7"/>
      <c r="Y14" s="7"/>
      <c r="Z14" s="7"/>
      <c r="AA14" s="7"/>
      <c r="AB14" s="8"/>
      <c r="AC14" s="26"/>
      <c r="AD14" s="7"/>
      <c r="AE14" s="7"/>
    </row>
    <row r="15" spans="1:31" ht="105" customHeight="1" x14ac:dyDescent="0.4">
      <c r="A15" s="34" t="s">
        <v>386</v>
      </c>
      <c r="B15" s="34" t="s">
        <v>387</v>
      </c>
      <c r="C15" s="168"/>
      <c r="D15" s="21" t="s">
        <v>18</v>
      </c>
      <c r="E15" s="144"/>
      <c r="F15" s="144"/>
      <c r="G15" s="7" t="s">
        <v>21</v>
      </c>
      <c r="H15" s="21" t="s">
        <v>406</v>
      </c>
      <c r="I15" s="43" t="s">
        <v>407</v>
      </c>
      <c r="J15" s="98"/>
      <c r="K15" s="34" t="s">
        <v>402</v>
      </c>
      <c r="L15" s="7" t="s">
        <v>392</v>
      </c>
      <c r="M15" s="23" t="s">
        <v>27</v>
      </c>
      <c r="N15" s="23"/>
      <c r="O15" s="7"/>
      <c r="P15" s="108"/>
      <c r="Q15" s="7"/>
      <c r="R15" s="108"/>
      <c r="S15" s="7"/>
      <c r="T15" s="7"/>
      <c r="U15" s="7"/>
      <c r="V15" s="7"/>
      <c r="W15" s="7">
        <v>1</v>
      </c>
      <c r="X15" s="7"/>
      <c r="Y15" s="7"/>
      <c r="Z15" s="7"/>
      <c r="AA15" s="7"/>
      <c r="AB15" s="8"/>
      <c r="AC15" s="26"/>
      <c r="AD15" s="7"/>
      <c r="AE15" s="7"/>
    </row>
    <row r="16" spans="1:31" ht="105" customHeight="1" x14ac:dyDescent="0.4">
      <c r="A16" s="34" t="s">
        <v>386</v>
      </c>
      <c r="B16" s="34" t="s">
        <v>387</v>
      </c>
      <c r="C16" s="168"/>
      <c r="D16" s="21" t="s">
        <v>18</v>
      </c>
      <c r="E16" s="144"/>
      <c r="F16" s="144"/>
      <c r="G16" s="7" t="s">
        <v>21</v>
      </c>
      <c r="H16" s="21" t="s">
        <v>408</v>
      </c>
      <c r="I16" s="43" t="s">
        <v>409</v>
      </c>
      <c r="J16" s="98"/>
      <c r="K16" s="34" t="s">
        <v>402</v>
      </c>
      <c r="L16" s="7" t="s">
        <v>392</v>
      </c>
      <c r="M16" s="23" t="s">
        <v>27</v>
      </c>
      <c r="N16" s="23"/>
      <c r="O16" s="7"/>
      <c r="P16" s="108"/>
      <c r="Q16" s="7"/>
      <c r="R16" s="108"/>
      <c r="S16" s="7"/>
      <c r="T16" s="7"/>
      <c r="U16" s="7"/>
      <c r="V16" s="7"/>
      <c r="W16" s="7"/>
      <c r="X16" s="7">
        <v>1</v>
      </c>
      <c r="Y16" s="7"/>
      <c r="Z16" s="7"/>
      <c r="AA16" s="7"/>
      <c r="AB16" s="8"/>
      <c r="AC16" s="26"/>
      <c r="AD16" s="7"/>
      <c r="AE16" s="7"/>
    </row>
    <row r="17" spans="1:31" ht="105" customHeight="1" thickBot="1" x14ac:dyDescent="0.45">
      <c r="A17" s="34" t="s">
        <v>386</v>
      </c>
      <c r="B17" s="34" t="s">
        <v>387</v>
      </c>
      <c r="C17" s="168"/>
      <c r="D17" s="21" t="s">
        <v>18</v>
      </c>
      <c r="E17" s="144"/>
      <c r="F17" s="144"/>
      <c r="G17" s="7" t="s">
        <v>21</v>
      </c>
      <c r="H17" s="21" t="s">
        <v>410</v>
      </c>
      <c r="I17" s="45" t="s">
        <v>411</v>
      </c>
      <c r="J17" s="98"/>
      <c r="K17" s="34" t="s">
        <v>412</v>
      </c>
      <c r="L17" s="7" t="s">
        <v>413</v>
      </c>
      <c r="M17" s="23" t="s">
        <v>27</v>
      </c>
      <c r="N17" s="23"/>
      <c r="O17" s="7"/>
      <c r="P17" s="108"/>
      <c r="Q17" s="7">
        <v>2</v>
      </c>
      <c r="R17" s="108"/>
      <c r="S17" s="7"/>
      <c r="T17" s="7">
        <v>2</v>
      </c>
      <c r="U17" s="7"/>
      <c r="V17" s="7">
        <v>2</v>
      </c>
      <c r="W17" s="7"/>
      <c r="X17" s="7">
        <v>2</v>
      </c>
      <c r="Y17" s="7"/>
      <c r="Z17" s="7">
        <v>2</v>
      </c>
      <c r="AA17" s="7"/>
      <c r="AB17" s="7">
        <v>2</v>
      </c>
      <c r="AC17" s="26"/>
      <c r="AD17" s="7"/>
      <c r="AE17" s="7"/>
    </row>
    <row r="18" spans="1:31" ht="50.25" customHeight="1" x14ac:dyDescent="0.4">
      <c r="A18" s="34" t="s">
        <v>386</v>
      </c>
      <c r="B18" s="34" t="s">
        <v>387</v>
      </c>
      <c r="C18" s="168"/>
      <c r="D18" s="21" t="s">
        <v>18</v>
      </c>
      <c r="E18" s="145" t="s">
        <v>18</v>
      </c>
      <c r="F18" s="146"/>
      <c r="G18" s="146"/>
      <c r="H18" s="146"/>
      <c r="I18" s="146"/>
      <c r="J18" s="146"/>
      <c r="K18" s="146"/>
      <c r="L18" s="146"/>
      <c r="M18" s="27" t="s">
        <v>64</v>
      </c>
      <c r="N18" s="27"/>
      <c r="O18" s="29">
        <f>SUM(O7:O17)</f>
        <v>0</v>
      </c>
      <c r="P18" s="109"/>
      <c r="Q18" s="29">
        <f t="shared" ref="Q18:AB18" si="0">SUM(Q7:Q17)</f>
        <v>3</v>
      </c>
      <c r="R18" s="109"/>
      <c r="S18" s="29">
        <f t="shared" si="0"/>
        <v>0</v>
      </c>
      <c r="T18" s="29">
        <f t="shared" si="0"/>
        <v>5</v>
      </c>
      <c r="U18" s="29">
        <f t="shared" si="0"/>
        <v>2</v>
      </c>
      <c r="V18" s="29">
        <f t="shared" si="0"/>
        <v>4</v>
      </c>
      <c r="W18" s="29">
        <f t="shared" si="0"/>
        <v>1</v>
      </c>
      <c r="X18" s="29">
        <f t="shared" si="0"/>
        <v>3</v>
      </c>
      <c r="Y18" s="29">
        <f t="shared" si="0"/>
        <v>0</v>
      </c>
      <c r="Z18" s="29">
        <f t="shared" si="0"/>
        <v>2</v>
      </c>
      <c r="AA18" s="29">
        <f t="shared" si="0"/>
        <v>0</v>
      </c>
      <c r="AB18" s="29">
        <f t="shared" si="0"/>
        <v>2</v>
      </c>
      <c r="AC18" s="29">
        <f t="shared" ref="AC18:AC37" si="1">SUM(O18:AB18)</f>
        <v>22</v>
      </c>
      <c r="AD18" s="158"/>
      <c r="AE18" s="158"/>
    </row>
    <row r="19" spans="1:31" ht="50.25" customHeight="1" x14ac:dyDescent="0.4">
      <c r="A19" s="34" t="s">
        <v>386</v>
      </c>
      <c r="B19" s="34" t="s">
        <v>387</v>
      </c>
      <c r="C19" s="168"/>
      <c r="D19" s="21" t="s">
        <v>18</v>
      </c>
      <c r="E19" s="147"/>
      <c r="F19" s="148"/>
      <c r="G19" s="148"/>
      <c r="H19" s="148"/>
      <c r="I19" s="148"/>
      <c r="J19" s="148"/>
      <c r="K19" s="148"/>
      <c r="L19" s="148"/>
      <c r="M19" s="27" t="s">
        <v>66</v>
      </c>
      <c r="N19" s="27"/>
      <c r="O19" s="29">
        <v>19826.3</v>
      </c>
      <c r="P19" s="109"/>
      <c r="Q19" s="29">
        <v>19826.3</v>
      </c>
      <c r="R19" s="109"/>
      <c r="S19" s="29">
        <v>19826.3</v>
      </c>
      <c r="T19" s="29">
        <v>19826.3</v>
      </c>
      <c r="U19" s="29">
        <v>19826.3</v>
      </c>
      <c r="V19" s="29">
        <v>19826.3</v>
      </c>
      <c r="W19" s="29">
        <v>19826.3</v>
      </c>
      <c r="X19" s="29">
        <v>19826.3</v>
      </c>
      <c r="Y19" s="29">
        <v>19826.3</v>
      </c>
      <c r="Z19" s="29">
        <v>19826.3</v>
      </c>
      <c r="AA19" s="29">
        <v>19826.3</v>
      </c>
      <c r="AB19" s="29">
        <v>826.3</v>
      </c>
      <c r="AC19" s="29">
        <f t="shared" si="1"/>
        <v>218915.59999999995</v>
      </c>
      <c r="AD19" s="159"/>
      <c r="AE19" s="159"/>
    </row>
    <row r="20" spans="1:31" ht="50.25" customHeight="1" x14ac:dyDescent="0.4">
      <c r="A20" s="34" t="s">
        <v>386</v>
      </c>
      <c r="B20" s="34" t="s">
        <v>387</v>
      </c>
      <c r="C20" s="168"/>
      <c r="D20" s="21" t="s">
        <v>18</v>
      </c>
      <c r="E20" s="147"/>
      <c r="F20" s="148"/>
      <c r="G20" s="148"/>
      <c r="H20" s="148"/>
      <c r="I20" s="148"/>
      <c r="J20" s="148"/>
      <c r="K20" s="148"/>
      <c r="L20" s="148"/>
      <c r="M20" s="27" t="s">
        <v>82</v>
      </c>
      <c r="N20" s="27"/>
      <c r="O20" s="29">
        <v>10000</v>
      </c>
      <c r="P20" s="109"/>
      <c r="Q20" s="29">
        <v>10000</v>
      </c>
      <c r="R20" s="109"/>
      <c r="S20" s="29">
        <v>10000</v>
      </c>
      <c r="T20" s="29">
        <v>10000</v>
      </c>
      <c r="U20" s="29">
        <v>10000</v>
      </c>
      <c r="V20" s="29">
        <v>10000</v>
      </c>
      <c r="W20" s="29">
        <v>10000</v>
      </c>
      <c r="X20" s="29">
        <v>10000</v>
      </c>
      <c r="Y20" s="29">
        <v>10000</v>
      </c>
      <c r="Z20" s="29">
        <v>10000</v>
      </c>
      <c r="AA20" s="29">
        <v>10000</v>
      </c>
      <c r="AB20" s="29">
        <v>10000</v>
      </c>
      <c r="AC20" s="29">
        <f t="shared" si="1"/>
        <v>120000</v>
      </c>
      <c r="AD20" s="159"/>
      <c r="AE20" s="159"/>
    </row>
    <row r="21" spans="1:31" ht="50.25" customHeight="1" x14ac:dyDescent="0.4">
      <c r="A21" s="34" t="s">
        <v>386</v>
      </c>
      <c r="B21" s="34" t="s">
        <v>387</v>
      </c>
      <c r="C21" s="168"/>
      <c r="D21" s="21" t="s">
        <v>18</v>
      </c>
      <c r="E21" s="147"/>
      <c r="F21" s="148"/>
      <c r="G21" s="148"/>
      <c r="H21" s="148"/>
      <c r="I21" s="148"/>
      <c r="J21" s="148"/>
      <c r="K21" s="148"/>
      <c r="L21" s="148"/>
      <c r="M21" s="27" t="s">
        <v>414</v>
      </c>
      <c r="N21" s="27"/>
      <c r="O21" s="29"/>
      <c r="P21" s="109"/>
      <c r="Q21" s="29"/>
      <c r="R21" s="109"/>
      <c r="S21" s="29"/>
      <c r="T21" s="29"/>
      <c r="U21" s="29"/>
      <c r="V21" s="29"/>
      <c r="W21" s="29"/>
      <c r="X21" s="29"/>
      <c r="Y21" s="29"/>
      <c r="Z21" s="29"/>
      <c r="AA21" s="29"/>
      <c r="AB21" s="29"/>
      <c r="AC21" s="29">
        <f t="shared" si="1"/>
        <v>0</v>
      </c>
      <c r="AD21" s="159"/>
      <c r="AE21" s="159"/>
    </row>
    <row r="22" spans="1:31" ht="50.25" customHeight="1" thickBot="1" x14ac:dyDescent="0.45">
      <c r="A22" s="34" t="s">
        <v>386</v>
      </c>
      <c r="B22" s="34" t="s">
        <v>387</v>
      </c>
      <c r="C22" s="169"/>
      <c r="D22" s="21" t="s">
        <v>18</v>
      </c>
      <c r="E22" s="149"/>
      <c r="F22" s="150"/>
      <c r="G22" s="150"/>
      <c r="H22" s="150"/>
      <c r="I22" s="150"/>
      <c r="J22" s="150"/>
      <c r="K22" s="150"/>
      <c r="L22" s="150"/>
      <c r="M22" s="27" t="s">
        <v>90</v>
      </c>
      <c r="N22" s="27"/>
      <c r="O22" s="29">
        <f>SUM(O19:O21)</f>
        <v>29826.3</v>
      </c>
      <c r="P22" s="109"/>
      <c r="Q22" s="29">
        <f t="shared" ref="Q22:AB22" si="2">SUM(Q19:Q21)</f>
        <v>29826.3</v>
      </c>
      <c r="R22" s="109"/>
      <c r="S22" s="29">
        <f t="shared" si="2"/>
        <v>29826.3</v>
      </c>
      <c r="T22" s="29">
        <f t="shared" si="2"/>
        <v>29826.3</v>
      </c>
      <c r="U22" s="29">
        <f t="shared" si="2"/>
        <v>29826.3</v>
      </c>
      <c r="V22" s="29">
        <f t="shared" si="2"/>
        <v>29826.3</v>
      </c>
      <c r="W22" s="29">
        <f t="shared" si="2"/>
        <v>29826.3</v>
      </c>
      <c r="X22" s="29">
        <f t="shared" si="2"/>
        <v>29826.3</v>
      </c>
      <c r="Y22" s="29">
        <f t="shared" si="2"/>
        <v>29826.3</v>
      </c>
      <c r="Z22" s="29">
        <f t="shared" si="2"/>
        <v>29826.3</v>
      </c>
      <c r="AA22" s="29">
        <f t="shared" si="2"/>
        <v>29826.3</v>
      </c>
      <c r="AB22" s="29">
        <f t="shared" si="2"/>
        <v>10826.3</v>
      </c>
      <c r="AC22" s="29">
        <f t="shared" si="1"/>
        <v>338915.59999999992</v>
      </c>
      <c r="AD22" s="160"/>
      <c r="AE22" s="160"/>
    </row>
    <row r="23" spans="1:31" ht="74.25" customHeight="1" x14ac:dyDescent="0.4">
      <c r="A23" s="34" t="s">
        <v>386</v>
      </c>
      <c r="B23" s="34" t="s">
        <v>387</v>
      </c>
      <c r="C23" s="167" t="s">
        <v>415</v>
      </c>
      <c r="D23" s="21" t="s">
        <v>92</v>
      </c>
      <c r="E23" s="144" t="s">
        <v>416</v>
      </c>
      <c r="F23" s="144" t="s">
        <v>20</v>
      </c>
      <c r="G23" s="7" t="s">
        <v>21</v>
      </c>
      <c r="H23" s="21" t="s">
        <v>22</v>
      </c>
      <c r="I23" s="46" t="s">
        <v>417</v>
      </c>
      <c r="J23" s="99"/>
      <c r="K23" s="34" t="s">
        <v>418</v>
      </c>
      <c r="L23" s="7" t="s">
        <v>392</v>
      </c>
      <c r="M23" s="23" t="s">
        <v>27</v>
      </c>
      <c r="N23" s="23"/>
      <c r="O23" s="26"/>
      <c r="P23" s="109"/>
      <c r="Q23" s="26"/>
      <c r="R23" s="109"/>
      <c r="S23" s="26">
        <v>1</v>
      </c>
      <c r="T23" s="26"/>
      <c r="U23" s="26"/>
      <c r="V23" s="26"/>
      <c r="W23" s="26"/>
      <c r="X23" s="26"/>
      <c r="Y23" s="26">
        <v>1</v>
      </c>
      <c r="Z23" s="26"/>
      <c r="AA23" s="26"/>
      <c r="AB23" s="26"/>
      <c r="AC23" s="26">
        <f t="shared" si="1"/>
        <v>2</v>
      </c>
      <c r="AD23" s="7"/>
      <c r="AE23" s="7"/>
    </row>
    <row r="24" spans="1:31" ht="74.25" customHeight="1" x14ac:dyDescent="0.4">
      <c r="A24" s="34" t="s">
        <v>386</v>
      </c>
      <c r="B24" s="34" t="s">
        <v>387</v>
      </c>
      <c r="C24" s="168"/>
      <c r="D24" s="21" t="s">
        <v>92</v>
      </c>
      <c r="E24" s="144"/>
      <c r="F24" s="144"/>
      <c r="G24" s="7" t="s">
        <v>21</v>
      </c>
      <c r="H24" s="21" t="s">
        <v>30</v>
      </c>
      <c r="I24" s="44" t="s">
        <v>419</v>
      </c>
      <c r="J24" s="99"/>
      <c r="K24" s="34" t="s">
        <v>420</v>
      </c>
      <c r="L24" s="7" t="s">
        <v>392</v>
      </c>
      <c r="M24" s="23" t="s">
        <v>27</v>
      </c>
      <c r="N24" s="23"/>
      <c r="O24" s="26"/>
      <c r="P24" s="109"/>
      <c r="Q24" s="26">
        <v>1</v>
      </c>
      <c r="R24" s="109"/>
      <c r="S24" s="26"/>
      <c r="T24" s="26"/>
      <c r="U24" s="26">
        <v>1</v>
      </c>
      <c r="V24" s="26"/>
      <c r="W24" s="26"/>
      <c r="X24" s="26">
        <v>1</v>
      </c>
      <c r="Y24" s="26"/>
      <c r="Z24" s="26"/>
      <c r="AA24" s="26">
        <v>1</v>
      </c>
      <c r="AB24" s="26"/>
      <c r="AC24" s="26">
        <f t="shared" si="1"/>
        <v>4</v>
      </c>
      <c r="AD24" s="7"/>
      <c r="AE24" s="7"/>
    </row>
    <row r="25" spans="1:31" ht="74.25" customHeight="1" x14ac:dyDescent="0.4">
      <c r="A25" s="34" t="s">
        <v>386</v>
      </c>
      <c r="B25" s="34" t="s">
        <v>387</v>
      </c>
      <c r="C25" s="168"/>
      <c r="D25" s="21" t="s">
        <v>92</v>
      </c>
      <c r="E25" s="144"/>
      <c r="F25" s="144"/>
      <c r="G25" s="7" t="s">
        <v>21</v>
      </c>
      <c r="H25" s="21" t="s">
        <v>36</v>
      </c>
      <c r="I25" s="44" t="s">
        <v>421</v>
      </c>
      <c r="J25" s="99"/>
      <c r="K25" s="34" t="s">
        <v>422</v>
      </c>
      <c r="L25" s="7" t="s">
        <v>392</v>
      </c>
      <c r="M25" s="23" t="s">
        <v>27</v>
      </c>
      <c r="N25" s="23"/>
      <c r="O25" s="26"/>
      <c r="P25" s="109"/>
      <c r="Q25" s="26"/>
      <c r="R25" s="109"/>
      <c r="S25" s="26">
        <v>1</v>
      </c>
      <c r="T25" s="26"/>
      <c r="U25" s="26"/>
      <c r="V25" s="26">
        <v>1</v>
      </c>
      <c r="W25" s="26"/>
      <c r="X25" s="26"/>
      <c r="Y25" s="26">
        <v>1</v>
      </c>
      <c r="Z25" s="26"/>
      <c r="AA25" s="26"/>
      <c r="AB25" s="26">
        <v>1</v>
      </c>
      <c r="AC25" s="26">
        <f t="shared" si="1"/>
        <v>4</v>
      </c>
      <c r="AD25" s="26"/>
      <c r="AE25" s="26"/>
    </row>
    <row r="26" spans="1:31" ht="74.25" customHeight="1" thickBot="1" x14ac:dyDescent="0.45">
      <c r="A26" s="34" t="s">
        <v>386</v>
      </c>
      <c r="B26" s="34" t="s">
        <v>387</v>
      </c>
      <c r="C26" s="168"/>
      <c r="D26" s="21" t="s">
        <v>92</v>
      </c>
      <c r="E26" s="144"/>
      <c r="F26" s="144"/>
      <c r="G26" s="7" t="s">
        <v>21</v>
      </c>
      <c r="H26" s="21" t="s">
        <v>41</v>
      </c>
      <c r="I26" s="47" t="s">
        <v>423</v>
      </c>
      <c r="J26" s="99"/>
      <c r="K26" s="34" t="s">
        <v>424</v>
      </c>
      <c r="L26" s="7" t="s">
        <v>392</v>
      </c>
      <c r="M26" s="23" t="s">
        <v>27</v>
      </c>
      <c r="N26" s="23"/>
      <c r="O26" s="26"/>
      <c r="P26" s="109"/>
      <c r="Q26" s="26">
        <v>1</v>
      </c>
      <c r="R26" s="109"/>
      <c r="S26" s="26"/>
      <c r="T26" s="26"/>
      <c r="U26" s="26">
        <v>1</v>
      </c>
      <c r="V26" s="26"/>
      <c r="W26" s="26"/>
      <c r="X26" s="26"/>
      <c r="Y26" s="26">
        <v>1</v>
      </c>
      <c r="Z26" s="26"/>
      <c r="AA26" s="26"/>
      <c r="AB26" s="26"/>
      <c r="AC26" s="26">
        <f t="shared" si="1"/>
        <v>3</v>
      </c>
      <c r="AD26" s="26"/>
      <c r="AE26" s="26"/>
    </row>
    <row r="27" spans="1:31" ht="73.5" customHeight="1" x14ac:dyDescent="0.4">
      <c r="A27" s="34" t="s">
        <v>386</v>
      </c>
      <c r="B27" s="34" t="s">
        <v>387</v>
      </c>
      <c r="C27" s="168"/>
      <c r="D27" s="21" t="s">
        <v>92</v>
      </c>
      <c r="E27" s="145" t="s">
        <v>92</v>
      </c>
      <c r="F27" s="146"/>
      <c r="G27" s="146"/>
      <c r="H27" s="146"/>
      <c r="I27" s="146"/>
      <c r="J27" s="146"/>
      <c r="K27" s="146"/>
      <c r="L27" s="146"/>
      <c r="M27" s="27" t="s">
        <v>64</v>
      </c>
      <c r="N27" s="27"/>
      <c r="O27" s="29">
        <f>SUM(O24:O26)</f>
        <v>0</v>
      </c>
      <c r="P27" s="109"/>
      <c r="Q27" s="29">
        <f t="shared" ref="Q27:AB27" si="3">SUM(Q24:Q26)</f>
        <v>2</v>
      </c>
      <c r="R27" s="109"/>
      <c r="S27" s="29">
        <f t="shared" si="3"/>
        <v>1</v>
      </c>
      <c r="T27" s="29">
        <f t="shared" si="3"/>
        <v>0</v>
      </c>
      <c r="U27" s="29">
        <f t="shared" si="3"/>
        <v>2</v>
      </c>
      <c r="V27" s="29">
        <f t="shared" si="3"/>
        <v>1</v>
      </c>
      <c r="W27" s="29">
        <f t="shared" si="3"/>
        <v>0</v>
      </c>
      <c r="X27" s="29">
        <f t="shared" si="3"/>
        <v>1</v>
      </c>
      <c r="Y27" s="29">
        <f t="shared" si="3"/>
        <v>2</v>
      </c>
      <c r="Z27" s="29">
        <f t="shared" si="3"/>
        <v>0</v>
      </c>
      <c r="AA27" s="29">
        <f t="shared" si="3"/>
        <v>1</v>
      </c>
      <c r="AB27" s="29">
        <f t="shared" si="3"/>
        <v>1</v>
      </c>
      <c r="AC27" s="29">
        <f t="shared" si="1"/>
        <v>11</v>
      </c>
      <c r="AD27" s="158"/>
      <c r="AE27" s="158"/>
    </row>
    <row r="28" spans="1:31" ht="73.5" customHeight="1" x14ac:dyDescent="0.4">
      <c r="A28" s="34" t="s">
        <v>386</v>
      </c>
      <c r="B28" s="34" t="s">
        <v>387</v>
      </c>
      <c r="C28" s="168"/>
      <c r="D28" s="21" t="s">
        <v>92</v>
      </c>
      <c r="E28" s="147"/>
      <c r="F28" s="148"/>
      <c r="G28" s="148"/>
      <c r="H28" s="148"/>
      <c r="I28" s="148"/>
      <c r="J28" s="148"/>
      <c r="K28" s="148"/>
      <c r="L28" s="148"/>
      <c r="M28" s="27" t="s">
        <v>66</v>
      </c>
      <c r="N28" s="27"/>
      <c r="O28" s="29">
        <v>2500</v>
      </c>
      <c r="P28" s="109"/>
      <c r="Q28" s="29">
        <v>2500</v>
      </c>
      <c r="R28" s="109"/>
      <c r="S28" s="29">
        <v>2500</v>
      </c>
      <c r="T28" s="29">
        <v>2500</v>
      </c>
      <c r="U28" s="29">
        <v>2500</v>
      </c>
      <c r="V28" s="29">
        <v>2500</v>
      </c>
      <c r="W28" s="29">
        <v>2500</v>
      </c>
      <c r="X28" s="29">
        <v>2500</v>
      </c>
      <c r="Y28" s="29">
        <v>2500</v>
      </c>
      <c r="Z28" s="29">
        <v>2500</v>
      </c>
      <c r="AA28" s="29">
        <v>2500</v>
      </c>
      <c r="AB28" s="29"/>
      <c r="AC28" s="29">
        <f t="shared" si="1"/>
        <v>27500</v>
      </c>
      <c r="AD28" s="159"/>
      <c r="AE28" s="159"/>
    </row>
    <row r="29" spans="1:31" ht="73.5" customHeight="1" x14ac:dyDescent="0.4">
      <c r="A29" s="34" t="s">
        <v>386</v>
      </c>
      <c r="B29" s="34" t="s">
        <v>387</v>
      </c>
      <c r="C29" s="168"/>
      <c r="D29" s="21" t="s">
        <v>92</v>
      </c>
      <c r="E29" s="147"/>
      <c r="F29" s="148"/>
      <c r="G29" s="148"/>
      <c r="H29" s="148"/>
      <c r="I29" s="148"/>
      <c r="J29" s="148"/>
      <c r="K29" s="148"/>
      <c r="L29" s="148"/>
      <c r="M29" s="27" t="s">
        <v>82</v>
      </c>
      <c r="N29" s="27"/>
      <c r="O29" s="29">
        <v>2500</v>
      </c>
      <c r="P29" s="109"/>
      <c r="Q29" s="29">
        <v>2500</v>
      </c>
      <c r="R29" s="109"/>
      <c r="S29" s="29">
        <v>2500</v>
      </c>
      <c r="T29" s="29">
        <v>2500</v>
      </c>
      <c r="U29" s="29">
        <v>2500</v>
      </c>
      <c r="V29" s="29">
        <v>2500</v>
      </c>
      <c r="W29" s="29">
        <v>2500</v>
      </c>
      <c r="X29" s="29">
        <v>2500</v>
      </c>
      <c r="Y29" s="29">
        <v>2500</v>
      </c>
      <c r="Z29" s="29">
        <v>2500</v>
      </c>
      <c r="AA29" s="29">
        <v>2500</v>
      </c>
      <c r="AB29" s="29">
        <v>2500</v>
      </c>
      <c r="AC29" s="29">
        <f t="shared" si="1"/>
        <v>30000</v>
      </c>
      <c r="AD29" s="159"/>
      <c r="AE29" s="159"/>
    </row>
    <row r="30" spans="1:31" ht="73.5" customHeight="1" x14ac:dyDescent="0.4">
      <c r="A30" s="34" t="s">
        <v>386</v>
      </c>
      <c r="B30" s="34" t="s">
        <v>387</v>
      </c>
      <c r="C30" s="168"/>
      <c r="D30" s="21" t="s">
        <v>92</v>
      </c>
      <c r="E30" s="147"/>
      <c r="F30" s="148"/>
      <c r="G30" s="148"/>
      <c r="H30" s="148"/>
      <c r="I30" s="148"/>
      <c r="J30" s="148"/>
      <c r="K30" s="148"/>
      <c r="L30" s="148"/>
      <c r="M30" s="27" t="s">
        <v>414</v>
      </c>
      <c r="N30" s="27"/>
      <c r="O30" s="29"/>
      <c r="P30" s="109"/>
      <c r="Q30" s="29"/>
      <c r="R30" s="109"/>
      <c r="S30" s="29"/>
      <c r="T30" s="29"/>
      <c r="U30" s="29"/>
      <c r="V30" s="29"/>
      <c r="W30" s="29"/>
      <c r="X30" s="29"/>
      <c r="Y30" s="29"/>
      <c r="Z30" s="29"/>
      <c r="AA30" s="29"/>
      <c r="AB30" s="29"/>
      <c r="AC30" s="29">
        <f t="shared" si="1"/>
        <v>0</v>
      </c>
      <c r="AD30" s="159"/>
      <c r="AE30" s="159"/>
    </row>
    <row r="31" spans="1:31" ht="73.5" customHeight="1" thickBot="1" x14ac:dyDescent="0.45">
      <c r="A31" s="34" t="s">
        <v>386</v>
      </c>
      <c r="B31" s="34" t="s">
        <v>387</v>
      </c>
      <c r="C31" s="169"/>
      <c r="D31" s="21" t="s">
        <v>92</v>
      </c>
      <c r="E31" s="149"/>
      <c r="F31" s="150"/>
      <c r="G31" s="150"/>
      <c r="H31" s="150"/>
      <c r="I31" s="150"/>
      <c r="J31" s="150"/>
      <c r="K31" s="150"/>
      <c r="L31" s="150"/>
      <c r="M31" s="27" t="s">
        <v>213</v>
      </c>
      <c r="N31" s="27"/>
      <c r="O31" s="29">
        <f>SUM(O28:O30)</f>
        <v>5000</v>
      </c>
      <c r="P31" s="109"/>
      <c r="Q31" s="29">
        <f t="shared" ref="Q31:AB31" si="4">SUM(Q28:Q30)</f>
        <v>5000</v>
      </c>
      <c r="R31" s="109"/>
      <c r="S31" s="29">
        <f t="shared" si="4"/>
        <v>5000</v>
      </c>
      <c r="T31" s="29">
        <f t="shared" si="4"/>
        <v>5000</v>
      </c>
      <c r="U31" s="29">
        <f t="shared" si="4"/>
        <v>5000</v>
      </c>
      <c r="V31" s="29">
        <f t="shared" si="4"/>
        <v>5000</v>
      </c>
      <c r="W31" s="29">
        <f t="shared" si="4"/>
        <v>5000</v>
      </c>
      <c r="X31" s="29">
        <f t="shared" si="4"/>
        <v>5000</v>
      </c>
      <c r="Y31" s="29">
        <f t="shared" si="4"/>
        <v>5000</v>
      </c>
      <c r="Z31" s="29">
        <f t="shared" si="4"/>
        <v>5000</v>
      </c>
      <c r="AA31" s="29">
        <f t="shared" si="4"/>
        <v>5000</v>
      </c>
      <c r="AB31" s="29">
        <f t="shared" si="4"/>
        <v>2500</v>
      </c>
      <c r="AC31" s="29">
        <f t="shared" si="1"/>
        <v>57500</v>
      </c>
      <c r="AD31" s="160"/>
      <c r="AE31" s="160"/>
    </row>
    <row r="32" spans="1:31" ht="86.25" customHeight="1" x14ac:dyDescent="0.4">
      <c r="A32" s="34" t="s">
        <v>386</v>
      </c>
      <c r="B32" s="34" t="s">
        <v>387</v>
      </c>
      <c r="C32" s="141" t="s">
        <v>425</v>
      </c>
      <c r="D32" s="21" t="s">
        <v>108</v>
      </c>
      <c r="E32" s="144" t="s">
        <v>426</v>
      </c>
      <c r="F32" s="141" t="s">
        <v>20</v>
      </c>
      <c r="G32" s="7" t="s">
        <v>21</v>
      </c>
      <c r="H32" s="21" t="s">
        <v>22</v>
      </c>
      <c r="I32" s="46" t="s">
        <v>427</v>
      </c>
      <c r="J32" s="100"/>
      <c r="K32" s="48" t="s">
        <v>428</v>
      </c>
      <c r="L32" s="49" t="s">
        <v>392</v>
      </c>
      <c r="M32" s="23" t="s">
        <v>27</v>
      </c>
      <c r="N32" s="23"/>
      <c r="O32" s="26"/>
      <c r="P32" s="109"/>
      <c r="Q32" s="26"/>
      <c r="R32" s="109"/>
      <c r="S32" s="26">
        <v>1</v>
      </c>
      <c r="T32" s="26"/>
      <c r="U32" s="26"/>
      <c r="V32" s="26"/>
      <c r="W32" s="26"/>
      <c r="X32" s="26"/>
      <c r="Y32" s="26"/>
      <c r="Z32" s="26"/>
      <c r="AA32" s="26"/>
      <c r="AB32" s="26"/>
      <c r="AC32" s="26">
        <f t="shared" si="1"/>
        <v>1</v>
      </c>
      <c r="AD32" s="26"/>
      <c r="AE32" s="26"/>
    </row>
    <row r="33" spans="1:31" ht="86.25" customHeight="1" x14ac:dyDescent="0.4">
      <c r="A33" s="34" t="s">
        <v>386</v>
      </c>
      <c r="B33" s="34" t="s">
        <v>387</v>
      </c>
      <c r="C33" s="142"/>
      <c r="D33" s="21" t="s">
        <v>108</v>
      </c>
      <c r="E33" s="144"/>
      <c r="F33" s="142"/>
      <c r="G33" s="7" t="s">
        <v>21</v>
      </c>
      <c r="H33" s="21" t="s">
        <v>30</v>
      </c>
      <c r="I33" s="44" t="s">
        <v>429</v>
      </c>
      <c r="J33" s="101"/>
      <c r="K33" s="50" t="s">
        <v>430</v>
      </c>
      <c r="L33" s="51" t="s">
        <v>431</v>
      </c>
      <c r="M33" s="23" t="s">
        <v>27</v>
      </c>
      <c r="N33" s="23"/>
      <c r="O33" s="26"/>
      <c r="P33" s="109"/>
      <c r="Q33" s="26">
        <v>1</v>
      </c>
      <c r="R33" s="109"/>
      <c r="S33" s="26"/>
      <c r="T33" s="26"/>
      <c r="U33" s="26">
        <v>1</v>
      </c>
      <c r="V33" s="26">
        <v>1</v>
      </c>
      <c r="W33" s="26">
        <v>1</v>
      </c>
      <c r="X33" s="26">
        <v>1</v>
      </c>
      <c r="Y33" s="26">
        <v>1</v>
      </c>
      <c r="Z33" s="26">
        <v>1</v>
      </c>
      <c r="AA33" s="26">
        <v>1</v>
      </c>
      <c r="AB33" s="26">
        <v>1</v>
      </c>
      <c r="AC33" s="26">
        <f t="shared" si="1"/>
        <v>9</v>
      </c>
      <c r="AD33" s="26"/>
      <c r="AE33" s="26"/>
    </row>
    <row r="34" spans="1:31" ht="86.25" customHeight="1" x14ac:dyDescent="0.4">
      <c r="A34" s="34" t="s">
        <v>386</v>
      </c>
      <c r="B34" s="34" t="s">
        <v>387</v>
      </c>
      <c r="C34" s="142"/>
      <c r="D34" s="21" t="s">
        <v>108</v>
      </c>
      <c r="E34" s="144"/>
      <c r="F34" s="142"/>
      <c r="G34" s="7" t="s">
        <v>21</v>
      </c>
      <c r="H34" s="21" t="s">
        <v>36</v>
      </c>
      <c r="I34" s="44" t="s">
        <v>432</v>
      </c>
      <c r="J34" s="101"/>
      <c r="K34" s="50" t="s">
        <v>433</v>
      </c>
      <c r="L34" s="51" t="s">
        <v>431</v>
      </c>
      <c r="M34" s="23" t="s">
        <v>27</v>
      </c>
      <c r="N34" s="23"/>
      <c r="O34" s="26">
        <v>0</v>
      </c>
      <c r="P34" s="109"/>
      <c r="Q34" s="26">
        <v>0</v>
      </c>
      <c r="R34" s="109"/>
      <c r="S34" s="26">
        <v>0</v>
      </c>
      <c r="T34" s="26">
        <v>12</v>
      </c>
      <c r="U34" s="26">
        <v>12</v>
      </c>
      <c r="V34" s="26">
        <v>1</v>
      </c>
      <c r="W34" s="26">
        <v>1</v>
      </c>
      <c r="X34" s="26">
        <v>1</v>
      </c>
      <c r="Y34" s="26">
        <v>1</v>
      </c>
      <c r="Z34" s="26">
        <v>1</v>
      </c>
      <c r="AA34" s="26">
        <v>1</v>
      </c>
      <c r="AB34" s="26"/>
      <c r="AC34" s="26">
        <f t="shared" si="1"/>
        <v>30</v>
      </c>
      <c r="AD34" s="26"/>
      <c r="AE34" s="26"/>
    </row>
    <row r="35" spans="1:31" ht="86.25" customHeight="1" x14ac:dyDescent="0.4">
      <c r="A35" s="34" t="s">
        <v>386</v>
      </c>
      <c r="B35" s="34" t="s">
        <v>387</v>
      </c>
      <c r="C35" s="142"/>
      <c r="D35" s="21" t="s">
        <v>108</v>
      </c>
      <c r="E35" s="144"/>
      <c r="F35" s="142"/>
      <c r="G35" s="7" t="s">
        <v>21</v>
      </c>
      <c r="H35" s="21" t="s">
        <v>41</v>
      </c>
      <c r="I35" s="44" t="s">
        <v>434</v>
      </c>
      <c r="J35" s="101"/>
      <c r="K35" s="50" t="s">
        <v>435</v>
      </c>
      <c r="L35" s="51" t="s">
        <v>392</v>
      </c>
      <c r="M35" s="23" t="s">
        <v>27</v>
      </c>
      <c r="N35" s="23"/>
      <c r="O35" s="26"/>
      <c r="P35" s="109"/>
      <c r="Q35" s="26"/>
      <c r="R35" s="109"/>
      <c r="S35" s="26">
        <v>1</v>
      </c>
      <c r="T35" s="26">
        <v>4</v>
      </c>
      <c r="U35" s="26"/>
      <c r="V35" s="26"/>
      <c r="W35" s="26"/>
      <c r="X35" s="26"/>
      <c r="Y35" s="26"/>
      <c r="Z35" s="26"/>
      <c r="AA35" s="26"/>
      <c r="AB35" s="26"/>
      <c r="AC35" s="26">
        <f t="shared" si="1"/>
        <v>5</v>
      </c>
      <c r="AD35" s="26"/>
      <c r="AE35" s="26"/>
    </row>
    <row r="36" spans="1:31" ht="86.25" customHeight="1" x14ac:dyDescent="0.4">
      <c r="A36" s="34" t="s">
        <v>386</v>
      </c>
      <c r="B36" s="34" t="s">
        <v>387</v>
      </c>
      <c r="C36" s="142"/>
      <c r="D36" s="21" t="s">
        <v>108</v>
      </c>
      <c r="E36" s="144"/>
      <c r="F36" s="142"/>
      <c r="G36" s="7" t="s">
        <v>21</v>
      </c>
      <c r="H36" s="21" t="s">
        <v>46</v>
      </c>
      <c r="I36" s="44" t="s">
        <v>436</v>
      </c>
      <c r="J36" s="101"/>
      <c r="K36" s="50" t="s">
        <v>437</v>
      </c>
      <c r="L36" s="51" t="s">
        <v>431</v>
      </c>
      <c r="M36" s="23" t="s">
        <v>27</v>
      </c>
      <c r="N36" s="23"/>
      <c r="O36" s="26"/>
      <c r="P36" s="109"/>
      <c r="Q36" s="26"/>
      <c r="R36" s="109"/>
      <c r="S36" s="26"/>
      <c r="T36" s="26">
        <v>1</v>
      </c>
      <c r="U36" s="26">
        <v>1</v>
      </c>
      <c r="V36" s="26">
        <v>1</v>
      </c>
      <c r="W36" s="26">
        <v>1</v>
      </c>
      <c r="X36" s="26">
        <v>1</v>
      </c>
      <c r="Y36" s="26">
        <v>1</v>
      </c>
      <c r="Z36" s="26">
        <v>1</v>
      </c>
      <c r="AA36" s="26">
        <v>1</v>
      </c>
      <c r="AB36" s="26">
        <v>1</v>
      </c>
      <c r="AC36" s="26">
        <f t="shared" si="1"/>
        <v>9</v>
      </c>
      <c r="AD36" s="7"/>
      <c r="AE36" s="7"/>
    </row>
    <row r="37" spans="1:31" ht="86.25" customHeight="1" thickBot="1" x14ac:dyDescent="0.45">
      <c r="A37" s="34" t="s">
        <v>386</v>
      </c>
      <c r="B37" s="34" t="s">
        <v>387</v>
      </c>
      <c r="C37" s="142"/>
      <c r="D37" s="21" t="s">
        <v>108</v>
      </c>
      <c r="E37" s="144"/>
      <c r="F37" s="143"/>
      <c r="G37" s="7" t="s">
        <v>21</v>
      </c>
      <c r="H37" s="21" t="s">
        <v>51</v>
      </c>
      <c r="I37" s="47" t="s">
        <v>438</v>
      </c>
      <c r="J37" s="102"/>
      <c r="K37" s="52" t="s">
        <v>439</v>
      </c>
      <c r="L37" s="53" t="s">
        <v>431</v>
      </c>
      <c r="M37" s="23" t="s">
        <v>27</v>
      </c>
      <c r="N37" s="23"/>
      <c r="O37" s="26"/>
      <c r="P37" s="109"/>
      <c r="Q37" s="26"/>
      <c r="R37" s="109"/>
      <c r="S37" s="26"/>
      <c r="T37" s="26">
        <v>12</v>
      </c>
      <c r="U37" s="26">
        <v>12</v>
      </c>
      <c r="V37" s="26"/>
      <c r="W37" s="26"/>
      <c r="X37" s="26"/>
      <c r="Y37" s="26"/>
      <c r="Z37" s="26"/>
      <c r="AA37" s="26"/>
      <c r="AB37" s="26"/>
      <c r="AC37" s="26">
        <f t="shared" si="1"/>
        <v>24</v>
      </c>
      <c r="AD37" s="7"/>
      <c r="AE37" s="7"/>
    </row>
    <row r="38" spans="1:31" ht="82.5" customHeight="1" x14ac:dyDescent="0.4">
      <c r="A38" s="34" t="s">
        <v>386</v>
      </c>
      <c r="B38" s="34" t="s">
        <v>387</v>
      </c>
      <c r="C38" s="142"/>
      <c r="D38" s="21" t="s">
        <v>108</v>
      </c>
      <c r="E38" s="145" t="s">
        <v>108</v>
      </c>
      <c r="F38" s="146"/>
      <c r="G38" s="146"/>
      <c r="H38" s="146"/>
      <c r="I38" s="146"/>
      <c r="J38" s="146"/>
      <c r="K38" s="146"/>
      <c r="L38" s="146"/>
      <c r="M38" s="27" t="s">
        <v>64</v>
      </c>
      <c r="N38" s="27"/>
      <c r="O38" s="29">
        <f>O37+O36+O34+O33</f>
        <v>0</v>
      </c>
      <c r="P38" s="109"/>
      <c r="Q38" s="29">
        <f t="shared" ref="Q38:AB38" si="5">Q37+Q36+Q34+Q33</f>
        <v>1</v>
      </c>
      <c r="R38" s="109"/>
      <c r="S38" s="29">
        <f t="shared" si="5"/>
        <v>0</v>
      </c>
      <c r="T38" s="29">
        <f t="shared" si="5"/>
        <v>25</v>
      </c>
      <c r="U38" s="29">
        <f t="shared" si="5"/>
        <v>26</v>
      </c>
      <c r="V38" s="29">
        <f t="shared" si="5"/>
        <v>3</v>
      </c>
      <c r="W38" s="29">
        <f t="shared" si="5"/>
        <v>3</v>
      </c>
      <c r="X38" s="29">
        <f t="shared" si="5"/>
        <v>3</v>
      </c>
      <c r="Y38" s="29">
        <f t="shared" si="5"/>
        <v>3</v>
      </c>
      <c r="Z38" s="29">
        <f t="shared" si="5"/>
        <v>3</v>
      </c>
      <c r="AA38" s="29">
        <f t="shared" si="5"/>
        <v>3</v>
      </c>
      <c r="AB38" s="29">
        <f t="shared" si="5"/>
        <v>2</v>
      </c>
      <c r="AC38" s="29">
        <f>SUM(O38:AB38)</f>
        <v>72</v>
      </c>
      <c r="AD38" s="158"/>
      <c r="AE38" s="158"/>
    </row>
    <row r="39" spans="1:31" ht="82.5" customHeight="1" x14ac:dyDescent="0.4">
      <c r="A39" s="34" t="s">
        <v>386</v>
      </c>
      <c r="B39" s="34" t="s">
        <v>387</v>
      </c>
      <c r="C39" s="142"/>
      <c r="D39" s="21" t="s">
        <v>108</v>
      </c>
      <c r="E39" s="147"/>
      <c r="F39" s="148"/>
      <c r="G39" s="148"/>
      <c r="H39" s="148"/>
      <c r="I39" s="148"/>
      <c r="J39" s="148"/>
      <c r="K39" s="148"/>
      <c r="L39" s="148"/>
      <c r="M39" s="27" t="s">
        <v>66</v>
      </c>
      <c r="N39" s="27"/>
      <c r="O39" s="29">
        <v>30326.3</v>
      </c>
      <c r="P39" s="109"/>
      <c r="Q39" s="29">
        <v>30326.3</v>
      </c>
      <c r="R39" s="109"/>
      <c r="S39" s="29">
        <v>30326.3</v>
      </c>
      <c r="T39" s="29">
        <v>30326.3</v>
      </c>
      <c r="U39" s="29">
        <v>27826.3</v>
      </c>
      <c r="V39" s="29">
        <v>27826.3</v>
      </c>
      <c r="W39" s="29">
        <v>27826.3</v>
      </c>
      <c r="X39" s="29">
        <v>27826.3</v>
      </c>
      <c r="Y39" s="29">
        <v>27826.3</v>
      </c>
      <c r="Z39" s="29">
        <v>27826.3</v>
      </c>
      <c r="AA39" s="29">
        <v>25226.3</v>
      </c>
      <c r="AB39" s="29">
        <v>826.3</v>
      </c>
      <c r="AC39" s="29">
        <f t="shared" ref="AC39:AC44" si="6">SUM(O39:AB39)</f>
        <v>314315.59999999992</v>
      </c>
      <c r="AD39" s="159"/>
      <c r="AE39" s="159"/>
    </row>
    <row r="40" spans="1:31" ht="82.5" customHeight="1" x14ac:dyDescent="0.4">
      <c r="A40" s="34" t="s">
        <v>386</v>
      </c>
      <c r="B40" s="34" t="s">
        <v>387</v>
      </c>
      <c r="C40" s="142"/>
      <c r="D40" s="21" t="s">
        <v>108</v>
      </c>
      <c r="E40" s="147"/>
      <c r="F40" s="148"/>
      <c r="G40" s="148"/>
      <c r="H40" s="148"/>
      <c r="I40" s="148"/>
      <c r="J40" s="148"/>
      <c r="K40" s="148"/>
      <c r="L40" s="148"/>
      <c r="M40" s="27" t="s">
        <v>82</v>
      </c>
      <c r="N40" s="27"/>
      <c r="O40" s="29">
        <v>46015</v>
      </c>
      <c r="P40" s="109"/>
      <c r="Q40" s="29">
        <v>115815</v>
      </c>
      <c r="R40" s="109"/>
      <c r="S40" s="29">
        <v>46015</v>
      </c>
      <c r="T40" s="29">
        <v>46018</v>
      </c>
      <c r="U40" s="29">
        <v>43500</v>
      </c>
      <c r="V40" s="29">
        <v>43500</v>
      </c>
      <c r="W40" s="29">
        <v>43500</v>
      </c>
      <c r="X40" s="29">
        <v>43500</v>
      </c>
      <c r="Y40" s="29">
        <v>43500</v>
      </c>
      <c r="Z40" s="29">
        <v>43500</v>
      </c>
      <c r="AA40" s="29">
        <v>43500</v>
      </c>
      <c r="AB40" s="29">
        <v>43500</v>
      </c>
      <c r="AC40" s="29">
        <f t="shared" si="6"/>
        <v>601863</v>
      </c>
      <c r="AD40" s="159"/>
      <c r="AE40" s="159"/>
    </row>
    <row r="41" spans="1:31" ht="82.5" customHeight="1" x14ac:dyDescent="0.4">
      <c r="A41" s="34" t="s">
        <v>386</v>
      </c>
      <c r="B41" s="34" t="s">
        <v>387</v>
      </c>
      <c r="C41" s="142"/>
      <c r="D41" s="21" t="s">
        <v>108</v>
      </c>
      <c r="E41" s="147"/>
      <c r="F41" s="148"/>
      <c r="G41" s="148"/>
      <c r="H41" s="148"/>
      <c r="I41" s="148"/>
      <c r="J41" s="148"/>
      <c r="K41" s="148"/>
      <c r="L41" s="148"/>
      <c r="M41" s="27" t="s">
        <v>414</v>
      </c>
      <c r="N41" s="27"/>
      <c r="O41" s="29"/>
      <c r="P41" s="109"/>
      <c r="Q41" s="29"/>
      <c r="R41" s="109"/>
      <c r="S41" s="29"/>
      <c r="T41" s="29"/>
      <c r="U41" s="29"/>
      <c r="V41" s="29"/>
      <c r="W41" s="29"/>
      <c r="X41" s="29"/>
      <c r="Y41" s="29"/>
      <c r="Z41" s="29"/>
      <c r="AA41" s="29"/>
      <c r="AB41" s="29"/>
      <c r="AC41" s="29">
        <f t="shared" si="6"/>
        <v>0</v>
      </c>
      <c r="AD41" s="159"/>
      <c r="AE41" s="159"/>
    </row>
    <row r="42" spans="1:31" ht="82.5" customHeight="1" thickBot="1" x14ac:dyDescent="0.45">
      <c r="A42" s="34" t="s">
        <v>386</v>
      </c>
      <c r="B42" s="34" t="s">
        <v>387</v>
      </c>
      <c r="C42" s="143"/>
      <c r="D42" s="21" t="s">
        <v>108</v>
      </c>
      <c r="E42" s="149"/>
      <c r="F42" s="150"/>
      <c r="G42" s="150"/>
      <c r="H42" s="150"/>
      <c r="I42" s="150"/>
      <c r="J42" s="150"/>
      <c r="K42" s="150"/>
      <c r="L42" s="150"/>
      <c r="M42" s="27" t="s">
        <v>240</v>
      </c>
      <c r="N42" s="27"/>
      <c r="O42" s="29">
        <f>SUM(O39:O41)</f>
        <v>76341.3</v>
      </c>
      <c r="P42" s="109"/>
      <c r="Q42" s="29">
        <f t="shared" ref="Q42:AB42" si="7">SUM(Q39:Q41)</f>
        <v>146141.29999999999</v>
      </c>
      <c r="R42" s="109"/>
      <c r="S42" s="29">
        <f t="shared" si="7"/>
        <v>76341.3</v>
      </c>
      <c r="T42" s="29">
        <f t="shared" si="7"/>
        <v>76344.3</v>
      </c>
      <c r="U42" s="29">
        <f t="shared" si="7"/>
        <v>71326.3</v>
      </c>
      <c r="V42" s="29">
        <f t="shared" si="7"/>
        <v>71326.3</v>
      </c>
      <c r="W42" s="29">
        <f t="shared" si="7"/>
        <v>71326.3</v>
      </c>
      <c r="X42" s="29">
        <f t="shared" si="7"/>
        <v>71326.3</v>
      </c>
      <c r="Y42" s="29">
        <f t="shared" si="7"/>
        <v>71326.3</v>
      </c>
      <c r="Z42" s="29">
        <f t="shared" si="7"/>
        <v>71326.3</v>
      </c>
      <c r="AA42" s="29">
        <f t="shared" si="7"/>
        <v>68726.3</v>
      </c>
      <c r="AB42" s="29">
        <f t="shared" si="7"/>
        <v>44326.3</v>
      </c>
      <c r="AC42" s="29">
        <f t="shared" si="6"/>
        <v>916178.60000000021</v>
      </c>
      <c r="AD42" s="160"/>
      <c r="AE42" s="160"/>
    </row>
    <row r="43" spans="1:31" ht="168" x14ac:dyDescent="0.4">
      <c r="A43" s="34" t="s">
        <v>386</v>
      </c>
      <c r="B43" s="34" t="s">
        <v>387</v>
      </c>
      <c r="C43" s="141" t="s">
        <v>425</v>
      </c>
      <c r="D43" s="21" t="s">
        <v>242</v>
      </c>
      <c r="E43" s="144" t="s">
        <v>440</v>
      </c>
      <c r="F43" s="141" t="s">
        <v>20</v>
      </c>
      <c r="G43" s="7" t="s">
        <v>21</v>
      </c>
      <c r="H43" s="21" t="s">
        <v>22</v>
      </c>
      <c r="I43" s="46" t="s">
        <v>441</v>
      </c>
      <c r="J43" s="100"/>
      <c r="K43" s="48" t="s">
        <v>442</v>
      </c>
      <c r="L43" s="49" t="s">
        <v>431</v>
      </c>
      <c r="M43" s="23" t="s">
        <v>27</v>
      </c>
      <c r="N43" s="23"/>
      <c r="O43" s="26"/>
      <c r="P43" s="109"/>
      <c r="Q43" s="26"/>
      <c r="R43" s="109"/>
      <c r="S43" s="26"/>
      <c r="T43" s="26"/>
      <c r="U43" s="54">
        <v>4</v>
      </c>
      <c r="V43" s="54">
        <v>4</v>
      </c>
      <c r="W43" s="54">
        <v>4</v>
      </c>
      <c r="X43" s="54">
        <v>4</v>
      </c>
      <c r="Y43" s="54">
        <v>4</v>
      </c>
      <c r="Z43" s="54">
        <v>6</v>
      </c>
      <c r="AA43" s="54">
        <v>6</v>
      </c>
      <c r="AB43" s="54">
        <v>2</v>
      </c>
      <c r="AC43" s="26">
        <f t="shared" si="6"/>
        <v>34</v>
      </c>
      <c r="AD43" s="26"/>
      <c r="AE43" s="26"/>
    </row>
    <row r="44" spans="1:31" ht="168" x14ac:dyDescent="0.4">
      <c r="A44" s="34" t="s">
        <v>386</v>
      </c>
      <c r="B44" s="34" t="s">
        <v>387</v>
      </c>
      <c r="C44" s="142"/>
      <c r="D44" s="21" t="s">
        <v>242</v>
      </c>
      <c r="E44" s="144"/>
      <c r="F44" s="142"/>
      <c r="G44" s="7" t="s">
        <v>21</v>
      </c>
      <c r="H44" s="21" t="s">
        <v>30</v>
      </c>
      <c r="I44" s="44" t="s">
        <v>443</v>
      </c>
      <c r="J44" s="103"/>
      <c r="K44" s="55" t="s">
        <v>442</v>
      </c>
      <c r="L44" s="56" t="s">
        <v>431</v>
      </c>
      <c r="M44" s="23" t="s">
        <v>27</v>
      </c>
      <c r="N44" s="23"/>
      <c r="O44" s="26"/>
      <c r="P44" s="109"/>
      <c r="Q44" s="26"/>
      <c r="R44" s="109"/>
      <c r="S44" s="26"/>
      <c r="T44" s="26"/>
      <c r="U44" s="57"/>
      <c r="V44" s="57"/>
      <c r="W44" s="57"/>
      <c r="X44" s="57">
        <v>1</v>
      </c>
      <c r="Y44" s="57">
        <v>1</v>
      </c>
      <c r="Z44" s="57">
        <v>1</v>
      </c>
      <c r="AA44" s="57">
        <v>1</v>
      </c>
      <c r="AB44" s="57">
        <v>1</v>
      </c>
      <c r="AC44" s="26">
        <f t="shared" si="6"/>
        <v>5</v>
      </c>
      <c r="AD44" s="26"/>
      <c r="AE44" s="26"/>
    </row>
    <row r="45" spans="1:31" ht="168" x14ac:dyDescent="0.4">
      <c r="A45" s="34" t="s">
        <v>386</v>
      </c>
      <c r="B45" s="34" t="s">
        <v>387</v>
      </c>
      <c r="C45" s="142"/>
      <c r="D45" s="21" t="s">
        <v>242</v>
      </c>
      <c r="E45" s="145" t="s">
        <v>108</v>
      </c>
      <c r="F45" s="146"/>
      <c r="G45" s="146"/>
      <c r="H45" s="146"/>
      <c r="I45" s="146"/>
      <c r="J45" s="146"/>
      <c r="K45" s="146"/>
      <c r="L45" s="146"/>
      <c r="M45" s="27" t="s">
        <v>64</v>
      </c>
      <c r="N45" s="27"/>
      <c r="O45" s="29">
        <f>O43+O44</f>
        <v>0</v>
      </c>
      <c r="P45" s="109"/>
      <c r="Q45" s="29">
        <f t="shared" ref="Q45:AB45" si="8">Q43+Q44</f>
        <v>0</v>
      </c>
      <c r="R45" s="109"/>
      <c r="S45" s="29">
        <f t="shared" si="8"/>
        <v>0</v>
      </c>
      <c r="T45" s="29">
        <f t="shared" si="8"/>
        <v>0</v>
      </c>
      <c r="U45" s="29">
        <f t="shared" si="8"/>
        <v>4</v>
      </c>
      <c r="V45" s="29">
        <f t="shared" si="8"/>
        <v>4</v>
      </c>
      <c r="W45" s="29">
        <f t="shared" si="8"/>
        <v>4</v>
      </c>
      <c r="X45" s="29">
        <f t="shared" si="8"/>
        <v>5</v>
      </c>
      <c r="Y45" s="29">
        <f t="shared" si="8"/>
        <v>5</v>
      </c>
      <c r="Z45" s="29">
        <f t="shared" si="8"/>
        <v>7</v>
      </c>
      <c r="AA45" s="29">
        <f t="shared" si="8"/>
        <v>7</v>
      </c>
      <c r="AB45" s="29">
        <f t="shared" si="8"/>
        <v>3</v>
      </c>
      <c r="AC45" s="29">
        <f>SUM(O45:AB45)</f>
        <v>39</v>
      </c>
      <c r="AD45" s="158"/>
      <c r="AE45" s="158"/>
    </row>
    <row r="46" spans="1:31" ht="168" x14ac:dyDescent="0.4">
      <c r="A46" s="34" t="s">
        <v>386</v>
      </c>
      <c r="B46" s="34" t="s">
        <v>387</v>
      </c>
      <c r="C46" s="142"/>
      <c r="D46" s="21" t="s">
        <v>242</v>
      </c>
      <c r="E46" s="147"/>
      <c r="F46" s="148"/>
      <c r="G46" s="148"/>
      <c r="H46" s="148"/>
      <c r="I46" s="148"/>
      <c r="J46" s="148"/>
      <c r="K46" s="148"/>
      <c r="L46" s="148"/>
      <c r="M46" s="27" t="s">
        <v>66</v>
      </c>
      <c r="N46" s="27"/>
      <c r="O46" s="29"/>
      <c r="P46" s="109"/>
      <c r="Q46" s="29"/>
      <c r="R46" s="109"/>
      <c r="S46" s="29"/>
      <c r="T46" s="29"/>
      <c r="U46" s="29">
        <v>2500</v>
      </c>
      <c r="V46" s="29">
        <v>2500</v>
      </c>
      <c r="W46" s="29">
        <v>2500</v>
      </c>
      <c r="X46" s="29">
        <v>2500</v>
      </c>
      <c r="Y46" s="29">
        <v>2500</v>
      </c>
      <c r="Z46" s="29">
        <v>2500</v>
      </c>
      <c r="AA46" s="29"/>
      <c r="AB46" s="29"/>
      <c r="AC46" s="29">
        <f t="shared" ref="AC46:AC54" si="9">SUM(O46:AB46)</f>
        <v>15000</v>
      </c>
      <c r="AD46" s="159"/>
      <c r="AE46" s="159"/>
    </row>
    <row r="47" spans="1:31" ht="168" x14ac:dyDescent="0.4">
      <c r="A47" s="34" t="s">
        <v>386</v>
      </c>
      <c r="B47" s="34" t="s">
        <v>387</v>
      </c>
      <c r="C47" s="142"/>
      <c r="D47" s="21" t="s">
        <v>242</v>
      </c>
      <c r="E47" s="147"/>
      <c r="F47" s="148"/>
      <c r="G47" s="148"/>
      <c r="H47" s="148"/>
      <c r="I47" s="148"/>
      <c r="J47" s="148"/>
      <c r="K47" s="148"/>
      <c r="L47" s="148"/>
      <c r="M47" s="27" t="s">
        <v>82</v>
      </c>
      <c r="N47" s="27"/>
      <c r="O47" s="29"/>
      <c r="P47" s="109"/>
      <c r="Q47" s="29"/>
      <c r="R47" s="109"/>
      <c r="S47" s="29"/>
      <c r="T47" s="29"/>
      <c r="U47" s="29">
        <v>2500</v>
      </c>
      <c r="V47" s="29">
        <v>2500</v>
      </c>
      <c r="W47" s="29">
        <v>2500</v>
      </c>
      <c r="X47" s="29">
        <v>2500</v>
      </c>
      <c r="Y47" s="29">
        <v>2500</v>
      </c>
      <c r="Z47" s="29">
        <v>2500</v>
      </c>
      <c r="AA47" s="29">
        <v>2500</v>
      </c>
      <c r="AB47" s="29">
        <v>2500</v>
      </c>
      <c r="AC47" s="29">
        <f t="shared" si="9"/>
        <v>20000</v>
      </c>
      <c r="AD47" s="159"/>
      <c r="AE47" s="159"/>
    </row>
    <row r="48" spans="1:31" ht="168" x14ac:dyDescent="0.4">
      <c r="A48" s="34" t="s">
        <v>386</v>
      </c>
      <c r="B48" s="34" t="s">
        <v>387</v>
      </c>
      <c r="C48" s="142"/>
      <c r="D48" s="21" t="s">
        <v>242</v>
      </c>
      <c r="E48" s="147"/>
      <c r="F48" s="148"/>
      <c r="G48" s="148"/>
      <c r="H48" s="148"/>
      <c r="I48" s="148"/>
      <c r="J48" s="148"/>
      <c r="K48" s="148"/>
      <c r="L48" s="148"/>
      <c r="M48" s="27" t="s">
        <v>414</v>
      </c>
      <c r="N48" s="27"/>
      <c r="O48" s="29"/>
      <c r="P48" s="109"/>
      <c r="Q48" s="29"/>
      <c r="R48" s="109"/>
      <c r="S48" s="29"/>
      <c r="T48" s="29"/>
      <c r="U48" s="29"/>
      <c r="V48" s="29"/>
      <c r="W48" s="29"/>
      <c r="X48" s="29"/>
      <c r="Y48" s="29"/>
      <c r="Z48" s="29"/>
      <c r="AA48" s="29"/>
      <c r="AB48" s="29"/>
      <c r="AC48" s="29">
        <f t="shared" si="9"/>
        <v>0</v>
      </c>
      <c r="AD48" s="159"/>
      <c r="AE48" s="159"/>
    </row>
    <row r="49" spans="1:31" ht="168.75" thickBot="1" x14ac:dyDescent="0.45">
      <c r="A49" s="34" t="s">
        <v>386</v>
      </c>
      <c r="B49" s="34" t="s">
        <v>387</v>
      </c>
      <c r="C49" s="143"/>
      <c r="D49" s="21" t="s">
        <v>242</v>
      </c>
      <c r="E49" s="149"/>
      <c r="F49" s="150"/>
      <c r="G49" s="150"/>
      <c r="H49" s="150"/>
      <c r="I49" s="150"/>
      <c r="J49" s="150"/>
      <c r="K49" s="150"/>
      <c r="L49" s="150"/>
      <c r="M49" s="27" t="s">
        <v>240</v>
      </c>
      <c r="N49" s="27"/>
      <c r="O49" s="29">
        <f>SUM(O46:O48)</f>
        <v>0</v>
      </c>
      <c r="P49" s="109"/>
      <c r="Q49" s="29">
        <f t="shared" ref="Q49:AB49" si="10">SUM(Q46:Q48)</f>
        <v>0</v>
      </c>
      <c r="R49" s="109"/>
      <c r="S49" s="29">
        <f t="shared" si="10"/>
        <v>0</v>
      </c>
      <c r="T49" s="29">
        <f t="shared" si="10"/>
        <v>0</v>
      </c>
      <c r="U49" s="29">
        <f t="shared" si="10"/>
        <v>5000</v>
      </c>
      <c r="V49" s="29">
        <f t="shared" si="10"/>
        <v>5000</v>
      </c>
      <c r="W49" s="29">
        <f t="shared" si="10"/>
        <v>5000</v>
      </c>
      <c r="X49" s="29">
        <f t="shared" si="10"/>
        <v>5000</v>
      </c>
      <c r="Y49" s="29">
        <f t="shared" si="10"/>
        <v>5000</v>
      </c>
      <c r="Z49" s="29">
        <f t="shared" si="10"/>
        <v>5000</v>
      </c>
      <c r="AA49" s="29">
        <f t="shared" si="10"/>
        <v>2500</v>
      </c>
      <c r="AB49" s="29">
        <f t="shared" si="10"/>
        <v>2500</v>
      </c>
      <c r="AC49" s="29">
        <f t="shared" si="9"/>
        <v>35000</v>
      </c>
      <c r="AD49" s="160"/>
      <c r="AE49" s="160"/>
    </row>
    <row r="50" spans="1:31" ht="168" x14ac:dyDescent="0.4">
      <c r="A50" s="34" t="s">
        <v>386</v>
      </c>
      <c r="B50" s="34" t="s">
        <v>387</v>
      </c>
      <c r="C50" s="141" t="s">
        <v>444</v>
      </c>
      <c r="D50" s="21" t="s">
        <v>255</v>
      </c>
      <c r="E50" s="144" t="s">
        <v>445</v>
      </c>
      <c r="F50" s="141" t="s">
        <v>20</v>
      </c>
      <c r="G50" s="7" t="s">
        <v>21</v>
      </c>
      <c r="H50" s="21" t="s">
        <v>22</v>
      </c>
      <c r="I50" s="48" t="s">
        <v>446</v>
      </c>
      <c r="J50" s="48"/>
      <c r="K50" s="48" t="s">
        <v>447</v>
      </c>
      <c r="L50" s="49" t="s">
        <v>431</v>
      </c>
      <c r="M50" s="23" t="s">
        <v>27</v>
      </c>
      <c r="N50" s="104"/>
      <c r="O50" s="54">
        <v>3</v>
      </c>
      <c r="P50" s="110"/>
      <c r="Q50" s="54">
        <v>3</v>
      </c>
      <c r="R50" s="110"/>
      <c r="S50" s="54">
        <v>3</v>
      </c>
      <c r="T50" s="54">
        <v>3</v>
      </c>
      <c r="U50" s="54">
        <v>3</v>
      </c>
      <c r="V50" s="54">
        <v>3</v>
      </c>
      <c r="W50" s="54">
        <v>3</v>
      </c>
      <c r="X50" s="54">
        <v>3</v>
      </c>
      <c r="Y50" s="54">
        <v>3</v>
      </c>
      <c r="Z50" s="54">
        <v>3</v>
      </c>
      <c r="AA50" s="54">
        <v>3</v>
      </c>
      <c r="AB50" s="54">
        <v>3</v>
      </c>
      <c r="AC50" s="26">
        <f t="shared" si="9"/>
        <v>36</v>
      </c>
      <c r="AD50" s="26"/>
      <c r="AE50" s="26"/>
    </row>
    <row r="51" spans="1:31" ht="168" x14ac:dyDescent="0.4">
      <c r="A51" s="34" t="s">
        <v>386</v>
      </c>
      <c r="B51" s="34" t="s">
        <v>387</v>
      </c>
      <c r="C51" s="142"/>
      <c r="D51" s="21" t="s">
        <v>255</v>
      </c>
      <c r="E51" s="144"/>
      <c r="F51" s="142"/>
      <c r="G51" s="7" t="s">
        <v>21</v>
      </c>
      <c r="H51" s="21" t="s">
        <v>30</v>
      </c>
      <c r="I51" s="50" t="s">
        <v>448</v>
      </c>
      <c r="J51" s="50"/>
      <c r="K51" s="50" t="s">
        <v>449</v>
      </c>
      <c r="L51" s="51" t="s">
        <v>431</v>
      </c>
      <c r="M51" s="23" t="s">
        <v>27</v>
      </c>
      <c r="N51" s="104"/>
      <c r="O51" s="58"/>
      <c r="P51" s="111"/>
      <c r="Q51" s="58"/>
      <c r="R51" s="111"/>
      <c r="S51" s="58">
        <v>1</v>
      </c>
      <c r="T51" s="58">
        <v>1</v>
      </c>
      <c r="U51" s="58">
        <v>1</v>
      </c>
      <c r="V51" s="58">
        <v>1</v>
      </c>
      <c r="W51" s="58">
        <v>1</v>
      </c>
      <c r="X51" s="58">
        <v>1</v>
      </c>
      <c r="Y51" s="58">
        <v>1</v>
      </c>
      <c r="Z51" s="58">
        <v>1</v>
      </c>
      <c r="AA51" s="58">
        <v>1</v>
      </c>
      <c r="AB51" s="58"/>
      <c r="AC51" s="26">
        <f t="shared" si="9"/>
        <v>9</v>
      </c>
      <c r="AD51" s="26"/>
      <c r="AE51" s="26"/>
    </row>
    <row r="52" spans="1:31" ht="168" x14ac:dyDescent="0.4">
      <c r="A52" s="34" t="s">
        <v>386</v>
      </c>
      <c r="B52" s="34" t="s">
        <v>387</v>
      </c>
      <c r="C52" s="142"/>
      <c r="D52" s="21" t="s">
        <v>255</v>
      </c>
      <c r="E52" s="144"/>
      <c r="F52" s="142"/>
      <c r="G52" s="7" t="s">
        <v>21</v>
      </c>
      <c r="H52" s="21" t="s">
        <v>36</v>
      </c>
      <c r="I52" s="50" t="s">
        <v>450</v>
      </c>
      <c r="J52" s="50"/>
      <c r="K52" s="50" t="s">
        <v>451</v>
      </c>
      <c r="L52" s="51" t="s">
        <v>431</v>
      </c>
      <c r="M52" s="23" t="s">
        <v>27</v>
      </c>
      <c r="N52" s="104"/>
      <c r="O52" s="58">
        <v>5</v>
      </c>
      <c r="P52" s="111"/>
      <c r="Q52" s="58">
        <v>5</v>
      </c>
      <c r="R52" s="111"/>
      <c r="S52" s="58">
        <v>5</v>
      </c>
      <c r="T52" s="58">
        <v>5</v>
      </c>
      <c r="U52" s="58">
        <v>5</v>
      </c>
      <c r="V52" s="58">
        <v>5</v>
      </c>
      <c r="W52" s="58">
        <v>5</v>
      </c>
      <c r="X52" s="58">
        <v>5</v>
      </c>
      <c r="Y52" s="58">
        <v>5</v>
      </c>
      <c r="Z52" s="58">
        <v>5</v>
      </c>
      <c r="AA52" s="58">
        <v>5</v>
      </c>
      <c r="AB52" s="58">
        <v>5</v>
      </c>
      <c r="AC52" s="26">
        <f t="shared" si="9"/>
        <v>60</v>
      </c>
      <c r="AD52" s="26"/>
      <c r="AE52" s="26"/>
    </row>
    <row r="53" spans="1:31" ht="168" x14ac:dyDescent="0.4">
      <c r="A53" s="34" t="s">
        <v>386</v>
      </c>
      <c r="B53" s="34" t="s">
        <v>387</v>
      </c>
      <c r="C53" s="142"/>
      <c r="D53" s="21" t="s">
        <v>255</v>
      </c>
      <c r="E53" s="144"/>
      <c r="F53" s="142"/>
      <c r="G53" s="7" t="s">
        <v>21</v>
      </c>
      <c r="H53" s="21" t="s">
        <v>41</v>
      </c>
      <c r="I53" s="50" t="s">
        <v>452</v>
      </c>
      <c r="J53" s="50"/>
      <c r="K53" s="50" t="s">
        <v>453</v>
      </c>
      <c r="L53" s="51" t="s">
        <v>431</v>
      </c>
      <c r="M53" s="23" t="s">
        <v>27</v>
      </c>
      <c r="N53" s="104"/>
      <c r="O53" s="58">
        <v>0</v>
      </c>
      <c r="P53" s="111"/>
      <c r="Q53" s="58">
        <v>0</v>
      </c>
      <c r="R53" s="111"/>
      <c r="S53" s="58">
        <v>1</v>
      </c>
      <c r="T53" s="58">
        <v>2</v>
      </c>
      <c r="U53" s="58">
        <v>2</v>
      </c>
      <c r="V53" s="58">
        <v>3</v>
      </c>
      <c r="W53" s="58">
        <v>3</v>
      </c>
      <c r="X53" s="58">
        <v>4</v>
      </c>
      <c r="Y53" s="58">
        <v>2</v>
      </c>
      <c r="Z53" s="58">
        <v>1</v>
      </c>
      <c r="AA53" s="58">
        <v>2</v>
      </c>
      <c r="AB53" s="58">
        <v>1</v>
      </c>
      <c r="AC53" s="26">
        <f t="shared" si="9"/>
        <v>21</v>
      </c>
      <c r="AD53" s="26"/>
      <c r="AE53" s="26"/>
    </row>
    <row r="54" spans="1:31" ht="168.75" thickBot="1" x14ac:dyDescent="0.45">
      <c r="A54" s="34" t="s">
        <v>386</v>
      </c>
      <c r="B54" s="34" t="s">
        <v>387</v>
      </c>
      <c r="C54" s="142"/>
      <c r="D54" s="21" t="s">
        <v>255</v>
      </c>
      <c r="E54" s="144"/>
      <c r="F54" s="142"/>
      <c r="G54" s="7" t="s">
        <v>21</v>
      </c>
      <c r="H54" s="21" t="s">
        <v>46</v>
      </c>
      <c r="I54" s="52" t="s">
        <v>454</v>
      </c>
      <c r="J54" s="55"/>
      <c r="K54" s="50" t="s">
        <v>453</v>
      </c>
      <c r="L54" s="51" t="s">
        <v>431</v>
      </c>
      <c r="M54" s="23" t="s">
        <v>27</v>
      </c>
      <c r="N54" s="104"/>
      <c r="O54" s="59"/>
      <c r="P54" s="112"/>
      <c r="Q54" s="59">
        <v>1</v>
      </c>
      <c r="R54" s="112"/>
      <c r="S54" s="59">
        <v>1</v>
      </c>
      <c r="T54" s="59">
        <v>1</v>
      </c>
      <c r="U54" s="59">
        <v>1</v>
      </c>
      <c r="V54" s="59">
        <v>1</v>
      </c>
      <c r="W54" s="59">
        <v>1</v>
      </c>
      <c r="X54" s="59">
        <v>1</v>
      </c>
      <c r="Y54" s="59">
        <v>1</v>
      </c>
      <c r="Z54" s="59">
        <v>1</v>
      </c>
      <c r="AA54" s="59">
        <v>1</v>
      </c>
      <c r="AB54" s="59">
        <v>1</v>
      </c>
      <c r="AC54" s="26">
        <f t="shared" si="9"/>
        <v>11</v>
      </c>
      <c r="AD54" s="7"/>
      <c r="AE54" s="7"/>
    </row>
    <row r="55" spans="1:31" ht="168" x14ac:dyDescent="0.4">
      <c r="A55" s="34" t="s">
        <v>386</v>
      </c>
      <c r="B55" s="34" t="s">
        <v>387</v>
      </c>
      <c r="C55" s="142"/>
      <c r="D55" s="21" t="s">
        <v>255</v>
      </c>
      <c r="E55" s="145" t="s">
        <v>108</v>
      </c>
      <c r="F55" s="146"/>
      <c r="G55" s="146"/>
      <c r="H55" s="146"/>
      <c r="I55" s="146"/>
      <c r="J55" s="146"/>
      <c r="K55" s="146"/>
      <c r="L55" s="146"/>
      <c r="M55" s="27" t="s">
        <v>64</v>
      </c>
      <c r="N55" s="27"/>
      <c r="O55" s="29">
        <f>O50+O54+O52+O51+O53</f>
        <v>8</v>
      </c>
      <c r="P55" s="109"/>
      <c r="Q55" s="29">
        <f t="shared" ref="Q55:AB55" si="11">Q50+Q54+Q52+Q51+Q53</f>
        <v>9</v>
      </c>
      <c r="R55" s="109"/>
      <c r="S55" s="29">
        <f t="shared" si="11"/>
        <v>11</v>
      </c>
      <c r="T55" s="29">
        <f t="shared" si="11"/>
        <v>12</v>
      </c>
      <c r="U55" s="29">
        <f t="shared" si="11"/>
        <v>12</v>
      </c>
      <c r="V55" s="29">
        <f t="shared" si="11"/>
        <v>13</v>
      </c>
      <c r="W55" s="29">
        <f t="shared" si="11"/>
        <v>13</v>
      </c>
      <c r="X55" s="29">
        <f t="shared" si="11"/>
        <v>14</v>
      </c>
      <c r="Y55" s="29">
        <f t="shared" si="11"/>
        <v>12</v>
      </c>
      <c r="Z55" s="29">
        <f t="shared" si="11"/>
        <v>11</v>
      </c>
      <c r="AA55" s="29">
        <f t="shared" si="11"/>
        <v>12</v>
      </c>
      <c r="AB55" s="29">
        <f t="shared" si="11"/>
        <v>10</v>
      </c>
      <c r="AC55" s="29">
        <f>SUM(O55:AB55)</f>
        <v>137</v>
      </c>
      <c r="AD55" s="158"/>
      <c r="AE55" s="158"/>
    </row>
    <row r="56" spans="1:31" ht="168" x14ac:dyDescent="0.4">
      <c r="A56" s="34" t="s">
        <v>386</v>
      </c>
      <c r="B56" s="34" t="s">
        <v>387</v>
      </c>
      <c r="C56" s="142"/>
      <c r="D56" s="21" t="s">
        <v>255</v>
      </c>
      <c r="E56" s="147"/>
      <c r="F56" s="148"/>
      <c r="G56" s="148"/>
      <c r="H56" s="148"/>
      <c r="I56" s="148"/>
      <c r="J56" s="148"/>
      <c r="K56" s="148"/>
      <c r="L56" s="148"/>
      <c r="M56" s="27" t="s">
        <v>66</v>
      </c>
      <c r="N56" s="27"/>
      <c r="O56" s="29">
        <v>17505</v>
      </c>
      <c r="P56" s="109"/>
      <c r="Q56" s="29">
        <v>17505</v>
      </c>
      <c r="R56" s="109"/>
      <c r="S56" s="29">
        <v>14908</v>
      </c>
      <c r="T56" s="29">
        <v>14908</v>
      </c>
      <c r="U56" s="29">
        <v>14908</v>
      </c>
      <c r="V56" s="29">
        <v>14908</v>
      </c>
      <c r="W56" s="29">
        <v>14908</v>
      </c>
      <c r="X56" s="29">
        <v>14908</v>
      </c>
      <c r="Y56" s="29">
        <v>14908</v>
      </c>
      <c r="Z56" s="29">
        <v>14908</v>
      </c>
      <c r="AA56" s="29">
        <v>15734</v>
      </c>
      <c r="AB56" s="29">
        <v>2408</v>
      </c>
      <c r="AC56" s="29">
        <f t="shared" ref="AC56:AC66" si="12">SUM(O56:AB56)</f>
        <v>172416</v>
      </c>
      <c r="AD56" s="159"/>
      <c r="AE56" s="159"/>
    </row>
    <row r="57" spans="1:31" ht="168" x14ac:dyDescent="0.4">
      <c r="A57" s="34" t="s">
        <v>386</v>
      </c>
      <c r="B57" s="34" t="s">
        <v>387</v>
      </c>
      <c r="C57" s="142"/>
      <c r="D57" s="21" t="s">
        <v>255</v>
      </c>
      <c r="E57" s="147"/>
      <c r="F57" s="148"/>
      <c r="G57" s="148"/>
      <c r="H57" s="148"/>
      <c r="I57" s="148"/>
      <c r="J57" s="148"/>
      <c r="K57" s="148"/>
      <c r="L57" s="148"/>
      <c r="M57" s="27" t="s">
        <v>82</v>
      </c>
      <c r="N57" s="27"/>
      <c r="O57" s="29">
        <v>29860</v>
      </c>
      <c r="P57" s="109"/>
      <c r="Q57" s="29">
        <v>29860</v>
      </c>
      <c r="R57" s="109"/>
      <c r="S57" s="29">
        <v>29860</v>
      </c>
      <c r="T57" s="29">
        <v>29860</v>
      </c>
      <c r="U57" s="29">
        <v>29860</v>
      </c>
      <c r="V57" s="29">
        <v>29860</v>
      </c>
      <c r="W57" s="29">
        <v>29852</v>
      </c>
      <c r="X57" s="29">
        <v>29600</v>
      </c>
      <c r="Y57" s="29">
        <v>29600</v>
      </c>
      <c r="Z57" s="29">
        <v>29600</v>
      </c>
      <c r="AA57" s="29">
        <v>29600</v>
      </c>
      <c r="AB57" s="29">
        <v>29600</v>
      </c>
      <c r="AC57" s="29">
        <f t="shared" si="12"/>
        <v>357012</v>
      </c>
      <c r="AD57" s="159"/>
      <c r="AE57" s="159"/>
    </row>
    <row r="58" spans="1:31" ht="168" x14ac:dyDescent="0.4">
      <c r="A58" s="34" t="s">
        <v>386</v>
      </c>
      <c r="B58" s="34" t="s">
        <v>387</v>
      </c>
      <c r="C58" s="142"/>
      <c r="D58" s="21" t="s">
        <v>255</v>
      </c>
      <c r="E58" s="147"/>
      <c r="F58" s="148"/>
      <c r="G58" s="148"/>
      <c r="H58" s="148"/>
      <c r="I58" s="148"/>
      <c r="J58" s="148"/>
      <c r="K58" s="148"/>
      <c r="L58" s="148"/>
      <c r="M58" s="27" t="s">
        <v>414</v>
      </c>
      <c r="N58" s="27"/>
      <c r="O58" s="29"/>
      <c r="P58" s="109"/>
      <c r="Q58" s="29"/>
      <c r="R58" s="109"/>
      <c r="S58" s="29"/>
      <c r="T58" s="29"/>
      <c r="U58" s="29"/>
      <c r="V58" s="29"/>
      <c r="W58" s="29"/>
      <c r="X58" s="29"/>
      <c r="Y58" s="29"/>
      <c r="Z58" s="29"/>
      <c r="AA58" s="29"/>
      <c r="AB58" s="29"/>
      <c r="AC58" s="29">
        <f t="shared" si="12"/>
        <v>0</v>
      </c>
      <c r="AD58" s="159"/>
      <c r="AE58" s="159"/>
    </row>
    <row r="59" spans="1:31" ht="168.75" thickBot="1" x14ac:dyDescent="0.45">
      <c r="A59" s="34" t="s">
        <v>386</v>
      </c>
      <c r="B59" s="34" t="s">
        <v>387</v>
      </c>
      <c r="C59" s="143"/>
      <c r="D59" s="21" t="s">
        <v>255</v>
      </c>
      <c r="E59" s="149"/>
      <c r="F59" s="150"/>
      <c r="G59" s="150"/>
      <c r="H59" s="150"/>
      <c r="I59" s="150"/>
      <c r="J59" s="150"/>
      <c r="K59" s="150"/>
      <c r="L59" s="150"/>
      <c r="M59" s="27" t="s">
        <v>240</v>
      </c>
      <c r="N59" s="27"/>
      <c r="O59" s="29">
        <f>SUM(O56:O58)</f>
        <v>47365</v>
      </c>
      <c r="P59" s="109"/>
      <c r="Q59" s="29">
        <f t="shared" ref="Q59:AB59" si="13">SUM(Q56:Q58)</f>
        <v>47365</v>
      </c>
      <c r="R59" s="109"/>
      <c r="S59" s="29">
        <f t="shared" si="13"/>
        <v>44768</v>
      </c>
      <c r="T59" s="29">
        <f t="shared" si="13"/>
        <v>44768</v>
      </c>
      <c r="U59" s="29">
        <f t="shared" si="13"/>
        <v>44768</v>
      </c>
      <c r="V59" s="29">
        <f t="shared" si="13"/>
        <v>44768</v>
      </c>
      <c r="W59" s="29">
        <f t="shared" si="13"/>
        <v>44760</v>
      </c>
      <c r="X59" s="29">
        <f t="shared" si="13"/>
        <v>44508</v>
      </c>
      <c r="Y59" s="29">
        <f t="shared" si="13"/>
        <v>44508</v>
      </c>
      <c r="Z59" s="29">
        <f t="shared" si="13"/>
        <v>44508</v>
      </c>
      <c r="AA59" s="29">
        <f t="shared" si="13"/>
        <v>45334</v>
      </c>
      <c r="AB59" s="29">
        <f t="shared" si="13"/>
        <v>32008</v>
      </c>
      <c r="AC59" s="29">
        <f t="shared" si="12"/>
        <v>529428</v>
      </c>
      <c r="AD59" s="160"/>
      <c r="AE59" s="160"/>
    </row>
    <row r="60" spans="1:31" ht="83.25" customHeight="1" x14ac:dyDescent="0.4">
      <c r="A60" s="34" t="s">
        <v>386</v>
      </c>
      <c r="B60" s="34" t="s">
        <v>387</v>
      </c>
      <c r="C60" s="141" t="s">
        <v>455</v>
      </c>
      <c r="D60" s="21" t="s">
        <v>275</v>
      </c>
      <c r="E60" s="144" t="s">
        <v>456</v>
      </c>
      <c r="F60" s="141" t="s">
        <v>20</v>
      </c>
      <c r="G60" s="7" t="s">
        <v>21</v>
      </c>
      <c r="H60" s="21" t="s">
        <v>22</v>
      </c>
      <c r="I60" s="48" t="s">
        <v>457</v>
      </c>
      <c r="J60" s="48"/>
      <c r="K60" s="48" t="s">
        <v>458</v>
      </c>
      <c r="L60" s="49" t="s">
        <v>431</v>
      </c>
      <c r="M60" s="23" t="s">
        <v>27</v>
      </c>
      <c r="N60" s="104"/>
      <c r="O60" s="54">
        <v>2</v>
      </c>
      <c r="P60" s="110"/>
      <c r="Q60" s="54">
        <v>3</v>
      </c>
      <c r="R60" s="110"/>
      <c r="S60" s="54">
        <v>3</v>
      </c>
      <c r="T60" s="54">
        <v>3</v>
      </c>
      <c r="U60" s="54">
        <v>3</v>
      </c>
      <c r="V60" s="54">
        <v>3</v>
      </c>
      <c r="W60" s="54">
        <v>3</v>
      </c>
      <c r="X60" s="54">
        <v>3</v>
      </c>
      <c r="Y60" s="54">
        <v>3</v>
      </c>
      <c r="Z60" s="54">
        <v>3</v>
      </c>
      <c r="AA60" s="54">
        <v>3</v>
      </c>
      <c r="AB60" s="54">
        <v>2</v>
      </c>
      <c r="AC60" s="26">
        <f t="shared" si="12"/>
        <v>34</v>
      </c>
      <c r="AD60" s="26"/>
      <c r="AE60" s="26"/>
    </row>
    <row r="61" spans="1:31" ht="83.25" customHeight="1" x14ac:dyDescent="0.4">
      <c r="A61" s="34" t="s">
        <v>386</v>
      </c>
      <c r="B61" s="34" t="s">
        <v>387</v>
      </c>
      <c r="C61" s="142"/>
      <c r="D61" s="21" t="s">
        <v>275</v>
      </c>
      <c r="E61" s="144"/>
      <c r="F61" s="142"/>
      <c r="G61" s="7" t="s">
        <v>21</v>
      </c>
      <c r="H61" s="21" t="s">
        <v>30</v>
      </c>
      <c r="I61" s="50" t="s">
        <v>459</v>
      </c>
      <c r="J61" s="50"/>
      <c r="K61" s="50" t="s">
        <v>460</v>
      </c>
      <c r="L61" s="51" t="s">
        <v>431</v>
      </c>
      <c r="M61" s="23" t="s">
        <v>27</v>
      </c>
      <c r="N61" s="104"/>
      <c r="O61" s="58">
        <v>6</v>
      </c>
      <c r="P61" s="111"/>
      <c r="Q61" s="58">
        <v>10</v>
      </c>
      <c r="R61" s="111"/>
      <c r="S61" s="58">
        <v>15</v>
      </c>
      <c r="T61" s="58">
        <v>15</v>
      </c>
      <c r="U61" s="58">
        <v>15</v>
      </c>
      <c r="V61" s="58">
        <v>15</v>
      </c>
      <c r="W61" s="58">
        <v>15</v>
      </c>
      <c r="X61" s="58">
        <v>15</v>
      </c>
      <c r="Y61" s="58">
        <v>15</v>
      </c>
      <c r="Z61" s="58">
        <v>15</v>
      </c>
      <c r="AA61" s="58">
        <v>15</v>
      </c>
      <c r="AB61" s="58">
        <v>15</v>
      </c>
      <c r="AC61" s="26">
        <f t="shared" si="12"/>
        <v>166</v>
      </c>
      <c r="AD61" s="26"/>
      <c r="AE61" s="26"/>
    </row>
    <row r="62" spans="1:31" ht="83.25" customHeight="1" x14ac:dyDescent="0.4">
      <c r="A62" s="34" t="s">
        <v>386</v>
      </c>
      <c r="B62" s="34" t="s">
        <v>387</v>
      </c>
      <c r="C62" s="142"/>
      <c r="D62" s="21" t="s">
        <v>275</v>
      </c>
      <c r="E62" s="144"/>
      <c r="F62" s="142"/>
      <c r="G62" s="7" t="s">
        <v>21</v>
      </c>
      <c r="H62" s="21" t="s">
        <v>36</v>
      </c>
      <c r="I62" s="50" t="s">
        <v>461</v>
      </c>
      <c r="J62" s="50"/>
      <c r="K62" s="50" t="s">
        <v>462</v>
      </c>
      <c r="L62" s="51" t="s">
        <v>431</v>
      </c>
      <c r="M62" s="23" t="s">
        <v>27</v>
      </c>
      <c r="N62" s="104"/>
      <c r="O62" s="58">
        <v>1</v>
      </c>
      <c r="P62" s="111"/>
      <c r="Q62" s="58">
        <v>2</v>
      </c>
      <c r="R62" s="111"/>
      <c r="S62" s="58">
        <v>3</v>
      </c>
      <c r="T62" s="58">
        <v>3</v>
      </c>
      <c r="U62" s="58">
        <v>3</v>
      </c>
      <c r="V62" s="58">
        <v>3</v>
      </c>
      <c r="W62" s="58">
        <v>3</v>
      </c>
      <c r="X62" s="58">
        <v>3</v>
      </c>
      <c r="Y62" s="58">
        <v>3</v>
      </c>
      <c r="Z62" s="58">
        <v>3</v>
      </c>
      <c r="AA62" s="58">
        <v>3</v>
      </c>
      <c r="AB62" s="58">
        <v>3</v>
      </c>
      <c r="AC62" s="26">
        <f t="shared" si="12"/>
        <v>33</v>
      </c>
      <c r="AD62" s="26"/>
      <c r="AE62" s="26"/>
    </row>
    <row r="63" spans="1:31" ht="83.25" customHeight="1" x14ac:dyDescent="0.4">
      <c r="A63" s="34" t="s">
        <v>386</v>
      </c>
      <c r="B63" s="34" t="s">
        <v>387</v>
      </c>
      <c r="C63" s="142"/>
      <c r="D63" s="21" t="s">
        <v>275</v>
      </c>
      <c r="E63" s="144"/>
      <c r="F63" s="142"/>
      <c r="G63" s="7" t="s">
        <v>21</v>
      </c>
      <c r="H63" s="21" t="s">
        <v>41</v>
      </c>
      <c r="I63" s="50" t="s">
        <v>463</v>
      </c>
      <c r="J63" s="50"/>
      <c r="K63" s="50" t="s">
        <v>464</v>
      </c>
      <c r="L63" s="51" t="s">
        <v>431</v>
      </c>
      <c r="M63" s="23" t="s">
        <v>27</v>
      </c>
      <c r="N63" s="104"/>
      <c r="O63" s="58">
        <v>1</v>
      </c>
      <c r="P63" s="111"/>
      <c r="Q63" s="58">
        <v>1</v>
      </c>
      <c r="R63" s="111"/>
      <c r="S63" s="58">
        <v>1</v>
      </c>
      <c r="T63" s="58">
        <v>1</v>
      </c>
      <c r="U63" s="58"/>
      <c r="V63" s="58"/>
      <c r="W63" s="58"/>
      <c r="X63" s="58"/>
      <c r="Y63" s="58"/>
      <c r="Z63" s="58">
        <v>1</v>
      </c>
      <c r="AA63" s="58">
        <v>1</v>
      </c>
      <c r="AB63" s="58">
        <v>1</v>
      </c>
      <c r="AC63" s="26">
        <f t="shared" si="12"/>
        <v>7</v>
      </c>
      <c r="AD63" s="26"/>
      <c r="AE63" s="26"/>
    </row>
    <row r="64" spans="1:31" ht="83.25" customHeight="1" x14ac:dyDescent="0.4">
      <c r="A64" s="34" t="s">
        <v>386</v>
      </c>
      <c r="B64" s="34" t="s">
        <v>387</v>
      </c>
      <c r="C64" s="142"/>
      <c r="D64" s="21" t="s">
        <v>275</v>
      </c>
      <c r="E64" s="144"/>
      <c r="F64" s="142"/>
      <c r="G64" s="7" t="s">
        <v>21</v>
      </c>
      <c r="H64" s="21" t="s">
        <v>46</v>
      </c>
      <c r="I64" s="50" t="s">
        <v>465</v>
      </c>
      <c r="J64" s="50"/>
      <c r="K64" s="50" t="s">
        <v>466</v>
      </c>
      <c r="L64" s="51" t="s">
        <v>467</v>
      </c>
      <c r="M64" s="23" t="s">
        <v>27</v>
      </c>
      <c r="N64" s="104"/>
      <c r="O64" s="58"/>
      <c r="P64" s="111"/>
      <c r="Q64" s="58"/>
      <c r="R64" s="111"/>
      <c r="S64" s="58">
        <v>1</v>
      </c>
      <c r="T64" s="58"/>
      <c r="U64" s="58"/>
      <c r="V64" s="58">
        <v>1</v>
      </c>
      <c r="W64" s="58"/>
      <c r="X64" s="58"/>
      <c r="Y64" s="58">
        <v>1</v>
      </c>
      <c r="Z64" s="58"/>
      <c r="AA64" s="58"/>
      <c r="AB64" s="58">
        <v>1</v>
      </c>
      <c r="AC64" s="26">
        <f t="shared" si="12"/>
        <v>4</v>
      </c>
      <c r="AD64" s="26"/>
      <c r="AE64" s="26"/>
    </row>
    <row r="65" spans="1:31" ht="83.25" customHeight="1" x14ac:dyDescent="0.4">
      <c r="A65" s="34" t="s">
        <v>386</v>
      </c>
      <c r="B65" s="34" t="s">
        <v>387</v>
      </c>
      <c r="C65" s="142"/>
      <c r="D65" s="21" t="s">
        <v>275</v>
      </c>
      <c r="E65" s="144"/>
      <c r="F65" s="142"/>
      <c r="G65" s="7" t="s">
        <v>21</v>
      </c>
      <c r="H65" s="21" t="s">
        <v>51</v>
      </c>
      <c r="I65" s="50" t="s">
        <v>468</v>
      </c>
      <c r="J65" s="50"/>
      <c r="K65" s="50" t="s">
        <v>469</v>
      </c>
      <c r="L65" s="51" t="s">
        <v>431</v>
      </c>
      <c r="M65" s="23" t="s">
        <v>27</v>
      </c>
      <c r="N65" s="104"/>
      <c r="O65" s="58"/>
      <c r="P65" s="111"/>
      <c r="Q65" s="58"/>
      <c r="R65" s="111"/>
      <c r="S65" s="58">
        <v>1</v>
      </c>
      <c r="T65" s="58"/>
      <c r="U65" s="58"/>
      <c r="V65" s="58">
        <v>1</v>
      </c>
      <c r="W65" s="58"/>
      <c r="X65" s="58"/>
      <c r="Y65" s="58">
        <v>2</v>
      </c>
      <c r="Z65" s="58"/>
      <c r="AA65" s="58"/>
      <c r="AB65" s="58">
        <v>2</v>
      </c>
      <c r="AC65" s="26">
        <f t="shared" si="12"/>
        <v>6</v>
      </c>
      <c r="AD65" s="7"/>
      <c r="AE65" s="7"/>
    </row>
    <row r="66" spans="1:31" ht="83.25" customHeight="1" thickBot="1" x14ac:dyDescent="0.45">
      <c r="A66" s="34" t="s">
        <v>386</v>
      </c>
      <c r="B66" s="34" t="s">
        <v>387</v>
      </c>
      <c r="C66" s="142"/>
      <c r="D66" s="21" t="s">
        <v>275</v>
      </c>
      <c r="E66" s="144"/>
      <c r="F66" s="143"/>
      <c r="G66" s="7" t="s">
        <v>21</v>
      </c>
      <c r="H66" s="21" t="s">
        <v>57</v>
      </c>
      <c r="I66" s="52" t="s">
        <v>470</v>
      </c>
      <c r="J66" s="52"/>
      <c r="K66" s="52" t="s">
        <v>471</v>
      </c>
      <c r="L66" s="53" t="s">
        <v>431</v>
      </c>
      <c r="M66" s="23" t="s">
        <v>27</v>
      </c>
      <c r="N66" s="104"/>
      <c r="O66" s="59"/>
      <c r="P66" s="112"/>
      <c r="Q66" s="59"/>
      <c r="R66" s="112"/>
      <c r="S66" s="59"/>
      <c r="T66" s="59"/>
      <c r="U66" s="59">
        <v>1</v>
      </c>
      <c r="V66" s="59">
        <v>1</v>
      </c>
      <c r="W66" s="59">
        <v>1</v>
      </c>
      <c r="X66" s="59">
        <v>1</v>
      </c>
      <c r="Y66" s="59"/>
      <c r="Z66" s="59"/>
      <c r="AA66" s="59"/>
      <c r="AB66" s="59"/>
      <c r="AC66" s="26">
        <f t="shared" si="12"/>
        <v>4</v>
      </c>
      <c r="AD66" s="7"/>
      <c r="AE66" s="7"/>
    </row>
    <row r="67" spans="1:31" ht="168" x14ac:dyDescent="0.4">
      <c r="A67" s="34" t="s">
        <v>386</v>
      </c>
      <c r="B67" s="34" t="s">
        <v>387</v>
      </c>
      <c r="C67" s="142"/>
      <c r="D67" s="21" t="s">
        <v>275</v>
      </c>
      <c r="E67" s="145" t="s">
        <v>108</v>
      </c>
      <c r="F67" s="146"/>
      <c r="G67" s="146"/>
      <c r="H67" s="146"/>
      <c r="I67" s="146"/>
      <c r="J67" s="146"/>
      <c r="K67" s="146"/>
      <c r="L67" s="146"/>
      <c r="M67" s="27" t="s">
        <v>64</v>
      </c>
      <c r="N67" s="27"/>
      <c r="O67" s="29">
        <f>O66+O65+O62+O61+O64+O63+O60</f>
        <v>10</v>
      </c>
      <c r="P67" s="109"/>
      <c r="Q67" s="29">
        <f t="shared" ref="Q67:AB67" si="14">Q66+Q65+Q62+Q61+Q64+Q63+Q60</f>
        <v>16</v>
      </c>
      <c r="R67" s="109"/>
      <c r="S67" s="29">
        <f t="shared" si="14"/>
        <v>24</v>
      </c>
      <c r="T67" s="29">
        <f t="shared" si="14"/>
        <v>22</v>
      </c>
      <c r="U67" s="29">
        <f t="shared" si="14"/>
        <v>22</v>
      </c>
      <c r="V67" s="29">
        <f t="shared" si="14"/>
        <v>24</v>
      </c>
      <c r="W67" s="29">
        <f t="shared" si="14"/>
        <v>22</v>
      </c>
      <c r="X67" s="29">
        <f t="shared" si="14"/>
        <v>22</v>
      </c>
      <c r="Y67" s="29">
        <f t="shared" si="14"/>
        <v>24</v>
      </c>
      <c r="Z67" s="29">
        <f t="shared" si="14"/>
        <v>22</v>
      </c>
      <c r="AA67" s="29">
        <f t="shared" si="14"/>
        <v>22</v>
      </c>
      <c r="AB67" s="29">
        <f t="shared" si="14"/>
        <v>24</v>
      </c>
      <c r="AC67" s="29">
        <f>SUM(O67:AB67)</f>
        <v>254</v>
      </c>
      <c r="AD67" s="158"/>
      <c r="AE67" s="158"/>
    </row>
    <row r="68" spans="1:31" ht="168" x14ac:dyDescent="0.4">
      <c r="A68" s="34" t="s">
        <v>386</v>
      </c>
      <c r="B68" s="34" t="s">
        <v>387</v>
      </c>
      <c r="C68" s="142"/>
      <c r="D68" s="21" t="s">
        <v>275</v>
      </c>
      <c r="E68" s="147"/>
      <c r="F68" s="148"/>
      <c r="G68" s="148"/>
      <c r="H68" s="148"/>
      <c r="I68" s="148"/>
      <c r="J68" s="148"/>
      <c r="K68" s="148"/>
      <c r="L68" s="148"/>
      <c r="M68" s="27" t="s">
        <v>66</v>
      </c>
      <c r="N68" s="27"/>
      <c r="O68" s="29">
        <v>112652.6</v>
      </c>
      <c r="P68" s="109"/>
      <c r="Q68" s="29">
        <v>112652.6</v>
      </c>
      <c r="R68" s="109"/>
      <c r="S68" s="29">
        <v>112652.6</v>
      </c>
      <c r="T68" s="29">
        <v>112652.6</v>
      </c>
      <c r="U68" s="29">
        <v>112652.6</v>
      </c>
      <c r="V68" s="29">
        <v>112652.6</v>
      </c>
      <c r="W68" s="29">
        <v>112652.6</v>
      </c>
      <c r="X68" s="29">
        <v>112652.6</v>
      </c>
      <c r="Y68" s="29">
        <v>112652.6</v>
      </c>
      <c r="Z68" s="29">
        <v>112652.6</v>
      </c>
      <c r="AA68" s="29">
        <v>108378.6</v>
      </c>
      <c r="AB68" s="29">
        <v>1652.6</v>
      </c>
      <c r="AC68" s="29">
        <f t="shared" ref="AC68:AC75" si="15">SUM(O68:AB68)</f>
        <v>1236557.2000000002</v>
      </c>
      <c r="AD68" s="159"/>
      <c r="AE68" s="159"/>
    </row>
    <row r="69" spans="1:31" ht="168" x14ac:dyDescent="0.4">
      <c r="A69" s="34" t="s">
        <v>386</v>
      </c>
      <c r="B69" s="34" t="s">
        <v>387</v>
      </c>
      <c r="C69" s="142"/>
      <c r="D69" s="21" t="s">
        <v>275</v>
      </c>
      <c r="E69" s="147"/>
      <c r="F69" s="148"/>
      <c r="G69" s="148"/>
      <c r="H69" s="148"/>
      <c r="I69" s="148"/>
      <c r="J69" s="148"/>
      <c r="K69" s="148"/>
      <c r="L69" s="148"/>
      <c r="M69" s="27" t="s">
        <v>82</v>
      </c>
      <c r="N69" s="27"/>
      <c r="O69" s="29">
        <v>87580</v>
      </c>
      <c r="P69" s="109"/>
      <c r="Q69" s="29">
        <v>65500</v>
      </c>
      <c r="R69" s="109"/>
      <c r="S69" s="29">
        <v>65500</v>
      </c>
      <c r="T69" s="29">
        <v>65500</v>
      </c>
      <c r="U69" s="29">
        <v>65500</v>
      </c>
      <c r="V69" s="29">
        <v>65500</v>
      </c>
      <c r="W69" s="29">
        <v>65500</v>
      </c>
      <c r="X69" s="29">
        <v>65500</v>
      </c>
      <c r="Y69" s="29">
        <v>65500</v>
      </c>
      <c r="Z69" s="29">
        <v>65500</v>
      </c>
      <c r="AA69" s="29">
        <v>65500</v>
      </c>
      <c r="AB69" s="29">
        <v>65500</v>
      </c>
      <c r="AC69" s="29">
        <f t="shared" si="15"/>
        <v>808080</v>
      </c>
      <c r="AD69" s="159"/>
      <c r="AE69" s="159"/>
    </row>
    <row r="70" spans="1:31" ht="168" x14ac:dyDescent="0.4">
      <c r="A70" s="34" t="s">
        <v>386</v>
      </c>
      <c r="B70" s="34" t="s">
        <v>387</v>
      </c>
      <c r="C70" s="142"/>
      <c r="D70" s="21" t="s">
        <v>275</v>
      </c>
      <c r="E70" s="147"/>
      <c r="F70" s="148"/>
      <c r="G70" s="148"/>
      <c r="H70" s="148"/>
      <c r="I70" s="148"/>
      <c r="J70" s="148"/>
      <c r="K70" s="148"/>
      <c r="L70" s="148"/>
      <c r="M70" s="27" t="s">
        <v>414</v>
      </c>
      <c r="N70" s="27"/>
      <c r="O70" s="29"/>
      <c r="P70" s="109"/>
      <c r="Q70" s="29"/>
      <c r="R70" s="109"/>
      <c r="S70" s="29"/>
      <c r="T70" s="29"/>
      <c r="U70" s="29"/>
      <c r="V70" s="29"/>
      <c r="W70" s="29"/>
      <c r="X70" s="29"/>
      <c r="Y70" s="29"/>
      <c r="Z70" s="29"/>
      <c r="AA70" s="29"/>
      <c r="AB70" s="29"/>
      <c r="AC70" s="29">
        <f t="shared" si="15"/>
        <v>0</v>
      </c>
      <c r="AD70" s="159"/>
      <c r="AE70" s="159"/>
    </row>
    <row r="71" spans="1:31" ht="168.75" thickBot="1" x14ac:dyDescent="0.45">
      <c r="A71" s="34" t="s">
        <v>386</v>
      </c>
      <c r="B71" s="34" t="s">
        <v>387</v>
      </c>
      <c r="C71" s="143"/>
      <c r="D71" s="21" t="s">
        <v>275</v>
      </c>
      <c r="E71" s="149"/>
      <c r="F71" s="150"/>
      <c r="G71" s="150"/>
      <c r="H71" s="150"/>
      <c r="I71" s="150"/>
      <c r="J71" s="150"/>
      <c r="K71" s="150"/>
      <c r="L71" s="150"/>
      <c r="M71" s="27" t="s">
        <v>240</v>
      </c>
      <c r="N71" s="27"/>
      <c r="O71" s="29">
        <f>SUM(O68:O70)</f>
        <v>200232.6</v>
      </c>
      <c r="P71" s="109"/>
      <c r="Q71" s="29">
        <f t="shared" ref="Q71:AB71" si="16">SUM(Q68:Q70)</f>
        <v>178152.6</v>
      </c>
      <c r="R71" s="109"/>
      <c r="S71" s="29">
        <f t="shared" si="16"/>
        <v>178152.6</v>
      </c>
      <c r="T71" s="29">
        <f t="shared" si="16"/>
        <v>178152.6</v>
      </c>
      <c r="U71" s="29">
        <f t="shared" si="16"/>
        <v>178152.6</v>
      </c>
      <c r="V71" s="29">
        <f t="shared" si="16"/>
        <v>178152.6</v>
      </c>
      <c r="W71" s="29">
        <f t="shared" si="16"/>
        <v>178152.6</v>
      </c>
      <c r="X71" s="29">
        <f t="shared" si="16"/>
        <v>178152.6</v>
      </c>
      <c r="Y71" s="29">
        <f t="shared" si="16"/>
        <v>178152.6</v>
      </c>
      <c r="Z71" s="29">
        <f t="shared" si="16"/>
        <v>178152.6</v>
      </c>
      <c r="AA71" s="29">
        <f t="shared" si="16"/>
        <v>173878.6</v>
      </c>
      <c r="AB71" s="29">
        <f t="shared" si="16"/>
        <v>67152.600000000006</v>
      </c>
      <c r="AC71" s="29">
        <f t="shared" si="15"/>
        <v>2044637.2000000007</v>
      </c>
      <c r="AD71" s="160"/>
      <c r="AE71" s="160"/>
    </row>
    <row r="72" spans="1:31" ht="168" x14ac:dyDescent="0.4">
      <c r="A72" s="34" t="s">
        <v>386</v>
      </c>
      <c r="B72" s="34" t="s">
        <v>387</v>
      </c>
      <c r="C72" s="141" t="s">
        <v>472</v>
      </c>
      <c r="D72" s="21" t="s">
        <v>108</v>
      </c>
      <c r="E72" s="144" t="s">
        <v>473</v>
      </c>
      <c r="F72" s="141" t="s">
        <v>20</v>
      </c>
      <c r="G72" s="7" t="s">
        <v>21</v>
      </c>
      <c r="H72" s="21" t="s">
        <v>22</v>
      </c>
      <c r="I72" s="48" t="s">
        <v>474</v>
      </c>
      <c r="J72" s="48"/>
      <c r="K72" s="48" t="s">
        <v>475</v>
      </c>
      <c r="L72" s="49" t="s">
        <v>431</v>
      </c>
      <c r="M72" s="23" t="s">
        <v>27</v>
      </c>
      <c r="N72" s="104"/>
      <c r="O72" s="54">
        <v>1</v>
      </c>
      <c r="P72" s="110"/>
      <c r="Q72" s="54">
        <v>1</v>
      </c>
      <c r="R72" s="110"/>
      <c r="S72" s="54">
        <v>1</v>
      </c>
      <c r="T72" s="54">
        <v>1</v>
      </c>
      <c r="U72" s="54">
        <v>1</v>
      </c>
      <c r="V72" s="54">
        <v>1</v>
      </c>
      <c r="W72" s="54">
        <v>1</v>
      </c>
      <c r="X72" s="54">
        <v>1</v>
      </c>
      <c r="Y72" s="54">
        <v>1</v>
      </c>
      <c r="Z72" s="54">
        <v>1</v>
      </c>
      <c r="AA72" s="54">
        <v>1</v>
      </c>
      <c r="AB72" s="54">
        <v>1</v>
      </c>
      <c r="AC72" s="26">
        <f t="shared" si="15"/>
        <v>12</v>
      </c>
      <c r="AD72" s="26"/>
      <c r="AE72" s="26"/>
    </row>
    <row r="73" spans="1:31" ht="168" x14ac:dyDescent="0.4">
      <c r="A73" s="34" t="s">
        <v>386</v>
      </c>
      <c r="B73" s="34" t="s">
        <v>387</v>
      </c>
      <c r="C73" s="142"/>
      <c r="D73" s="21"/>
      <c r="E73" s="144"/>
      <c r="F73" s="142"/>
      <c r="G73" s="7" t="s">
        <v>21</v>
      </c>
      <c r="H73" s="21" t="s">
        <v>30</v>
      </c>
      <c r="I73" s="50" t="s">
        <v>476</v>
      </c>
      <c r="J73" s="50"/>
      <c r="K73" s="50" t="s">
        <v>477</v>
      </c>
      <c r="L73" s="51" t="s">
        <v>431</v>
      </c>
      <c r="M73" s="23" t="s">
        <v>27</v>
      </c>
      <c r="N73" s="104"/>
      <c r="O73" s="58">
        <v>1</v>
      </c>
      <c r="P73" s="111"/>
      <c r="Q73" s="58">
        <v>1</v>
      </c>
      <c r="R73" s="111"/>
      <c r="S73" s="58">
        <v>1</v>
      </c>
      <c r="T73" s="58">
        <v>1</v>
      </c>
      <c r="U73" s="58">
        <v>1</v>
      </c>
      <c r="V73" s="58">
        <v>1</v>
      </c>
      <c r="W73" s="58">
        <v>1</v>
      </c>
      <c r="X73" s="58">
        <v>1</v>
      </c>
      <c r="Y73" s="58">
        <v>1</v>
      </c>
      <c r="Z73" s="58">
        <v>1</v>
      </c>
      <c r="AA73" s="58">
        <v>1</v>
      </c>
      <c r="AB73" s="58">
        <v>1</v>
      </c>
      <c r="AC73" s="26">
        <f t="shared" si="15"/>
        <v>12</v>
      </c>
      <c r="AD73" s="26"/>
      <c r="AE73" s="26"/>
    </row>
    <row r="74" spans="1:31" ht="168" x14ac:dyDescent="0.4">
      <c r="A74" s="34" t="s">
        <v>386</v>
      </c>
      <c r="B74" s="34" t="s">
        <v>387</v>
      </c>
      <c r="C74" s="142"/>
      <c r="D74" s="21"/>
      <c r="E74" s="144"/>
      <c r="F74" s="142"/>
      <c r="G74" s="7" t="s">
        <v>21</v>
      </c>
      <c r="H74" s="21" t="s">
        <v>36</v>
      </c>
      <c r="I74" s="50" t="s">
        <v>478</v>
      </c>
      <c r="J74" s="50"/>
      <c r="K74" s="50" t="s">
        <v>479</v>
      </c>
      <c r="L74" s="51" t="s">
        <v>467</v>
      </c>
      <c r="M74" s="23" t="s">
        <v>27</v>
      </c>
      <c r="N74" s="104"/>
      <c r="O74" s="58"/>
      <c r="P74" s="111"/>
      <c r="Q74" s="58"/>
      <c r="R74" s="111"/>
      <c r="S74" s="58">
        <v>1</v>
      </c>
      <c r="T74" s="58"/>
      <c r="U74" s="58"/>
      <c r="V74" s="58">
        <v>1</v>
      </c>
      <c r="W74" s="58"/>
      <c r="X74" s="58"/>
      <c r="Y74" s="58">
        <v>1</v>
      </c>
      <c r="Z74" s="58"/>
      <c r="AA74" s="58"/>
      <c r="AB74" s="58">
        <v>1</v>
      </c>
      <c r="AC74" s="26">
        <f t="shared" si="15"/>
        <v>4</v>
      </c>
      <c r="AD74" s="26"/>
      <c r="AE74" s="26"/>
    </row>
    <row r="75" spans="1:31" ht="168.75" thickBot="1" x14ac:dyDescent="0.45">
      <c r="A75" s="34" t="s">
        <v>386</v>
      </c>
      <c r="B75" s="34" t="s">
        <v>387</v>
      </c>
      <c r="C75" s="142"/>
      <c r="D75" s="21"/>
      <c r="E75" s="144"/>
      <c r="F75" s="142"/>
      <c r="G75" s="7" t="s">
        <v>21</v>
      </c>
      <c r="H75" s="21" t="s">
        <v>41</v>
      </c>
      <c r="I75" s="52" t="s">
        <v>480</v>
      </c>
      <c r="J75" s="52"/>
      <c r="K75" s="52" t="s">
        <v>481</v>
      </c>
      <c r="L75" s="53" t="s">
        <v>431</v>
      </c>
      <c r="M75" s="23" t="s">
        <v>27</v>
      </c>
      <c r="N75" s="104"/>
      <c r="O75" s="59">
        <v>1</v>
      </c>
      <c r="P75" s="112"/>
      <c r="Q75" s="59">
        <v>1</v>
      </c>
      <c r="R75" s="112"/>
      <c r="S75" s="59">
        <v>1</v>
      </c>
      <c r="T75" s="59">
        <v>1</v>
      </c>
      <c r="U75" s="59">
        <v>1</v>
      </c>
      <c r="V75" s="59">
        <v>1</v>
      </c>
      <c r="W75" s="59">
        <v>1</v>
      </c>
      <c r="X75" s="59">
        <v>1</v>
      </c>
      <c r="Y75" s="59">
        <v>1</v>
      </c>
      <c r="Z75" s="59">
        <v>1</v>
      </c>
      <c r="AA75" s="59">
        <v>1</v>
      </c>
      <c r="AB75" s="59">
        <v>1</v>
      </c>
      <c r="AC75" s="26">
        <f t="shared" si="15"/>
        <v>12</v>
      </c>
      <c r="AD75" s="26"/>
      <c r="AE75" s="26"/>
    </row>
    <row r="76" spans="1:31" ht="168" x14ac:dyDescent="0.4">
      <c r="A76" s="34" t="s">
        <v>386</v>
      </c>
      <c r="B76" s="34" t="s">
        <v>387</v>
      </c>
      <c r="C76" s="142"/>
      <c r="D76" s="21" t="s">
        <v>108</v>
      </c>
      <c r="E76" s="145" t="s">
        <v>108</v>
      </c>
      <c r="F76" s="146"/>
      <c r="G76" s="146"/>
      <c r="H76" s="146"/>
      <c r="I76" s="146"/>
      <c r="J76" s="146"/>
      <c r="K76" s="146"/>
      <c r="L76" s="146"/>
      <c r="M76" s="27" t="s">
        <v>64</v>
      </c>
      <c r="N76" s="27"/>
      <c r="O76" s="29">
        <f>O72+O75+O74+O73</f>
        <v>3</v>
      </c>
      <c r="P76" s="109"/>
      <c r="Q76" s="29">
        <f t="shared" ref="Q76:AB76" si="17">Q72+Q75+Q74+Q73</f>
        <v>3</v>
      </c>
      <c r="R76" s="109"/>
      <c r="S76" s="29">
        <f t="shared" si="17"/>
        <v>4</v>
      </c>
      <c r="T76" s="29">
        <f t="shared" si="17"/>
        <v>3</v>
      </c>
      <c r="U76" s="29">
        <f t="shared" si="17"/>
        <v>3</v>
      </c>
      <c r="V76" s="29">
        <f t="shared" si="17"/>
        <v>4</v>
      </c>
      <c r="W76" s="29">
        <f t="shared" si="17"/>
        <v>3</v>
      </c>
      <c r="X76" s="29">
        <f t="shared" si="17"/>
        <v>3</v>
      </c>
      <c r="Y76" s="29">
        <f t="shared" si="17"/>
        <v>4</v>
      </c>
      <c r="Z76" s="29">
        <f t="shared" si="17"/>
        <v>3</v>
      </c>
      <c r="AA76" s="29">
        <f t="shared" si="17"/>
        <v>3</v>
      </c>
      <c r="AB76" s="29">
        <f t="shared" si="17"/>
        <v>4</v>
      </c>
      <c r="AC76" s="29">
        <f>SUM(O76:AB76)</f>
        <v>40</v>
      </c>
      <c r="AD76" s="158"/>
      <c r="AE76" s="158"/>
    </row>
    <row r="77" spans="1:31" ht="168" x14ac:dyDescent="0.4">
      <c r="A77" s="34" t="s">
        <v>386</v>
      </c>
      <c r="B77" s="34" t="s">
        <v>387</v>
      </c>
      <c r="C77" s="142"/>
      <c r="D77" s="21" t="s">
        <v>108</v>
      </c>
      <c r="E77" s="147"/>
      <c r="F77" s="148"/>
      <c r="G77" s="148"/>
      <c r="H77" s="148"/>
      <c r="I77" s="148"/>
      <c r="J77" s="148"/>
      <c r="K77" s="148"/>
      <c r="L77" s="148"/>
      <c r="M77" s="27" t="s">
        <v>66</v>
      </c>
      <c r="N77" s="27"/>
      <c r="O77" s="29">
        <v>17142.7</v>
      </c>
      <c r="P77" s="109"/>
      <c r="Q77" s="29">
        <v>17142.7</v>
      </c>
      <c r="R77" s="109"/>
      <c r="S77" s="29">
        <v>17142.7</v>
      </c>
      <c r="T77" s="29">
        <v>17142.7</v>
      </c>
      <c r="U77" s="29">
        <v>17142.7</v>
      </c>
      <c r="V77" s="29">
        <v>17142.7</v>
      </c>
      <c r="W77" s="29">
        <v>17142.7</v>
      </c>
      <c r="X77" s="29">
        <v>17142.7</v>
      </c>
      <c r="Y77" s="29">
        <v>17142.7</v>
      </c>
      <c r="Z77" s="29">
        <v>17142.7</v>
      </c>
      <c r="AA77" s="29">
        <v>17142.7</v>
      </c>
      <c r="AB77" s="29">
        <v>642.70000000000005</v>
      </c>
      <c r="AC77" s="29">
        <f t="shared" ref="AC77:AC85" si="18">SUM(O77:AB77)</f>
        <v>189212.40000000005</v>
      </c>
      <c r="AD77" s="159"/>
      <c r="AE77" s="159"/>
    </row>
    <row r="78" spans="1:31" ht="168" x14ac:dyDescent="0.4">
      <c r="A78" s="34" t="s">
        <v>386</v>
      </c>
      <c r="B78" s="34" t="s">
        <v>387</v>
      </c>
      <c r="C78" s="142"/>
      <c r="D78" s="21" t="s">
        <v>108</v>
      </c>
      <c r="E78" s="147"/>
      <c r="F78" s="148"/>
      <c r="G78" s="148"/>
      <c r="H78" s="148"/>
      <c r="I78" s="148"/>
      <c r="J78" s="148"/>
      <c r="K78" s="148"/>
      <c r="L78" s="148"/>
      <c r="M78" s="27" t="s">
        <v>82</v>
      </c>
      <c r="N78" s="27"/>
      <c r="O78" s="29">
        <v>40000</v>
      </c>
      <c r="P78" s="109"/>
      <c r="Q78" s="29">
        <v>40000</v>
      </c>
      <c r="R78" s="109"/>
      <c r="S78" s="29">
        <v>40000</v>
      </c>
      <c r="T78" s="29">
        <v>40000</v>
      </c>
      <c r="U78" s="29">
        <v>40000</v>
      </c>
      <c r="V78" s="29">
        <v>40000</v>
      </c>
      <c r="W78" s="29">
        <v>40000</v>
      </c>
      <c r="X78" s="29">
        <v>40000</v>
      </c>
      <c r="Y78" s="29">
        <v>40000</v>
      </c>
      <c r="Z78" s="29">
        <v>40000</v>
      </c>
      <c r="AA78" s="29">
        <v>40000</v>
      </c>
      <c r="AB78" s="29">
        <v>40000</v>
      </c>
      <c r="AC78" s="29">
        <f t="shared" si="18"/>
        <v>480000</v>
      </c>
      <c r="AD78" s="159"/>
      <c r="AE78" s="159"/>
    </row>
    <row r="79" spans="1:31" ht="168" x14ac:dyDescent="0.4">
      <c r="A79" s="34" t="s">
        <v>386</v>
      </c>
      <c r="B79" s="34" t="s">
        <v>387</v>
      </c>
      <c r="C79" s="142"/>
      <c r="D79" s="21" t="s">
        <v>108</v>
      </c>
      <c r="E79" s="147"/>
      <c r="F79" s="148"/>
      <c r="G79" s="148"/>
      <c r="H79" s="148"/>
      <c r="I79" s="148"/>
      <c r="J79" s="148"/>
      <c r="K79" s="148"/>
      <c r="L79" s="148"/>
      <c r="M79" s="27" t="s">
        <v>414</v>
      </c>
      <c r="N79" s="27"/>
      <c r="O79" s="29"/>
      <c r="P79" s="109"/>
      <c r="Q79" s="29"/>
      <c r="R79" s="109"/>
      <c r="S79" s="29"/>
      <c r="T79" s="29"/>
      <c r="U79" s="29"/>
      <c r="V79" s="29"/>
      <c r="W79" s="29"/>
      <c r="X79" s="29"/>
      <c r="Y79" s="29"/>
      <c r="Z79" s="29"/>
      <c r="AA79" s="29"/>
      <c r="AB79" s="29"/>
      <c r="AC79" s="29">
        <f t="shared" si="18"/>
        <v>0</v>
      </c>
      <c r="AD79" s="159"/>
      <c r="AE79" s="159"/>
    </row>
    <row r="80" spans="1:31" ht="168" x14ac:dyDescent="0.4">
      <c r="A80" s="34" t="s">
        <v>386</v>
      </c>
      <c r="B80" s="34" t="s">
        <v>387</v>
      </c>
      <c r="C80" s="143"/>
      <c r="D80" s="21" t="s">
        <v>108</v>
      </c>
      <c r="E80" s="149"/>
      <c r="F80" s="150"/>
      <c r="G80" s="150"/>
      <c r="H80" s="150"/>
      <c r="I80" s="150"/>
      <c r="J80" s="150"/>
      <c r="K80" s="150"/>
      <c r="L80" s="150"/>
      <c r="M80" s="27" t="s">
        <v>240</v>
      </c>
      <c r="N80" s="27"/>
      <c r="O80" s="29">
        <f>SUM(O77:O79)</f>
        <v>57142.7</v>
      </c>
      <c r="P80" s="109"/>
      <c r="Q80" s="29">
        <f t="shared" ref="Q80:AB80" si="19">SUM(Q77:Q79)</f>
        <v>57142.7</v>
      </c>
      <c r="R80" s="109"/>
      <c r="S80" s="29">
        <f t="shared" si="19"/>
        <v>57142.7</v>
      </c>
      <c r="T80" s="29">
        <f t="shared" si="19"/>
        <v>57142.7</v>
      </c>
      <c r="U80" s="29">
        <f t="shared" si="19"/>
        <v>57142.7</v>
      </c>
      <c r="V80" s="29">
        <f t="shared" si="19"/>
        <v>57142.7</v>
      </c>
      <c r="W80" s="29">
        <f t="shared" si="19"/>
        <v>57142.7</v>
      </c>
      <c r="X80" s="29">
        <f t="shared" si="19"/>
        <v>57142.7</v>
      </c>
      <c r="Y80" s="29">
        <f t="shared" si="19"/>
        <v>57142.7</v>
      </c>
      <c r="Z80" s="29">
        <f t="shared" si="19"/>
        <v>57142.7</v>
      </c>
      <c r="AA80" s="29">
        <f t="shared" si="19"/>
        <v>57142.7</v>
      </c>
      <c r="AB80" s="29">
        <f t="shared" si="19"/>
        <v>40642.699999999997</v>
      </c>
      <c r="AC80" s="29">
        <f t="shared" si="18"/>
        <v>669212.39999999991</v>
      </c>
      <c r="AD80" s="160"/>
      <c r="AE80" s="160"/>
    </row>
    <row r="81" spans="1:31" ht="168" x14ac:dyDescent="0.4">
      <c r="A81" s="34" t="s">
        <v>386</v>
      </c>
      <c r="B81" s="34" t="s">
        <v>387</v>
      </c>
      <c r="C81" s="141" t="s">
        <v>482</v>
      </c>
      <c r="D81" s="21" t="s">
        <v>275</v>
      </c>
      <c r="E81" s="144" t="s">
        <v>483</v>
      </c>
      <c r="F81" s="141" t="s">
        <v>20</v>
      </c>
      <c r="G81" s="7" t="s">
        <v>21</v>
      </c>
      <c r="H81" s="21" t="s">
        <v>22</v>
      </c>
      <c r="I81" s="60" t="s">
        <v>484</v>
      </c>
      <c r="J81" s="60"/>
      <c r="K81" s="60" t="s">
        <v>485</v>
      </c>
      <c r="L81" s="61" t="s">
        <v>431</v>
      </c>
      <c r="M81" s="23" t="s">
        <v>27</v>
      </c>
      <c r="N81" s="104"/>
      <c r="O81" s="62">
        <v>0</v>
      </c>
      <c r="P81" s="113"/>
      <c r="Q81" s="62">
        <v>0</v>
      </c>
      <c r="R81" s="113"/>
      <c r="S81" s="62">
        <v>1</v>
      </c>
      <c r="T81" s="62">
        <v>1</v>
      </c>
      <c r="U81" s="62">
        <v>1</v>
      </c>
      <c r="V81" s="62">
        <v>1</v>
      </c>
      <c r="W81" s="62">
        <v>1</v>
      </c>
      <c r="X81" s="62">
        <v>1</v>
      </c>
      <c r="Y81" s="62">
        <v>1</v>
      </c>
      <c r="Z81" s="62">
        <v>1</v>
      </c>
      <c r="AA81" s="62">
        <v>1</v>
      </c>
      <c r="AB81" s="62">
        <v>0</v>
      </c>
      <c r="AC81" s="26">
        <f t="shared" si="18"/>
        <v>9</v>
      </c>
      <c r="AD81" s="26"/>
      <c r="AE81" s="26"/>
    </row>
    <row r="82" spans="1:31" ht="168" x14ac:dyDescent="0.4">
      <c r="A82" s="34" t="s">
        <v>386</v>
      </c>
      <c r="B82" s="34" t="s">
        <v>387</v>
      </c>
      <c r="C82" s="142"/>
      <c r="D82" s="21" t="s">
        <v>275</v>
      </c>
      <c r="E82" s="144"/>
      <c r="F82" s="142"/>
      <c r="G82" s="7" t="s">
        <v>21</v>
      </c>
      <c r="H82" s="21" t="s">
        <v>30</v>
      </c>
      <c r="I82" s="50" t="s">
        <v>486</v>
      </c>
      <c r="J82" s="50"/>
      <c r="K82" s="50" t="s">
        <v>487</v>
      </c>
      <c r="L82" s="51" t="s">
        <v>431</v>
      </c>
      <c r="M82" s="23" t="s">
        <v>27</v>
      </c>
      <c r="N82" s="104"/>
      <c r="O82" s="58">
        <v>0</v>
      </c>
      <c r="P82" s="111"/>
      <c r="Q82" s="58">
        <v>1</v>
      </c>
      <c r="R82" s="111"/>
      <c r="S82" s="58">
        <v>1</v>
      </c>
      <c r="T82" s="58">
        <v>0</v>
      </c>
      <c r="U82" s="58">
        <v>1</v>
      </c>
      <c r="V82" s="58">
        <v>1</v>
      </c>
      <c r="W82" s="58">
        <v>1</v>
      </c>
      <c r="X82" s="58">
        <v>1</v>
      </c>
      <c r="Y82" s="58">
        <v>1</v>
      </c>
      <c r="Z82" s="58">
        <v>1</v>
      </c>
      <c r="AA82" s="58">
        <v>1</v>
      </c>
      <c r="AB82" s="58">
        <v>0</v>
      </c>
      <c r="AC82" s="26">
        <f t="shared" si="18"/>
        <v>9</v>
      </c>
      <c r="AD82" s="26"/>
      <c r="AE82" s="26"/>
    </row>
    <row r="83" spans="1:31" ht="168" x14ac:dyDescent="0.4">
      <c r="A83" s="34" t="s">
        <v>386</v>
      </c>
      <c r="B83" s="34" t="s">
        <v>387</v>
      </c>
      <c r="C83" s="142"/>
      <c r="D83" s="21" t="s">
        <v>275</v>
      </c>
      <c r="E83" s="144"/>
      <c r="F83" s="142"/>
      <c r="G83" s="7" t="s">
        <v>21</v>
      </c>
      <c r="H83" s="21" t="s">
        <v>36</v>
      </c>
      <c r="I83" s="50" t="s">
        <v>488</v>
      </c>
      <c r="J83" s="50"/>
      <c r="K83" s="50" t="s">
        <v>489</v>
      </c>
      <c r="L83" s="51" t="s">
        <v>431</v>
      </c>
      <c r="M83" s="23" t="s">
        <v>27</v>
      </c>
      <c r="N83" s="104"/>
      <c r="O83" s="58">
        <v>0</v>
      </c>
      <c r="P83" s="111"/>
      <c r="Q83" s="58">
        <v>0</v>
      </c>
      <c r="R83" s="111"/>
      <c r="S83" s="58">
        <v>1</v>
      </c>
      <c r="T83" s="58">
        <v>1</v>
      </c>
      <c r="U83" s="58">
        <v>1</v>
      </c>
      <c r="V83" s="58">
        <v>1</v>
      </c>
      <c r="W83" s="58">
        <v>1</v>
      </c>
      <c r="X83" s="58">
        <v>1</v>
      </c>
      <c r="Y83" s="58">
        <v>1</v>
      </c>
      <c r="Z83" s="58">
        <v>1</v>
      </c>
      <c r="AA83" s="58">
        <v>1</v>
      </c>
      <c r="AB83" s="58">
        <v>0</v>
      </c>
      <c r="AC83" s="26">
        <f t="shared" si="18"/>
        <v>9</v>
      </c>
      <c r="AD83" s="26"/>
      <c r="AE83" s="26"/>
    </row>
    <row r="84" spans="1:31" ht="168" x14ac:dyDescent="0.4">
      <c r="A84" s="34" t="s">
        <v>386</v>
      </c>
      <c r="B84" s="34" t="s">
        <v>387</v>
      </c>
      <c r="C84" s="142"/>
      <c r="D84" s="21" t="s">
        <v>275</v>
      </c>
      <c r="E84" s="144"/>
      <c r="F84" s="142"/>
      <c r="G84" s="7" t="s">
        <v>21</v>
      </c>
      <c r="H84" s="21" t="s">
        <v>41</v>
      </c>
      <c r="I84" s="50" t="s">
        <v>490</v>
      </c>
      <c r="J84" s="50"/>
      <c r="K84" s="50" t="s">
        <v>491</v>
      </c>
      <c r="L84" s="51" t="s">
        <v>431</v>
      </c>
      <c r="M84" s="23" t="s">
        <v>27</v>
      </c>
      <c r="N84" s="104"/>
      <c r="O84" s="58">
        <v>1</v>
      </c>
      <c r="P84" s="111"/>
      <c r="Q84" s="58">
        <v>1</v>
      </c>
      <c r="R84" s="111"/>
      <c r="S84" s="58">
        <v>1</v>
      </c>
      <c r="T84" s="58">
        <v>1</v>
      </c>
      <c r="U84" s="58">
        <v>1</v>
      </c>
      <c r="V84" s="58">
        <v>1</v>
      </c>
      <c r="W84" s="58">
        <v>1</v>
      </c>
      <c r="X84" s="58">
        <v>1</v>
      </c>
      <c r="Y84" s="58">
        <v>1</v>
      </c>
      <c r="Z84" s="58">
        <v>1</v>
      </c>
      <c r="AA84" s="58">
        <v>1</v>
      </c>
      <c r="AB84" s="58">
        <v>1</v>
      </c>
      <c r="AC84" s="26">
        <f t="shared" si="18"/>
        <v>12</v>
      </c>
      <c r="AD84" s="26"/>
      <c r="AE84" s="26"/>
    </row>
    <row r="85" spans="1:31" ht="168" x14ac:dyDescent="0.4">
      <c r="A85" s="34" t="s">
        <v>386</v>
      </c>
      <c r="B85" s="34" t="s">
        <v>387</v>
      </c>
      <c r="C85" s="142"/>
      <c r="D85" s="21" t="s">
        <v>275</v>
      </c>
      <c r="E85" s="144"/>
      <c r="F85" s="142"/>
      <c r="G85" s="7" t="s">
        <v>21</v>
      </c>
      <c r="H85" s="21" t="s">
        <v>46</v>
      </c>
      <c r="I85" s="55" t="s">
        <v>492</v>
      </c>
      <c r="J85" s="55"/>
      <c r="K85" s="55" t="s">
        <v>493</v>
      </c>
      <c r="L85" s="56" t="s">
        <v>431</v>
      </c>
      <c r="M85" s="23" t="s">
        <v>27</v>
      </c>
      <c r="N85" s="104"/>
      <c r="O85" s="57">
        <v>0</v>
      </c>
      <c r="P85" s="114"/>
      <c r="Q85" s="57">
        <v>1</v>
      </c>
      <c r="R85" s="114"/>
      <c r="S85" s="57">
        <v>2</v>
      </c>
      <c r="T85" s="57">
        <v>2</v>
      </c>
      <c r="U85" s="57">
        <v>2</v>
      </c>
      <c r="V85" s="57">
        <v>2</v>
      </c>
      <c r="W85" s="57">
        <v>2</v>
      </c>
      <c r="X85" s="57">
        <v>2</v>
      </c>
      <c r="Y85" s="57">
        <v>2</v>
      </c>
      <c r="Z85" s="57">
        <v>2</v>
      </c>
      <c r="AA85" s="57">
        <v>2</v>
      </c>
      <c r="AB85" s="57">
        <v>1</v>
      </c>
      <c r="AC85" s="26">
        <f t="shared" si="18"/>
        <v>20</v>
      </c>
      <c r="AD85" s="26"/>
      <c r="AE85" s="26"/>
    </row>
    <row r="86" spans="1:31" ht="168" x14ac:dyDescent="0.4">
      <c r="A86" s="34" t="s">
        <v>386</v>
      </c>
      <c r="B86" s="34" t="s">
        <v>387</v>
      </c>
      <c r="C86" s="142"/>
      <c r="D86" s="21" t="s">
        <v>275</v>
      </c>
      <c r="E86" s="145" t="s">
        <v>108</v>
      </c>
      <c r="F86" s="146"/>
      <c r="G86" s="146"/>
      <c r="H86" s="146"/>
      <c r="I86" s="146"/>
      <c r="J86" s="146"/>
      <c r="K86" s="146"/>
      <c r="L86" s="146"/>
      <c r="M86" s="27" t="s">
        <v>64</v>
      </c>
      <c r="N86" s="27"/>
      <c r="O86" s="29">
        <f>O83+O82+O85+O84+O81</f>
        <v>1</v>
      </c>
      <c r="P86" s="109"/>
      <c r="Q86" s="29">
        <f t="shared" ref="Q86:AB86" si="20">Q83+Q82+Q85+Q84+Q81</f>
        <v>3</v>
      </c>
      <c r="R86" s="109"/>
      <c r="S86" s="29">
        <f t="shared" si="20"/>
        <v>6</v>
      </c>
      <c r="T86" s="29">
        <f t="shared" si="20"/>
        <v>5</v>
      </c>
      <c r="U86" s="29">
        <f t="shared" si="20"/>
        <v>6</v>
      </c>
      <c r="V86" s="29">
        <f t="shared" si="20"/>
        <v>6</v>
      </c>
      <c r="W86" s="29">
        <f t="shared" si="20"/>
        <v>6</v>
      </c>
      <c r="X86" s="29">
        <f t="shared" si="20"/>
        <v>6</v>
      </c>
      <c r="Y86" s="29">
        <f t="shared" si="20"/>
        <v>6</v>
      </c>
      <c r="Z86" s="29">
        <f t="shared" si="20"/>
        <v>6</v>
      </c>
      <c r="AA86" s="29">
        <f t="shared" si="20"/>
        <v>6</v>
      </c>
      <c r="AB86" s="29">
        <f t="shared" si="20"/>
        <v>2</v>
      </c>
      <c r="AC86" s="29">
        <f>SUM(O86:AB86)</f>
        <v>59</v>
      </c>
      <c r="AD86" s="158"/>
      <c r="AE86" s="158"/>
    </row>
    <row r="87" spans="1:31" ht="168" x14ac:dyDescent="0.4">
      <c r="A87" s="34" t="s">
        <v>386</v>
      </c>
      <c r="B87" s="34" t="s">
        <v>387</v>
      </c>
      <c r="C87" s="142"/>
      <c r="D87" s="21" t="s">
        <v>275</v>
      </c>
      <c r="E87" s="147"/>
      <c r="F87" s="148"/>
      <c r="G87" s="148"/>
      <c r="H87" s="148"/>
      <c r="I87" s="148"/>
      <c r="J87" s="148"/>
      <c r="K87" s="148"/>
      <c r="L87" s="148"/>
      <c r="M87" s="27" t="s">
        <v>66</v>
      </c>
      <c r="N87" s="27"/>
      <c r="O87" s="29">
        <v>9000</v>
      </c>
      <c r="P87" s="109"/>
      <c r="Q87" s="29">
        <v>9000</v>
      </c>
      <c r="R87" s="109"/>
      <c r="S87" s="29">
        <v>9000</v>
      </c>
      <c r="T87" s="29">
        <v>9000</v>
      </c>
      <c r="U87" s="29">
        <v>9000</v>
      </c>
      <c r="V87" s="29">
        <v>9000</v>
      </c>
      <c r="W87" s="29">
        <v>9000</v>
      </c>
      <c r="X87" s="29">
        <v>9000</v>
      </c>
      <c r="Y87" s="29">
        <v>9000</v>
      </c>
      <c r="Z87" s="29">
        <v>9000</v>
      </c>
      <c r="AA87" s="29">
        <v>9000</v>
      </c>
      <c r="AB87" s="29"/>
      <c r="AC87" s="29">
        <f t="shared" ref="AC87:AC93" si="21">SUM(O87:AB87)</f>
        <v>99000</v>
      </c>
      <c r="AD87" s="159"/>
      <c r="AE87" s="159"/>
    </row>
    <row r="88" spans="1:31" ht="168" x14ac:dyDescent="0.4">
      <c r="A88" s="34" t="s">
        <v>386</v>
      </c>
      <c r="B88" s="34" t="s">
        <v>387</v>
      </c>
      <c r="C88" s="142"/>
      <c r="D88" s="21" t="s">
        <v>275</v>
      </c>
      <c r="E88" s="147"/>
      <c r="F88" s="148"/>
      <c r="G88" s="148"/>
      <c r="H88" s="148"/>
      <c r="I88" s="148"/>
      <c r="J88" s="148"/>
      <c r="K88" s="148"/>
      <c r="L88" s="148"/>
      <c r="M88" s="27" t="s">
        <v>82</v>
      </c>
      <c r="N88" s="27"/>
      <c r="O88" s="29">
        <v>7360</v>
      </c>
      <c r="P88" s="109"/>
      <c r="Q88" s="29"/>
      <c r="R88" s="109"/>
      <c r="S88" s="29"/>
      <c r="T88" s="29"/>
      <c r="U88" s="29"/>
      <c r="V88" s="29"/>
      <c r="W88" s="29"/>
      <c r="X88" s="29"/>
      <c r="Y88" s="29"/>
      <c r="Z88" s="29"/>
      <c r="AA88" s="29"/>
      <c r="AB88" s="29"/>
      <c r="AC88" s="29">
        <f t="shared" si="21"/>
        <v>7360</v>
      </c>
      <c r="AD88" s="159"/>
      <c r="AE88" s="159"/>
    </row>
    <row r="89" spans="1:31" ht="168" x14ac:dyDescent="0.4">
      <c r="A89" s="34" t="s">
        <v>386</v>
      </c>
      <c r="B89" s="34" t="s">
        <v>387</v>
      </c>
      <c r="C89" s="142"/>
      <c r="D89" s="21" t="s">
        <v>275</v>
      </c>
      <c r="E89" s="147"/>
      <c r="F89" s="148"/>
      <c r="G89" s="148"/>
      <c r="H89" s="148"/>
      <c r="I89" s="148"/>
      <c r="J89" s="148"/>
      <c r="K89" s="148"/>
      <c r="L89" s="148"/>
      <c r="M89" s="27" t="s">
        <v>414</v>
      </c>
      <c r="N89" s="27"/>
      <c r="O89" s="29"/>
      <c r="P89" s="109"/>
      <c r="Q89" s="29"/>
      <c r="R89" s="109"/>
      <c r="S89" s="29"/>
      <c r="T89" s="29"/>
      <c r="U89" s="29"/>
      <c r="V89" s="29"/>
      <c r="W89" s="29"/>
      <c r="X89" s="29"/>
      <c r="Y89" s="29"/>
      <c r="Z89" s="29"/>
      <c r="AA89" s="29"/>
      <c r="AB89" s="29"/>
      <c r="AC89" s="29">
        <f t="shared" si="21"/>
        <v>0</v>
      </c>
      <c r="AD89" s="159"/>
      <c r="AE89" s="159"/>
    </row>
    <row r="90" spans="1:31" ht="168.75" thickBot="1" x14ac:dyDescent="0.45">
      <c r="A90" s="34" t="s">
        <v>386</v>
      </c>
      <c r="B90" s="34" t="s">
        <v>387</v>
      </c>
      <c r="C90" s="143"/>
      <c r="D90" s="21" t="s">
        <v>275</v>
      </c>
      <c r="E90" s="149"/>
      <c r="F90" s="150"/>
      <c r="G90" s="150"/>
      <c r="H90" s="150"/>
      <c r="I90" s="150"/>
      <c r="J90" s="150"/>
      <c r="K90" s="150"/>
      <c r="L90" s="150"/>
      <c r="M90" s="27" t="s">
        <v>240</v>
      </c>
      <c r="N90" s="27"/>
      <c r="O90" s="29">
        <f>SUM(O87:O89)</f>
        <v>16360</v>
      </c>
      <c r="P90" s="109"/>
      <c r="Q90" s="29">
        <f t="shared" ref="Q90:AB90" si="22">SUM(Q87:Q89)</f>
        <v>9000</v>
      </c>
      <c r="R90" s="109"/>
      <c r="S90" s="29">
        <f t="shared" si="22"/>
        <v>9000</v>
      </c>
      <c r="T90" s="29">
        <f t="shared" si="22"/>
        <v>9000</v>
      </c>
      <c r="U90" s="29">
        <f t="shared" si="22"/>
        <v>9000</v>
      </c>
      <c r="V90" s="29">
        <f t="shared" si="22"/>
        <v>9000</v>
      </c>
      <c r="W90" s="29">
        <f t="shared" si="22"/>
        <v>9000</v>
      </c>
      <c r="X90" s="29">
        <f t="shared" si="22"/>
        <v>9000</v>
      </c>
      <c r="Y90" s="29">
        <f t="shared" si="22"/>
        <v>9000</v>
      </c>
      <c r="Z90" s="29">
        <f t="shared" si="22"/>
        <v>9000</v>
      </c>
      <c r="AA90" s="29">
        <f t="shared" si="22"/>
        <v>9000</v>
      </c>
      <c r="AB90" s="29">
        <f t="shared" si="22"/>
        <v>0</v>
      </c>
      <c r="AC90" s="29">
        <f t="shared" si="21"/>
        <v>106360</v>
      </c>
      <c r="AD90" s="160"/>
      <c r="AE90" s="160"/>
    </row>
    <row r="91" spans="1:31" ht="168" x14ac:dyDescent="0.4">
      <c r="A91" s="34" t="s">
        <v>386</v>
      </c>
      <c r="B91" s="34" t="s">
        <v>387</v>
      </c>
      <c r="C91" s="141" t="s">
        <v>425</v>
      </c>
      <c r="D91" s="21" t="s">
        <v>275</v>
      </c>
      <c r="E91" s="144" t="s">
        <v>494</v>
      </c>
      <c r="F91" s="141" t="s">
        <v>20</v>
      </c>
      <c r="G91" s="7" t="s">
        <v>21</v>
      </c>
      <c r="H91" s="21" t="s">
        <v>22</v>
      </c>
      <c r="I91" s="48" t="s">
        <v>495</v>
      </c>
      <c r="J91" s="48"/>
      <c r="K91" s="48" t="s">
        <v>496</v>
      </c>
      <c r="L91" s="49" t="s">
        <v>431</v>
      </c>
      <c r="M91" s="23" t="s">
        <v>27</v>
      </c>
      <c r="N91" s="104"/>
      <c r="O91" s="54">
        <v>1</v>
      </c>
      <c r="P91" s="110"/>
      <c r="Q91" s="54">
        <v>1</v>
      </c>
      <c r="R91" s="110"/>
      <c r="S91" s="54">
        <v>1</v>
      </c>
      <c r="T91" s="54">
        <v>1</v>
      </c>
      <c r="U91" s="54">
        <v>1</v>
      </c>
      <c r="V91" s="54">
        <v>1</v>
      </c>
      <c r="W91" s="54">
        <v>1</v>
      </c>
      <c r="X91" s="54">
        <v>1</v>
      </c>
      <c r="Y91" s="54">
        <v>1</v>
      </c>
      <c r="Z91" s="54">
        <v>1</v>
      </c>
      <c r="AA91" s="54">
        <v>1</v>
      </c>
      <c r="AB91" s="54">
        <v>1</v>
      </c>
      <c r="AC91" s="26">
        <f t="shared" si="21"/>
        <v>12</v>
      </c>
      <c r="AD91" s="26"/>
      <c r="AE91" s="26"/>
    </row>
    <row r="92" spans="1:31" ht="168" x14ac:dyDescent="0.4">
      <c r="A92" s="34" t="s">
        <v>386</v>
      </c>
      <c r="B92" s="34" t="s">
        <v>387</v>
      </c>
      <c r="C92" s="142"/>
      <c r="D92" s="21" t="s">
        <v>275</v>
      </c>
      <c r="E92" s="144"/>
      <c r="F92" s="142"/>
      <c r="G92" s="7" t="s">
        <v>21</v>
      </c>
      <c r="H92" s="21" t="s">
        <v>30</v>
      </c>
      <c r="I92" s="50" t="s">
        <v>497</v>
      </c>
      <c r="J92" s="50"/>
      <c r="K92" s="50" t="s">
        <v>498</v>
      </c>
      <c r="L92" s="51" t="s">
        <v>431</v>
      </c>
      <c r="M92" s="23" t="s">
        <v>27</v>
      </c>
      <c r="N92" s="104"/>
      <c r="O92" s="58">
        <v>3</v>
      </c>
      <c r="P92" s="111"/>
      <c r="Q92" s="58">
        <v>4</v>
      </c>
      <c r="R92" s="111"/>
      <c r="S92" s="58">
        <v>4</v>
      </c>
      <c r="T92" s="58">
        <v>4</v>
      </c>
      <c r="U92" s="58">
        <v>5</v>
      </c>
      <c r="V92" s="58">
        <v>4</v>
      </c>
      <c r="W92" s="58">
        <v>3</v>
      </c>
      <c r="X92" s="58">
        <v>2</v>
      </c>
      <c r="Y92" s="58">
        <v>3</v>
      </c>
      <c r="Z92" s="58">
        <v>3</v>
      </c>
      <c r="AA92" s="58">
        <v>3</v>
      </c>
      <c r="AB92" s="58">
        <v>2</v>
      </c>
      <c r="AC92" s="26">
        <f t="shared" si="21"/>
        <v>40</v>
      </c>
      <c r="AD92" s="26"/>
      <c r="AE92" s="26"/>
    </row>
    <row r="93" spans="1:31" ht="168" x14ac:dyDescent="0.4">
      <c r="A93" s="34" t="s">
        <v>386</v>
      </c>
      <c r="B93" s="34" t="s">
        <v>387</v>
      </c>
      <c r="C93" s="142"/>
      <c r="D93" s="21" t="s">
        <v>275</v>
      </c>
      <c r="E93" s="144"/>
      <c r="F93" s="142"/>
      <c r="G93" s="7" t="s">
        <v>21</v>
      </c>
      <c r="H93" s="21" t="s">
        <v>36</v>
      </c>
      <c r="I93" s="55" t="s">
        <v>499</v>
      </c>
      <c r="J93" s="55"/>
      <c r="K93" s="55" t="s">
        <v>500</v>
      </c>
      <c r="L93" s="56" t="s">
        <v>431</v>
      </c>
      <c r="M93" s="23" t="s">
        <v>27</v>
      </c>
      <c r="N93" s="104"/>
      <c r="O93" s="57">
        <v>5</v>
      </c>
      <c r="P93" s="114"/>
      <c r="Q93" s="57">
        <v>5</v>
      </c>
      <c r="R93" s="114"/>
      <c r="S93" s="57">
        <v>5</v>
      </c>
      <c r="T93" s="57">
        <v>6</v>
      </c>
      <c r="U93" s="57">
        <v>7</v>
      </c>
      <c r="V93" s="57">
        <v>7</v>
      </c>
      <c r="W93" s="57">
        <v>7</v>
      </c>
      <c r="X93" s="57">
        <v>5</v>
      </c>
      <c r="Y93" s="57">
        <v>6</v>
      </c>
      <c r="Z93" s="57">
        <v>7</v>
      </c>
      <c r="AA93" s="57">
        <v>6</v>
      </c>
      <c r="AB93" s="57">
        <v>4</v>
      </c>
      <c r="AC93" s="26">
        <f t="shared" si="21"/>
        <v>70</v>
      </c>
      <c r="AD93" s="26"/>
      <c r="AE93" s="26"/>
    </row>
    <row r="94" spans="1:31" ht="168" x14ac:dyDescent="0.4">
      <c r="A94" s="34" t="s">
        <v>386</v>
      </c>
      <c r="B94" s="34" t="s">
        <v>387</v>
      </c>
      <c r="C94" s="142"/>
      <c r="D94" s="21" t="s">
        <v>275</v>
      </c>
      <c r="E94" s="145" t="s">
        <v>108</v>
      </c>
      <c r="F94" s="146"/>
      <c r="G94" s="146"/>
      <c r="H94" s="146"/>
      <c r="I94" s="146"/>
      <c r="J94" s="146"/>
      <c r="K94" s="146"/>
      <c r="L94" s="146"/>
      <c r="M94" s="27" t="s">
        <v>64</v>
      </c>
      <c r="N94" s="27"/>
      <c r="O94" s="29">
        <f>O93+O92+O91</f>
        <v>9</v>
      </c>
      <c r="P94" s="109"/>
      <c r="Q94" s="29">
        <f t="shared" ref="Q94:X94" si="23">Q93+Q92+Q91</f>
        <v>10</v>
      </c>
      <c r="R94" s="109"/>
      <c r="S94" s="29">
        <f t="shared" si="23"/>
        <v>10</v>
      </c>
      <c r="T94" s="29">
        <f t="shared" si="23"/>
        <v>11</v>
      </c>
      <c r="U94" s="29">
        <f t="shared" si="23"/>
        <v>13</v>
      </c>
      <c r="V94" s="29">
        <f t="shared" si="23"/>
        <v>12</v>
      </c>
      <c r="W94" s="29">
        <f t="shared" si="23"/>
        <v>11</v>
      </c>
      <c r="X94" s="29">
        <f t="shared" si="23"/>
        <v>8</v>
      </c>
      <c r="Y94" s="29">
        <f>Y93+Y92+Y91</f>
        <v>10</v>
      </c>
      <c r="Z94" s="29">
        <f>Z93+Z92+Z91</f>
        <v>11</v>
      </c>
      <c r="AA94" s="29">
        <f>AA93+AA92+AA91</f>
        <v>10</v>
      </c>
      <c r="AB94" s="29">
        <f>AB93+AB92+AB91</f>
        <v>7</v>
      </c>
      <c r="AC94" s="29">
        <f>SUM(O94:AB94)</f>
        <v>122</v>
      </c>
      <c r="AD94" s="158"/>
      <c r="AE94" s="158"/>
    </row>
    <row r="95" spans="1:31" ht="168" x14ac:dyDescent="0.4">
      <c r="A95" s="34" t="s">
        <v>386</v>
      </c>
      <c r="B95" s="34" t="s">
        <v>387</v>
      </c>
      <c r="C95" s="142"/>
      <c r="D95" s="21" t="s">
        <v>275</v>
      </c>
      <c r="E95" s="147"/>
      <c r="F95" s="148"/>
      <c r="G95" s="148"/>
      <c r="H95" s="148"/>
      <c r="I95" s="148"/>
      <c r="J95" s="148"/>
      <c r="K95" s="148"/>
      <c r="L95" s="148"/>
      <c r="M95" s="27" t="s">
        <v>66</v>
      </c>
      <c r="N95" s="27"/>
      <c r="O95" s="29">
        <v>13367.2</v>
      </c>
      <c r="P95" s="109"/>
      <c r="Q95" s="29">
        <v>13367.2</v>
      </c>
      <c r="R95" s="109"/>
      <c r="S95" s="29">
        <v>13367.2</v>
      </c>
      <c r="T95" s="29">
        <v>13367.2</v>
      </c>
      <c r="U95" s="29">
        <v>13367.3</v>
      </c>
      <c r="V95" s="29">
        <v>13367.3</v>
      </c>
      <c r="W95" s="29">
        <v>13367.3</v>
      </c>
      <c r="X95" s="29">
        <v>13367.3</v>
      </c>
      <c r="Y95" s="29">
        <v>13367.3</v>
      </c>
      <c r="Z95" s="29">
        <v>13367.3</v>
      </c>
      <c r="AA95" s="29">
        <v>13367.3</v>
      </c>
      <c r="AB95" s="29">
        <v>367.3</v>
      </c>
      <c r="AC95" s="29">
        <f t="shared" ref="AC95:AC100" si="24">SUM(O95:AB95)</f>
        <v>147407.19999999998</v>
      </c>
      <c r="AD95" s="159"/>
      <c r="AE95" s="159"/>
    </row>
    <row r="96" spans="1:31" ht="168" x14ac:dyDescent="0.4">
      <c r="A96" s="34" t="s">
        <v>386</v>
      </c>
      <c r="B96" s="34" t="s">
        <v>387</v>
      </c>
      <c r="C96" s="142"/>
      <c r="D96" s="21" t="s">
        <v>275</v>
      </c>
      <c r="E96" s="147"/>
      <c r="F96" s="148"/>
      <c r="G96" s="148"/>
      <c r="H96" s="148"/>
      <c r="I96" s="148"/>
      <c r="J96" s="148"/>
      <c r="K96" s="148"/>
      <c r="L96" s="148"/>
      <c r="M96" s="27" t="s">
        <v>82</v>
      </c>
      <c r="N96" s="27"/>
      <c r="O96" s="29">
        <v>70000</v>
      </c>
      <c r="P96" s="109"/>
      <c r="Q96" s="29">
        <v>70000</v>
      </c>
      <c r="R96" s="109"/>
      <c r="S96" s="29">
        <v>70000</v>
      </c>
      <c r="T96" s="29">
        <v>70000</v>
      </c>
      <c r="U96" s="29">
        <v>70000</v>
      </c>
      <c r="V96" s="29">
        <v>70000</v>
      </c>
      <c r="W96" s="29">
        <v>70000</v>
      </c>
      <c r="X96" s="29">
        <v>70000</v>
      </c>
      <c r="Y96" s="29">
        <v>70000</v>
      </c>
      <c r="Z96" s="29">
        <v>70000</v>
      </c>
      <c r="AA96" s="29">
        <v>70000</v>
      </c>
      <c r="AB96" s="29">
        <v>70000</v>
      </c>
      <c r="AC96" s="29">
        <f t="shared" si="24"/>
        <v>840000</v>
      </c>
      <c r="AD96" s="159"/>
      <c r="AE96" s="159"/>
    </row>
    <row r="97" spans="1:31" ht="168" x14ac:dyDescent="0.4">
      <c r="A97" s="34" t="s">
        <v>386</v>
      </c>
      <c r="B97" s="34" t="s">
        <v>387</v>
      </c>
      <c r="C97" s="142"/>
      <c r="D97" s="21" t="s">
        <v>275</v>
      </c>
      <c r="E97" s="147"/>
      <c r="F97" s="148"/>
      <c r="G97" s="148"/>
      <c r="H97" s="148"/>
      <c r="I97" s="148"/>
      <c r="J97" s="148"/>
      <c r="K97" s="148"/>
      <c r="L97" s="148"/>
      <c r="M97" s="27" t="s">
        <v>414</v>
      </c>
      <c r="N97" s="27"/>
      <c r="O97" s="29"/>
      <c r="P97" s="109"/>
      <c r="Q97" s="29"/>
      <c r="R97" s="109"/>
      <c r="S97" s="29"/>
      <c r="T97" s="29"/>
      <c r="U97" s="29"/>
      <c r="V97" s="29"/>
      <c r="W97" s="29"/>
      <c r="X97" s="29"/>
      <c r="Y97" s="29"/>
      <c r="Z97" s="29"/>
      <c r="AA97" s="29"/>
      <c r="AB97" s="29"/>
      <c r="AC97" s="29">
        <f t="shared" si="24"/>
        <v>0</v>
      </c>
      <c r="AD97" s="159"/>
      <c r="AE97" s="159"/>
    </row>
    <row r="98" spans="1:31" ht="168.75" thickBot="1" x14ac:dyDescent="0.45">
      <c r="A98" s="34" t="s">
        <v>386</v>
      </c>
      <c r="B98" s="34" t="s">
        <v>387</v>
      </c>
      <c r="C98" s="143"/>
      <c r="D98" s="21" t="s">
        <v>275</v>
      </c>
      <c r="E98" s="149"/>
      <c r="F98" s="150"/>
      <c r="G98" s="150"/>
      <c r="H98" s="150"/>
      <c r="I98" s="150"/>
      <c r="J98" s="150"/>
      <c r="K98" s="150"/>
      <c r="L98" s="150"/>
      <c r="M98" s="27" t="s">
        <v>240</v>
      </c>
      <c r="N98" s="27"/>
      <c r="O98" s="29">
        <f>SUM(O95:O97)</f>
        <v>83367.199999999997</v>
      </c>
      <c r="P98" s="109"/>
      <c r="Q98" s="29">
        <f t="shared" ref="Q98:AB98" si="25">SUM(Q95:Q97)</f>
        <v>83367.199999999997</v>
      </c>
      <c r="R98" s="109"/>
      <c r="S98" s="29">
        <f t="shared" si="25"/>
        <v>83367.199999999997</v>
      </c>
      <c r="T98" s="29">
        <f t="shared" si="25"/>
        <v>83367.199999999997</v>
      </c>
      <c r="U98" s="29">
        <f t="shared" si="25"/>
        <v>83367.3</v>
      </c>
      <c r="V98" s="29">
        <f t="shared" si="25"/>
        <v>83367.3</v>
      </c>
      <c r="W98" s="29">
        <f t="shared" si="25"/>
        <v>83367.3</v>
      </c>
      <c r="X98" s="29">
        <f t="shared" si="25"/>
        <v>83367.3</v>
      </c>
      <c r="Y98" s="29">
        <f t="shared" si="25"/>
        <v>83367.3</v>
      </c>
      <c r="Z98" s="29">
        <f t="shared" si="25"/>
        <v>83367.3</v>
      </c>
      <c r="AA98" s="29">
        <f t="shared" si="25"/>
        <v>83367.3</v>
      </c>
      <c r="AB98" s="29">
        <f t="shared" si="25"/>
        <v>70367.3</v>
      </c>
      <c r="AC98" s="29">
        <f t="shared" si="24"/>
        <v>987407.20000000019</v>
      </c>
      <c r="AD98" s="160"/>
      <c r="AE98" s="160"/>
    </row>
    <row r="99" spans="1:31" ht="168" x14ac:dyDescent="0.4">
      <c r="A99" s="34" t="s">
        <v>386</v>
      </c>
      <c r="B99" s="34" t="s">
        <v>387</v>
      </c>
      <c r="C99" s="141" t="s">
        <v>425</v>
      </c>
      <c r="D99" s="21" t="s">
        <v>275</v>
      </c>
      <c r="E99" s="144" t="s">
        <v>501</v>
      </c>
      <c r="F99" s="141" t="s">
        <v>20</v>
      </c>
      <c r="G99" s="7" t="s">
        <v>21</v>
      </c>
      <c r="H99" s="21" t="s">
        <v>22</v>
      </c>
      <c r="I99" s="48" t="s">
        <v>502</v>
      </c>
      <c r="J99" s="48"/>
      <c r="K99" s="48" t="s">
        <v>503</v>
      </c>
      <c r="L99" s="49" t="s">
        <v>431</v>
      </c>
      <c r="M99" s="23" t="s">
        <v>27</v>
      </c>
      <c r="N99" s="104"/>
      <c r="O99" s="54"/>
      <c r="P99" s="110"/>
      <c r="Q99" s="54">
        <v>2</v>
      </c>
      <c r="R99" s="110"/>
      <c r="S99" s="54">
        <v>2</v>
      </c>
      <c r="T99" s="54">
        <v>2</v>
      </c>
      <c r="U99" s="54">
        <v>2</v>
      </c>
      <c r="V99" s="54">
        <v>2</v>
      </c>
      <c r="W99" s="54">
        <v>2</v>
      </c>
      <c r="X99" s="54">
        <v>2</v>
      </c>
      <c r="Y99" s="54">
        <v>2</v>
      </c>
      <c r="Z99" s="54">
        <v>2</v>
      </c>
      <c r="AA99" s="54">
        <v>2</v>
      </c>
      <c r="AB99" s="54">
        <v>2</v>
      </c>
      <c r="AC99" s="26">
        <f t="shared" si="24"/>
        <v>22</v>
      </c>
      <c r="AD99" s="26"/>
      <c r="AE99" s="26"/>
    </row>
    <row r="100" spans="1:31" ht="168.75" thickBot="1" x14ac:dyDescent="0.45">
      <c r="A100" s="34" t="s">
        <v>386</v>
      </c>
      <c r="B100" s="34" t="s">
        <v>387</v>
      </c>
      <c r="C100" s="142"/>
      <c r="D100" s="21" t="s">
        <v>275</v>
      </c>
      <c r="E100" s="144"/>
      <c r="F100" s="142"/>
      <c r="G100" s="7" t="s">
        <v>21</v>
      </c>
      <c r="H100" s="21" t="s">
        <v>30</v>
      </c>
      <c r="I100" s="52" t="s">
        <v>504</v>
      </c>
      <c r="J100" s="52"/>
      <c r="K100" s="52" t="s">
        <v>505</v>
      </c>
      <c r="L100" s="53" t="s">
        <v>431</v>
      </c>
      <c r="M100" s="23" t="s">
        <v>27</v>
      </c>
      <c r="N100" s="104"/>
      <c r="O100" s="59"/>
      <c r="P100" s="112"/>
      <c r="Q100" s="59">
        <v>2</v>
      </c>
      <c r="R100" s="112"/>
      <c r="S100" s="59">
        <v>2</v>
      </c>
      <c r="T100" s="59">
        <v>2</v>
      </c>
      <c r="U100" s="59">
        <v>2</v>
      </c>
      <c r="V100" s="59">
        <v>2</v>
      </c>
      <c r="W100" s="59">
        <v>2</v>
      </c>
      <c r="X100" s="59">
        <v>2</v>
      </c>
      <c r="Y100" s="59">
        <v>2</v>
      </c>
      <c r="Z100" s="59">
        <v>2</v>
      </c>
      <c r="AA100" s="59">
        <v>2</v>
      </c>
      <c r="AB100" s="59">
        <v>2</v>
      </c>
      <c r="AC100" s="26">
        <f t="shared" si="24"/>
        <v>22</v>
      </c>
      <c r="AD100" s="26"/>
      <c r="AE100" s="26"/>
    </row>
    <row r="101" spans="1:31" ht="168" x14ac:dyDescent="0.4">
      <c r="A101" s="34" t="s">
        <v>386</v>
      </c>
      <c r="B101" s="34" t="s">
        <v>387</v>
      </c>
      <c r="C101" s="142"/>
      <c r="D101" s="21" t="s">
        <v>275</v>
      </c>
      <c r="E101" s="145" t="s">
        <v>108</v>
      </c>
      <c r="F101" s="146"/>
      <c r="G101" s="146"/>
      <c r="H101" s="146"/>
      <c r="I101" s="146"/>
      <c r="J101" s="146"/>
      <c r="K101" s="146"/>
      <c r="L101" s="146"/>
      <c r="M101" s="27" t="s">
        <v>64</v>
      </c>
      <c r="N101" s="27"/>
      <c r="O101" s="29">
        <f>+O100+O99</f>
        <v>0</v>
      </c>
      <c r="P101" s="109"/>
      <c r="Q101" s="29">
        <f t="shared" ref="Q101:AB101" si="26">+Q100+Q99</f>
        <v>4</v>
      </c>
      <c r="R101" s="109"/>
      <c r="S101" s="29">
        <f t="shared" si="26"/>
        <v>4</v>
      </c>
      <c r="T101" s="29">
        <f t="shared" si="26"/>
        <v>4</v>
      </c>
      <c r="U101" s="29">
        <f t="shared" si="26"/>
        <v>4</v>
      </c>
      <c r="V101" s="29">
        <f t="shared" si="26"/>
        <v>4</v>
      </c>
      <c r="W101" s="29">
        <f t="shared" si="26"/>
        <v>4</v>
      </c>
      <c r="X101" s="29">
        <f t="shared" si="26"/>
        <v>4</v>
      </c>
      <c r="Y101" s="29">
        <f t="shared" si="26"/>
        <v>4</v>
      </c>
      <c r="Z101" s="29">
        <f t="shared" si="26"/>
        <v>4</v>
      </c>
      <c r="AA101" s="29">
        <f t="shared" si="26"/>
        <v>4</v>
      </c>
      <c r="AB101" s="29">
        <f t="shared" si="26"/>
        <v>4</v>
      </c>
      <c r="AC101" s="29">
        <f>SUM(O101:AB101)</f>
        <v>44</v>
      </c>
      <c r="AD101" s="158"/>
      <c r="AE101" s="158"/>
    </row>
    <row r="102" spans="1:31" ht="168" x14ac:dyDescent="0.4">
      <c r="A102" s="34" t="s">
        <v>386</v>
      </c>
      <c r="B102" s="34" t="s">
        <v>387</v>
      </c>
      <c r="C102" s="142"/>
      <c r="D102" s="21" t="s">
        <v>275</v>
      </c>
      <c r="E102" s="147"/>
      <c r="F102" s="148"/>
      <c r="G102" s="148"/>
      <c r="H102" s="148"/>
      <c r="I102" s="148"/>
      <c r="J102" s="148"/>
      <c r="K102" s="148"/>
      <c r="L102" s="148"/>
      <c r="M102" s="27" t="s">
        <v>66</v>
      </c>
      <c r="N102" s="27"/>
      <c r="O102" s="29"/>
      <c r="P102" s="109"/>
      <c r="Q102" s="29"/>
      <c r="R102" s="109"/>
      <c r="S102" s="29"/>
      <c r="T102" s="29"/>
      <c r="U102" s="29"/>
      <c r="V102" s="29"/>
      <c r="W102" s="29"/>
      <c r="X102" s="29"/>
      <c r="Y102" s="29"/>
      <c r="Z102" s="29"/>
      <c r="AA102" s="29"/>
      <c r="AB102" s="29"/>
      <c r="AC102" s="29">
        <f t="shared" ref="AC102:AC107" si="27">SUM(O102:AB102)</f>
        <v>0</v>
      </c>
      <c r="AD102" s="159"/>
      <c r="AE102" s="159"/>
    </row>
    <row r="103" spans="1:31" ht="168" x14ac:dyDescent="0.4">
      <c r="A103" s="34" t="s">
        <v>386</v>
      </c>
      <c r="B103" s="34" t="s">
        <v>387</v>
      </c>
      <c r="C103" s="142"/>
      <c r="D103" s="21" t="s">
        <v>275</v>
      </c>
      <c r="E103" s="147"/>
      <c r="F103" s="148"/>
      <c r="G103" s="148"/>
      <c r="H103" s="148"/>
      <c r="I103" s="148"/>
      <c r="J103" s="148"/>
      <c r="K103" s="148"/>
      <c r="L103" s="148"/>
      <c r="M103" s="27" t="s">
        <v>82</v>
      </c>
      <c r="N103" s="27"/>
      <c r="O103" s="29">
        <v>64360</v>
      </c>
      <c r="P103" s="109"/>
      <c r="Q103" s="29">
        <v>57000</v>
      </c>
      <c r="R103" s="109"/>
      <c r="S103" s="29">
        <v>57000</v>
      </c>
      <c r="T103" s="29">
        <v>57000</v>
      </c>
      <c r="U103" s="29">
        <v>57000</v>
      </c>
      <c r="V103" s="29">
        <v>57000</v>
      </c>
      <c r="W103" s="29">
        <v>57000</v>
      </c>
      <c r="X103" s="29">
        <v>57000</v>
      </c>
      <c r="Y103" s="29">
        <v>57000</v>
      </c>
      <c r="Z103" s="29">
        <v>57000</v>
      </c>
      <c r="AA103" s="29">
        <v>57000</v>
      </c>
      <c r="AB103" s="29">
        <v>57000</v>
      </c>
      <c r="AC103" s="29">
        <f t="shared" si="27"/>
        <v>691360</v>
      </c>
      <c r="AD103" s="159"/>
      <c r="AE103" s="159"/>
    </row>
    <row r="104" spans="1:31" ht="168" x14ac:dyDescent="0.4">
      <c r="A104" s="34" t="s">
        <v>386</v>
      </c>
      <c r="B104" s="34" t="s">
        <v>387</v>
      </c>
      <c r="C104" s="142"/>
      <c r="D104" s="21" t="s">
        <v>275</v>
      </c>
      <c r="E104" s="147"/>
      <c r="F104" s="148"/>
      <c r="G104" s="148"/>
      <c r="H104" s="148"/>
      <c r="I104" s="148"/>
      <c r="J104" s="148"/>
      <c r="K104" s="148"/>
      <c r="L104" s="148"/>
      <c r="M104" s="27" t="s">
        <v>414</v>
      </c>
      <c r="N104" s="27"/>
      <c r="O104" s="29"/>
      <c r="P104" s="109"/>
      <c r="Q104" s="29"/>
      <c r="R104" s="109"/>
      <c r="S104" s="29"/>
      <c r="T104" s="29"/>
      <c r="U104" s="29"/>
      <c r="V104" s="29"/>
      <c r="W104" s="29"/>
      <c r="X104" s="29"/>
      <c r="Y104" s="29"/>
      <c r="Z104" s="29"/>
      <c r="AA104" s="29"/>
      <c r="AB104" s="29"/>
      <c r="AC104" s="29">
        <f t="shared" si="27"/>
        <v>0</v>
      </c>
      <c r="AD104" s="159"/>
      <c r="AE104" s="159"/>
    </row>
    <row r="105" spans="1:31" ht="168.75" thickBot="1" x14ac:dyDescent="0.45">
      <c r="A105" s="34" t="s">
        <v>386</v>
      </c>
      <c r="B105" s="34" t="s">
        <v>387</v>
      </c>
      <c r="C105" s="143"/>
      <c r="D105" s="21" t="s">
        <v>275</v>
      </c>
      <c r="E105" s="149"/>
      <c r="F105" s="150"/>
      <c r="G105" s="150"/>
      <c r="H105" s="150"/>
      <c r="I105" s="150"/>
      <c r="J105" s="150"/>
      <c r="K105" s="150"/>
      <c r="L105" s="150"/>
      <c r="M105" s="27" t="s">
        <v>240</v>
      </c>
      <c r="N105" s="27"/>
      <c r="O105" s="29">
        <f>SUM(O102:O104)</f>
        <v>64360</v>
      </c>
      <c r="P105" s="109"/>
      <c r="Q105" s="29">
        <f t="shared" ref="Q105:AB105" si="28">SUM(Q102:Q104)</f>
        <v>57000</v>
      </c>
      <c r="R105" s="109"/>
      <c r="S105" s="29">
        <f t="shared" si="28"/>
        <v>57000</v>
      </c>
      <c r="T105" s="29">
        <f t="shared" si="28"/>
        <v>57000</v>
      </c>
      <c r="U105" s="29">
        <f t="shared" si="28"/>
        <v>57000</v>
      </c>
      <c r="V105" s="29">
        <f t="shared" si="28"/>
        <v>57000</v>
      </c>
      <c r="W105" s="29">
        <f t="shared" si="28"/>
        <v>57000</v>
      </c>
      <c r="X105" s="29">
        <f t="shared" si="28"/>
        <v>57000</v>
      </c>
      <c r="Y105" s="29">
        <f t="shared" si="28"/>
        <v>57000</v>
      </c>
      <c r="Z105" s="29">
        <f t="shared" si="28"/>
        <v>57000</v>
      </c>
      <c r="AA105" s="29">
        <f t="shared" si="28"/>
        <v>57000</v>
      </c>
      <c r="AB105" s="29">
        <f t="shared" si="28"/>
        <v>57000</v>
      </c>
      <c r="AC105" s="29">
        <f t="shared" si="27"/>
        <v>691360</v>
      </c>
      <c r="AD105" s="160"/>
      <c r="AE105" s="160"/>
    </row>
    <row r="106" spans="1:31" ht="168" x14ac:dyDescent="0.4">
      <c r="A106" s="34" t="s">
        <v>386</v>
      </c>
      <c r="B106" s="34" t="s">
        <v>387</v>
      </c>
      <c r="C106" s="141" t="s">
        <v>425</v>
      </c>
      <c r="D106" s="21" t="s">
        <v>275</v>
      </c>
      <c r="E106" s="144" t="s">
        <v>506</v>
      </c>
      <c r="F106" s="141" t="s">
        <v>20</v>
      </c>
      <c r="G106" s="7" t="s">
        <v>21</v>
      </c>
      <c r="H106" s="21" t="s">
        <v>22</v>
      </c>
      <c r="I106" s="48" t="s">
        <v>507</v>
      </c>
      <c r="J106" s="48"/>
      <c r="K106" s="49" t="s">
        <v>431</v>
      </c>
      <c r="L106" s="49" t="s">
        <v>431</v>
      </c>
      <c r="M106" s="23" t="s">
        <v>27</v>
      </c>
      <c r="N106" s="104"/>
      <c r="O106" s="54"/>
      <c r="P106" s="110"/>
      <c r="Q106" s="54">
        <v>1</v>
      </c>
      <c r="R106" s="110"/>
      <c r="S106" s="54">
        <v>1</v>
      </c>
      <c r="T106" s="54">
        <v>1</v>
      </c>
      <c r="U106" s="54">
        <v>1</v>
      </c>
      <c r="V106" s="54">
        <v>1</v>
      </c>
      <c r="W106" s="54">
        <v>1</v>
      </c>
      <c r="X106" s="54">
        <v>1</v>
      </c>
      <c r="Y106" s="54">
        <v>1</v>
      </c>
      <c r="Z106" s="54">
        <v>1</v>
      </c>
      <c r="AA106" s="54">
        <v>1</v>
      </c>
      <c r="AB106" s="54">
        <v>1</v>
      </c>
      <c r="AC106" s="26">
        <f t="shared" si="27"/>
        <v>11</v>
      </c>
      <c r="AD106" s="26"/>
      <c r="AE106" s="26"/>
    </row>
    <row r="107" spans="1:31" ht="168.75" thickBot="1" x14ac:dyDescent="0.45">
      <c r="A107" s="34" t="s">
        <v>386</v>
      </c>
      <c r="B107" s="34" t="s">
        <v>387</v>
      </c>
      <c r="C107" s="142"/>
      <c r="D107" s="21" t="s">
        <v>275</v>
      </c>
      <c r="E107" s="144"/>
      <c r="F107" s="142"/>
      <c r="G107" s="7" t="s">
        <v>21</v>
      </c>
      <c r="H107" s="21" t="s">
        <v>30</v>
      </c>
      <c r="I107" s="52" t="s">
        <v>507</v>
      </c>
      <c r="J107" s="52"/>
      <c r="K107" s="53" t="s">
        <v>431</v>
      </c>
      <c r="L107" s="51" t="s">
        <v>431</v>
      </c>
      <c r="M107" s="23" t="s">
        <v>27</v>
      </c>
      <c r="N107" s="104"/>
      <c r="O107" s="59">
        <v>1</v>
      </c>
      <c r="P107" s="112"/>
      <c r="Q107" s="59">
        <v>1</v>
      </c>
      <c r="R107" s="112"/>
      <c r="S107" s="59">
        <v>1</v>
      </c>
      <c r="T107" s="59">
        <v>1</v>
      </c>
      <c r="U107" s="59">
        <v>1</v>
      </c>
      <c r="V107" s="59">
        <v>1</v>
      </c>
      <c r="W107" s="59">
        <v>1</v>
      </c>
      <c r="X107" s="59">
        <v>1</v>
      </c>
      <c r="Y107" s="59">
        <v>1</v>
      </c>
      <c r="Z107" s="59">
        <v>1</v>
      </c>
      <c r="AA107" s="59">
        <v>1</v>
      </c>
      <c r="AB107" s="59">
        <v>1</v>
      </c>
      <c r="AC107" s="26">
        <f t="shared" si="27"/>
        <v>12</v>
      </c>
      <c r="AD107" s="26"/>
      <c r="AE107" s="26"/>
    </row>
    <row r="108" spans="1:31" ht="168" x14ac:dyDescent="0.4">
      <c r="A108" s="34" t="s">
        <v>386</v>
      </c>
      <c r="B108" s="34" t="s">
        <v>387</v>
      </c>
      <c r="C108" s="142"/>
      <c r="D108" s="21" t="s">
        <v>275</v>
      </c>
      <c r="E108" s="145" t="s">
        <v>108</v>
      </c>
      <c r="F108" s="146"/>
      <c r="G108" s="146"/>
      <c r="H108" s="146"/>
      <c r="I108" s="146"/>
      <c r="J108" s="146"/>
      <c r="K108" s="146"/>
      <c r="L108" s="146"/>
      <c r="M108" s="27" t="s">
        <v>64</v>
      </c>
      <c r="N108" s="27"/>
      <c r="O108" s="29">
        <f>O107+O106</f>
        <v>1</v>
      </c>
      <c r="P108" s="109"/>
      <c r="Q108" s="29">
        <f t="shared" ref="Q108:AB108" si="29">Q107+Q106</f>
        <v>2</v>
      </c>
      <c r="R108" s="109"/>
      <c r="S108" s="29">
        <f t="shared" si="29"/>
        <v>2</v>
      </c>
      <c r="T108" s="29">
        <f t="shared" si="29"/>
        <v>2</v>
      </c>
      <c r="U108" s="29">
        <f t="shared" si="29"/>
        <v>2</v>
      </c>
      <c r="V108" s="29">
        <f t="shared" si="29"/>
        <v>2</v>
      </c>
      <c r="W108" s="29">
        <f t="shared" si="29"/>
        <v>2</v>
      </c>
      <c r="X108" s="29">
        <f t="shared" si="29"/>
        <v>2</v>
      </c>
      <c r="Y108" s="29">
        <f t="shared" si="29"/>
        <v>2</v>
      </c>
      <c r="Z108" s="29">
        <f t="shared" si="29"/>
        <v>2</v>
      </c>
      <c r="AA108" s="29">
        <f t="shared" si="29"/>
        <v>2</v>
      </c>
      <c r="AB108" s="29">
        <f t="shared" si="29"/>
        <v>2</v>
      </c>
      <c r="AC108" s="29">
        <f>SUM(O108:AB108)</f>
        <v>23</v>
      </c>
      <c r="AD108" s="158"/>
      <c r="AE108" s="158"/>
    </row>
    <row r="109" spans="1:31" ht="168" x14ac:dyDescent="0.4">
      <c r="A109" s="34" t="s">
        <v>386</v>
      </c>
      <c r="B109" s="34" t="s">
        <v>387</v>
      </c>
      <c r="C109" s="142"/>
      <c r="D109" s="21" t="s">
        <v>275</v>
      </c>
      <c r="E109" s="147"/>
      <c r="F109" s="148"/>
      <c r="G109" s="148"/>
      <c r="H109" s="148"/>
      <c r="I109" s="148"/>
      <c r="J109" s="148"/>
      <c r="K109" s="148"/>
      <c r="L109" s="148"/>
      <c r="M109" s="27" t="s">
        <v>66</v>
      </c>
      <c r="N109" s="27"/>
      <c r="O109" s="29"/>
      <c r="P109" s="109"/>
      <c r="Q109" s="29"/>
      <c r="R109" s="109"/>
      <c r="S109" s="29"/>
      <c r="T109" s="29"/>
      <c r="U109" s="29"/>
      <c r="V109" s="29"/>
      <c r="W109" s="29"/>
      <c r="X109" s="29"/>
      <c r="Y109" s="29"/>
      <c r="Z109" s="29"/>
      <c r="AA109" s="29"/>
      <c r="AB109" s="29"/>
      <c r="AC109" s="29">
        <f>SUM(O109:AB109)</f>
        <v>0</v>
      </c>
      <c r="AD109" s="159"/>
      <c r="AE109" s="159"/>
    </row>
    <row r="110" spans="1:31" ht="168" x14ac:dyDescent="0.4">
      <c r="A110" s="34" t="s">
        <v>386</v>
      </c>
      <c r="B110" s="34" t="s">
        <v>387</v>
      </c>
      <c r="C110" s="142"/>
      <c r="D110" s="21" t="s">
        <v>275</v>
      </c>
      <c r="E110" s="147"/>
      <c r="F110" s="148"/>
      <c r="G110" s="148"/>
      <c r="H110" s="148"/>
      <c r="I110" s="148"/>
      <c r="J110" s="148"/>
      <c r="K110" s="148"/>
      <c r="L110" s="148"/>
      <c r="M110" s="27" t="s">
        <v>82</v>
      </c>
      <c r="N110" s="27"/>
      <c r="O110" s="29">
        <v>17000</v>
      </c>
      <c r="P110" s="109"/>
      <c r="Q110" s="29">
        <v>17000</v>
      </c>
      <c r="R110" s="109"/>
      <c r="S110" s="29">
        <v>17000</v>
      </c>
      <c r="T110" s="29">
        <v>17000</v>
      </c>
      <c r="U110" s="29">
        <v>17000</v>
      </c>
      <c r="V110" s="29">
        <v>17000</v>
      </c>
      <c r="W110" s="29">
        <v>17000</v>
      </c>
      <c r="X110" s="29">
        <v>17140</v>
      </c>
      <c r="Y110" s="29">
        <v>16000</v>
      </c>
      <c r="Z110" s="29">
        <v>16000</v>
      </c>
      <c r="AA110" s="29">
        <v>16000</v>
      </c>
      <c r="AB110" s="29">
        <v>16000</v>
      </c>
      <c r="AC110" s="29">
        <f>SUM(O110:AB110)</f>
        <v>200140</v>
      </c>
      <c r="AD110" s="159"/>
      <c r="AE110" s="159"/>
    </row>
    <row r="111" spans="1:31" ht="168" x14ac:dyDescent="0.4">
      <c r="A111" s="34" t="s">
        <v>386</v>
      </c>
      <c r="B111" s="34" t="s">
        <v>387</v>
      </c>
      <c r="C111" s="142"/>
      <c r="D111" s="21" t="s">
        <v>275</v>
      </c>
      <c r="E111" s="147"/>
      <c r="F111" s="148"/>
      <c r="G111" s="148"/>
      <c r="H111" s="148"/>
      <c r="I111" s="148"/>
      <c r="J111" s="148"/>
      <c r="K111" s="148"/>
      <c r="L111" s="148"/>
      <c r="M111" s="27" t="s">
        <v>414</v>
      </c>
      <c r="N111" s="27"/>
      <c r="O111" s="29"/>
      <c r="P111" s="109"/>
      <c r="Q111" s="29"/>
      <c r="R111" s="109"/>
      <c r="S111" s="29"/>
      <c r="T111" s="29"/>
      <c r="U111" s="29"/>
      <c r="V111" s="29"/>
      <c r="W111" s="29"/>
      <c r="X111" s="29"/>
      <c r="Y111" s="29"/>
      <c r="Z111" s="29"/>
      <c r="AA111" s="29"/>
      <c r="AB111" s="29"/>
      <c r="AC111" s="29">
        <f>SUM(O111:AB111)</f>
        <v>0</v>
      </c>
      <c r="AD111" s="159"/>
      <c r="AE111" s="159"/>
    </row>
    <row r="112" spans="1:31" ht="168" x14ac:dyDescent="0.4">
      <c r="A112" s="34" t="s">
        <v>386</v>
      </c>
      <c r="B112" s="34" t="s">
        <v>387</v>
      </c>
      <c r="C112" s="143"/>
      <c r="D112" s="21" t="s">
        <v>275</v>
      </c>
      <c r="E112" s="149"/>
      <c r="F112" s="150"/>
      <c r="G112" s="150"/>
      <c r="H112" s="150"/>
      <c r="I112" s="150"/>
      <c r="J112" s="150"/>
      <c r="K112" s="150"/>
      <c r="L112" s="150"/>
      <c r="M112" s="27" t="s">
        <v>240</v>
      </c>
      <c r="N112" s="27"/>
      <c r="O112" s="29">
        <f>SUM(O109:O111)</f>
        <v>17000</v>
      </c>
      <c r="P112" s="109"/>
      <c r="Q112" s="29">
        <f t="shared" ref="Q112:AB112" si="30">SUM(Q109:Q111)</f>
        <v>17000</v>
      </c>
      <c r="R112" s="109"/>
      <c r="S112" s="29">
        <f t="shared" si="30"/>
        <v>17000</v>
      </c>
      <c r="T112" s="29">
        <f t="shared" si="30"/>
        <v>17000</v>
      </c>
      <c r="U112" s="29">
        <f t="shared" si="30"/>
        <v>17000</v>
      </c>
      <c r="V112" s="29">
        <f t="shared" si="30"/>
        <v>17000</v>
      </c>
      <c r="W112" s="29">
        <f t="shared" si="30"/>
        <v>17000</v>
      </c>
      <c r="X112" s="29">
        <f t="shared" si="30"/>
        <v>17140</v>
      </c>
      <c r="Y112" s="29">
        <f t="shared" si="30"/>
        <v>16000</v>
      </c>
      <c r="Z112" s="29">
        <f t="shared" si="30"/>
        <v>16000</v>
      </c>
      <c r="AA112" s="29">
        <f t="shared" si="30"/>
        <v>16000</v>
      </c>
      <c r="AB112" s="29">
        <f t="shared" si="30"/>
        <v>16000</v>
      </c>
      <c r="AC112" s="29">
        <f>SUM(O112:AB112)</f>
        <v>200140</v>
      </c>
      <c r="AD112" s="160"/>
      <c r="AE112" s="160"/>
    </row>
  </sheetData>
  <autoFilter ref="A6:AD43" xr:uid="{00000000-0009-0000-0000-000000000000}"/>
  <mergeCells count="72">
    <mergeCell ref="AE101:AE105"/>
    <mergeCell ref="AE108:AE112"/>
    <mergeCell ref="AE55:AE59"/>
    <mergeCell ref="AE67:AE71"/>
    <mergeCell ref="AE76:AE80"/>
    <mergeCell ref="AE86:AE90"/>
    <mergeCell ref="AE94:AE98"/>
    <mergeCell ref="AE5:AE6"/>
    <mergeCell ref="AE18:AE22"/>
    <mergeCell ref="AE27:AE31"/>
    <mergeCell ref="AE38:AE42"/>
    <mergeCell ref="AE45:AE49"/>
    <mergeCell ref="D2:AD3"/>
    <mergeCell ref="A5:L5"/>
    <mergeCell ref="M5:AB5"/>
    <mergeCell ref="AC5:AC6"/>
    <mergeCell ref="AD5:AD6"/>
    <mergeCell ref="C7:C22"/>
    <mergeCell ref="E7:E17"/>
    <mergeCell ref="F7:F17"/>
    <mergeCell ref="E18:L22"/>
    <mergeCell ref="AD18:AD22"/>
    <mergeCell ref="C32:C42"/>
    <mergeCell ref="E32:E37"/>
    <mergeCell ref="F32:F37"/>
    <mergeCell ref="E38:L42"/>
    <mergeCell ref="AD38:AD42"/>
    <mergeCell ref="C23:C31"/>
    <mergeCell ref="E23:E26"/>
    <mergeCell ref="F23:F26"/>
    <mergeCell ref="E27:L31"/>
    <mergeCell ref="AD27:AD31"/>
    <mergeCell ref="C50:C59"/>
    <mergeCell ref="E50:E54"/>
    <mergeCell ref="F50:F54"/>
    <mergeCell ref="E55:L59"/>
    <mergeCell ref="AD55:AD59"/>
    <mergeCell ref="C43:C49"/>
    <mergeCell ref="E43:E44"/>
    <mergeCell ref="F43:F44"/>
    <mergeCell ref="E45:L49"/>
    <mergeCell ref="AD45:AD49"/>
    <mergeCell ref="C72:C80"/>
    <mergeCell ref="E72:E75"/>
    <mergeCell ref="F72:F75"/>
    <mergeCell ref="E76:L80"/>
    <mergeCell ref="AD76:AD80"/>
    <mergeCell ref="C60:C71"/>
    <mergeCell ref="E60:E66"/>
    <mergeCell ref="F60:F66"/>
    <mergeCell ref="E67:L71"/>
    <mergeCell ref="AD67:AD71"/>
    <mergeCell ref="C91:C98"/>
    <mergeCell ref="E91:E93"/>
    <mergeCell ref="F91:F93"/>
    <mergeCell ref="E94:L98"/>
    <mergeCell ref="AD94:AD98"/>
    <mergeCell ref="C81:C90"/>
    <mergeCell ref="E81:E85"/>
    <mergeCell ref="F81:F85"/>
    <mergeCell ref="E86:L90"/>
    <mergeCell ref="AD86:AD90"/>
    <mergeCell ref="C106:C112"/>
    <mergeCell ref="E106:E107"/>
    <mergeCell ref="F106:F107"/>
    <mergeCell ref="E108:L112"/>
    <mergeCell ref="AD108:AD112"/>
    <mergeCell ref="C99:C105"/>
    <mergeCell ref="E99:E100"/>
    <mergeCell ref="F99:F100"/>
    <mergeCell ref="E101:L105"/>
    <mergeCell ref="AD101:AD105"/>
  </mergeCells>
  <dataValidations count="1">
    <dataValidation type="list" allowBlank="1" showInputMessage="1" showErrorMessage="1" sqref="G23:G26 G7:G17 G32:G37 G43:G44 G50:G54 G72:G75 G60:G66 G81:G85 G91:G93 G99:G100 G106:G107" xr:uid="{0AECF595-715B-4C49-AE94-C729C6BB09C2}">
      <formula1>"Muy Alta, Alta, Media"</formula1>
    </dataValidation>
  </dataValidations>
  <pageMargins left="0.7" right="0.7" top="0.75" bottom="0.75" header="0.3" footer="0.3"/>
  <pageSetup paperSize="9" scale="1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PLAZOS</vt:lpstr>
      <vt:lpstr>07.04.01-DGOS</vt:lpstr>
      <vt:lpstr>07.04.02-DIMON</vt:lpstr>
      <vt:lpstr>07.04.03-DIEM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RV</dc:creator>
  <cp:lastModifiedBy>Arturo Alfonso Ore Gomez</cp:lastModifiedBy>
  <dcterms:created xsi:type="dcterms:W3CDTF">2025-01-08T23:41:53Z</dcterms:created>
  <dcterms:modified xsi:type="dcterms:W3CDTF">2025-06-24T20:49:04Z</dcterms:modified>
</cp:coreProperties>
</file>