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120" yWindow="1120" windowWidth="24480" windowHeight="143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" i="2"/>
  <c r="AJ306" i="1"/>
  <c r="AJ257" i="1"/>
  <c r="AJ194" i="1"/>
  <c r="AJ112" i="1"/>
  <c r="AJ19" i="1"/>
  <c r="AK256" i="1"/>
  <c r="AJ256" i="1"/>
  <c r="AJ267" i="1"/>
  <c r="AK303" i="1"/>
  <c r="AJ303" i="1"/>
  <c r="AK302" i="1"/>
  <c r="AJ302" i="1"/>
  <c r="AK266" i="1"/>
  <c r="AJ266" i="1"/>
  <c r="AJ311" i="1"/>
  <c r="AK301" i="1"/>
  <c r="AJ301" i="1"/>
  <c r="AK265" i="1"/>
  <c r="AJ265" i="1"/>
  <c r="AK300" i="1"/>
  <c r="AJ300" i="1"/>
  <c r="AJ264" i="1"/>
  <c r="AK299" i="1"/>
  <c r="AJ299" i="1"/>
  <c r="AK298" i="1"/>
  <c r="AJ298" i="1"/>
  <c r="AK297" i="1"/>
  <c r="AJ297" i="1"/>
  <c r="AK296" i="1"/>
  <c r="AJ296" i="1"/>
  <c r="AK255" i="1"/>
  <c r="AJ255" i="1"/>
  <c r="AK295" i="1"/>
  <c r="AJ295" i="1"/>
  <c r="AJ313" i="1"/>
  <c r="AK263" i="1"/>
  <c r="AJ263" i="1"/>
  <c r="AK310" i="1"/>
  <c r="AJ310" i="1"/>
  <c r="AK294" i="1"/>
  <c r="AJ294" i="1"/>
  <c r="AJ254" i="1"/>
  <c r="AK293" i="1"/>
  <c r="AJ293" i="1"/>
  <c r="AK262" i="1"/>
  <c r="AJ262" i="1"/>
  <c r="AJ253" i="1"/>
  <c r="AK312" i="1"/>
  <c r="AJ312" i="1"/>
  <c r="AK314" i="1"/>
  <c r="AJ314" i="1"/>
  <c r="AK261" i="1"/>
  <c r="AJ261" i="1"/>
  <c r="AK292" i="1"/>
  <c r="AJ292" i="1"/>
  <c r="AK291" i="1"/>
  <c r="AJ291" i="1"/>
  <c r="AK305" i="1"/>
  <c r="AJ305" i="1"/>
  <c r="AK290" i="1"/>
  <c r="AJ290" i="1"/>
  <c r="AJ309" i="1"/>
  <c r="AK307" i="1"/>
  <c r="AJ307" i="1"/>
  <c r="AK260" i="1"/>
  <c r="AJ260" i="1"/>
  <c r="AK252" i="1"/>
  <c r="AJ252" i="1"/>
  <c r="AK289" i="1"/>
  <c r="AJ289" i="1"/>
  <c r="AK288" i="1"/>
  <c r="AJ288" i="1"/>
  <c r="AK287" i="1"/>
  <c r="AJ287" i="1"/>
  <c r="AK286" i="1"/>
  <c r="AJ286" i="1"/>
  <c r="AK285" i="1"/>
  <c r="AJ285" i="1"/>
  <c r="AK284" i="1"/>
  <c r="AJ284" i="1"/>
  <c r="AK283" i="1"/>
  <c r="AJ283" i="1"/>
  <c r="AK282" i="1"/>
  <c r="AJ282" i="1"/>
  <c r="AK281" i="1"/>
  <c r="AJ281" i="1"/>
  <c r="AK304" i="1"/>
  <c r="AK280" i="1"/>
  <c r="AJ280" i="1"/>
  <c r="AK279" i="1"/>
  <c r="AJ279" i="1"/>
  <c r="AK278" i="1"/>
  <c r="AJ278" i="1"/>
  <c r="AK277" i="1"/>
  <c r="AJ277" i="1"/>
  <c r="AK276" i="1"/>
  <c r="AJ276" i="1"/>
  <c r="AK275" i="1"/>
  <c r="AJ275" i="1"/>
  <c r="AK274" i="1"/>
  <c r="AJ274" i="1"/>
  <c r="AK273" i="1"/>
  <c r="AJ273" i="1"/>
  <c r="AK272" i="1"/>
  <c r="AJ272" i="1"/>
  <c r="AK271" i="1"/>
  <c r="AJ271" i="1"/>
  <c r="AK270" i="1"/>
  <c r="AJ270" i="1"/>
  <c r="AK308" i="1"/>
  <c r="AJ308" i="1"/>
  <c r="AK269" i="1"/>
  <c r="AJ269" i="1"/>
  <c r="AK268" i="1"/>
  <c r="AJ268" i="1"/>
  <c r="AK315" i="1"/>
  <c r="AJ315" i="1"/>
  <c r="AK251" i="1"/>
  <c r="AJ251" i="1"/>
  <c r="AJ259" i="1"/>
  <c r="AJ258" i="1"/>
  <c r="AK250" i="1"/>
  <c r="AJ250" i="1"/>
  <c r="AK86" i="1"/>
  <c r="AJ86" i="1"/>
  <c r="AJ143" i="1"/>
  <c r="AK101" i="1"/>
  <c r="AJ101" i="1"/>
  <c r="AK7" i="1"/>
  <c r="AJ7" i="1"/>
  <c r="AJ33" i="1"/>
  <c r="AK85" i="1"/>
  <c r="AJ85" i="1"/>
  <c r="AJ193" i="1"/>
  <c r="AJ32" i="1"/>
  <c r="AK63" i="1"/>
  <c r="AJ63" i="1"/>
  <c r="AK55" i="1"/>
  <c r="AJ55" i="1"/>
  <c r="AK128" i="1"/>
  <c r="AJ128" i="1"/>
  <c r="AK84" i="1"/>
  <c r="AJ84" i="1"/>
  <c r="AK11" i="1"/>
  <c r="AJ11" i="1"/>
  <c r="AK181" i="1"/>
  <c r="AJ181" i="1"/>
  <c r="AK183" i="1"/>
  <c r="AJ183" i="1"/>
  <c r="AK62" i="1"/>
  <c r="AJ62" i="1"/>
  <c r="AK100" i="1"/>
  <c r="AJ100" i="1"/>
  <c r="AK13" i="1"/>
  <c r="AJ13" i="1"/>
  <c r="AK213" i="1"/>
  <c r="AJ213" i="1"/>
  <c r="AK142" i="1"/>
  <c r="AJ142" i="1"/>
  <c r="AK212" i="1"/>
  <c r="AJ212" i="1"/>
  <c r="AK174" i="1"/>
  <c r="AJ174" i="1"/>
  <c r="AJ99" i="1"/>
  <c r="AJ156" i="1"/>
  <c r="AK71" i="1"/>
  <c r="AJ71" i="1"/>
  <c r="AK235" i="1"/>
  <c r="AJ235" i="1"/>
  <c r="AK52" i="1"/>
  <c r="AJ52" i="1"/>
  <c r="AK122" i="1"/>
  <c r="AJ122" i="1"/>
  <c r="AK249" i="1"/>
  <c r="AJ249" i="1"/>
  <c r="AK234" i="1"/>
  <c r="AJ234" i="1"/>
  <c r="AK169" i="1"/>
  <c r="AJ169" i="1"/>
  <c r="AK70" i="1"/>
  <c r="AJ70" i="1"/>
  <c r="AJ182" i="1"/>
  <c r="AK104" i="1"/>
  <c r="AJ104" i="1"/>
  <c r="AK233" i="1"/>
  <c r="AJ233" i="1"/>
  <c r="AK46" i="1"/>
  <c r="AJ46" i="1"/>
  <c r="AK168" i="1"/>
  <c r="AJ168" i="1"/>
  <c r="AK232" i="1"/>
  <c r="AJ232" i="1"/>
  <c r="AK150" i="1"/>
  <c r="AJ150" i="1"/>
  <c r="AK4" i="1"/>
  <c r="AJ4" i="1"/>
  <c r="AK54" i="1"/>
  <c r="AJ54" i="1"/>
  <c r="AK61" i="1"/>
  <c r="AJ61" i="1"/>
  <c r="AK83" i="1"/>
  <c r="AJ83" i="1"/>
  <c r="AJ98" i="1"/>
  <c r="AJ121" i="1"/>
  <c r="AK248" i="1"/>
  <c r="AJ248" i="1"/>
  <c r="AJ30" i="1"/>
  <c r="AK188" i="1"/>
  <c r="AJ188" i="1"/>
  <c r="AK247" i="1"/>
  <c r="AJ247" i="1"/>
  <c r="AK246" i="1"/>
  <c r="AJ246" i="1"/>
  <c r="AK26" i="1"/>
  <c r="AJ26" i="1"/>
  <c r="AK173" i="1"/>
  <c r="AJ173" i="1"/>
  <c r="AJ178" i="1"/>
  <c r="AK191" i="1"/>
  <c r="AJ191" i="1"/>
  <c r="AK211" i="1"/>
  <c r="AJ211" i="1"/>
  <c r="AK141" i="1"/>
  <c r="AJ141" i="1"/>
  <c r="AK120" i="1"/>
  <c r="AJ120" i="1"/>
  <c r="AK231" i="1"/>
  <c r="AJ231" i="1"/>
  <c r="AK82" i="1"/>
  <c r="AJ82" i="1"/>
  <c r="AK20" i="1"/>
  <c r="AJ20" i="1"/>
  <c r="AJ69" i="1"/>
  <c r="AJ127" i="1"/>
  <c r="AK97" i="1"/>
  <c r="AJ97" i="1"/>
  <c r="AJ149" i="1"/>
  <c r="AK230" i="1"/>
  <c r="AJ230" i="1"/>
  <c r="AJ81" i="1"/>
  <c r="AJ192" i="1"/>
  <c r="AK45" i="1"/>
  <c r="AJ45" i="1"/>
  <c r="AK229" i="1"/>
  <c r="AJ229" i="1"/>
  <c r="AK228" i="1"/>
  <c r="AJ228" i="1"/>
  <c r="AK148" i="1"/>
  <c r="AJ148" i="1"/>
  <c r="AJ23" i="1"/>
  <c r="AK3" i="1"/>
  <c r="AJ3" i="1"/>
  <c r="AK227" i="1"/>
  <c r="AJ227" i="1"/>
  <c r="AK196" i="1"/>
  <c r="AJ196" i="1"/>
  <c r="AK80" i="1"/>
  <c r="AJ80" i="1"/>
  <c r="AK200" i="1"/>
  <c r="AJ200" i="1"/>
  <c r="AK161" i="1"/>
  <c r="AJ161" i="1"/>
  <c r="AK38" i="1"/>
  <c r="AJ38" i="1"/>
  <c r="AK126" i="1"/>
  <c r="AJ126" i="1"/>
  <c r="AJ60" i="1"/>
  <c r="AK226" i="1"/>
  <c r="AJ226" i="1"/>
  <c r="AK51" i="1"/>
  <c r="AJ51" i="1"/>
  <c r="AK132" i="1"/>
  <c r="AJ132" i="1"/>
  <c r="AK50" i="1"/>
  <c r="AJ50" i="1"/>
  <c r="AK147" i="1"/>
  <c r="AJ147" i="1"/>
  <c r="AJ195" i="1"/>
  <c r="AK25" i="1"/>
  <c r="AJ25" i="1"/>
  <c r="AK187" i="1"/>
  <c r="AJ187" i="1"/>
  <c r="AK186" i="1"/>
  <c r="AJ186" i="1"/>
  <c r="AK172" i="1"/>
  <c r="AJ172" i="1"/>
  <c r="AJ225" i="1"/>
  <c r="AK111" i="1"/>
  <c r="AJ111" i="1"/>
  <c r="AK53" i="1"/>
  <c r="AJ53" i="1"/>
  <c r="AK88" i="1"/>
  <c r="AJ88" i="1"/>
  <c r="AK224" i="1"/>
  <c r="AJ224" i="1"/>
  <c r="AJ31" i="1"/>
  <c r="AK245" i="1"/>
  <c r="AJ245" i="1"/>
  <c r="AK6" i="1"/>
  <c r="AJ6" i="1"/>
  <c r="AJ5" i="1"/>
  <c r="AJ140" i="1"/>
  <c r="AK16" i="1"/>
  <c r="AJ16" i="1"/>
  <c r="AK41" i="1"/>
  <c r="AJ41" i="1"/>
  <c r="AK244" i="1"/>
  <c r="AJ244" i="1"/>
  <c r="AK119" i="1"/>
  <c r="AJ119" i="1"/>
  <c r="AK243" i="1"/>
  <c r="AJ243" i="1"/>
  <c r="AJ160" i="1"/>
  <c r="AK118" i="1"/>
  <c r="AJ118" i="1"/>
  <c r="AK223" i="1"/>
  <c r="AJ223" i="1"/>
  <c r="AK49" i="1"/>
  <c r="AJ49" i="1"/>
  <c r="AK79" i="1"/>
  <c r="AJ79" i="1"/>
  <c r="AK78" i="1"/>
  <c r="AJ78" i="1"/>
  <c r="AJ159" i="1"/>
  <c r="AK155" i="1"/>
  <c r="AJ155" i="1"/>
  <c r="AK131" i="1"/>
  <c r="AJ131" i="1"/>
  <c r="AJ48" i="1"/>
  <c r="AK96" i="1"/>
  <c r="AJ96" i="1"/>
  <c r="AK77" i="1"/>
  <c r="AJ77" i="1"/>
  <c r="AK210" i="1"/>
  <c r="AJ210" i="1"/>
  <c r="AK68" i="1"/>
  <c r="AJ68" i="1"/>
  <c r="AK222" i="1"/>
  <c r="AJ222" i="1"/>
  <c r="AK106" i="1"/>
  <c r="AJ106" i="1"/>
  <c r="AJ146" i="1"/>
  <c r="AK47" i="1"/>
  <c r="AJ47" i="1"/>
  <c r="AK130" i="1"/>
  <c r="AJ130" i="1"/>
  <c r="AK95" i="1"/>
  <c r="AJ95" i="1"/>
  <c r="AK242" i="1"/>
  <c r="AJ242" i="1"/>
  <c r="AK221" i="1"/>
  <c r="AJ221" i="1"/>
  <c r="AK145" i="1"/>
  <c r="AJ145" i="1"/>
  <c r="AJ199" i="1"/>
  <c r="AK185" i="1"/>
  <c r="AJ185" i="1"/>
  <c r="AK67" i="1"/>
  <c r="AJ67" i="1"/>
  <c r="AK241" i="1"/>
  <c r="AJ241" i="1"/>
  <c r="AJ29" i="1"/>
  <c r="AK15" i="1"/>
  <c r="AJ15" i="1"/>
  <c r="AK44" i="1"/>
  <c r="AJ44" i="1"/>
  <c r="AK177" i="1"/>
  <c r="AJ177" i="1"/>
  <c r="AJ76" i="1"/>
  <c r="AK167" i="1"/>
  <c r="AJ167" i="1"/>
  <c r="AJ176" i="1"/>
  <c r="AK209" i="1"/>
  <c r="AJ209" i="1"/>
  <c r="AK158" i="1"/>
  <c r="AJ158" i="1"/>
  <c r="AK59" i="1"/>
  <c r="AJ59" i="1"/>
  <c r="AK240" i="1"/>
  <c r="AJ240" i="1"/>
  <c r="AK94" i="1"/>
  <c r="AJ94" i="1"/>
  <c r="AK10" i="1"/>
  <c r="AJ10" i="1"/>
  <c r="AK37" i="1"/>
  <c r="AJ37" i="1"/>
  <c r="AK103" i="1"/>
  <c r="AJ103" i="1"/>
  <c r="AK239" i="1"/>
  <c r="AJ239" i="1"/>
  <c r="AK102" i="1"/>
  <c r="AJ102" i="1"/>
  <c r="AK117" i="1"/>
  <c r="AJ117" i="1"/>
  <c r="AJ139" i="1"/>
  <c r="AK43" i="1"/>
  <c r="AJ43" i="1"/>
  <c r="AK220" i="1"/>
  <c r="AJ220" i="1"/>
  <c r="AK219" i="1"/>
  <c r="AJ219" i="1"/>
  <c r="AK208" i="1"/>
  <c r="AJ208" i="1"/>
  <c r="AJ58" i="1"/>
  <c r="AK175" i="1"/>
  <c r="AJ175" i="1"/>
  <c r="AK110" i="1"/>
  <c r="AJ110" i="1"/>
  <c r="AK93" i="1"/>
  <c r="AJ93" i="1"/>
  <c r="AJ180" i="1"/>
  <c r="AK207" i="1"/>
  <c r="AJ207" i="1"/>
  <c r="AK75" i="1"/>
  <c r="AJ75" i="1"/>
  <c r="AK144" i="1"/>
  <c r="AJ144" i="1"/>
  <c r="AK171" i="1"/>
  <c r="AJ171" i="1"/>
  <c r="AK157" i="1"/>
  <c r="AJ157" i="1"/>
  <c r="AK198" i="1"/>
  <c r="AJ198" i="1"/>
  <c r="AK206" i="1"/>
  <c r="AJ206" i="1"/>
  <c r="AJ66" i="1"/>
  <c r="AK205" i="1"/>
  <c r="AJ205" i="1"/>
  <c r="AJ65" i="1"/>
  <c r="AK154" i="1"/>
  <c r="AJ154" i="1"/>
  <c r="AK153" i="1"/>
  <c r="AJ153" i="1"/>
  <c r="AK238" i="1"/>
  <c r="AJ238" i="1"/>
  <c r="AK87" i="1"/>
  <c r="AJ87" i="1"/>
  <c r="AK92" i="1"/>
  <c r="AJ92" i="1"/>
  <c r="AJ74" i="1"/>
  <c r="AK204" i="1"/>
  <c r="AJ204" i="1"/>
  <c r="AK91" i="1"/>
  <c r="AJ91" i="1"/>
  <c r="AK138" i="1"/>
  <c r="AJ138" i="1"/>
  <c r="AK105" i="1"/>
  <c r="AJ105" i="1"/>
  <c r="AK125" i="1"/>
  <c r="AJ125" i="1"/>
  <c r="AJ73" i="1"/>
  <c r="AK40" i="1"/>
  <c r="AJ40" i="1"/>
  <c r="AK18" i="1"/>
  <c r="AJ18" i="1"/>
  <c r="AK109" i="1"/>
  <c r="AJ109" i="1"/>
  <c r="AJ116" i="1"/>
  <c r="AK152" i="1"/>
  <c r="AJ152" i="1"/>
  <c r="AJ24" i="1"/>
  <c r="AK129" i="1"/>
  <c r="AJ129" i="1"/>
  <c r="AK164" i="1"/>
  <c r="AJ164" i="1"/>
  <c r="AK170" i="1"/>
  <c r="AJ170" i="1"/>
  <c r="AK197" i="1"/>
  <c r="AJ197" i="1"/>
  <c r="AJ190" i="1"/>
  <c r="AK151" i="1"/>
  <c r="AJ151" i="1"/>
  <c r="AJ28" i="1"/>
  <c r="AK72" i="1"/>
  <c r="AJ72" i="1"/>
  <c r="AK137" i="1"/>
  <c r="AJ137" i="1"/>
  <c r="AK136" i="1"/>
  <c r="AJ136" i="1"/>
  <c r="AK64" i="1"/>
  <c r="AJ64" i="1"/>
  <c r="AK57" i="1"/>
  <c r="AJ57" i="1"/>
  <c r="AK36" i="1"/>
  <c r="AJ36" i="1"/>
  <c r="AK237" i="1"/>
  <c r="AJ237" i="1"/>
  <c r="AK135" i="1"/>
  <c r="AJ135" i="1"/>
  <c r="AK2" i="1"/>
  <c r="AJ2" i="1"/>
  <c r="AK179" i="1"/>
  <c r="AJ179" i="1"/>
  <c r="AK14" i="1"/>
  <c r="AJ14" i="1"/>
  <c r="AK203" i="1"/>
  <c r="AJ203" i="1"/>
  <c r="AK163" i="1"/>
  <c r="AJ163" i="1"/>
  <c r="AJ108" i="1"/>
  <c r="AJ22" i="1"/>
  <c r="AK218" i="1"/>
  <c r="AJ218" i="1"/>
  <c r="AK166" i="1"/>
  <c r="AJ166" i="1"/>
  <c r="AK162" i="1"/>
  <c r="AJ162" i="1"/>
  <c r="AK90" i="1"/>
  <c r="AJ90" i="1"/>
  <c r="AJ17" i="1"/>
  <c r="AK42" i="1"/>
  <c r="AJ42" i="1"/>
  <c r="AK35" i="1"/>
  <c r="AJ35" i="1"/>
  <c r="AK202" i="1"/>
  <c r="AJ202" i="1"/>
  <c r="AK89" i="1"/>
  <c r="AJ89" i="1"/>
  <c r="AK56" i="1"/>
  <c r="AJ56" i="1"/>
  <c r="AJ134" i="1"/>
  <c r="AK39" i="1"/>
  <c r="AJ39" i="1"/>
  <c r="AJ12" i="1"/>
  <c r="AK217" i="1"/>
  <c r="AJ217" i="1"/>
  <c r="AJ8" i="1"/>
  <c r="AK9" i="1"/>
  <c r="AJ9" i="1"/>
  <c r="AJ189" i="1"/>
  <c r="AK216" i="1"/>
  <c r="AJ216" i="1"/>
  <c r="AK184" i="1"/>
  <c r="AJ184" i="1"/>
  <c r="AK236" i="1"/>
  <c r="AJ236" i="1"/>
  <c r="AK215" i="1"/>
  <c r="AJ215" i="1"/>
  <c r="AK133" i="1"/>
  <c r="AJ133" i="1"/>
  <c r="AK115" i="1"/>
  <c r="AJ115" i="1"/>
  <c r="AK27" i="1"/>
  <c r="AJ27" i="1"/>
  <c r="AK114" i="1"/>
  <c r="AJ114" i="1"/>
  <c r="AK201" i="1"/>
  <c r="AJ201" i="1"/>
  <c r="AJ107" i="1"/>
  <c r="AJ113" i="1"/>
  <c r="AJ34" i="1"/>
  <c r="AJ124" i="1"/>
  <c r="AK21" i="1"/>
  <c r="AJ21" i="1"/>
  <c r="AJ214" i="1"/>
  <c r="AK123" i="1"/>
  <c r="AJ123" i="1"/>
  <c r="AK165" i="1"/>
  <c r="AJ165" i="1"/>
</calcChain>
</file>

<file path=xl/sharedStrings.xml><?xml version="1.0" encoding="utf-8"?>
<sst xmlns="http://schemas.openxmlformats.org/spreadsheetml/2006/main" count="3134" uniqueCount="427">
  <si>
    <t>voter</t>
  </si>
  <si>
    <t>Peter Abraham</t>
  </si>
  <si>
    <t>x</t>
  </si>
  <si>
    <t>Dave Albee</t>
  </si>
  <si>
    <t>Jim Alexander</t>
  </si>
  <si>
    <t>DM</t>
  </si>
  <si>
    <t>David Ammenheuser</t>
  </si>
  <si>
    <t>Mel Antonen</t>
  </si>
  <si>
    <t>MLB Network Radio</t>
  </si>
  <si>
    <t>Kirby Arnold</t>
  </si>
  <si>
    <t>Jaime Aron</t>
  </si>
  <si>
    <t>Email</t>
  </si>
  <si>
    <t>Chris Assenheimer</t>
  </si>
  <si>
    <t>Andrew Baggarly</t>
  </si>
  <si>
    <t>Chris Bahr</t>
  </si>
  <si>
    <t>Bill Ballou</t>
  </si>
  <si>
    <t>Peter Barzilai</t>
  </si>
  <si>
    <t>Mike Bass</t>
  </si>
  <si>
    <t>Michael Bauman</t>
  </si>
  <si>
    <t>Amalie Benjamin</t>
  </si>
  <si>
    <t xml:space="preserve">Mike Berardino </t>
  </si>
  <si>
    <t>Rob Biertempfel</t>
  </si>
  <si>
    <t>Jeff Blair</t>
  </si>
  <si>
    <t>Barry Bloom</t>
  </si>
  <si>
    <t>Earl Bloom</t>
  </si>
  <si>
    <t>Hal Bodley</t>
  </si>
  <si>
    <t>Filip Bondy</t>
  </si>
  <si>
    <t xml:space="preserve">Email </t>
  </si>
  <si>
    <t>Tim Booth</t>
  </si>
  <si>
    <t>Scott Bordow</t>
  </si>
  <si>
    <t>Facebook</t>
  </si>
  <si>
    <t>David Borges</t>
  </si>
  <si>
    <t>Peter Botte</t>
  </si>
  <si>
    <t xml:space="preserve">Mark Bradley </t>
  </si>
  <si>
    <t>Marcos Breton</t>
  </si>
  <si>
    <t>Larry Brooks</t>
  </si>
  <si>
    <t>Garry Brown</t>
  </si>
  <si>
    <t>Steve Buckley</t>
  </si>
  <si>
    <t>Don Burke</t>
  </si>
  <si>
    <t>Nick Cafardo</t>
  </si>
  <si>
    <t>Pete Caldera</t>
  </si>
  <si>
    <t>Andrew Call</t>
  </si>
  <si>
    <t xml:space="preserve">Dave Campbell </t>
  </si>
  <si>
    <t>John Canzano</t>
  </si>
  <si>
    <t>Jim Caple</t>
  </si>
  <si>
    <t xml:space="preserve">Pat Caputo </t>
  </si>
  <si>
    <t>Murray Chass</t>
  </si>
  <si>
    <t>Lowell Cohn</t>
  </si>
  <si>
    <t>Roberto Colon</t>
  </si>
  <si>
    <t>Dan Connolly</t>
  </si>
  <si>
    <t>Kevin Cooney</t>
  </si>
  <si>
    <t xml:space="preserve">Brian Costello </t>
  </si>
  <si>
    <t>Greg Cote</t>
  </si>
  <si>
    <t xml:space="preserve">Tim Cowlishaw </t>
  </si>
  <si>
    <t>Jerry Crasnick</t>
  </si>
  <si>
    <t>Jack Curry</t>
  </si>
  <si>
    <t>Tom D'Angelo</t>
  </si>
  <si>
    <t>Paul Daugherty</t>
  </si>
  <si>
    <t xml:space="preserve">Shi Davidi </t>
  </si>
  <si>
    <t>TV: Sportsnet CA</t>
  </si>
  <si>
    <t>Ken Davidoff</t>
  </si>
  <si>
    <t>Art Davidson</t>
  </si>
  <si>
    <t>John Delcos</t>
  </si>
  <si>
    <t>Chris De Luca</t>
  </si>
  <si>
    <t>Tom Dienhart</t>
  </si>
  <si>
    <t>Steve Dilbeck</t>
  </si>
  <si>
    <t>Mike Downey</t>
  </si>
  <si>
    <t>Paul Doyle</t>
  </si>
  <si>
    <t>Josh Dubow</t>
  </si>
  <si>
    <t>Jay Dunn</t>
  </si>
  <si>
    <t>Jorge Ebro</t>
  </si>
  <si>
    <t>Ryan Fagan</t>
  </si>
  <si>
    <t>Mark Faller</t>
  </si>
  <si>
    <t>John Fay</t>
  </si>
  <si>
    <t>Mark Feinsand</t>
  </si>
  <si>
    <t xml:space="preserve">Martin Fennelly </t>
  </si>
  <si>
    <t>Jeffrey Flanagan</t>
  </si>
  <si>
    <t xml:space="preserve">Jeff Fletcher </t>
  </si>
  <si>
    <t>Carlos Frias</t>
  </si>
  <si>
    <t>Carter Gaddis</t>
  </si>
  <si>
    <t>Peter Gammons</t>
  </si>
  <si>
    <t>Dan Gelston</t>
  </si>
  <si>
    <t>Steven Gietschier</t>
  </si>
  <si>
    <t>Rob Gillies</t>
  </si>
  <si>
    <t>Jimmy Golen</t>
  </si>
  <si>
    <t>Pedro Gomez</t>
  </si>
  <si>
    <t>Mark Gonzales</t>
  </si>
  <si>
    <t xml:space="preserve">Derrick Goold </t>
  </si>
  <si>
    <t>Rick Gosselin</t>
  </si>
  <si>
    <t>Patrick Graham</t>
  </si>
  <si>
    <t xml:space="preserve">Evan Grant </t>
  </si>
  <si>
    <t>Dan Graziano</t>
  </si>
  <si>
    <t>Jay Greenberg</t>
  </si>
  <si>
    <t>DM via Randy Miller</t>
  </si>
  <si>
    <t>Alan Greenwood</t>
  </si>
  <si>
    <t>Scot Gregor</t>
  </si>
  <si>
    <t>Richard Griffin</t>
  </si>
  <si>
    <t>Karen Guregian</t>
  </si>
  <si>
    <t>Paul Gutierrez</t>
  </si>
  <si>
    <t>Chris Haft</t>
  </si>
  <si>
    <t>Paul Hagan</t>
  </si>
  <si>
    <t>Mark Hale</t>
  </si>
  <si>
    <t xml:space="preserve">John Harper </t>
  </si>
  <si>
    <t xml:space="preserve">MLB Network </t>
  </si>
  <si>
    <t xml:space="preserve">Mike Harrington </t>
  </si>
  <si>
    <t>Ian Harrison</t>
  </si>
  <si>
    <t>Tom Haudricourt</t>
  </si>
  <si>
    <t>Dan Hayes</t>
  </si>
  <si>
    <t xml:space="preserve">Joe Henderson </t>
  </si>
  <si>
    <t>Lynn Henning</t>
  </si>
  <si>
    <t xml:space="preserve">Mark Herrmann </t>
  </si>
  <si>
    <t>Bob Hertzel</t>
  </si>
  <si>
    <t xml:space="preserve">Bob Herzog </t>
  </si>
  <si>
    <t xml:space="preserve">Jon Heyman </t>
  </si>
  <si>
    <t>John Hickey</t>
  </si>
  <si>
    <t>Ed Hilt</t>
  </si>
  <si>
    <t>DM (via Randy Miller)</t>
  </si>
  <si>
    <t>Bob Hohler</t>
  </si>
  <si>
    <t>Garry D. Howard</t>
  </si>
  <si>
    <t>Paul Hoynes</t>
  </si>
  <si>
    <t>Jeff Jacobs</t>
  </si>
  <si>
    <t>Bruce Jenkins</t>
  </si>
  <si>
    <t>Richard Justice</t>
  </si>
  <si>
    <t>Marc Katz</t>
  </si>
  <si>
    <t>Tim Kawakami</t>
  </si>
  <si>
    <t>Tom Keegan</t>
  </si>
  <si>
    <t>Peter Kerasotis</t>
  </si>
  <si>
    <t>Kevin Kernan</t>
  </si>
  <si>
    <t>Ann Killion</t>
  </si>
  <si>
    <t>George A. King III</t>
  </si>
  <si>
    <t>Bob Klapisch</t>
  </si>
  <si>
    <t>Danny Knobler</t>
  </si>
  <si>
    <t>Dejan Kovacevic</t>
  </si>
  <si>
    <t>Mark Kreidler</t>
  </si>
  <si>
    <t>Dave Krieger</t>
  </si>
  <si>
    <t>Ron Kroichick</t>
  </si>
  <si>
    <t xml:space="preserve">Roch Kubatko </t>
  </si>
  <si>
    <t>Tim Kurkjian</t>
  </si>
  <si>
    <t>Gabe Lacques</t>
  </si>
  <si>
    <t>Marc Lancaster</t>
  </si>
  <si>
    <t xml:space="preserve">David Lariviere </t>
  </si>
  <si>
    <t xml:space="preserve">Scott Lauber </t>
  </si>
  <si>
    <t>Gil LeBreton</t>
  </si>
  <si>
    <t>Mike Lefkow</t>
  </si>
  <si>
    <t>David Lennon</t>
  </si>
  <si>
    <t xml:space="preserve">Joseph Liao </t>
  </si>
  <si>
    <t xml:space="preserve">Bernie Lincicome </t>
  </si>
  <si>
    <t>Bill Livingston</t>
  </si>
  <si>
    <t xml:space="preserve">Thom Loverro </t>
  </si>
  <si>
    <t>Rob Maaddi</t>
  </si>
  <si>
    <t>Dennis Maffezzoli</t>
  </si>
  <si>
    <t>Jack Magruder</t>
  </si>
  <si>
    <t>Dennis Manoloff</t>
  </si>
  <si>
    <t xml:space="preserve">Steven Marcus </t>
  </si>
  <si>
    <t>David Maril</t>
  </si>
  <si>
    <t xml:space="preserve">Art Martone </t>
  </si>
  <si>
    <t>Tony Massarotti</t>
  </si>
  <si>
    <t>Radio show 11/22/16</t>
  </si>
  <si>
    <t>Jack McCaffery</t>
  </si>
  <si>
    <t>Anthony McCarron</t>
  </si>
  <si>
    <t xml:space="preserve">Janie McCauley </t>
  </si>
  <si>
    <t xml:space="preserve">Sean McClelland </t>
  </si>
  <si>
    <t>Joe McDonald</t>
  </si>
  <si>
    <t>Sam Mellinger</t>
  </si>
  <si>
    <t>Bruce Miles</t>
  </si>
  <si>
    <t>Phil Miller</t>
  </si>
  <si>
    <t xml:space="preserve">Randy Miller </t>
  </si>
  <si>
    <t>Scott Miller</t>
  </si>
  <si>
    <t>Kevin Modesti</t>
  </si>
  <si>
    <t>Jim Molony</t>
  </si>
  <si>
    <t>Roger Mooney</t>
  </si>
  <si>
    <t>Terence Moore</t>
  </si>
  <si>
    <t>Aurelio Moreno</t>
  </si>
  <si>
    <t>Jon Morosi</t>
  </si>
  <si>
    <t xml:space="preserve">Rick Morrissey </t>
  </si>
  <si>
    <t>Carrie Muskat</t>
  </si>
  <si>
    <t>Gene Myers</t>
  </si>
  <si>
    <t>Mike Nadel</t>
  </si>
  <si>
    <t>Mark Newman</t>
  </si>
  <si>
    <t>Bob Nightengale</t>
  </si>
  <si>
    <t>Eric Nunez</t>
  </si>
  <si>
    <t>Ian O'Connor</t>
  </si>
  <si>
    <t xml:space="preserve">Drew Olson </t>
  </si>
  <si>
    <t>Jorge Ortiz</t>
  </si>
  <si>
    <t xml:space="preserve">Jose de Jesus Ortiz </t>
  </si>
  <si>
    <t>Bob Padecky</t>
  </si>
  <si>
    <t>Doug Padilla</t>
  </si>
  <si>
    <t>Jay Paris</t>
  </si>
  <si>
    <t>Rob Parker</t>
  </si>
  <si>
    <t>Jeff Passan</t>
  </si>
  <si>
    <t>Jeff Peek</t>
  </si>
  <si>
    <t>Dave Perkins</t>
  </si>
  <si>
    <t>Radio</t>
  </si>
  <si>
    <t>John Perrotto</t>
  </si>
  <si>
    <t>Mike Peticca</t>
  </si>
  <si>
    <t>Nick Pietruszkiewicz</t>
  </si>
  <si>
    <t>Rick Plumlee</t>
  </si>
  <si>
    <t>Bill Plunkett</t>
  </si>
  <si>
    <t>Steve Politi</t>
  </si>
  <si>
    <t>Steve Popper</t>
  </si>
  <si>
    <t xml:space="preserve">Joe Posnanski </t>
  </si>
  <si>
    <t xml:space="preserve">Scott Priestle </t>
  </si>
  <si>
    <t>Mike Puma</t>
  </si>
  <si>
    <t>Mark Purdy</t>
  </si>
  <si>
    <t>Rob Rains</t>
  </si>
  <si>
    <t>Jim Reeves</t>
  </si>
  <si>
    <t>Troy Renck</t>
  </si>
  <si>
    <t xml:space="preserve">Dave Reynolds </t>
  </si>
  <si>
    <t>Tim Reynolds</t>
  </si>
  <si>
    <t>Anthony Rieber</t>
  </si>
  <si>
    <t>Tracy Ringolsby</t>
  </si>
  <si>
    <t>Brendan Roberts</t>
  </si>
  <si>
    <t>Alan Robinson</t>
  </si>
  <si>
    <t>Phil Rogers</t>
  </si>
  <si>
    <t>MLB Network TV</t>
  </si>
  <si>
    <t>John Romano</t>
  </si>
  <si>
    <t xml:space="preserve">C. Trent Rosecrans </t>
  </si>
  <si>
    <t>Ken Rosenthal</t>
  </si>
  <si>
    <t>Barry Rozner</t>
  </si>
  <si>
    <t>Adam Rubin</t>
  </si>
  <si>
    <t>Roger Rubin</t>
  </si>
  <si>
    <t>Joe Rutter</t>
  </si>
  <si>
    <t>Bob Ryan</t>
  </si>
  <si>
    <t xml:space="preserve">Mark Saxon </t>
  </si>
  <si>
    <t xml:space="preserve">Henry Schulman </t>
  </si>
  <si>
    <t>Jeff Schultz</t>
  </si>
  <si>
    <t>Glenn Schwarz</t>
  </si>
  <si>
    <t xml:space="preserve">Mike Shalin </t>
  </si>
  <si>
    <t>Dan Shaughnessy</t>
  </si>
  <si>
    <t>John Shea</t>
  </si>
  <si>
    <t>Joel Sherman</t>
  </si>
  <si>
    <t>Michael Silverman</t>
  </si>
  <si>
    <t xml:space="preserve">Steve Simmons </t>
  </si>
  <si>
    <t>Susan Slusser</t>
  </si>
  <si>
    <t>Claire Smith</t>
  </si>
  <si>
    <t>Willie Smith</t>
  </si>
  <si>
    <t>Bob Smizik</t>
  </si>
  <si>
    <t>Clark Spencer</t>
  </si>
  <si>
    <t>Barry Stanton</t>
  </si>
  <si>
    <t>Arnie Stapleton</t>
  </si>
  <si>
    <t>Jayson Stark</t>
  </si>
  <si>
    <t>Carl Steward</t>
  </si>
  <si>
    <t>Joe Stiglich</t>
  </si>
  <si>
    <t xml:space="preserve">Larry Stone </t>
  </si>
  <si>
    <t>Jim Street</t>
  </si>
  <si>
    <t>Paul Sullivan</t>
  </si>
  <si>
    <t xml:space="preserve">TR Sullivan </t>
  </si>
  <si>
    <t>Jean-Jacques Taylor</t>
  </si>
  <si>
    <t xml:space="preserve">John Tomase </t>
  </si>
  <si>
    <t>Marc Topkin</t>
  </si>
  <si>
    <t>Mike Vaccaro</t>
  </si>
  <si>
    <t>Juan Vené</t>
  </si>
  <si>
    <t>Tom Verducci</t>
  </si>
  <si>
    <t>MLB Network</t>
  </si>
  <si>
    <t>Jeff Vorva</t>
  </si>
  <si>
    <t>Paul White</t>
  </si>
  <si>
    <t>George Willis</t>
  </si>
  <si>
    <t xml:space="preserve">Bernie Wilson </t>
  </si>
  <si>
    <t>Steve Wine</t>
  </si>
  <si>
    <t>Gordon Wittenmyer</t>
  </si>
  <si>
    <t>Eduardo B. Almada</t>
  </si>
  <si>
    <t>John Altavilla</t>
  </si>
  <si>
    <t>Hartford Courant</t>
  </si>
  <si>
    <t>Dom Amore</t>
  </si>
  <si>
    <t>David Barron</t>
  </si>
  <si>
    <t>David Ginsburg</t>
  </si>
  <si>
    <t>Mike Imrem</t>
  </si>
  <si>
    <t xml:space="preserve">Jim Ingraham </t>
  </si>
  <si>
    <t>Michael Knisley</t>
  </si>
  <si>
    <t>Warren Mayes</t>
  </si>
  <si>
    <t>Adam Mertz</t>
  </si>
  <si>
    <t xml:space="preserve">Jeff Miller </t>
  </si>
  <si>
    <t>Fred Mitchell</t>
  </si>
  <si>
    <t>LaVelle E. Neal III</t>
  </si>
  <si>
    <t xml:space="preserve">Joe Ostermeier </t>
  </si>
  <si>
    <t>Ed Petruska</t>
  </si>
  <si>
    <t>Tom Powers</t>
  </si>
  <si>
    <t xml:space="preserve">Mark Schmetzer </t>
  </si>
  <si>
    <t xml:space="preserve">Lyle Spencer </t>
  </si>
  <si>
    <t xml:space="preserve">Kirk Wessler </t>
  </si>
  <si>
    <t>David Wilhelm</t>
  </si>
  <si>
    <t>Tom Yantz</t>
  </si>
  <si>
    <t>Mark Zuckerman</t>
  </si>
  <si>
    <t>Anonymous</t>
  </si>
  <si>
    <t>unknown</t>
  </si>
  <si>
    <t>n_votes</t>
  </si>
  <si>
    <t>source</t>
  </si>
  <si>
    <t>date</t>
  </si>
  <si>
    <t>Jeff</t>
  </si>
  <si>
    <t>Bagwell</t>
  </si>
  <si>
    <t>Barry</t>
  </si>
  <si>
    <t>Bonds</t>
  </si>
  <si>
    <t>Roger</t>
  </si>
  <si>
    <t>Clemens</t>
  </si>
  <si>
    <t>Vlad</t>
  </si>
  <si>
    <t>Guerrero</t>
  </si>
  <si>
    <t>Trevor</t>
  </si>
  <si>
    <t>Hoffman</t>
  </si>
  <si>
    <t>Edgar</t>
  </si>
  <si>
    <t>Martinez</t>
  </si>
  <si>
    <t>Fred</t>
  </si>
  <si>
    <t>McGriff</t>
  </si>
  <si>
    <t>Mike</t>
  </si>
  <si>
    <t>Mussina</t>
  </si>
  <si>
    <t>Jorge</t>
  </si>
  <si>
    <t>Posada</t>
  </si>
  <si>
    <t>Tim</t>
  </si>
  <si>
    <t>Manny</t>
  </si>
  <si>
    <t>Ramirez</t>
  </si>
  <si>
    <t>Ivan</t>
  </si>
  <si>
    <t>Rodriguez</t>
  </si>
  <si>
    <t>Curt</t>
  </si>
  <si>
    <t>Schilling</t>
  </si>
  <si>
    <t>Gary</t>
  </si>
  <si>
    <t>Sheffield</t>
  </si>
  <si>
    <t>Lee</t>
  </si>
  <si>
    <t>Sammy</t>
  </si>
  <si>
    <t>Sosa</t>
  </si>
  <si>
    <t>Billy</t>
  </si>
  <si>
    <t>Wagner</t>
  </si>
  <si>
    <t>Larry</t>
  </si>
  <si>
    <t>Walker</t>
  </si>
  <si>
    <t>Casey</t>
  </si>
  <si>
    <t>Blake</t>
  </si>
  <si>
    <t>Pat</t>
  </si>
  <si>
    <t>Orlando</t>
  </si>
  <si>
    <t>Cabrera</t>
  </si>
  <si>
    <t>Cameron</t>
  </si>
  <si>
    <t>J.D.</t>
  </si>
  <si>
    <t>Carlos</t>
  </si>
  <si>
    <t>Guillen</t>
  </si>
  <si>
    <t>Derrek</t>
  </si>
  <si>
    <t>Melvin</t>
  </si>
  <si>
    <t>Mora</t>
  </si>
  <si>
    <t>Magglio</t>
  </si>
  <si>
    <t>Ordonez</t>
  </si>
  <si>
    <t>Renteria</t>
  </si>
  <si>
    <t>Arthur</t>
  </si>
  <si>
    <t>Rhodes</t>
  </si>
  <si>
    <t>Freddy</t>
  </si>
  <si>
    <t>Sanchez</t>
  </si>
  <si>
    <t>Matt</t>
  </si>
  <si>
    <t>Stairs</t>
  </si>
  <si>
    <t>Jason</t>
  </si>
  <si>
    <t>Varitek</t>
  </si>
  <si>
    <t>Wakefield</t>
  </si>
  <si>
    <t>Kent</t>
  </si>
  <si>
    <t>Raines</t>
  </si>
  <si>
    <t>Smith</t>
  </si>
  <si>
    <t>Burrell</t>
  </si>
  <si>
    <t>Drew</t>
  </si>
  <si>
    <t>Jeff Bagwell</t>
  </si>
  <si>
    <t>Barry Bonds</t>
  </si>
  <si>
    <t>Roger Clemens</t>
  </si>
  <si>
    <t>Vlad Guerrero</t>
  </si>
  <si>
    <t>Trevor Hoffman</t>
  </si>
  <si>
    <t>Jeff Kent</t>
  </si>
  <si>
    <t>Edgar Martinez</t>
  </si>
  <si>
    <t>Fred McGriff</t>
  </si>
  <si>
    <t>Mike Mussina</t>
  </si>
  <si>
    <t>Jorge Posada</t>
  </si>
  <si>
    <t>Tim Raines</t>
  </si>
  <si>
    <t>Manny Ramirez</t>
  </si>
  <si>
    <t>Ivan Rodriguez</t>
  </si>
  <si>
    <t>Curt Schilling</t>
  </si>
  <si>
    <t>Gary Sheffield</t>
  </si>
  <si>
    <t>Lee Smith</t>
  </si>
  <si>
    <t>Sammy Sosa</t>
  </si>
  <si>
    <t>Billy Wagner</t>
  </si>
  <si>
    <t>Larry Walker</t>
  </si>
  <si>
    <t>Casey Blake</t>
  </si>
  <si>
    <t>Pat Burrell</t>
  </si>
  <si>
    <t>Orlando Cabrera</t>
  </si>
  <si>
    <t>Mike Cameron</t>
  </si>
  <si>
    <t>J.D. Drew</t>
  </si>
  <si>
    <t>Carlos Guillen</t>
  </si>
  <si>
    <t>Derrek Lee</t>
  </si>
  <si>
    <t>Melvin Mora</t>
  </si>
  <si>
    <t>Magglio Ordonez</t>
  </si>
  <si>
    <t>Edgar Renteria</t>
  </si>
  <si>
    <t>Arthur Rhodes</t>
  </si>
  <si>
    <t>Freddy Sanchez</t>
  </si>
  <si>
    <t>Matt Stairs</t>
  </si>
  <si>
    <t>Jason Varitek</t>
  </si>
  <si>
    <t>Tim Wakefield</t>
  </si>
  <si>
    <t>John Black</t>
  </si>
  <si>
    <t>Paul Bodi</t>
  </si>
  <si>
    <t>Dan Bostrom</t>
  </si>
  <si>
    <t>Ray Buck</t>
  </si>
  <si>
    <t>Tom Christensen</t>
  </si>
  <si>
    <t>Joe Christensen</t>
  </si>
  <si>
    <t>Bob Cohn</t>
  </si>
  <si>
    <t>Tim Dahlberg</t>
  </si>
  <si>
    <t>Dave Daniel</t>
  </si>
  <si>
    <t>Tony DeMarco</t>
  </si>
  <si>
    <t>Mike Dodd</t>
  </si>
  <si>
    <t>Chuck Dybdal</t>
  </si>
  <si>
    <t>Bob Elliott</t>
  </si>
  <si>
    <t>Chris Elsberry</t>
  </si>
  <si>
    <t>Jim Gauger</t>
  </si>
  <si>
    <t>Joe Haakenson</t>
  </si>
  <si>
    <t>Jim Hawkins</t>
  </si>
  <si>
    <t>Jim Henneman</t>
  </si>
  <si>
    <t>Steve Henson</t>
  </si>
  <si>
    <t>Hirokazu Higuchi</t>
  </si>
  <si>
    <t>Joe Hoppel</t>
  </si>
  <si>
    <t>Jeff Horrigan</t>
  </si>
  <si>
    <t>Alan Hoskins</t>
  </si>
  <si>
    <t>Gary Hyvonen</t>
  </si>
  <si>
    <t>Joey Johnston</t>
  </si>
  <si>
    <t>Bob Kuenster</t>
  </si>
  <si>
    <t>Bill Lankhof</t>
  </si>
  <si>
    <t>Seth Livingstone</t>
  </si>
  <si>
    <t>Bill Madden</t>
  </si>
  <si>
    <t>Sean McAdam</t>
  </si>
  <si>
    <t>Dan McGrath</t>
  </si>
  <si>
    <t>Larry Millson</t>
  </si>
  <si>
    <t>John Nadel</t>
  </si>
  <si>
    <t>Terry Pluto</t>
  </si>
  <si>
    <t>Ray Ratto</t>
  </si>
  <si>
    <t>Robert Rosen</t>
  </si>
  <si>
    <t>Richard Rupprecht</t>
  </si>
  <si>
    <t>Dick Scanlon</t>
  </si>
  <si>
    <t>Chaz Scoggins</t>
  </si>
  <si>
    <t>Mike Waldner</t>
  </si>
  <si>
    <t>Bill Windler</t>
  </si>
  <si>
    <t>Gregg 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</si>
</sst>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2fAuQya" TargetMode="External"/><Relationship Id="rId2" Type="http://schemas.openxmlformats.org/officeDocument/2006/relationships/hyperlink" Target="http://bit.ly/2gGMY8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5"/>
  <sheetViews>
    <sheetView tabSelected="1" topLeftCell="Z1" workbookViewId="0">
      <pane ySplit="1" topLeftCell="A301" activePane="bottomLeft" state="frozen"/>
      <selection activeCell="I1" sqref="I1"/>
      <selection pane="bottomLeft" activeCell="AD303" sqref="AD303"/>
    </sheetView>
  </sheetViews>
  <sheetFormatPr baseColWidth="10" defaultRowHeight="15" x14ac:dyDescent="0"/>
  <cols>
    <col min="1" max="1" width="19.5" customWidth="1"/>
    <col min="7" max="7" width="8.5" customWidth="1"/>
    <col min="37" max="37" width="16.83203125" customWidth="1"/>
  </cols>
  <sheetData>
    <row r="1" spans="1:38">
      <c r="A1" t="s">
        <v>0</v>
      </c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 t="s">
        <v>369</v>
      </c>
      <c r="U1" t="s">
        <v>370</v>
      </c>
      <c r="V1" t="s">
        <v>371</v>
      </c>
      <c r="W1" t="s">
        <v>372</v>
      </c>
      <c r="X1" t="s">
        <v>373</v>
      </c>
      <c r="Y1" t="s">
        <v>374</v>
      </c>
      <c r="Z1" t="s">
        <v>375</v>
      </c>
      <c r="AA1" t="s">
        <v>376</v>
      </c>
      <c r="AB1" t="s">
        <v>377</v>
      </c>
      <c r="AC1" t="s">
        <v>378</v>
      </c>
      <c r="AD1" t="s">
        <v>379</v>
      </c>
      <c r="AE1" t="s">
        <v>380</v>
      </c>
      <c r="AF1" t="s">
        <v>381</v>
      </c>
      <c r="AG1" t="s">
        <v>382</v>
      </c>
      <c r="AH1" t="s">
        <v>383</v>
      </c>
      <c r="AI1" t="s">
        <v>384</v>
      </c>
      <c r="AJ1" t="s">
        <v>285</v>
      </c>
      <c r="AK1" t="s">
        <v>286</v>
      </c>
      <c r="AL1" t="s">
        <v>287</v>
      </c>
    </row>
    <row r="2" spans="1:38">
      <c r="A2" t="s">
        <v>47</v>
      </c>
      <c r="B2" t="s">
        <v>2</v>
      </c>
      <c r="F2" t="s">
        <v>2</v>
      </c>
      <c r="G2" t="s">
        <v>2</v>
      </c>
      <c r="H2" t="s">
        <v>2</v>
      </c>
      <c r="L2" t="s">
        <v>2</v>
      </c>
      <c r="N2" t="s">
        <v>2</v>
      </c>
      <c r="Q2" t="s">
        <v>2</v>
      </c>
      <c r="AJ2">
        <f>COUNTIF(B2:AI2,"x")</f>
        <v>7</v>
      </c>
      <c r="AK2" t="str">
        <f>HYPERLINK("http://www.pressdemocrat.com/sports/6346235-181/lowell-cohn-the-worthy-and?artslide=0","Santa Rosa PD")</f>
        <v>Santa Rosa PD</v>
      </c>
      <c r="AL2" s="2">
        <v>42697</v>
      </c>
    </row>
    <row r="3" spans="1:38">
      <c r="A3" t="s">
        <v>184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L3" t="s">
        <v>2</v>
      </c>
      <c r="N3" t="s">
        <v>2</v>
      </c>
      <c r="Q3" t="s">
        <v>2</v>
      </c>
      <c r="S3" t="s">
        <v>2</v>
      </c>
      <c r="AJ3">
        <f>COUNTIF(B3:AI3,"x")</f>
        <v>10</v>
      </c>
      <c r="AK3" t="str">
        <f>HYPERLINK("https://twitter.com/OrtizKicks/status/802317582778953728","Twitter")</f>
        <v>Twitter</v>
      </c>
      <c r="AL3" s="2">
        <v>42699</v>
      </c>
    </row>
    <row r="4" spans="1:38">
      <c r="A4" t="s">
        <v>219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H4" t="s">
        <v>2</v>
      </c>
      <c r="L4" t="s">
        <v>2</v>
      </c>
      <c r="M4" t="s">
        <v>2</v>
      </c>
      <c r="N4" t="s">
        <v>2</v>
      </c>
      <c r="Q4" t="s">
        <v>2</v>
      </c>
      <c r="AJ4">
        <f>COUNTIF(B4:AI4,"x")</f>
        <v>10</v>
      </c>
      <c r="AK4" t="str">
        <f>HYPERLINK("https://twitter.com/AdamRubinESPN/status/802216193977237504","Adam Rubin")</f>
        <v>Adam Rubin</v>
      </c>
      <c r="AL4" s="2">
        <v>42699</v>
      </c>
    </row>
    <row r="5" spans="1:38">
      <c r="A5" t="s">
        <v>156</v>
      </c>
      <c r="C5" t="s">
        <v>2</v>
      </c>
      <c r="D5" t="s">
        <v>2</v>
      </c>
      <c r="H5" t="s">
        <v>2</v>
      </c>
      <c r="M5" t="s">
        <v>2</v>
      </c>
      <c r="N5" t="s">
        <v>2</v>
      </c>
      <c r="AJ5">
        <f>COUNTIF(B5:AI5,"x")</f>
        <v>5</v>
      </c>
      <c r="AK5" t="s">
        <v>157</v>
      </c>
      <c r="AL5" s="2">
        <v>42700</v>
      </c>
    </row>
    <row r="6" spans="1:38">
      <c r="A6" t="s">
        <v>158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L6" t="s">
        <v>2</v>
      </c>
      <c r="N6" t="s">
        <v>2</v>
      </c>
      <c r="O6" t="s">
        <v>2</v>
      </c>
      <c r="Q6" t="s">
        <v>2</v>
      </c>
      <c r="AJ6">
        <f>COUNTIF(B6:AI6,"x")</f>
        <v>9</v>
      </c>
      <c r="AK6" t="str">
        <f>HYPERLINK("http://bit.ly/2gGMY8D","Twitter")</f>
        <v>Twitter</v>
      </c>
      <c r="AL6" s="2">
        <v>42702</v>
      </c>
    </row>
    <row r="7" spans="1:38">
      <c r="A7" t="s">
        <v>256</v>
      </c>
      <c r="B7" t="s">
        <v>2</v>
      </c>
      <c r="E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P7" t="s">
        <v>2</v>
      </c>
      <c r="Q7" t="s">
        <v>2</v>
      </c>
      <c r="AJ7">
        <f>COUNTIF(B7:AI7,"x")</f>
        <v>10</v>
      </c>
      <c r="AK7" t="str">
        <f>HYPERLINK("https://www.instagram.com/p/BNWyGu5FLOu/","Instagram")</f>
        <v>Instagram</v>
      </c>
      <c r="AL7" s="2">
        <v>42702</v>
      </c>
    </row>
    <row r="8" spans="1:38">
      <c r="A8" t="s">
        <v>24</v>
      </c>
      <c r="B8" t="s">
        <v>2</v>
      </c>
      <c r="E8" t="s">
        <v>2</v>
      </c>
      <c r="F8" t="s">
        <v>2</v>
      </c>
      <c r="H8" t="s">
        <v>2</v>
      </c>
      <c r="I8" t="s">
        <v>2</v>
      </c>
      <c r="L8" t="s">
        <v>2</v>
      </c>
      <c r="M8" t="s">
        <v>2</v>
      </c>
      <c r="N8" t="s">
        <v>2</v>
      </c>
      <c r="Q8" t="s">
        <v>2</v>
      </c>
      <c r="T8" t="s">
        <v>2</v>
      </c>
      <c r="AJ8">
        <f>COUNTIF(B8:AI8,"x")</f>
        <v>10</v>
      </c>
      <c r="AK8" t="s">
        <v>5</v>
      </c>
      <c r="AL8" s="2">
        <v>42703</v>
      </c>
    </row>
    <row r="9" spans="1:38">
      <c r="A9" t="s">
        <v>23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J9" t="s">
        <v>2</v>
      </c>
      <c r="K9" t="s">
        <v>2</v>
      </c>
      <c r="L9" t="s">
        <v>2</v>
      </c>
      <c r="N9" t="s">
        <v>2</v>
      </c>
      <c r="Q9" t="s">
        <v>2</v>
      </c>
      <c r="AJ9">
        <f>COUNTIF(B9:AI9,"x")</f>
        <v>10</v>
      </c>
      <c r="AK9" t="str">
        <f>HYPERLINK("https://barrybloom.mlblogs.com/my-hall-of-fame-ballot-for-2017-81d9cc64b08a#.bfn35wb35","MLB Blog")</f>
        <v>MLB Blog</v>
      </c>
      <c r="AL9" s="1">
        <v>42704</v>
      </c>
    </row>
    <row r="10" spans="1:38">
      <c r="A10" t="s">
        <v>109</v>
      </c>
      <c r="B10" t="s">
        <v>2</v>
      </c>
      <c r="C10" t="s">
        <v>2</v>
      </c>
      <c r="D10" t="s">
        <v>2</v>
      </c>
      <c r="G10" t="s">
        <v>2</v>
      </c>
      <c r="H10" t="s">
        <v>2</v>
      </c>
      <c r="J10" t="s">
        <v>2</v>
      </c>
      <c r="L10" t="s">
        <v>2</v>
      </c>
      <c r="N10" t="s">
        <v>2</v>
      </c>
      <c r="O10" t="s">
        <v>2</v>
      </c>
      <c r="AJ10">
        <f>COUNTIF(B10:AI10,"x")</f>
        <v>9</v>
      </c>
      <c r="AK10" t="str">
        <f>HYPERLINK("http://www.detroitnews.com/story/sports/mlb/tigers/2016/11/30/henning-my-nine-players-hall-fame-ballot/94675018/","Detroit News")</f>
        <v>Detroit News</v>
      </c>
      <c r="AL10" s="1">
        <v>42704</v>
      </c>
    </row>
    <row r="11" spans="1:38">
      <c r="A11" t="s">
        <v>246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I11" t="s">
        <v>2</v>
      </c>
      <c r="J11" t="s">
        <v>2</v>
      </c>
      <c r="L11" t="s">
        <v>2</v>
      </c>
      <c r="M11" t="s">
        <v>2</v>
      </c>
      <c r="N11" t="s">
        <v>2</v>
      </c>
      <c r="AJ11">
        <f>COUNTIF(B11:AI11,"x")</f>
        <v>10</v>
      </c>
      <c r="AK11" t="str">
        <f>HYPERLINK("http://bit.ly/2gnfRsa","Comment 34")</f>
        <v>Comment 34</v>
      </c>
      <c r="AL11" s="2">
        <v>42704</v>
      </c>
    </row>
    <row r="12" spans="1:38">
      <c r="A12" t="s">
        <v>26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H12" t="s">
        <v>2</v>
      </c>
      <c r="L12" t="s">
        <v>2</v>
      </c>
      <c r="M12" t="s">
        <v>2</v>
      </c>
      <c r="N12" t="s">
        <v>2</v>
      </c>
      <c r="Q12" t="s">
        <v>2</v>
      </c>
      <c r="AJ12">
        <f>COUNTIF(B12:AI12,"x")</f>
        <v>10</v>
      </c>
      <c r="AK12" t="s">
        <v>27</v>
      </c>
      <c r="AL12" s="2">
        <v>42705</v>
      </c>
    </row>
    <row r="13" spans="1:38">
      <c r="A13" t="s">
        <v>241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J13" t="s">
        <v>2</v>
      </c>
      <c r="L13" t="s">
        <v>2</v>
      </c>
      <c r="N13" t="s">
        <v>2</v>
      </c>
      <c r="O13" t="s">
        <v>2</v>
      </c>
      <c r="Q13" t="s">
        <v>2</v>
      </c>
      <c r="AJ13">
        <f>COUNTIF(B13:AI13,"x")</f>
        <v>10</v>
      </c>
      <c r="AK13" t="str">
        <f>HYPERLINK("https://twitter.com/stewardsfolly/status/804405499475042304","Twitter")</f>
        <v>Twitter</v>
      </c>
      <c r="AL13" s="1">
        <v>42705</v>
      </c>
    </row>
    <row r="14" spans="1:38">
      <c r="A14" t="s">
        <v>45</v>
      </c>
      <c r="B14" t="s">
        <v>2</v>
      </c>
      <c r="C14" t="s">
        <v>2</v>
      </c>
      <c r="D14" t="s">
        <v>2</v>
      </c>
      <c r="G14" t="s">
        <v>2</v>
      </c>
      <c r="J14" t="s">
        <v>2</v>
      </c>
      <c r="L14" t="s">
        <v>2</v>
      </c>
      <c r="N14" t="s">
        <v>2</v>
      </c>
      <c r="O14" t="s">
        <v>2</v>
      </c>
      <c r="T14" t="s">
        <v>2</v>
      </c>
      <c r="AJ14">
        <f>COUNTIF(B14:AI14,"x")</f>
        <v>9</v>
      </c>
      <c r="AK14" t="str">
        <f>HYPERLINK("http://www.theoaklandpress.com/sports/20161202/pat-caputo-my-baseball-hall-of-fame-ballot-and-why-barry-bonds-and-roger-clemens-are-on-it","Oakland Press")</f>
        <v>Oakland Press</v>
      </c>
      <c r="AL14" s="1">
        <v>42706</v>
      </c>
    </row>
    <row r="15" spans="1:38">
      <c r="A15" t="s">
        <v>121</v>
      </c>
      <c r="C15" t="s">
        <v>2</v>
      </c>
      <c r="D15" t="s">
        <v>2</v>
      </c>
      <c r="E15" t="s">
        <v>2</v>
      </c>
      <c r="F15" t="s">
        <v>2</v>
      </c>
      <c r="H15" t="s">
        <v>2</v>
      </c>
      <c r="M15" t="s">
        <v>2</v>
      </c>
      <c r="N15" t="s">
        <v>2</v>
      </c>
      <c r="O15" t="s">
        <v>2</v>
      </c>
      <c r="R15" t="s">
        <v>2</v>
      </c>
      <c r="AJ15">
        <f>COUNTIF(B15:AI15,"x")</f>
        <v>9</v>
      </c>
      <c r="AK15" t="str">
        <f>HYPERLINK("http://www.sfchronicle.com/warriors/article/Warriors-season-gains-crucial-element-intrigue-10688430.php","SF Chronicle")</f>
        <v>SF Chronicle</v>
      </c>
      <c r="AL15" s="1">
        <v>42706</v>
      </c>
    </row>
    <row r="16" spans="1:38">
      <c r="A16" t="s">
        <v>154</v>
      </c>
      <c r="C16" t="s">
        <v>2</v>
      </c>
      <c r="D16" t="s">
        <v>2</v>
      </c>
      <c r="E16" t="s">
        <v>2</v>
      </c>
      <c r="F16" t="s">
        <v>2</v>
      </c>
      <c r="J16" t="s">
        <v>2</v>
      </c>
      <c r="M16" t="s">
        <v>2</v>
      </c>
      <c r="N16" t="s">
        <v>2</v>
      </c>
      <c r="R16" t="s">
        <v>2</v>
      </c>
      <c r="AJ16">
        <f>COUNTIF(B16:AI16,"x")</f>
        <v>8</v>
      </c>
      <c r="AK16" t="str">
        <f>HYPERLINK("http://www.davidmaril.com/index.php?post_id=31&amp;title=%E2%80%8Bvoters-in-baseball%E2%80%99s-hall-of-fame-election-are-only-qualified-to-judge-former-players-on-talent-and-their-play-on-the-field","DavidMaril.com")</f>
        <v>DavidMaril.com</v>
      </c>
      <c r="AL16" s="1">
        <v>42706</v>
      </c>
    </row>
    <row r="17" spans="1:38">
      <c r="A17" t="s">
        <v>36</v>
      </c>
      <c r="B17" t="s">
        <v>2</v>
      </c>
      <c r="C17" t="s">
        <v>2</v>
      </c>
      <c r="D17" t="s">
        <v>2</v>
      </c>
      <c r="F17" t="s">
        <v>2</v>
      </c>
      <c r="H17" t="s">
        <v>2</v>
      </c>
      <c r="I17" t="s">
        <v>2</v>
      </c>
      <c r="J17" t="s">
        <v>2</v>
      </c>
      <c r="L17" t="s">
        <v>2</v>
      </c>
      <c r="M17" t="s">
        <v>2</v>
      </c>
      <c r="O17" t="s">
        <v>2</v>
      </c>
      <c r="AJ17">
        <f>COUNTIF(B17:AI17,"x")</f>
        <v>10</v>
      </c>
      <c r="AK17" t="s">
        <v>27</v>
      </c>
      <c r="AL17" s="1">
        <v>42707</v>
      </c>
    </row>
    <row r="18" spans="1:38">
      <c r="A18" t="s">
        <v>68</v>
      </c>
      <c r="B18" t="s">
        <v>2</v>
      </c>
      <c r="C18" t="s">
        <v>2</v>
      </c>
      <c r="D18" t="s">
        <v>2</v>
      </c>
      <c r="H18" t="s">
        <v>2</v>
      </c>
      <c r="J18" t="s">
        <v>2</v>
      </c>
      <c r="L18" t="s">
        <v>2</v>
      </c>
      <c r="M18" t="s">
        <v>2</v>
      </c>
      <c r="N18" t="s">
        <v>2</v>
      </c>
      <c r="O18" t="s">
        <v>2</v>
      </c>
      <c r="R18" t="s">
        <v>2</v>
      </c>
      <c r="AJ18">
        <f>COUNTIF(B18:AI18,"x")</f>
        <v>10</v>
      </c>
      <c r="AK18" t="str">
        <f>HYPERLINK("https://twitter.com/JoshDubowAP/status/805220806313721856","Twitter")</f>
        <v>Twitter</v>
      </c>
      <c r="AL18" s="2">
        <v>42707</v>
      </c>
    </row>
    <row r="19" spans="1:38">
      <c r="A19" t="s">
        <v>283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L19" t="s">
        <v>2</v>
      </c>
      <c r="Q19" t="s">
        <v>2</v>
      </c>
      <c r="R19" t="s">
        <v>2</v>
      </c>
      <c r="AJ19">
        <f>COUNTIF(B19:AI19,"x")</f>
        <v>8</v>
      </c>
      <c r="AK19" t="s">
        <v>284</v>
      </c>
      <c r="AL19" s="3">
        <v>42707</v>
      </c>
    </row>
    <row r="20" spans="1:38">
      <c r="A20" t="s">
        <v>198</v>
      </c>
      <c r="B20" t="s">
        <v>2</v>
      </c>
      <c r="C20" t="s">
        <v>2</v>
      </c>
      <c r="D20" t="s">
        <v>2</v>
      </c>
      <c r="F20" t="s">
        <v>2</v>
      </c>
      <c r="G20" t="s">
        <v>2</v>
      </c>
      <c r="H20" t="s">
        <v>2</v>
      </c>
      <c r="J20" t="s">
        <v>2</v>
      </c>
      <c r="K20" t="s">
        <v>2</v>
      </c>
      <c r="L20" t="s">
        <v>2</v>
      </c>
      <c r="N20" t="s">
        <v>2</v>
      </c>
      <c r="AJ20">
        <f>COUNTIF(B20:AI20,"x")</f>
        <v>10</v>
      </c>
      <c r="AK20" t="str">
        <f>HYPERLINK("http://www.nj.com/yankees/index.ssf/2016/12/baseball_hall_of_fame_how_columnist_steve_politi_v_1.html#0","NJ.com")</f>
        <v>NJ.com</v>
      </c>
      <c r="AL20" s="2">
        <v>42709</v>
      </c>
    </row>
    <row r="21" spans="1:38">
      <c r="A21" t="s">
        <v>6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H21" t="s">
        <v>2</v>
      </c>
      <c r="J21" t="s">
        <v>2</v>
      </c>
      <c r="L21" t="s">
        <v>2</v>
      </c>
      <c r="N21" t="s">
        <v>2</v>
      </c>
      <c r="Q21" t="s">
        <v>2</v>
      </c>
      <c r="AJ21">
        <f>COUNTIF(B21:AI21,"x")</f>
        <v>10</v>
      </c>
      <c r="AK21" t="str">
        <f>HYPERLINK("https://twitter.com/NashSportsEd/status/806185446690668548","Twitter")</f>
        <v>Twitter</v>
      </c>
      <c r="AL21" s="1">
        <v>42710</v>
      </c>
    </row>
    <row r="22" spans="1:38">
      <c r="A22" t="s">
        <v>41</v>
      </c>
      <c r="B22" t="s">
        <v>2</v>
      </c>
      <c r="E22" t="s">
        <v>2</v>
      </c>
      <c r="F22" t="s">
        <v>2</v>
      </c>
      <c r="H22" t="s">
        <v>2</v>
      </c>
      <c r="J22" t="s">
        <v>2</v>
      </c>
      <c r="L22" t="s">
        <v>2</v>
      </c>
      <c r="N22" t="s">
        <v>2</v>
      </c>
      <c r="O22" t="s">
        <v>2</v>
      </c>
      <c r="AJ22">
        <f>COUNTIF(B22:AI22,"x")</f>
        <v>8</v>
      </c>
      <c r="AK22" t="s">
        <v>27</v>
      </c>
      <c r="AL22" s="1">
        <v>42711</v>
      </c>
    </row>
    <row r="23" spans="1:38">
      <c r="A23" t="s">
        <v>185</v>
      </c>
      <c r="B23" t="s">
        <v>2</v>
      </c>
      <c r="F23" t="s">
        <v>2</v>
      </c>
      <c r="L23" t="s">
        <v>2</v>
      </c>
      <c r="AJ23">
        <f>COUNTIF(B23:AI23,"x")</f>
        <v>3</v>
      </c>
      <c r="AK23" t="s">
        <v>30</v>
      </c>
      <c r="AL23" s="2">
        <v>42711</v>
      </c>
    </row>
    <row r="24" spans="1:38">
      <c r="A24" t="s">
        <v>64</v>
      </c>
      <c r="B24" t="s">
        <v>2</v>
      </c>
      <c r="C24" t="s">
        <v>2</v>
      </c>
      <c r="D24" t="s">
        <v>2</v>
      </c>
      <c r="F24" t="s">
        <v>2</v>
      </c>
      <c r="H24" t="s">
        <v>2</v>
      </c>
      <c r="L24" t="s">
        <v>2</v>
      </c>
      <c r="M24" t="s">
        <v>2</v>
      </c>
      <c r="N24" t="s">
        <v>2</v>
      </c>
      <c r="O24" t="s">
        <v>2</v>
      </c>
      <c r="Q24" t="s">
        <v>2</v>
      </c>
      <c r="AJ24">
        <f>COUNTIF(B24:AI24,"x")</f>
        <v>10</v>
      </c>
      <c r="AK24" t="s">
        <v>27</v>
      </c>
      <c r="AL24" s="2">
        <v>42712</v>
      </c>
    </row>
    <row r="25" spans="1:38">
      <c r="A25" t="s">
        <v>169</v>
      </c>
      <c r="B25" t="s">
        <v>2</v>
      </c>
      <c r="E25" t="s">
        <v>2</v>
      </c>
      <c r="F25" t="s">
        <v>2</v>
      </c>
      <c r="G25" t="s">
        <v>2</v>
      </c>
      <c r="H25" t="s">
        <v>2</v>
      </c>
      <c r="L25" t="s">
        <v>2</v>
      </c>
      <c r="M25" t="s">
        <v>2</v>
      </c>
      <c r="N25" t="s">
        <v>2</v>
      </c>
      <c r="Q25" t="s">
        <v>2</v>
      </c>
      <c r="AD25" t="s">
        <v>2</v>
      </c>
      <c r="AJ25">
        <f>COUNTIF(B25:AI25,"x")</f>
        <v>10</v>
      </c>
      <c r="AK25" t="str">
        <f>HYPERLINK("https://twitter.com/jimmolony1/status/807351744414052356","Twitter")</f>
        <v>Twitter</v>
      </c>
      <c r="AL25" s="1">
        <v>42713</v>
      </c>
    </row>
    <row r="26" spans="1:38">
      <c r="A26" t="s">
        <v>207</v>
      </c>
      <c r="B26" t="s">
        <v>2</v>
      </c>
      <c r="E26" t="s">
        <v>2</v>
      </c>
      <c r="F26" t="s">
        <v>2</v>
      </c>
      <c r="H26" t="s">
        <v>2</v>
      </c>
      <c r="J26" t="s">
        <v>2</v>
      </c>
      <c r="L26" t="s">
        <v>2</v>
      </c>
      <c r="N26" t="s">
        <v>2</v>
      </c>
      <c r="O26" t="s">
        <v>2</v>
      </c>
      <c r="T26" t="s">
        <v>2</v>
      </c>
      <c r="AJ26">
        <f>COUNTIF(B26:AI26,"x")</f>
        <v>9</v>
      </c>
      <c r="AK26" t="str">
        <f>HYPERLINK("http://podcasts.pjstar.com/2016/sportswriters-43-peoria-baseball-panel-discusses-the-hall-of-fame/?rssfeed=true&amp;utm_source=twitter.com&amp;utm_medium=social","Journal Star Podcast")</f>
        <v>Journal Star Podcast</v>
      </c>
      <c r="AL26" s="1">
        <v>42713</v>
      </c>
    </row>
    <row r="27" spans="1:38">
      <c r="A27" t="s">
        <v>15</v>
      </c>
      <c r="B27" t="s">
        <v>2</v>
      </c>
      <c r="C27" t="s">
        <v>2</v>
      </c>
      <c r="D27" t="s">
        <v>2</v>
      </c>
      <c r="E27" t="s">
        <v>2</v>
      </c>
      <c r="M27" t="s">
        <v>2</v>
      </c>
      <c r="AJ27">
        <f>COUNTIF(B27:AI27,"x")</f>
        <v>5</v>
      </c>
      <c r="AK27" t="str">
        <f>HYPERLINK("http://www.telegram.com/sports/20161210/bill-ballou-its-not-easy-to-get-this-guys-hall-of-fame-vote","Telegram")</f>
        <v>Telegram</v>
      </c>
      <c r="AL27" s="1">
        <v>42714</v>
      </c>
    </row>
    <row r="28" spans="1:38">
      <c r="A28" t="s">
        <v>56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J28" t="s">
        <v>2</v>
      </c>
      <c r="L28" t="s">
        <v>2</v>
      </c>
      <c r="M28" t="s">
        <v>2</v>
      </c>
      <c r="N28" t="s">
        <v>2</v>
      </c>
      <c r="O28" t="s">
        <v>2</v>
      </c>
      <c r="AJ28">
        <f>COUNTIF(B28:AI28,"x")</f>
        <v>10</v>
      </c>
      <c r="AK28" t="s">
        <v>5</v>
      </c>
      <c r="AL28" s="2">
        <v>42714</v>
      </c>
    </row>
    <row r="29" spans="1:38">
      <c r="A29" t="s">
        <v>122</v>
      </c>
      <c r="B29" t="s">
        <v>2</v>
      </c>
      <c r="C29" t="s">
        <v>2</v>
      </c>
      <c r="D29" t="s">
        <v>2</v>
      </c>
      <c r="F29" t="s">
        <v>2</v>
      </c>
      <c r="H29" t="s">
        <v>2</v>
      </c>
      <c r="J29" t="s">
        <v>2</v>
      </c>
      <c r="L29" t="s">
        <v>2</v>
      </c>
      <c r="N29" t="s">
        <v>2</v>
      </c>
      <c r="O29" t="s">
        <v>2</v>
      </c>
      <c r="S29" t="s">
        <v>2</v>
      </c>
      <c r="AJ29">
        <f>COUNTIF(B29:AI29,"x")</f>
        <v>10</v>
      </c>
      <c r="AK29" t="s">
        <v>27</v>
      </c>
      <c r="AL29" s="1">
        <v>42714</v>
      </c>
    </row>
    <row r="30" spans="1:38">
      <c r="A30" t="s">
        <v>211</v>
      </c>
      <c r="B30" t="s">
        <v>2</v>
      </c>
      <c r="C30" t="s">
        <v>2</v>
      </c>
      <c r="D30" t="s">
        <v>2</v>
      </c>
      <c r="E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AJ30">
        <f>COUNTIF(B30:AI30,"x")</f>
        <v>10</v>
      </c>
      <c r="AK30" t="s">
        <v>5</v>
      </c>
      <c r="AL30" s="1">
        <v>42714</v>
      </c>
    </row>
    <row r="31" spans="1:38">
      <c r="A31" t="s">
        <v>160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H31" t="s">
        <v>2</v>
      </c>
      <c r="L31" t="s">
        <v>2</v>
      </c>
      <c r="M31" t="s">
        <v>2</v>
      </c>
      <c r="N31" t="s">
        <v>2</v>
      </c>
      <c r="O31" t="s">
        <v>2</v>
      </c>
      <c r="AJ31">
        <f>COUNTIF(B31:AI31,"x")</f>
        <v>10</v>
      </c>
      <c r="AK31" t="s">
        <v>27</v>
      </c>
      <c r="AL31" s="1">
        <v>42715</v>
      </c>
    </row>
    <row r="32" spans="1:38">
      <c r="A32" t="s">
        <v>251</v>
      </c>
      <c r="E32" t="s">
        <v>2</v>
      </c>
      <c r="I32" t="s">
        <v>2</v>
      </c>
      <c r="L32" t="s">
        <v>2</v>
      </c>
      <c r="N32" t="s">
        <v>2</v>
      </c>
      <c r="Q32" t="s">
        <v>2</v>
      </c>
      <c r="AJ32">
        <f>COUNTIF(B32:AI32,"x")</f>
        <v>5</v>
      </c>
      <c r="AK32" t="s">
        <v>11</v>
      </c>
      <c r="AL32" s="1">
        <v>42715</v>
      </c>
    </row>
    <row r="33" spans="1:38">
      <c r="A33" t="s">
        <v>255</v>
      </c>
      <c r="B33" t="s">
        <v>2</v>
      </c>
      <c r="E33" t="s">
        <v>2</v>
      </c>
      <c r="F33" t="s">
        <v>2</v>
      </c>
      <c r="H33" t="s">
        <v>2</v>
      </c>
      <c r="J33" t="s">
        <v>2</v>
      </c>
      <c r="L33" t="s">
        <v>2</v>
      </c>
      <c r="O33" t="s">
        <v>2</v>
      </c>
      <c r="P33" t="s">
        <v>2</v>
      </c>
      <c r="S33" t="s">
        <v>2</v>
      </c>
      <c r="T33" t="s">
        <v>2</v>
      </c>
      <c r="AJ33">
        <f>COUNTIF(B33:AI33,"x")</f>
        <v>10</v>
      </c>
      <c r="AK33" t="s">
        <v>11</v>
      </c>
      <c r="AL33" s="1">
        <v>42715</v>
      </c>
    </row>
    <row r="34" spans="1:38">
      <c r="A34" t="s">
        <v>9</v>
      </c>
      <c r="B34" t="s">
        <v>2</v>
      </c>
      <c r="E34" t="s">
        <v>2</v>
      </c>
      <c r="F34" t="s">
        <v>2</v>
      </c>
      <c r="H34" t="s">
        <v>2</v>
      </c>
      <c r="J34" t="s">
        <v>2</v>
      </c>
      <c r="L34" t="s">
        <v>2</v>
      </c>
      <c r="N34" t="s">
        <v>2</v>
      </c>
      <c r="Q34" t="s">
        <v>2</v>
      </c>
      <c r="T34" t="s">
        <v>2</v>
      </c>
      <c r="AJ34">
        <f>COUNTIF(B34:AI34,"x")</f>
        <v>9</v>
      </c>
      <c r="AK34" t="s">
        <v>5</v>
      </c>
      <c r="AL34" s="1">
        <v>42716</v>
      </c>
    </row>
    <row r="35" spans="1:38">
      <c r="A35" t="s">
        <v>34</v>
      </c>
      <c r="B35" t="s">
        <v>2</v>
      </c>
      <c r="C35" t="s">
        <v>2</v>
      </c>
      <c r="D35" t="s">
        <v>2</v>
      </c>
      <c r="F35" t="s">
        <v>2</v>
      </c>
      <c r="H35" t="s">
        <v>2</v>
      </c>
      <c r="J35" t="s">
        <v>2</v>
      </c>
      <c r="L35" t="s">
        <v>2</v>
      </c>
      <c r="M35" t="s">
        <v>2</v>
      </c>
      <c r="N35" t="s">
        <v>2</v>
      </c>
      <c r="R35" t="s">
        <v>2</v>
      </c>
      <c r="AJ35">
        <f>COUNTIF(B35:AI35,"x")</f>
        <v>10</v>
      </c>
      <c r="AK35" t="str">
        <f>HYPERLINK("https://twitter.com/MarcosBreton/status/808451251490865152","Twitter")</f>
        <v>Twitter</v>
      </c>
      <c r="AL35" s="1">
        <v>42716</v>
      </c>
    </row>
    <row r="36" spans="1:38">
      <c r="A36" t="s">
        <v>50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J36" t="s">
        <v>2</v>
      </c>
      <c r="L36" t="s">
        <v>2</v>
      </c>
      <c r="O36" t="s">
        <v>2</v>
      </c>
      <c r="Q36" t="s">
        <v>2</v>
      </c>
      <c r="S36" t="s">
        <v>2</v>
      </c>
      <c r="AJ36">
        <f>COUNTIF(B36:AI36,"x")</f>
        <v>10</v>
      </c>
      <c r="AK36" t="str">
        <f>HYPERLINK("https://twitter.com/KevinCooney/status/808504108407816192","Twitter")</f>
        <v>Twitter</v>
      </c>
      <c r="AL36" s="2">
        <v>42716</v>
      </c>
    </row>
    <row r="37" spans="1:38">
      <c r="A37" t="s">
        <v>108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H37" t="s">
        <v>2</v>
      </c>
      <c r="I37" t="s">
        <v>2</v>
      </c>
      <c r="L37" t="s">
        <v>2</v>
      </c>
      <c r="M37" t="s">
        <v>2</v>
      </c>
      <c r="N37" t="s">
        <v>2</v>
      </c>
      <c r="AJ37">
        <f>COUNTIF(B37:AI37,"x")</f>
        <v>10</v>
      </c>
      <c r="AK37" t="str">
        <f>HYPERLINK("https://www.facebook.com/joe.henderson.79677/posts/10158050693355195?pnref=story","Facebook")</f>
        <v>Facebook</v>
      </c>
      <c r="AL37" s="1">
        <v>42717</v>
      </c>
    </row>
    <row r="38" spans="1:38">
      <c r="A38" t="s">
        <v>178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H38" t="s">
        <v>2</v>
      </c>
      <c r="J38" t="s">
        <v>2</v>
      </c>
      <c r="L38" t="s">
        <v>2</v>
      </c>
      <c r="N38" t="s">
        <v>2</v>
      </c>
      <c r="O38" t="s">
        <v>2</v>
      </c>
      <c r="AJ38">
        <f>COUNTIF(B38:AI38,"x")</f>
        <v>10</v>
      </c>
      <c r="AK38" t="str">
        <f>HYPERLINK("http://www.sportsonearth.com/article/210988244/baseball-hall-of-fame-ballot-2017-bonds-raines","Sports on Earth")</f>
        <v>Sports on Earth</v>
      </c>
      <c r="AL38" s="1">
        <v>42717</v>
      </c>
    </row>
    <row r="39" spans="1:38">
      <c r="A39" t="s">
        <v>28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H39" t="s">
        <v>2</v>
      </c>
      <c r="J39" t="s">
        <v>2</v>
      </c>
      <c r="L39" t="s">
        <v>2</v>
      </c>
      <c r="N39" t="s">
        <v>2</v>
      </c>
      <c r="O39" t="s">
        <v>2</v>
      </c>
      <c r="AJ39">
        <f>COUNTIF(B39:AI39,"x")</f>
        <v>10</v>
      </c>
      <c r="AK39" t="str">
        <f>HYPERLINK("https://www.facebook.com/ByTimBooth/posts/1740477052941403:0","Facebook")</f>
        <v>Facebook</v>
      </c>
      <c r="AL39" s="1">
        <v>42718</v>
      </c>
    </row>
    <row r="40" spans="1:38">
      <c r="A40" t="s">
        <v>69</v>
      </c>
      <c r="B40" t="s">
        <v>2</v>
      </c>
      <c r="E40" t="s">
        <v>2</v>
      </c>
      <c r="F40" t="s">
        <v>2</v>
      </c>
      <c r="I40" t="s">
        <v>2</v>
      </c>
      <c r="K40" t="s">
        <v>2</v>
      </c>
      <c r="L40" t="s">
        <v>2</v>
      </c>
      <c r="N40" t="s">
        <v>2</v>
      </c>
      <c r="O40" t="s">
        <v>2</v>
      </c>
      <c r="Q40" t="s">
        <v>2</v>
      </c>
      <c r="AH40" t="s">
        <v>2</v>
      </c>
      <c r="AJ40">
        <f>COUNTIF(B40:AI40,"x")</f>
        <v>10</v>
      </c>
      <c r="AK40" t="str">
        <f>HYPERLINK("http://www.trentonian.com/article/TT/20161214/SPORTS/161219890","Trentonian")</f>
        <v>Trentonian</v>
      </c>
      <c r="AL40" s="1">
        <v>42718</v>
      </c>
    </row>
    <row r="41" spans="1:38">
      <c r="A41" t="s">
        <v>153</v>
      </c>
      <c r="E41" t="s">
        <v>2</v>
      </c>
      <c r="F41" t="s">
        <v>2</v>
      </c>
      <c r="AJ41">
        <f>COUNTIF(B41:AI41,"x")</f>
        <v>2</v>
      </c>
      <c r="AK41" t="str">
        <f>HYPERLINK("http://www.newsday.com/sports/baseball/2017-baseball-hall-of-fame-ballot-by-newsday-s-steven-marcus-1.12757116","Newsday")</f>
        <v>Newsday</v>
      </c>
      <c r="AL41" s="1">
        <v>42718</v>
      </c>
    </row>
    <row r="42" spans="1:38">
      <c r="A42" t="s">
        <v>35</v>
      </c>
      <c r="B42" t="s">
        <v>2</v>
      </c>
      <c r="C42" t="s">
        <v>2</v>
      </c>
      <c r="D42" t="s">
        <v>2</v>
      </c>
      <c r="H42" t="s">
        <v>2</v>
      </c>
      <c r="J42" t="s">
        <v>2</v>
      </c>
      <c r="L42" t="s">
        <v>2</v>
      </c>
      <c r="N42" t="s">
        <v>2</v>
      </c>
      <c r="P42" t="s">
        <v>2</v>
      </c>
      <c r="T42" t="s">
        <v>2</v>
      </c>
      <c r="AJ42">
        <f>COUNTIF(B42:AI42,"x")</f>
        <v>9</v>
      </c>
      <c r="AK42" t="str">
        <f>HYPERLINK("https://twitter.com/NYP_Brooksie/status/809488615080427521","Twitter")</f>
        <v>Twitter</v>
      </c>
      <c r="AL42" s="1">
        <v>42719</v>
      </c>
    </row>
    <row r="43" spans="1:38">
      <c r="A43" t="s">
        <v>101</v>
      </c>
      <c r="B43" t="s">
        <v>2</v>
      </c>
      <c r="C43" t="s">
        <v>2</v>
      </c>
      <c r="D43" t="s">
        <v>2</v>
      </c>
      <c r="E43" t="s">
        <v>2</v>
      </c>
      <c r="H43" t="s">
        <v>2</v>
      </c>
      <c r="J43" t="s">
        <v>2</v>
      </c>
      <c r="M43" t="s">
        <v>2</v>
      </c>
      <c r="N43" t="s">
        <v>2</v>
      </c>
      <c r="O43" t="s">
        <v>2</v>
      </c>
      <c r="T43" t="s">
        <v>2</v>
      </c>
      <c r="AJ43">
        <f>COUNTIF(B43:AI43,"x")</f>
        <v>10</v>
      </c>
      <c r="AK43" t="str">
        <f>HYPERLINK("https://twitter.com/HaleMark/status/809433446288396293","Twitter")</f>
        <v>Twitter</v>
      </c>
      <c r="AL43" s="1">
        <v>42719</v>
      </c>
    </row>
    <row r="44" spans="1:38">
      <c r="A44" t="s">
        <v>120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H44" t="s">
        <v>2</v>
      </c>
      <c r="J44" t="s">
        <v>2</v>
      </c>
      <c r="L44" t="s">
        <v>2</v>
      </c>
      <c r="O44" t="s">
        <v>2</v>
      </c>
      <c r="AJ44">
        <f>COUNTIF(B44:AI44,"x")</f>
        <v>9</v>
      </c>
      <c r="AK44" t="str">
        <f>HYPERLINK("http://www.courant.com/sports/baseball/hc-jacobs-column-hall--bonds-clemens-1215-20161214-column.html","Hartford Courant")</f>
        <v>Hartford Courant</v>
      </c>
      <c r="AL44" s="1">
        <v>42719</v>
      </c>
    </row>
    <row r="45" spans="1:38">
      <c r="A45" t="s">
        <v>189</v>
      </c>
      <c r="B45" t="s">
        <v>2</v>
      </c>
      <c r="C45" t="s">
        <v>2</v>
      </c>
      <c r="D45" t="s">
        <v>2</v>
      </c>
      <c r="E45" t="s">
        <v>2</v>
      </c>
      <c r="H45" t="s">
        <v>2</v>
      </c>
      <c r="J45" t="s">
        <v>2</v>
      </c>
      <c r="L45" t="s">
        <v>2</v>
      </c>
      <c r="M45" t="s">
        <v>2</v>
      </c>
      <c r="N45" t="s">
        <v>2</v>
      </c>
      <c r="O45" t="s">
        <v>2</v>
      </c>
      <c r="AJ45">
        <f>COUNTIF(B45:AI45,"x")</f>
        <v>10</v>
      </c>
      <c r="AK45" t="str">
        <f>HYPERLINK("https://twitter.com/JeffPassan/status/809484334868660228","Jeff Passan")</f>
        <v>Jeff Passan</v>
      </c>
      <c r="AL45" s="1">
        <v>42719</v>
      </c>
    </row>
    <row r="46" spans="1:38">
      <c r="A46" t="s">
        <v>223</v>
      </c>
      <c r="B46" t="s">
        <v>2</v>
      </c>
      <c r="C46" t="s">
        <v>2</v>
      </c>
      <c r="D46" t="s">
        <v>2</v>
      </c>
      <c r="E46" t="s">
        <v>2</v>
      </c>
      <c r="G46" t="s">
        <v>2</v>
      </c>
      <c r="H46" t="s">
        <v>2</v>
      </c>
      <c r="J46" t="s">
        <v>2</v>
      </c>
      <c r="L46" t="s">
        <v>2</v>
      </c>
      <c r="M46" t="s">
        <v>2</v>
      </c>
      <c r="N46" t="s">
        <v>2</v>
      </c>
      <c r="AJ46">
        <f>COUNTIF(B46:AI46,"x")</f>
        <v>10</v>
      </c>
      <c r="AK46" t="str">
        <f>HYPERLINK("https://twitter.com/markasaxon/status/809488734764863489","Twitter")</f>
        <v>Twitter</v>
      </c>
      <c r="AL46" s="1">
        <v>42719</v>
      </c>
    </row>
    <row r="47" spans="1:38">
      <c r="A47" t="s">
        <v>132</v>
      </c>
      <c r="B47" t="s">
        <v>2</v>
      </c>
      <c r="E47" t="s">
        <v>2</v>
      </c>
      <c r="F47" t="s">
        <v>2</v>
      </c>
      <c r="H47" t="s">
        <v>2</v>
      </c>
      <c r="J47" t="s">
        <v>2</v>
      </c>
      <c r="L47" t="s">
        <v>2</v>
      </c>
      <c r="AJ47">
        <f>COUNTIF(B47:AI47,"x")</f>
        <v>6</v>
      </c>
      <c r="AK47" t="str">
        <f>HYPERLINK("http://dkpittsburghsports.com/2016/12/16/column-dont-like-baseball-hall-ballot-change-guidelines/","DK Pittsburgh Sports")</f>
        <v>DK Pittsburgh Sports</v>
      </c>
      <c r="AL47" s="1">
        <v>42720</v>
      </c>
    </row>
    <row r="48" spans="1:38">
      <c r="A48" t="s">
        <v>140</v>
      </c>
      <c r="B48" t="s">
        <v>2</v>
      </c>
      <c r="E48" t="s">
        <v>2</v>
      </c>
      <c r="F48" t="s">
        <v>2</v>
      </c>
      <c r="I48" t="s">
        <v>2</v>
      </c>
      <c r="J48" t="s">
        <v>2</v>
      </c>
      <c r="L48" t="s">
        <v>2</v>
      </c>
      <c r="N48" t="s">
        <v>2</v>
      </c>
      <c r="P48" t="s">
        <v>2</v>
      </c>
      <c r="Q48" t="s">
        <v>2</v>
      </c>
      <c r="AJ48">
        <f>COUNTIF(B48:AI48,"x")</f>
        <v>9</v>
      </c>
      <c r="AK48" t="s">
        <v>27</v>
      </c>
      <c r="AL48" s="1">
        <v>42720</v>
      </c>
    </row>
    <row r="49" spans="1:38">
      <c r="A49" t="s">
        <v>146</v>
      </c>
      <c r="B49" t="s">
        <v>2</v>
      </c>
      <c r="C49" t="s">
        <v>2</v>
      </c>
      <c r="D49" t="s">
        <v>2</v>
      </c>
      <c r="E49" t="s">
        <v>2</v>
      </c>
      <c r="L49" t="s">
        <v>2</v>
      </c>
      <c r="M49" t="s">
        <v>2</v>
      </c>
      <c r="N49" t="s">
        <v>2</v>
      </c>
      <c r="AJ49">
        <f>COUNTIF(B49:AI49,"x")</f>
        <v>7</v>
      </c>
      <c r="AK49" t="str">
        <f>HYPERLINK("http://www.chicagotribune.com/sports/columnists/ct-selig-hall-of-fame-sham-lincicome-spt-1218-20161217-column.html","Chicago Tribune")</f>
        <v>Chicago Tribune</v>
      </c>
      <c r="AL49" s="1">
        <v>42720</v>
      </c>
    </row>
    <row r="50" spans="1:38">
      <c r="A50" t="s">
        <v>172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H50" t="s">
        <v>2</v>
      </c>
      <c r="J50" t="s">
        <v>2</v>
      </c>
      <c r="L50" t="s">
        <v>2</v>
      </c>
      <c r="N50" t="s">
        <v>2</v>
      </c>
      <c r="R50" t="s">
        <v>2</v>
      </c>
      <c r="AJ50">
        <f>COUNTIF(B50:AI50,"x")</f>
        <v>10</v>
      </c>
      <c r="AK50" t="str">
        <f>HYPERLINK("https://twitter.com/aurelio02/status/809952717678514176","Twitter")</f>
        <v>Twitter</v>
      </c>
      <c r="AL50" s="1">
        <v>42720</v>
      </c>
    </row>
    <row r="51" spans="1:38">
      <c r="A51" t="s">
        <v>174</v>
      </c>
      <c r="F51" t="s">
        <v>2</v>
      </c>
      <c r="L51" t="s">
        <v>2</v>
      </c>
      <c r="O51" t="s">
        <v>2</v>
      </c>
      <c r="T51" t="s">
        <v>2</v>
      </c>
      <c r="AJ51">
        <f>COUNTIF(B51:AI51,"x")</f>
        <v>4</v>
      </c>
      <c r="AK51" t="str">
        <f>HYPERLINK("http://chicago.suntimes.com/sports/my-vote-for-hall-of-fame-raines-hoffman-schilling-and-walker/","Chicago Sun Times")</f>
        <v>Chicago Sun Times</v>
      </c>
      <c r="AL51" s="1">
        <v>42720</v>
      </c>
    </row>
    <row r="52" spans="1:38">
      <c r="A52" t="s">
        <v>232</v>
      </c>
      <c r="B52" t="s">
        <v>2</v>
      </c>
      <c r="E52" t="s">
        <v>2</v>
      </c>
      <c r="F52" t="s">
        <v>2</v>
      </c>
      <c r="H52" t="s">
        <v>2</v>
      </c>
      <c r="J52" t="s">
        <v>2</v>
      </c>
      <c r="L52" t="s">
        <v>2</v>
      </c>
      <c r="N52" t="s">
        <v>2</v>
      </c>
      <c r="O52" t="s">
        <v>2</v>
      </c>
      <c r="Q52" t="s">
        <v>2</v>
      </c>
      <c r="T52" t="s">
        <v>2</v>
      </c>
      <c r="AJ52">
        <f>COUNTIF(B52:AI52,"x")</f>
        <v>10</v>
      </c>
      <c r="AK52" t="str">
        <f>HYPERLINK("https://twitter.com/simmonssteve/status/809866659506884608","Twitter")</f>
        <v>Twitter</v>
      </c>
      <c r="AL52" s="1">
        <v>42720</v>
      </c>
    </row>
    <row r="53" spans="1:38">
      <c r="A53" t="s">
        <v>163</v>
      </c>
      <c r="B53" t="s">
        <v>2</v>
      </c>
      <c r="C53" t="s">
        <v>2</v>
      </c>
      <c r="D53" t="s">
        <v>2</v>
      </c>
      <c r="H53" t="s">
        <v>2</v>
      </c>
      <c r="J53" t="s">
        <v>2</v>
      </c>
      <c r="L53" t="s">
        <v>2</v>
      </c>
      <c r="M53" t="s">
        <v>2</v>
      </c>
      <c r="N53" t="s">
        <v>2</v>
      </c>
      <c r="O53" t="s">
        <v>2</v>
      </c>
      <c r="T53" t="s">
        <v>2</v>
      </c>
      <c r="AJ53">
        <f>COUNTIF(B53:AI53,"x")</f>
        <v>10</v>
      </c>
      <c r="AK53" t="str">
        <f>HYPERLINK("https://twitter.com/mellinger/status/810218016545898497","Twitter")</f>
        <v>Twitter</v>
      </c>
      <c r="AL53" s="1">
        <v>42721</v>
      </c>
    </row>
    <row r="54" spans="1:38">
      <c r="A54" t="s">
        <v>218</v>
      </c>
      <c r="B54" t="s">
        <v>2</v>
      </c>
      <c r="C54" t="s">
        <v>2</v>
      </c>
      <c r="D54" t="s">
        <v>2</v>
      </c>
      <c r="F54" t="s">
        <v>2</v>
      </c>
      <c r="G54" t="s">
        <v>2</v>
      </c>
      <c r="J54" t="s">
        <v>2</v>
      </c>
      <c r="L54" t="s">
        <v>2</v>
      </c>
      <c r="N54" t="s">
        <v>2</v>
      </c>
      <c r="O54" t="s">
        <v>2</v>
      </c>
      <c r="Q54" t="s">
        <v>2</v>
      </c>
      <c r="AJ54">
        <f>COUNTIF(B54:AI54,"x")</f>
        <v>10</v>
      </c>
      <c r="AK54" t="str">
        <f>HYPERLINK("http://www.dailyherald.com/article/20161217/sports/161219001/","Daily Herald")</f>
        <v>Daily Herald</v>
      </c>
      <c r="AL54" s="1">
        <v>42721</v>
      </c>
    </row>
    <row r="55" spans="1:38">
      <c r="A55" t="s">
        <v>249</v>
      </c>
      <c r="B55" t="s">
        <v>2</v>
      </c>
      <c r="C55" t="s">
        <v>2</v>
      </c>
      <c r="D55" t="s">
        <v>2</v>
      </c>
      <c r="F55" t="s">
        <v>2</v>
      </c>
      <c r="I55" t="s">
        <v>2</v>
      </c>
      <c r="L55" t="s">
        <v>2</v>
      </c>
      <c r="N55" t="s">
        <v>2</v>
      </c>
      <c r="P55" t="s">
        <v>2</v>
      </c>
      <c r="Q55" t="s">
        <v>2</v>
      </c>
      <c r="AJ55">
        <f>COUNTIF(B55:AI55,"x")</f>
        <v>9</v>
      </c>
      <c r="AK55" t="str">
        <f>HYPERLINK("https://twitter.com/TBTimes_Rays/status/810621938397810689/photo/1","Twitter")</f>
        <v>Twitter</v>
      </c>
      <c r="AL55" s="1">
        <v>42722</v>
      </c>
    </row>
    <row r="56" spans="1:38">
      <c r="A56" t="s">
        <v>31</v>
      </c>
      <c r="C56" t="s">
        <v>2</v>
      </c>
      <c r="D56" t="s">
        <v>2</v>
      </c>
      <c r="E56" t="s">
        <v>2</v>
      </c>
      <c r="M56" t="s">
        <v>2</v>
      </c>
      <c r="N56" t="s">
        <v>2</v>
      </c>
      <c r="O56" t="s">
        <v>2</v>
      </c>
      <c r="R56" t="s">
        <v>2</v>
      </c>
      <c r="AJ56">
        <f>COUNTIF(B56:AI56,"x")</f>
        <v>7</v>
      </c>
      <c r="AK56" t="str">
        <f>HYPERLINK("http://www.nhregister.com/sports/20161219/borges-baseball-hall-of-fame-ballot-includes-an-idiot-cheaters","New Haven Register")</f>
        <v>New Haven Register</v>
      </c>
      <c r="AL56" s="1">
        <v>42723</v>
      </c>
    </row>
    <row r="57" spans="1:38">
      <c r="A57" t="s">
        <v>51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M57" t="s">
        <v>2</v>
      </c>
      <c r="N57" t="s">
        <v>2</v>
      </c>
      <c r="O57" t="s">
        <v>2</v>
      </c>
      <c r="P57" t="s">
        <v>2</v>
      </c>
      <c r="R57" t="s">
        <v>2</v>
      </c>
      <c r="AJ57">
        <f>COUNTIF(B57:AI57,"x")</f>
        <v>10</v>
      </c>
      <c r="AK57" t="str">
        <f>HYPERLINK("https://twitter.com/BrianCoz/status/810974212689162240","Twitter")</f>
        <v>Twitter</v>
      </c>
      <c r="AL57" s="1">
        <v>42723</v>
      </c>
    </row>
    <row r="58" spans="1:38">
      <c r="A58" t="s">
        <v>97</v>
      </c>
      <c r="B58" t="s">
        <v>2</v>
      </c>
      <c r="E58" t="s">
        <v>2</v>
      </c>
      <c r="F58" t="s">
        <v>2</v>
      </c>
      <c r="J58" t="s">
        <v>2</v>
      </c>
      <c r="L58" t="s">
        <v>2</v>
      </c>
      <c r="N58" t="s">
        <v>2</v>
      </c>
      <c r="O58" t="s">
        <v>2</v>
      </c>
      <c r="AJ58">
        <f>COUNTIF(B58:AI58,"x")</f>
        <v>7</v>
      </c>
      <c r="AK58" t="s">
        <v>11</v>
      </c>
      <c r="AL58" s="1">
        <v>42723</v>
      </c>
    </row>
    <row r="59" spans="1:38">
      <c r="A59" t="s">
        <v>112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H59" t="s">
        <v>2</v>
      </c>
      <c r="L59" t="s">
        <v>2</v>
      </c>
      <c r="N59" t="s">
        <v>2</v>
      </c>
      <c r="P59" t="s">
        <v>2</v>
      </c>
      <c r="R59" t="s">
        <v>2</v>
      </c>
      <c r="AJ59">
        <f>COUNTIF(B59:AI59,"x")</f>
        <v>10</v>
      </c>
      <c r="AK59" t="str">
        <f>HYPERLINK("https://twitter.com/zogsport7/status/810962040512712705","Twitter")</f>
        <v>Twitter</v>
      </c>
      <c r="AL59" s="1">
        <v>42723</v>
      </c>
    </row>
    <row r="60" spans="1:38">
      <c r="A60" t="s">
        <v>176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H60" t="s">
        <v>2</v>
      </c>
      <c r="J60" t="s">
        <v>2</v>
      </c>
      <c r="L60" t="s">
        <v>2</v>
      </c>
      <c r="N60" t="s">
        <v>2</v>
      </c>
      <c r="Q60" t="s">
        <v>2</v>
      </c>
      <c r="AJ60">
        <f>COUNTIF(B60:AI60,"x")</f>
        <v>10</v>
      </c>
      <c r="AK60" t="s">
        <v>27</v>
      </c>
      <c r="AL60" s="1">
        <v>42723</v>
      </c>
    </row>
    <row r="61" spans="1:38">
      <c r="A61" t="s">
        <v>217</v>
      </c>
      <c r="B61" t="s">
        <v>2</v>
      </c>
      <c r="C61" t="s">
        <v>2</v>
      </c>
      <c r="D61" t="s">
        <v>2</v>
      </c>
      <c r="F61" t="s">
        <v>2</v>
      </c>
      <c r="H61" t="s">
        <v>2</v>
      </c>
      <c r="J61" t="s">
        <v>2</v>
      </c>
      <c r="L61" t="s">
        <v>2</v>
      </c>
      <c r="N61" t="s">
        <v>2</v>
      </c>
      <c r="O61" t="s">
        <v>2</v>
      </c>
      <c r="S61" t="s">
        <v>2</v>
      </c>
      <c r="AJ61">
        <f>COUNTIF(B61:AI61,"x")</f>
        <v>10</v>
      </c>
      <c r="AK61" t="str">
        <f>HYPERLINK("http://www.foxsports.com/mlb/story/my-hall-of-fame-ballot-billy-wagner-ivan-rodriguez-vladimir-guerrero-trevor-hoffman-121916","Fox Sports")</f>
        <v>Fox Sports</v>
      </c>
      <c r="AL61" s="1">
        <v>42723</v>
      </c>
    </row>
    <row r="62" spans="1:38">
      <c r="A62" t="s">
        <v>243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H62" t="s">
        <v>2</v>
      </c>
      <c r="J62" t="s">
        <v>2</v>
      </c>
      <c r="L62" t="s">
        <v>2</v>
      </c>
      <c r="N62" t="s">
        <v>2</v>
      </c>
      <c r="O62" t="s">
        <v>2</v>
      </c>
      <c r="AJ62">
        <f>COUNTIF(B62:AI62,"x")</f>
        <v>10</v>
      </c>
      <c r="AK62" t="str">
        <f>HYPERLINK("https://twitter.com/StoneLarry/status/810926746736291840","Twitter")</f>
        <v>Twitter</v>
      </c>
      <c r="AL62" s="1">
        <v>42723</v>
      </c>
    </row>
    <row r="63" spans="1:38">
      <c r="A63" t="s">
        <v>250</v>
      </c>
      <c r="B63" t="s">
        <v>2</v>
      </c>
      <c r="C63" t="s">
        <v>2</v>
      </c>
      <c r="D63" t="s">
        <v>2</v>
      </c>
      <c r="E63" t="s">
        <v>2</v>
      </c>
      <c r="H63" t="s">
        <v>2</v>
      </c>
      <c r="J63" t="s">
        <v>2</v>
      </c>
      <c r="L63" t="s">
        <v>2</v>
      </c>
      <c r="M63" t="s">
        <v>2</v>
      </c>
      <c r="N63" t="s">
        <v>2</v>
      </c>
      <c r="S63" t="s">
        <v>2</v>
      </c>
      <c r="AJ63">
        <f>COUNTIF(B63:AI63,"x")</f>
        <v>10</v>
      </c>
      <c r="AK63" t="str">
        <f>HYPERLINK("https://twitter.com/MikeVacc/status/810914831184392193?lang=en","Twitter")</f>
        <v>Twitter</v>
      </c>
      <c r="AL63" s="1">
        <v>42723</v>
      </c>
    </row>
    <row r="64" spans="1:38">
      <c r="A64" t="s">
        <v>52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H64" t="s">
        <v>2</v>
      </c>
      <c r="L64" t="s">
        <v>2</v>
      </c>
      <c r="M64" t="s">
        <v>2</v>
      </c>
      <c r="N64" t="s">
        <v>2</v>
      </c>
      <c r="P64" t="s">
        <v>2</v>
      </c>
      <c r="AJ64">
        <f>COUNTIF(B64:AI64,"x")</f>
        <v>10</v>
      </c>
      <c r="AK64" t="str">
        <f>HYPERLINK("http://blogs.herald.com/random_evidence/2016/12/xxxsunxxxhb.html","Miami Herald Blog")</f>
        <v>Miami Herald Blog</v>
      </c>
      <c r="AL64" s="1">
        <v>42724</v>
      </c>
    </row>
    <row r="65" spans="1:38">
      <c r="A65" t="s">
        <v>82</v>
      </c>
      <c r="B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L65" t="s">
        <v>2</v>
      </c>
      <c r="N65" t="s">
        <v>2</v>
      </c>
      <c r="S65" t="s">
        <v>2</v>
      </c>
      <c r="AJ65">
        <f>COUNTIF(B65:AI65,"x")</f>
        <v>10</v>
      </c>
      <c r="AK65" t="s">
        <v>11</v>
      </c>
      <c r="AL65" s="1">
        <v>42724</v>
      </c>
    </row>
    <row r="66" spans="1:38">
      <c r="A66" t="s">
        <v>84</v>
      </c>
      <c r="B66" t="s">
        <v>2</v>
      </c>
      <c r="F66" t="s">
        <v>2</v>
      </c>
      <c r="H66" t="s">
        <v>2</v>
      </c>
      <c r="L66" t="s">
        <v>2</v>
      </c>
      <c r="N66" t="s">
        <v>2</v>
      </c>
      <c r="Q66" t="s">
        <v>2</v>
      </c>
      <c r="AJ66">
        <f>COUNTIF(B66:AI66,"x")</f>
        <v>6</v>
      </c>
      <c r="AK66" t="s">
        <v>5</v>
      </c>
      <c r="AL66" s="1">
        <v>42724</v>
      </c>
    </row>
    <row r="67" spans="1:38">
      <c r="A67" t="s">
        <v>124</v>
      </c>
      <c r="B67" t="s">
        <v>2</v>
      </c>
      <c r="C67" t="s">
        <v>2</v>
      </c>
      <c r="D67" t="s">
        <v>2</v>
      </c>
      <c r="F67" t="s">
        <v>2</v>
      </c>
      <c r="H67" t="s">
        <v>2</v>
      </c>
      <c r="J67" t="s">
        <v>2</v>
      </c>
      <c r="L67" t="s">
        <v>2</v>
      </c>
      <c r="N67" t="s">
        <v>2</v>
      </c>
      <c r="O67" t="s">
        <v>2</v>
      </c>
      <c r="AJ67">
        <f>COUNTIF(B67:AI67,"x")</f>
        <v>9</v>
      </c>
      <c r="AK67" t="str">
        <f>HYPERLINK("https://t.co/uTLHowExip","SJ Mercury News")</f>
        <v>SJ Mercury News</v>
      </c>
      <c r="AL67" s="1">
        <v>42724</v>
      </c>
    </row>
    <row r="68" spans="1:38">
      <c r="A68" t="s">
        <v>136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H68" t="s">
        <v>2</v>
      </c>
      <c r="J68" t="s">
        <v>2</v>
      </c>
      <c r="L68" t="s">
        <v>2</v>
      </c>
      <c r="N68" t="s">
        <v>2</v>
      </c>
      <c r="Q68" t="s">
        <v>2</v>
      </c>
      <c r="AJ68">
        <f>COUNTIF(B68:AI68,"x")</f>
        <v>10</v>
      </c>
      <c r="AK68" t="str">
        <f>HYPERLINK("https://twitter.com/masnRoch/status/811229106562093057","Twitter")</f>
        <v>Twitter</v>
      </c>
      <c r="AL68" s="1">
        <v>42724</v>
      </c>
    </row>
    <row r="69" spans="1:38">
      <c r="A69" t="s">
        <v>197</v>
      </c>
      <c r="B69" t="s">
        <v>2</v>
      </c>
      <c r="E69" t="s">
        <v>2</v>
      </c>
      <c r="F69" t="s">
        <v>2</v>
      </c>
      <c r="G69" t="s">
        <v>2</v>
      </c>
      <c r="H69" t="s">
        <v>2</v>
      </c>
      <c r="N69" t="s">
        <v>2</v>
      </c>
      <c r="P69" t="s">
        <v>2</v>
      </c>
      <c r="T69" t="s">
        <v>2</v>
      </c>
      <c r="AJ69">
        <f>COUNTIF(B69:AI69,"x")</f>
        <v>8</v>
      </c>
      <c r="AK69" t="s">
        <v>27</v>
      </c>
      <c r="AL69" s="1">
        <v>42724</v>
      </c>
    </row>
    <row r="70" spans="1:38">
      <c r="A70" t="s">
        <v>227</v>
      </c>
      <c r="B70" t="s">
        <v>2</v>
      </c>
      <c r="C70" t="s">
        <v>2</v>
      </c>
      <c r="D70" t="s">
        <v>2</v>
      </c>
      <c r="E70" t="s">
        <v>2</v>
      </c>
      <c r="H70" t="s">
        <v>2</v>
      </c>
      <c r="J70" t="s">
        <v>2</v>
      </c>
      <c r="L70" t="s">
        <v>2</v>
      </c>
      <c r="N70" t="s">
        <v>2</v>
      </c>
      <c r="R70" t="s">
        <v>2</v>
      </c>
      <c r="T70" t="s">
        <v>2</v>
      </c>
      <c r="AJ70">
        <f>COUNTIF(B70:AI70,"x")</f>
        <v>10</v>
      </c>
      <c r="AK70" t="str">
        <f>HYPERLINK("https://twitter.com/Mscotshay/status/811238532543053824","Twitter")</f>
        <v>Twitter</v>
      </c>
      <c r="AL70" s="1">
        <v>42724</v>
      </c>
    </row>
    <row r="71" spans="1:38">
      <c r="A71" t="s">
        <v>234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H71" t="s">
        <v>2</v>
      </c>
      <c r="L71" t="s">
        <v>2</v>
      </c>
      <c r="O71" t="s">
        <v>2</v>
      </c>
      <c r="Q71" t="s">
        <v>2</v>
      </c>
      <c r="R71" t="s">
        <v>2</v>
      </c>
      <c r="AJ71">
        <f>COUNTIF(B71:AI71,"x")</f>
        <v>10</v>
      </c>
      <c r="AK71" t="str">
        <f>HYPERLINK("http://bit.ly/2hazVzz","Twitter")</f>
        <v>Twitter</v>
      </c>
      <c r="AL71" s="1">
        <v>42724</v>
      </c>
    </row>
    <row r="72" spans="1:38">
      <c r="A72" t="s">
        <v>55</v>
      </c>
      <c r="B72" t="s">
        <v>2</v>
      </c>
      <c r="E72" t="s">
        <v>2</v>
      </c>
      <c r="F72" t="s">
        <v>2</v>
      </c>
      <c r="H72" t="s">
        <v>2</v>
      </c>
      <c r="J72" t="s">
        <v>2</v>
      </c>
      <c r="L72" t="s">
        <v>2</v>
      </c>
      <c r="N72" t="s">
        <v>2</v>
      </c>
      <c r="O72" t="s">
        <v>2</v>
      </c>
      <c r="S72" t="s">
        <v>2</v>
      </c>
      <c r="T72" t="s">
        <v>2</v>
      </c>
      <c r="AJ72">
        <f>COUNTIF(B72:AI72,"x")</f>
        <v>10</v>
      </c>
      <c r="AK72" t="str">
        <f>HYPERLINK("https://twitter.com/JackCurryYES/status/812087094789160960","Twitter")</f>
        <v>Twitter</v>
      </c>
      <c r="AL72" s="1">
        <v>42725</v>
      </c>
    </row>
    <row r="73" spans="1:38">
      <c r="A73" t="s">
        <v>70</v>
      </c>
      <c r="B73" t="s">
        <v>2</v>
      </c>
      <c r="E73" t="s">
        <v>2</v>
      </c>
      <c r="F73" t="s">
        <v>2</v>
      </c>
      <c r="K73" t="s">
        <v>2</v>
      </c>
      <c r="L73" t="s">
        <v>2</v>
      </c>
      <c r="N73" t="s">
        <v>2</v>
      </c>
      <c r="AJ73">
        <f>COUNTIF(B73:AI73,"x")</f>
        <v>6</v>
      </c>
      <c r="AK73" t="s">
        <v>11</v>
      </c>
      <c r="AL73" s="1">
        <v>42725</v>
      </c>
    </row>
    <row r="74" spans="1:38">
      <c r="A74" t="s">
        <v>76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H74" t="s">
        <v>2</v>
      </c>
      <c r="L74" t="s">
        <v>2</v>
      </c>
      <c r="M74" t="s">
        <v>2</v>
      </c>
      <c r="N74" t="s">
        <v>2</v>
      </c>
      <c r="Q74" t="s">
        <v>2</v>
      </c>
      <c r="AJ74">
        <f>COUNTIF(B74:AI74,"x")</f>
        <v>10</v>
      </c>
      <c r="AK74" t="s">
        <v>5</v>
      </c>
      <c r="AL74" s="1">
        <v>42725</v>
      </c>
    </row>
    <row r="75" spans="1:38">
      <c r="A75" t="s">
        <v>90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H75" t="s">
        <v>2</v>
      </c>
      <c r="J75" t="s">
        <v>2</v>
      </c>
      <c r="L75" t="s">
        <v>2</v>
      </c>
      <c r="N75" t="s">
        <v>2</v>
      </c>
      <c r="T75" t="s">
        <v>2</v>
      </c>
      <c r="AJ75">
        <f>COUNTIF(B75:AI75,"x")</f>
        <v>10</v>
      </c>
      <c r="AK75" t="str">
        <f>HYPERLINK("https://twitter.com/Evan_P_Grant/status/811702010932170752","Twitter")</f>
        <v>Twitter</v>
      </c>
      <c r="AL75" s="1">
        <v>42725</v>
      </c>
    </row>
    <row r="76" spans="1:38">
      <c r="A76" t="s">
        <v>118</v>
      </c>
      <c r="B76" t="s">
        <v>2</v>
      </c>
      <c r="C76" t="s">
        <v>2</v>
      </c>
      <c r="D76" t="s">
        <v>2</v>
      </c>
      <c r="F76" t="s">
        <v>2</v>
      </c>
      <c r="J76" t="s">
        <v>2</v>
      </c>
      <c r="L76" t="s">
        <v>2</v>
      </c>
      <c r="O76" t="s">
        <v>2</v>
      </c>
      <c r="P76" t="s">
        <v>2</v>
      </c>
      <c r="Q76" t="s">
        <v>2</v>
      </c>
      <c r="AJ76">
        <f>COUNTIF(B76:AI76,"x")</f>
        <v>9</v>
      </c>
      <c r="AK76" t="s">
        <v>30</v>
      </c>
      <c r="AL76" s="1">
        <v>42725</v>
      </c>
    </row>
    <row r="77" spans="1:38">
      <c r="A77" t="s">
        <v>138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L77" t="s">
        <v>2</v>
      </c>
      <c r="N77" t="s">
        <v>2</v>
      </c>
      <c r="O77" t="s">
        <v>2</v>
      </c>
      <c r="P77" t="s">
        <v>2</v>
      </c>
      <c r="T77" t="s">
        <v>2</v>
      </c>
      <c r="AJ77">
        <f>COUNTIF(B77:AI77,"x")</f>
        <v>10</v>
      </c>
      <c r="AK77" t="str">
        <f>HYPERLINK("https://twitter.com/GabeLacques/status/812030384271659012","Twitter")</f>
        <v>Twitter</v>
      </c>
      <c r="AL77" s="1">
        <v>42725</v>
      </c>
    </row>
    <row r="78" spans="1:38">
      <c r="A78" t="s">
        <v>144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H78" t="s">
        <v>2</v>
      </c>
      <c r="J78" t="s">
        <v>2</v>
      </c>
      <c r="L78" t="s">
        <v>2</v>
      </c>
      <c r="N78" t="s">
        <v>2</v>
      </c>
      <c r="O78" t="s">
        <v>2</v>
      </c>
      <c r="AJ78">
        <f>COUNTIF(B78:AI78,"x")</f>
        <v>10</v>
      </c>
      <c r="AK78" t="str">
        <f>HYPERLINK("https://twitter.com/DPLennon/status/812007668588089345","Twitter")</f>
        <v>Twitter</v>
      </c>
      <c r="AL78" s="1">
        <v>42725</v>
      </c>
    </row>
    <row r="79" spans="1:38">
      <c r="A79" t="s">
        <v>145</v>
      </c>
      <c r="B79" t="s">
        <v>2</v>
      </c>
      <c r="C79" t="s">
        <v>2</v>
      </c>
      <c r="D79" t="s">
        <v>2</v>
      </c>
      <c r="F79" t="s">
        <v>2</v>
      </c>
      <c r="H79" t="s">
        <v>2</v>
      </c>
      <c r="L79" t="s">
        <v>2</v>
      </c>
      <c r="M79" t="s">
        <v>2</v>
      </c>
      <c r="N79" t="s">
        <v>2</v>
      </c>
      <c r="O79" t="s">
        <v>2</v>
      </c>
      <c r="S79" t="s">
        <v>2</v>
      </c>
      <c r="AJ79">
        <f>COUNTIF(B79:AI79,"x")</f>
        <v>10</v>
      </c>
      <c r="AK79" t="str">
        <f>HYPERLINK("https://twitter.com/JosephLiaoWJ/status/811699791323398144","Twitter")</f>
        <v>Twitter</v>
      </c>
      <c r="AL79" s="1">
        <v>42725</v>
      </c>
    </row>
    <row r="80" spans="1:38">
      <c r="A80" t="s">
        <v>181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J80" t="s">
        <v>2</v>
      </c>
      <c r="L80" t="s">
        <v>2</v>
      </c>
      <c r="N80" t="s">
        <v>2</v>
      </c>
      <c r="O80" t="s">
        <v>2</v>
      </c>
      <c r="Q80" t="s">
        <v>2</v>
      </c>
      <c r="AJ80">
        <f>COUNTIF(B80:AI80,"x")</f>
        <v>10</v>
      </c>
      <c r="AK80" t="str">
        <f>HYPERLINK("https://twitter.com/Ian_OConnor/status/811677426191335424","Twitter")</f>
        <v>Twitter</v>
      </c>
      <c r="AL80" s="1">
        <v>42725</v>
      </c>
    </row>
    <row r="81" spans="1:38">
      <c r="A81" t="s">
        <v>191</v>
      </c>
      <c r="B81" t="s">
        <v>2</v>
      </c>
      <c r="C81" t="s">
        <v>2</v>
      </c>
      <c r="D81" t="s">
        <v>2</v>
      </c>
      <c r="E81" t="s">
        <v>2</v>
      </c>
      <c r="L81" t="s">
        <v>2</v>
      </c>
      <c r="N81" t="s">
        <v>2</v>
      </c>
      <c r="T81" t="s">
        <v>2</v>
      </c>
      <c r="AJ81">
        <f>COUNTIF(B81:AI81,"x")</f>
        <v>7</v>
      </c>
      <c r="AK81" t="s">
        <v>192</v>
      </c>
      <c r="AL81" s="1">
        <v>42725</v>
      </c>
    </row>
    <row r="82" spans="1:38">
      <c r="A82" t="s">
        <v>199</v>
      </c>
      <c r="B82" t="s">
        <v>2</v>
      </c>
      <c r="C82" t="s">
        <v>2</v>
      </c>
      <c r="D82" t="s">
        <v>2</v>
      </c>
      <c r="E82" t="s">
        <v>2</v>
      </c>
      <c r="H82" t="s">
        <v>2</v>
      </c>
      <c r="J82" t="s">
        <v>2</v>
      </c>
      <c r="L82" t="s">
        <v>2</v>
      </c>
      <c r="N82" t="s">
        <v>2</v>
      </c>
      <c r="O82" t="s">
        <v>2</v>
      </c>
      <c r="S82" t="s">
        <v>2</v>
      </c>
      <c r="AJ82">
        <f>COUNTIF(B82:AI82,"x")</f>
        <v>10</v>
      </c>
      <c r="AK82" t="str">
        <f>HYPERLINK("https://twitter.com/StevePopper/status/811754461022535685","Twitter")</f>
        <v>Twitter</v>
      </c>
      <c r="AL82" s="1">
        <v>42725</v>
      </c>
    </row>
    <row r="83" spans="1:38">
      <c r="A83" t="s">
        <v>216</v>
      </c>
      <c r="B83" t="s">
        <v>2</v>
      </c>
      <c r="C83" t="s">
        <v>2</v>
      </c>
      <c r="D83" t="s">
        <v>2</v>
      </c>
      <c r="H83" t="s">
        <v>2</v>
      </c>
      <c r="J83" t="s">
        <v>2</v>
      </c>
      <c r="L83" t="s">
        <v>2</v>
      </c>
      <c r="M83" t="s">
        <v>2</v>
      </c>
      <c r="N83" t="s">
        <v>2</v>
      </c>
      <c r="O83" t="s">
        <v>2</v>
      </c>
      <c r="T83" t="s">
        <v>2</v>
      </c>
      <c r="AJ83">
        <f>COUNTIF(B83:AI83,"x")</f>
        <v>10</v>
      </c>
      <c r="AK83" t="str">
        <f>HYPERLINK("https://twitter.com/ctrent/status/811639552452558848","Twitter")</f>
        <v>Twitter</v>
      </c>
      <c r="AL83" s="1">
        <v>42725</v>
      </c>
    </row>
    <row r="84" spans="1:38">
      <c r="A84" t="s">
        <v>247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H84" t="s">
        <v>2</v>
      </c>
      <c r="J84" t="s">
        <v>2</v>
      </c>
      <c r="L84" t="s">
        <v>2</v>
      </c>
      <c r="N84" t="s">
        <v>2</v>
      </c>
      <c r="Q84" t="s">
        <v>2</v>
      </c>
      <c r="AJ84">
        <f>COUNTIF(B84:AI84,"x")</f>
        <v>10</v>
      </c>
      <c r="AK84" t="str">
        <f>HYPERLINK("https://twitter.com/JJT_ESPNDallas/status/812006809796014080","Twitter")</f>
        <v>Twitter</v>
      </c>
      <c r="AL84" s="1">
        <v>42725</v>
      </c>
    </row>
    <row r="85" spans="1:38">
      <c r="A85" t="s">
        <v>254</v>
      </c>
      <c r="B85" t="s">
        <v>2</v>
      </c>
      <c r="E85" t="s">
        <v>2</v>
      </c>
      <c r="F85" t="s">
        <v>2</v>
      </c>
      <c r="H85" t="s">
        <v>2</v>
      </c>
      <c r="L85" t="s">
        <v>2</v>
      </c>
      <c r="N85" t="s">
        <v>2</v>
      </c>
      <c r="O85" t="s">
        <v>2</v>
      </c>
      <c r="Q85" t="s">
        <v>2</v>
      </c>
      <c r="T85" t="s">
        <v>2</v>
      </c>
      <c r="AJ85">
        <f>COUNTIF(B85:AI85,"x")</f>
        <v>9</v>
      </c>
      <c r="AK85" t="str">
        <f>HYPERLINK("http://www.theregionalnews.com/index.php/sportsx/35345-jeff-vorva-s-extra-point-baseball-thoughts-during-cold-weather","Regional News")</f>
        <v>Regional News</v>
      </c>
      <c r="AL85" s="1">
        <v>42725</v>
      </c>
    </row>
    <row r="86" spans="1:38">
      <c r="A86" t="s">
        <v>259</v>
      </c>
      <c r="E86" t="s">
        <v>2</v>
      </c>
      <c r="H86" t="s">
        <v>2</v>
      </c>
      <c r="J86" t="s">
        <v>2</v>
      </c>
      <c r="L86" t="s">
        <v>2</v>
      </c>
      <c r="O86" t="s">
        <v>2</v>
      </c>
      <c r="AJ86">
        <f>COUNTIF(B86:AI86,"x")</f>
        <v>5</v>
      </c>
      <c r="AK86" t="str">
        <f>HYPERLINK("https://twitter.com/GDubCub/status/811608983643549696","Twitter")</f>
        <v>Twitter</v>
      </c>
      <c r="AL86" s="1">
        <v>42725</v>
      </c>
    </row>
    <row r="87" spans="1:38">
      <c r="A87" t="s">
        <v>78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J87" t="s">
        <v>2</v>
      </c>
      <c r="L87" t="s">
        <v>2</v>
      </c>
      <c r="N87" t="s">
        <v>2</v>
      </c>
      <c r="O87" t="s">
        <v>2</v>
      </c>
      <c r="R87" t="s">
        <v>2</v>
      </c>
      <c r="AJ87">
        <f>COUNTIF(B87:AI87,"x")</f>
        <v>10</v>
      </c>
      <c r="AK87" t="str">
        <f>HYPERLINK("https://twitter.com/Carlos_Frias/status/812324003700494336","Twitter")</f>
        <v>Twitter</v>
      </c>
      <c r="AL87" s="1">
        <v>42726</v>
      </c>
    </row>
    <row r="88" spans="1:38">
      <c r="A88" t="s">
        <v>162</v>
      </c>
      <c r="B88" t="s">
        <v>2</v>
      </c>
      <c r="C88" t="s">
        <v>2</v>
      </c>
      <c r="D88" t="s">
        <v>2</v>
      </c>
      <c r="E88" t="s">
        <v>2</v>
      </c>
      <c r="H88" t="s">
        <v>2</v>
      </c>
      <c r="J88" t="s">
        <v>2</v>
      </c>
      <c r="L88" t="s">
        <v>2</v>
      </c>
      <c r="M88" t="s">
        <v>2</v>
      </c>
      <c r="N88" t="s">
        <v>2</v>
      </c>
      <c r="R88" t="s">
        <v>2</v>
      </c>
      <c r="AJ88">
        <f>COUNTIF(B88:AI88,"x")</f>
        <v>10</v>
      </c>
      <c r="AK88" t="str">
        <f>HYPERLINK("https://twitter.com/ESPNJoeyMac/status/811969743968235520","Twitter")</f>
        <v>Twitter</v>
      </c>
      <c r="AL88" s="1">
        <v>42726</v>
      </c>
    </row>
    <row r="89" spans="1:38">
      <c r="A89" t="s">
        <v>32</v>
      </c>
      <c r="B89" t="s">
        <v>2</v>
      </c>
      <c r="C89" t="s">
        <v>2</v>
      </c>
      <c r="D89" t="s">
        <v>2</v>
      </c>
      <c r="E89" t="s">
        <v>2</v>
      </c>
      <c r="G89" t="s">
        <v>2</v>
      </c>
      <c r="H89" t="s">
        <v>2</v>
      </c>
      <c r="I89" t="s">
        <v>2</v>
      </c>
      <c r="L89" t="s">
        <v>2</v>
      </c>
      <c r="N89" t="s">
        <v>2</v>
      </c>
      <c r="O89" t="s">
        <v>2</v>
      </c>
      <c r="AJ89">
        <f>COUNTIF(B89:AI89,"x")</f>
        <v>10</v>
      </c>
      <c r="AK89" t="str">
        <f>HYPERLINK("https://t.co/rDa0QlxTc9","NY Daily News")</f>
        <v>NY Daily News</v>
      </c>
      <c r="AL89" s="1">
        <v>42727</v>
      </c>
    </row>
    <row r="90" spans="1:38">
      <c r="A90" t="s">
        <v>37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H90" t="s">
        <v>2</v>
      </c>
      <c r="J90" t="s">
        <v>2</v>
      </c>
      <c r="L90" t="s">
        <v>2</v>
      </c>
      <c r="N90" t="s">
        <v>2</v>
      </c>
      <c r="O90" t="s">
        <v>2</v>
      </c>
      <c r="AJ90">
        <f>COUNTIF(B90:AI90,"x")</f>
        <v>10</v>
      </c>
      <c r="AK90" t="str">
        <f>HYPERLINK("http://www.bostonherald.com/sports/red_sox/2016/12/buckley_hall_of_fame_voting_can_be_difficult_but_it_sure_beats_work","Boston Herald")</f>
        <v>Boston Herald</v>
      </c>
      <c r="AL90" s="1">
        <v>42727</v>
      </c>
    </row>
    <row r="91" spans="1:38">
      <c r="A91" t="s">
        <v>74</v>
      </c>
      <c r="B91" t="s">
        <v>2</v>
      </c>
      <c r="C91" t="s">
        <v>2</v>
      </c>
      <c r="D91" t="s">
        <v>2</v>
      </c>
      <c r="E91" t="s">
        <v>2</v>
      </c>
      <c r="I91" t="s">
        <v>2</v>
      </c>
      <c r="J91" t="s">
        <v>2</v>
      </c>
      <c r="L91" t="s">
        <v>2</v>
      </c>
      <c r="M91" t="s">
        <v>2</v>
      </c>
      <c r="N91" t="s">
        <v>2</v>
      </c>
      <c r="P91" t="s">
        <v>2</v>
      </c>
      <c r="AJ91">
        <f>COUNTIF(B91:AI91,"x")</f>
        <v>10</v>
      </c>
      <c r="AK91" t="str">
        <f>HYPERLINK("https://www.facebook.com/permalink.php?story_fbid=1202955226459457&amp;id=312447252176930&amp;substory_index=0","Facebook")</f>
        <v>Facebook</v>
      </c>
      <c r="AL91" s="1">
        <v>42727</v>
      </c>
    </row>
    <row r="92" spans="1:38">
      <c r="A92" t="s">
        <v>77</v>
      </c>
      <c r="B92" t="s">
        <v>2</v>
      </c>
      <c r="C92" t="s">
        <v>2</v>
      </c>
      <c r="D92" t="s">
        <v>2</v>
      </c>
      <c r="E92" t="s">
        <v>2</v>
      </c>
      <c r="H92" t="s">
        <v>2</v>
      </c>
      <c r="J92" t="s">
        <v>2</v>
      </c>
      <c r="L92" t="s">
        <v>2</v>
      </c>
      <c r="M92" t="s">
        <v>2</v>
      </c>
      <c r="N92" t="s">
        <v>2</v>
      </c>
      <c r="O92" t="s">
        <v>2</v>
      </c>
      <c r="AJ92">
        <f>COUNTIF(B92:AI92,"x")</f>
        <v>10</v>
      </c>
      <c r="AK92" t="str">
        <f>HYPERLINK("https://twitter.com/JeffFletcherOCR/status/812346694121582592","Twitter")</f>
        <v>Twitter</v>
      </c>
      <c r="AL92" s="1">
        <v>42727</v>
      </c>
    </row>
    <row r="93" spans="1:38">
      <c r="A93" t="s">
        <v>94</v>
      </c>
      <c r="B93" t="s">
        <v>2</v>
      </c>
      <c r="C93" t="s">
        <v>2</v>
      </c>
      <c r="D93" t="s">
        <v>2</v>
      </c>
      <c r="E93" t="s">
        <v>2</v>
      </c>
      <c r="L93" t="s">
        <v>2</v>
      </c>
      <c r="M93" t="s">
        <v>2</v>
      </c>
      <c r="N93" t="s">
        <v>2</v>
      </c>
      <c r="O93" t="s">
        <v>2</v>
      </c>
      <c r="AJ93">
        <f>COUNTIF(B93:AI93,"x")</f>
        <v>8</v>
      </c>
      <c r="AK93" t="str">
        <f>HYPERLINK("https://twitter.com/Telegraph_AlanG/status/812342733197156352","Twitter")</f>
        <v>Twitter</v>
      </c>
      <c r="AL93" s="1">
        <v>42727</v>
      </c>
    </row>
    <row r="94" spans="1:38">
      <c r="A94" t="s">
        <v>110</v>
      </c>
      <c r="B94" t="s">
        <v>2</v>
      </c>
      <c r="E94" t="s">
        <v>2</v>
      </c>
      <c r="F94" t="s">
        <v>2</v>
      </c>
      <c r="H94" t="s">
        <v>2</v>
      </c>
      <c r="L94" t="s">
        <v>2</v>
      </c>
      <c r="N94" t="s">
        <v>2</v>
      </c>
      <c r="AJ94">
        <f>COUNTIF(B94:AI94,"x")</f>
        <v>6</v>
      </c>
      <c r="AK94" t="str">
        <f>HYPERLINK("https://t.co/ssEIu635cp","Newsday")</f>
        <v>Newsday</v>
      </c>
      <c r="AL94" s="1">
        <v>42727</v>
      </c>
    </row>
    <row r="95" spans="1:38">
      <c r="A95" t="s">
        <v>130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H95" t="s">
        <v>2</v>
      </c>
      <c r="J95" t="s">
        <v>2</v>
      </c>
      <c r="L95" t="s">
        <v>2</v>
      </c>
      <c r="N95" t="s">
        <v>2</v>
      </c>
      <c r="O95" t="s">
        <v>2</v>
      </c>
      <c r="AJ95">
        <f>COUNTIF(B95:AI95,"x")</f>
        <v>10</v>
      </c>
      <c r="AK95" t="str">
        <f>HYPERLINK("https://twitter.com/BobKlap/status/812300632019337216","Twitter")</f>
        <v>Twitter</v>
      </c>
      <c r="AL95" s="1">
        <v>42727</v>
      </c>
    </row>
    <row r="96" spans="1:38">
      <c r="A96" t="s">
        <v>139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H96" t="s">
        <v>2</v>
      </c>
      <c r="L96" t="s">
        <v>2</v>
      </c>
      <c r="N96" t="s">
        <v>2</v>
      </c>
      <c r="O96" t="s">
        <v>2</v>
      </c>
      <c r="T96" t="s">
        <v>2</v>
      </c>
      <c r="AJ96">
        <f>COUNTIF(B96:AI96,"x")</f>
        <v>10</v>
      </c>
      <c r="AK96" t="str">
        <f>HYPERLINK("http://sports.yahoo.com/news/baseball-hall-fame-2017-manny-125248892.html","Yahoo Sports")</f>
        <v>Yahoo Sports</v>
      </c>
      <c r="AL96" s="1">
        <v>42727</v>
      </c>
    </row>
    <row r="97" spans="1:38">
      <c r="A97" t="s">
        <v>195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H97" t="s">
        <v>2</v>
      </c>
      <c r="L97" t="s">
        <v>2</v>
      </c>
      <c r="M97" t="s">
        <v>2</v>
      </c>
      <c r="N97" t="s">
        <v>2</v>
      </c>
      <c r="R97" t="s">
        <v>2</v>
      </c>
      <c r="AJ97">
        <f>COUNTIF(B97:AI97,"x")</f>
        <v>10</v>
      </c>
      <c r="AK97" t="str">
        <f>HYPERLINK("https://twitter.com/npiet_ESPN/status/812282367515721729","Twitter")</f>
        <v>Twitter</v>
      </c>
      <c r="AL97" s="1">
        <v>42727</v>
      </c>
    </row>
    <row r="98" spans="1:38">
      <c r="A98" t="s">
        <v>215</v>
      </c>
      <c r="B98" t="s">
        <v>2</v>
      </c>
      <c r="C98" t="s">
        <v>2</v>
      </c>
      <c r="D98" t="s">
        <v>2</v>
      </c>
      <c r="H98" t="s">
        <v>2</v>
      </c>
      <c r="I98" t="s">
        <v>2</v>
      </c>
      <c r="J98" t="s">
        <v>2</v>
      </c>
      <c r="L98" t="s">
        <v>2</v>
      </c>
      <c r="M98" t="s">
        <v>2</v>
      </c>
      <c r="N98" t="s">
        <v>2</v>
      </c>
      <c r="O98" t="s">
        <v>2</v>
      </c>
      <c r="AJ98">
        <f>COUNTIF(B98:AI98,"x")</f>
        <v>10</v>
      </c>
      <c r="AK98" t="s">
        <v>5</v>
      </c>
      <c r="AL98" s="1">
        <v>42727</v>
      </c>
    </row>
    <row r="99" spans="1:38">
      <c r="A99" t="s">
        <v>236</v>
      </c>
      <c r="B99" t="s">
        <v>2</v>
      </c>
      <c r="C99" t="s">
        <v>2</v>
      </c>
      <c r="D99" t="s">
        <v>2</v>
      </c>
      <c r="L99" t="s">
        <v>2</v>
      </c>
      <c r="M99" t="s">
        <v>2</v>
      </c>
      <c r="N99" t="s">
        <v>2</v>
      </c>
      <c r="AJ99">
        <f>COUNTIF(B99:AI99,"x")</f>
        <v>6</v>
      </c>
      <c r="AK99" t="s">
        <v>11</v>
      </c>
      <c r="AL99" s="1">
        <v>42727</v>
      </c>
    </row>
    <row r="100" spans="1:38">
      <c r="A100" t="s">
        <v>242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L100" t="s">
        <v>2</v>
      </c>
      <c r="N100" t="s">
        <v>2</v>
      </c>
      <c r="O100" t="s">
        <v>2</v>
      </c>
      <c r="AJ100">
        <f>COUNTIF(B100:AI100,"x")</f>
        <v>8</v>
      </c>
      <c r="AK100" t="str">
        <f>HYPERLINK("http://www.csnbayarea.com/athletics/stiglich-bonds-clemens-get-my-hall-fame-vote","CSN Bay Area")</f>
        <v>CSN Bay Area</v>
      </c>
      <c r="AL100" s="1">
        <v>42727</v>
      </c>
    </row>
    <row r="101" spans="1:38">
      <c r="A101" t="s">
        <v>257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H101" t="s">
        <v>2</v>
      </c>
      <c r="L101" t="s">
        <v>2</v>
      </c>
      <c r="N101" t="s">
        <v>2</v>
      </c>
      <c r="Q101" t="s">
        <v>2</v>
      </c>
      <c r="T101" t="s">
        <v>2</v>
      </c>
      <c r="AJ101">
        <f>COUNTIF(B101:AI101,"x")</f>
        <v>10</v>
      </c>
      <c r="AK101" t="str">
        <f>HYPERLINK("https://twitter.com/berniewilson/status/812391073481834496","Twitter")</f>
        <v>Twitter</v>
      </c>
      <c r="AL101" s="1">
        <v>42727</v>
      </c>
    </row>
    <row r="102" spans="1:38">
      <c r="A102" t="s">
        <v>105</v>
      </c>
      <c r="B102" t="s">
        <v>2</v>
      </c>
      <c r="E102" t="s">
        <v>2</v>
      </c>
      <c r="F102" t="s">
        <v>2</v>
      </c>
      <c r="J102" t="s">
        <v>2</v>
      </c>
      <c r="L102" t="s">
        <v>2</v>
      </c>
      <c r="N102" t="s">
        <v>2</v>
      </c>
      <c r="O102" t="s">
        <v>2</v>
      </c>
      <c r="Q102" t="s">
        <v>2</v>
      </c>
      <c r="S102" t="s">
        <v>2</v>
      </c>
      <c r="T102" t="s">
        <v>2</v>
      </c>
      <c r="AJ102">
        <f>COUNTIF(B102:AI102,"x")</f>
        <v>10</v>
      </c>
      <c r="AK102" t="str">
        <f>HYPERLINK("https://twitter.com/iananywhere/status/812670052663263232","Twitter")</f>
        <v>Twitter</v>
      </c>
      <c r="AL102" s="1">
        <v>42728</v>
      </c>
    </row>
    <row r="103" spans="1:38">
      <c r="A103" t="s">
        <v>107</v>
      </c>
      <c r="B103" t="s">
        <v>2</v>
      </c>
      <c r="C103" t="s">
        <v>2</v>
      </c>
      <c r="D103" t="s">
        <v>2</v>
      </c>
      <c r="F103" t="s">
        <v>2</v>
      </c>
      <c r="H103" t="s">
        <v>2</v>
      </c>
      <c r="J103" t="s">
        <v>2</v>
      </c>
      <c r="L103" t="s">
        <v>2</v>
      </c>
      <c r="N103" t="s">
        <v>2</v>
      </c>
      <c r="O103" t="s">
        <v>2</v>
      </c>
      <c r="T103" t="s">
        <v>2</v>
      </c>
      <c r="AJ103">
        <f>COUNTIF(B103:AI103,"x")</f>
        <v>10</v>
      </c>
      <c r="AK103" t="str">
        <f>HYPERLINK("https://twitter.com/CSNHayes/status/812751548673560577","Twitter")</f>
        <v>Twitter</v>
      </c>
      <c r="AL103" s="3">
        <v>42728</v>
      </c>
    </row>
    <row r="104" spans="1:38">
      <c r="A104" t="s">
        <v>225</v>
      </c>
      <c r="B104" t="s">
        <v>2</v>
      </c>
      <c r="E104" t="s">
        <v>2</v>
      </c>
      <c r="F104" t="s">
        <v>2</v>
      </c>
      <c r="H104" t="s">
        <v>2</v>
      </c>
      <c r="I104" t="s">
        <v>2</v>
      </c>
      <c r="J104" t="s">
        <v>2</v>
      </c>
      <c r="L104" t="s">
        <v>2</v>
      </c>
      <c r="O104" t="s">
        <v>2</v>
      </c>
      <c r="Q104" t="s">
        <v>2</v>
      </c>
      <c r="S104" t="s">
        <v>2</v>
      </c>
      <c r="AJ104">
        <f>COUNTIF(B104:AI104,"x")</f>
        <v>10</v>
      </c>
      <c r="AK104" t="str">
        <f>HYPERLINK("http://www.myajc.com/sports/baseball/why-this-will-final-baseball-hall-fame-vote/P5MdVexw7AfltFTlEliO5H/","AJC")</f>
        <v>AJC</v>
      </c>
      <c r="AL104" s="1">
        <v>42728</v>
      </c>
    </row>
    <row r="105" spans="1:38">
      <c r="A105" t="s">
        <v>72</v>
      </c>
      <c r="B105" t="s">
        <v>2</v>
      </c>
      <c r="E105" t="s">
        <v>2</v>
      </c>
      <c r="F105" t="s">
        <v>2</v>
      </c>
      <c r="H105" t="s">
        <v>2</v>
      </c>
      <c r="J105" t="s">
        <v>2</v>
      </c>
      <c r="L105" t="s">
        <v>2</v>
      </c>
      <c r="N105" t="s">
        <v>2</v>
      </c>
      <c r="AJ105">
        <f>COUNTIF(B105:AI105,"x")</f>
        <v>7</v>
      </c>
      <c r="AK105" t="str">
        <f>HYPERLINK("http://www.azcentral.com/story/sports/mlb/2016/12/25/selig-election-cooperstown-barry-bonds-roger-clemens/95717948/","AZ Central")</f>
        <v>AZ Central</v>
      </c>
      <c r="AL105" s="1">
        <v>42729</v>
      </c>
    </row>
    <row r="106" spans="1:38">
      <c r="A106" t="s">
        <v>134</v>
      </c>
      <c r="B106" t="s">
        <v>2</v>
      </c>
      <c r="E106" t="s">
        <v>2</v>
      </c>
      <c r="F106" t="s">
        <v>2</v>
      </c>
      <c r="G106" t="s">
        <v>2</v>
      </c>
      <c r="H106" t="s">
        <v>2</v>
      </c>
      <c r="J106" t="s">
        <v>2</v>
      </c>
      <c r="L106" t="s">
        <v>2</v>
      </c>
      <c r="P106" t="s">
        <v>2</v>
      </c>
      <c r="S106" t="s">
        <v>2</v>
      </c>
      <c r="T106" t="s">
        <v>2</v>
      </c>
      <c r="AJ106">
        <f>COUNTIF(B106:AI106,"x")</f>
        <v>10</v>
      </c>
      <c r="AK106" t="str">
        <f>HYPERLINK("https://blitzkrieg13.com/2016/12/25/2017-baseball-hall-of-fame-ballot/","BlitzKrieg Blog")</f>
        <v>BlitzKrieg Blog</v>
      </c>
      <c r="AL106" s="1">
        <v>42729</v>
      </c>
    </row>
    <row r="107" spans="1:38">
      <c r="A107" t="s">
        <v>12</v>
      </c>
      <c r="B107" t="s">
        <v>2</v>
      </c>
      <c r="E107" t="s">
        <v>2</v>
      </c>
      <c r="F107" t="s">
        <v>2</v>
      </c>
      <c r="H107" t="s">
        <v>2</v>
      </c>
      <c r="L107" t="s">
        <v>2</v>
      </c>
      <c r="AJ107">
        <f>COUNTIF(B107:AI107,"x")</f>
        <v>5</v>
      </c>
      <c r="AK107" t="s">
        <v>5</v>
      </c>
      <c r="AL107" s="1">
        <v>42730</v>
      </c>
    </row>
    <row r="108" spans="1:38">
      <c r="A108" t="s">
        <v>42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J108" t="s">
        <v>2</v>
      </c>
      <c r="L108" t="s">
        <v>2</v>
      </c>
      <c r="N108" t="s">
        <v>2</v>
      </c>
      <c r="Q108" t="s">
        <v>2</v>
      </c>
      <c r="T108" t="s">
        <v>2</v>
      </c>
      <c r="AJ108">
        <f>COUNTIF(B108:AI108,"x")</f>
        <v>10</v>
      </c>
      <c r="AK108" t="s">
        <v>27</v>
      </c>
      <c r="AL108" s="1">
        <v>42730</v>
      </c>
    </row>
    <row r="109" spans="1:38">
      <c r="A109" t="s">
        <v>67</v>
      </c>
      <c r="B109" t="s">
        <v>2</v>
      </c>
      <c r="C109" t="s">
        <v>2</v>
      </c>
      <c r="D109" t="s">
        <v>2</v>
      </c>
      <c r="H109" t="s">
        <v>2</v>
      </c>
      <c r="J109" t="s">
        <v>2</v>
      </c>
      <c r="L109" t="s">
        <v>2</v>
      </c>
      <c r="M109" t="s">
        <v>2</v>
      </c>
      <c r="N109" t="s">
        <v>2</v>
      </c>
      <c r="O109" t="s">
        <v>2</v>
      </c>
      <c r="T109" t="s">
        <v>2</v>
      </c>
      <c r="AJ109">
        <f>COUNTIF(B109:AI109,"x")</f>
        <v>10</v>
      </c>
      <c r="AK109" t="str">
        <f>HYPERLINK("https://twitter.com/PaulDoyle1/status/813452709818994689","Twitter")</f>
        <v>Twitter</v>
      </c>
      <c r="AL109" s="1">
        <v>42730</v>
      </c>
    </row>
    <row r="110" spans="1:38">
      <c r="A110" t="s">
        <v>95</v>
      </c>
      <c r="B110" t="s">
        <v>2</v>
      </c>
      <c r="E110" t="s">
        <v>2</v>
      </c>
      <c r="F110" t="s">
        <v>2</v>
      </c>
      <c r="H110" t="s">
        <v>2</v>
      </c>
      <c r="J110" t="s">
        <v>2</v>
      </c>
      <c r="L110" t="s">
        <v>2</v>
      </c>
      <c r="AJ110">
        <f>COUNTIF(B110:AI110,"x")</f>
        <v>6</v>
      </c>
      <c r="AK110" t="str">
        <f>HYPERLINK("http://www.dailyherald.com/article/20161226/sports/161229288/","Daily Herald")</f>
        <v>Daily Herald</v>
      </c>
      <c r="AL110" s="1">
        <v>42730</v>
      </c>
    </row>
    <row r="111" spans="1:38">
      <c r="A111" t="s">
        <v>164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H111" t="s">
        <v>2</v>
      </c>
      <c r="J111" t="s">
        <v>2</v>
      </c>
      <c r="L111" t="s">
        <v>2</v>
      </c>
      <c r="N111" t="s">
        <v>2</v>
      </c>
      <c r="Q111" t="s">
        <v>2</v>
      </c>
      <c r="AJ111">
        <f>COUNTIF(B111:AI111,"x")</f>
        <v>10</v>
      </c>
      <c r="AK111" t="str">
        <f>HYPERLINK("http://www.dailyherald.com/article/20161226/sports/161229288/","Daily Herald")</f>
        <v>Daily Herald</v>
      </c>
      <c r="AL111" s="1">
        <v>42730</v>
      </c>
    </row>
    <row r="112" spans="1:38">
      <c r="A112" t="s">
        <v>283</v>
      </c>
      <c r="B112" t="s">
        <v>2</v>
      </c>
      <c r="E112" t="s">
        <v>2</v>
      </c>
      <c r="F112" t="s">
        <v>2</v>
      </c>
      <c r="AJ112">
        <f>COUNTIF(B112:AI112,"x")</f>
        <v>3</v>
      </c>
      <c r="AK112" t="s">
        <v>284</v>
      </c>
      <c r="AL112" s="3">
        <v>42730</v>
      </c>
    </row>
    <row r="113" spans="1:38">
      <c r="A113" t="s">
        <v>10</v>
      </c>
      <c r="B113" t="s">
        <v>2</v>
      </c>
      <c r="F113" t="s">
        <v>2</v>
      </c>
      <c r="H113" t="s">
        <v>2</v>
      </c>
      <c r="J113" t="s">
        <v>2</v>
      </c>
      <c r="L113" t="s">
        <v>2</v>
      </c>
      <c r="N113" t="s">
        <v>2</v>
      </c>
      <c r="O113" t="s">
        <v>2</v>
      </c>
      <c r="Q113" t="s">
        <v>2</v>
      </c>
      <c r="AJ113">
        <f>COUNTIF(B113:AI113,"x")</f>
        <v>8</v>
      </c>
      <c r="AK113" t="s">
        <v>11</v>
      </c>
      <c r="AL113" s="1">
        <v>42731</v>
      </c>
    </row>
    <row r="114" spans="1:38">
      <c r="A114" t="s">
        <v>14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H114" t="s">
        <v>2</v>
      </c>
      <c r="J114" t="s">
        <v>2</v>
      </c>
      <c r="L114" t="s">
        <v>2</v>
      </c>
      <c r="N114" t="s">
        <v>2</v>
      </c>
      <c r="O114" t="s">
        <v>2</v>
      </c>
      <c r="AJ114">
        <f>COUNTIF(B114:AI114,"x")</f>
        <v>10</v>
      </c>
      <c r="AK114" t="str">
        <f>HYPERLINK("https://twitter.com/ChrisBahr_FOX/status/813759789691965440","Twitter")</f>
        <v>Twitter</v>
      </c>
      <c r="AL114" s="1">
        <v>42731</v>
      </c>
    </row>
    <row r="115" spans="1:38">
      <c r="A115" t="s">
        <v>16</v>
      </c>
      <c r="B115" t="s">
        <v>2</v>
      </c>
      <c r="C115" t="s">
        <v>2</v>
      </c>
      <c r="D115" t="s">
        <v>2</v>
      </c>
      <c r="E115" t="s">
        <v>2</v>
      </c>
      <c r="H115" t="s">
        <v>2</v>
      </c>
      <c r="J115" t="s">
        <v>2</v>
      </c>
      <c r="L115" t="s">
        <v>2</v>
      </c>
      <c r="N115" t="s">
        <v>2</v>
      </c>
      <c r="O115" t="s">
        <v>2</v>
      </c>
      <c r="T115" t="s">
        <v>2</v>
      </c>
      <c r="AJ115">
        <f>COUNTIF(B115:AI115,"x")</f>
        <v>10</v>
      </c>
      <c r="AK115" t="str">
        <f>HYPERLINK("https://twitter.com/ByPeterBarzilai/status/813847629943672833","Twitter")</f>
        <v>Twitter</v>
      </c>
      <c r="AL115" s="1">
        <v>42731</v>
      </c>
    </row>
    <row r="116" spans="1:38">
      <c r="A116" t="s">
        <v>66</v>
      </c>
      <c r="C116" t="s">
        <v>2</v>
      </c>
      <c r="D116" t="s">
        <v>2</v>
      </c>
      <c r="E116" t="s">
        <v>2</v>
      </c>
      <c r="F116" t="s">
        <v>2</v>
      </c>
      <c r="L116" t="s">
        <v>2</v>
      </c>
      <c r="N116" t="s">
        <v>2</v>
      </c>
      <c r="AJ116">
        <f>COUNTIF(B116:AI116,"x")</f>
        <v>6</v>
      </c>
      <c r="AK116" t="s">
        <v>30</v>
      </c>
      <c r="AL116" s="3">
        <v>42731</v>
      </c>
    </row>
    <row r="117" spans="1:38">
      <c r="A117" t="s">
        <v>104</v>
      </c>
      <c r="B117" t="s">
        <v>2</v>
      </c>
      <c r="C117" t="s">
        <v>2</v>
      </c>
      <c r="D117" t="s">
        <v>2</v>
      </c>
      <c r="E117" t="s">
        <v>2</v>
      </c>
      <c r="H117" t="s">
        <v>2</v>
      </c>
      <c r="I117" t="s">
        <v>2</v>
      </c>
      <c r="J117" t="s">
        <v>2</v>
      </c>
      <c r="L117" t="s">
        <v>2</v>
      </c>
      <c r="N117" t="s">
        <v>2</v>
      </c>
      <c r="T117" t="s">
        <v>2</v>
      </c>
      <c r="AJ117">
        <f>COUNTIF(B117:AI117,"x")</f>
        <v>10</v>
      </c>
      <c r="AK117" t="str">
        <f>HYPERLINK("http://buffalonews.com/2016/12/27/mike-hall-fame-story/","Buffalo News")</f>
        <v>Buffalo News</v>
      </c>
      <c r="AL117" s="1">
        <v>42731</v>
      </c>
    </row>
    <row r="118" spans="1:38">
      <c r="A118" t="s">
        <v>148</v>
      </c>
      <c r="B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N118" t="s">
        <v>2</v>
      </c>
      <c r="T118" t="s">
        <v>2</v>
      </c>
      <c r="AJ118">
        <f>COUNTIF(B118:AI118,"x")</f>
        <v>9</v>
      </c>
      <c r="AK118" t="str">
        <f>HYPERLINK("http://www.washingtontimes.com/news/2016/dec/27/shame-barry-bonds-roger-clemens-hall-fame/","Washington Times")</f>
        <v>Washington Times</v>
      </c>
      <c r="AL118" s="1">
        <v>42731</v>
      </c>
    </row>
    <row r="119" spans="1:38">
      <c r="A119" t="s">
        <v>151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L119" t="s">
        <v>2</v>
      </c>
      <c r="M119" t="s">
        <v>2</v>
      </c>
      <c r="N119" t="s">
        <v>2</v>
      </c>
      <c r="P119" t="s">
        <v>2</v>
      </c>
      <c r="T119" t="s">
        <v>2</v>
      </c>
      <c r="AJ119">
        <f>COUNTIF(B119:AI119,"x")</f>
        <v>10</v>
      </c>
      <c r="AK119" t="str">
        <f>HYPERLINK("https://twitter.com/JackMagruder/status/813943992857468928","Twitter")</f>
        <v>Twitter</v>
      </c>
      <c r="AL119" s="1">
        <v>42731</v>
      </c>
    </row>
    <row r="120" spans="1:38">
      <c r="A120" t="s">
        <v>201</v>
      </c>
      <c r="B120" t="s">
        <v>2</v>
      </c>
      <c r="C120" t="s">
        <v>2</v>
      </c>
      <c r="D120" t="s">
        <v>2</v>
      </c>
      <c r="E120" t="s">
        <v>2</v>
      </c>
      <c r="H120" t="s">
        <v>2</v>
      </c>
      <c r="J120" t="s">
        <v>2</v>
      </c>
      <c r="L120" t="s">
        <v>2</v>
      </c>
      <c r="M120" t="s">
        <v>2</v>
      </c>
      <c r="N120" t="s">
        <v>2</v>
      </c>
      <c r="O120" t="s">
        <v>2</v>
      </c>
      <c r="AJ120">
        <f>COUNTIF(B120:AI120,"x")</f>
        <v>10</v>
      </c>
      <c r="AK120" t="str">
        <f>HYPERLINK("https://twitter.com/spriestle/status/813755075562762241","Twitter")</f>
        <v>Twitter</v>
      </c>
      <c r="AL120" s="1">
        <v>42731</v>
      </c>
    </row>
    <row r="121" spans="1:38">
      <c r="A121" t="s">
        <v>213</v>
      </c>
      <c r="B121" t="s">
        <v>2</v>
      </c>
      <c r="J121" t="s">
        <v>2</v>
      </c>
      <c r="L121" t="s">
        <v>2</v>
      </c>
      <c r="N121" t="s">
        <v>2</v>
      </c>
      <c r="O121" t="s">
        <v>2</v>
      </c>
      <c r="T121" t="s">
        <v>2</v>
      </c>
      <c r="AJ121">
        <f>COUNTIF(B121:AI121,"x")</f>
        <v>6</v>
      </c>
      <c r="AK121" t="s">
        <v>214</v>
      </c>
      <c r="AL121" s="1">
        <v>42731</v>
      </c>
    </row>
    <row r="122" spans="1:38">
      <c r="A122" t="s">
        <v>231</v>
      </c>
      <c r="B122" t="s">
        <v>2</v>
      </c>
      <c r="C122" t="s">
        <v>2</v>
      </c>
      <c r="D122" t="s">
        <v>2</v>
      </c>
      <c r="H122" t="s">
        <v>2</v>
      </c>
      <c r="J122" t="s">
        <v>2</v>
      </c>
      <c r="L122" t="s">
        <v>2</v>
      </c>
      <c r="M122" t="s">
        <v>2</v>
      </c>
      <c r="N122" t="s">
        <v>2</v>
      </c>
      <c r="O122" t="s">
        <v>2</v>
      </c>
      <c r="T122" t="s">
        <v>2</v>
      </c>
      <c r="AJ122">
        <f>COUNTIF(B122:AI122,"x")</f>
        <v>10</v>
      </c>
      <c r="AK122" t="str">
        <f>HYPERLINK("http://www.bostonherald.com/sports/red_sox/2016/12/silverman_here_s_my_hall_of_fame_ballot_and_manny_ramirez_name_is_on_it_for","Boston Herald")</f>
        <v>Boston Herald</v>
      </c>
      <c r="AL122" s="1">
        <v>42731</v>
      </c>
    </row>
    <row r="123" spans="1:38">
      <c r="A123" t="s">
        <v>3</v>
      </c>
      <c r="B123" t="s">
        <v>2</v>
      </c>
      <c r="F123" t="s">
        <v>2</v>
      </c>
      <c r="G123" t="s">
        <v>2</v>
      </c>
      <c r="H123" t="s">
        <v>2</v>
      </c>
      <c r="L123" t="s">
        <v>2</v>
      </c>
      <c r="N123" t="s">
        <v>2</v>
      </c>
      <c r="AJ123">
        <f>COUNTIF(B123:AI123,"x")</f>
        <v>6</v>
      </c>
      <c r="AK123" t="str">
        <f>HYPERLINK("http://www.marinij.com/sports/20161228/dave-albee-climate-changing-for-baseball-hall-of-fame-voting","Marin IJ")</f>
        <v>Marin IJ</v>
      </c>
      <c r="AL123" s="1">
        <v>42732</v>
      </c>
    </row>
    <row r="124" spans="1:38">
      <c r="A124" t="s">
        <v>7</v>
      </c>
      <c r="B124" t="s">
        <v>2</v>
      </c>
      <c r="E124" t="s">
        <v>2</v>
      </c>
      <c r="F124" t="s">
        <v>2</v>
      </c>
      <c r="H124" t="s">
        <v>2</v>
      </c>
      <c r="J124" t="s">
        <v>2</v>
      </c>
      <c r="K124" t="s">
        <v>2</v>
      </c>
      <c r="L124" t="s">
        <v>2</v>
      </c>
      <c r="N124" t="s">
        <v>2</v>
      </c>
      <c r="Q124" t="s">
        <v>2</v>
      </c>
      <c r="S124" t="s">
        <v>2</v>
      </c>
      <c r="AJ124">
        <f>COUNTIF(B124:AI124,"x")</f>
        <v>10</v>
      </c>
      <c r="AK124" t="s">
        <v>8</v>
      </c>
      <c r="AL124" s="1">
        <v>42732</v>
      </c>
    </row>
    <row r="125" spans="1:38">
      <c r="A125" t="s">
        <v>71</v>
      </c>
      <c r="B125" t="s">
        <v>2</v>
      </c>
      <c r="C125" t="s">
        <v>2</v>
      </c>
      <c r="D125" t="s">
        <v>2</v>
      </c>
      <c r="E125" t="s">
        <v>2</v>
      </c>
      <c r="H125" t="s">
        <v>2</v>
      </c>
      <c r="J125" t="s">
        <v>2</v>
      </c>
      <c r="L125" t="s">
        <v>2</v>
      </c>
      <c r="M125" t="s">
        <v>2</v>
      </c>
      <c r="N125" t="s">
        <v>2</v>
      </c>
      <c r="O125" t="s">
        <v>2</v>
      </c>
      <c r="AJ125">
        <f>COUNTIF(B125:AI125,"x")</f>
        <v>10</v>
      </c>
      <c r="AK125" t="str">
        <f>HYPERLINK("http://www.sportingnews.com/mlb/news/mlb-hall-of-fame-ballot-vote-voting-cooperstown-bonds-clemens-guerrero-raines-bagwell/o06v2lu6qlys1jpwr4ze3reur","Sporting News")</f>
        <v>Sporting News</v>
      </c>
      <c r="AL125" s="1">
        <v>42732</v>
      </c>
    </row>
    <row r="126" spans="1:38">
      <c r="A126" t="s">
        <v>177</v>
      </c>
      <c r="B126" t="s">
        <v>2</v>
      </c>
      <c r="C126" t="s">
        <v>2</v>
      </c>
      <c r="D126" t="s">
        <v>2</v>
      </c>
      <c r="E126" t="s">
        <v>2</v>
      </c>
      <c r="J126" t="s">
        <v>2</v>
      </c>
      <c r="L126" t="s">
        <v>2</v>
      </c>
      <c r="O126" t="s">
        <v>2</v>
      </c>
      <c r="AJ126">
        <f>COUNTIF(B126:AI126,"x")</f>
        <v>7</v>
      </c>
      <c r="AK126" t="str">
        <f>HYPERLINK("http://thebaldesttruth.blogspot.com/2016/12/mad-about-vlad-for-hall-of-fame-plus.html","The Baldest Truth")</f>
        <v>The Baldest Truth</v>
      </c>
      <c r="AL126" s="1">
        <v>42732</v>
      </c>
    </row>
    <row r="127" spans="1:38">
      <c r="A127" t="s">
        <v>196</v>
      </c>
      <c r="B127" t="s">
        <v>2</v>
      </c>
      <c r="C127" t="s">
        <v>2</v>
      </c>
      <c r="D127" t="s">
        <v>2</v>
      </c>
      <c r="E127" t="s">
        <v>2</v>
      </c>
      <c r="H127" t="s">
        <v>2</v>
      </c>
      <c r="J127" t="s">
        <v>2</v>
      </c>
      <c r="L127" t="s">
        <v>2</v>
      </c>
      <c r="N127" t="s">
        <v>2</v>
      </c>
      <c r="O127" t="s">
        <v>2</v>
      </c>
      <c r="T127" t="s">
        <v>2</v>
      </c>
      <c r="AJ127">
        <f>COUNTIF(B127:AI127,"x")</f>
        <v>10</v>
      </c>
      <c r="AK127" t="s">
        <v>11</v>
      </c>
      <c r="AL127" s="1">
        <v>42732</v>
      </c>
    </row>
    <row r="128" spans="1:38">
      <c r="A128" t="s">
        <v>248</v>
      </c>
      <c r="B128" t="s">
        <v>2</v>
      </c>
      <c r="C128" t="s">
        <v>2</v>
      </c>
      <c r="D128" t="s">
        <v>2</v>
      </c>
      <c r="E128" t="s">
        <v>2</v>
      </c>
      <c r="H128" t="s">
        <v>2</v>
      </c>
      <c r="N128" t="s">
        <v>2</v>
      </c>
      <c r="O128" t="s">
        <v>2</v>
      </c>
      <c r="P128" t="s">
        <v>2</v>
      </c>
      <c r="AJ128">
        <f>COUNTIF(B128:AI128,"x")</f>
        <v>8</v>
      </c>
      <c r="AK128" t="str">
        <f>HYPERLINK("https://twitter.com/jtomase/status/814319001417433088","Twitter")</f>
        <v>Twitter</v>
      </c>
      <c r="AL128" s="1">
        <v>42732</v>
      </c>
    </row>
    <row r="129" spans="1:38">
      <c r="A129" t="s">
        <v>63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H129" t="s">
        <v>2</v>
      </c>
      <c r="L129" t="s">
        <v>2</v>
      </c>
      <c r="M129" t="s">
        <v>2</v>
      </c>
      <c r="N129" t="s">
        <v>2</v>
      </c>
      <c r="R129" t="s">
        <v>2</v>
      </c>
      <c r="AJ129">
        <f>COUNTIF(B129:AI129,"x")</f>
        <v>10</v>
      </c>
      <c r="AK129" t="str">
        <f>HYPERLINK("https://twitter.com/ChrisDeLuca/status/814535579463520256","Twitter")</f>
        <v>Twitter</v>
      </c>
      <c r="AL129" s="1">
        <v>42733</v>
      </c>
    </row>
    <row r="130" spans="1:38">
      <c r="A130" t="s">
        <v>131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  <c r="H130" t="s">
        <v>2</v>
      </c>
      <c r="J130" t="s">
        <v>2</v>
      </c>
      <c r="L130" t="s">
        <v>2</v>
      </c>
      <c r="N130" t="s">
        <v>2</v>
      </c>
      <c r="O130" t="s">
        <v>2</v>
      </c>
      <c r="AJ130">
        <f>COUNTIF(B130:AI130,"x")</f>
        <v>10</v>
      </c>
      <c r="AK130" t="str">
        <f>HYPERLINK("http://bleacherreport.com/articles/2683714-these-mlb-stars-are-the-only-ones-worthy-of-2017-hof-enshrinement","Bleacher Report")</f>
        <v>Bleacher Report</v>
      </c>
      <c r="AL130" s="1">
        <v>42733</v>
      </c>
    </row>
    <row r="131" spans="1:38">
      <c r="A131" t="s">
        <v>141</v>
      </c>
      <c r="B131" t="s">
        <v>2</v>
      </c>
      <c r="C131" t="s">
        <v>2</v>
      </c>
      <c r="D131" t="s">
        <v>2</v>
      </c>
      <c r="E131" t="s">
        <v>2</v>
      </c>
      <c r="H131" t="s">
        <v>2</v>
      </c>
      <c r="J131" t="s">
        <v>2</v>
      </c>
      <c r="L131" t="s">
        <v>2</v>
      </c>
      <c r="N131" t="s">
        <v>2</v>
      </c>
      <c r="O131" t="s">
        <v>2</v>
      </c>
      <c r="S131" t="s">
        <v>2</v>
      </c>
      <c r="AJ131">
        <f>COUNTIF(B131:AI131,"x")</f>
        <v>10</v>
      </c>
      <c r="AK131" t="str">
        <f>HYPERLINK("https://www.facebook.com/lauberscott/photos/a.1483142572004409.1073741827.1483138842004782/1733205110331486/?type=3&amp;theater","Facebook")</f>
        <v>Facebook</v>
      </c>
      <c r="AL131" s="1">
        <v>42733</v>
      </c>
    </row>
    <row r="132" spans="1:38">
      <c r="A132" t="s">
        <v>173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  <c r="H132" t="s">
        <v>2</v>
      </c>
      <c r="J132" t="s">
        <v>2</v>
      </c>
      <c r="L132" t="s">
        <v>2</v>
      </c>
      <c r="N132" t="s">
        <v>2</v>
      </c>
      <c r="O132" t="s">
        <v>2</v>
      </c>
      <c r="AJ132">
        <f>COUNTIF(B132:AI132,"x")</f>
        <v>10</v>
      </c>
      <c r="AK132" t="str">
        <f>HYPERLINK("http://m.mlb.com/news/article/212483252/jon-paul-morosis-2017-hall-of-fame-ballot/","MLB.com")</f>
        <v>MLB.com</v>
      </c>
      <c r="AL132" s="1">
        <v>42733</v>
      </c>
    </row>
    <row r="133" spans="1:38">
      <c r="A133" t="s">
        <v>17</v>
      </c>
      <c r="B133" t="s">
        <v>2</v>
      </c>
      <c r="E133" t="s">
        <v>2</v>
      </c>
      <c r="F133" t="s">
        <v>2</v>
      </c>
      <c r="G133" t="s">
        <v>2</v>
      </c>
      <c r="H133" t="s">
        <v>2</v>
      </c>
      <c r="J133" t="s">
        <v>2</v>
      </c>
      <c r="L133" t="s">
        <v>2</v>
      </c>
      <c r="N133" t="s">
        <v>2</v>
      </c>
      <c r="O133" t="s">
        <v>2</v>
      </c>
      <c r="AJ133">
        <f>COUNTIF(B133:AI133,"x")</f>
        <v>9</v>
      </c>
      <c r="AK133" t="str">
        <f>HYPERLINK("https://twitter.com/MikeBassomatic/status/814898837550727168","Twitter")</f>
        <v>Twitter</v>
      </c>
      <c r="AL133" s="1">
        <v>42734</v>
      </c>
    </row>
    <row r="134" spans="1:38">
      <c r="A134" t="s">
        <v>29</v>
      </c>
      <c r="B134" t="s">
        <v>2</v>
      </c>
      <c r="F134" t="s">
        <v>2</v>
      </c>
      <c r="H134" t="s">
        <v>2</v>
      </c>
      <c r="J134" t="s">
        <v>2</v>
      </c>
      <c r="L134" t="s">
        <v>2</v>
      </c>
      <c r="N134" t="s">
        <v>2</v>
      </c>
      <c r="O134" t="s">
        <v>2</v>
      </c>
      <c r="AJ134">
        <f>COUNTIF(B134:AI134,"x")</f>
        <v>7</v>
      </c>
      <c r="AK134" t="s">
        <v>30</v>
      </c>
      <c r="AL134" s="1">
        <v>42734</v>
      </c>
    </row>
    <row r="135" spans="1:38">
      <c r="A135" t="s">
        <v>48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H135" t="s">
        <v>2</v>
      </c>
      <c r="J135" t="s">
        <v>2</v>
      </c>
      <c r="L135" t="s">
        <v>2</v>
      </c>
      <c r="N135" t="s">
        <v>2</v>
      </c>
      <c r="R135" t="s">
        <v>2</v>
      </c>
      <c r="AJ135">
        <f>COUNTIF(B135:AI135,"x")</f>
        <v>10</v>
      </c>
      <c r="AK135" t="str">
        <f>HYPERLINK("https://tiempoextrarob.wordpress.com/2016/12/30/ivan-rodriguez-y-guerrero-encabezan-mi-boleta-del-2017/","Tiempo Extra")</f>
        <v>Tiempo Extra</v>
      </c>
      <c r="AL135" s="1">
        <v>42734</v>
      </c>
    </row>
    <row r="136" spans="1:38">
      <c r="A136" t="s">
        <v>53</v>
      </c>
      <c r="B136" t="s">
        <v>2</v>
      </c>
      <c r="C136" t="s">
        <v>2</v>
      </c>
      <c r="D136" t="s">
        <v>2</v>
      </c>
      <c r="E136" t="s">
        <v>2</v>
      </c>
      <c r="G136" t="s">
        <v>2</v>
      </c>
      <c r="H136" t="s">
        <v>2</v>
      </c>
      <c r="L136" t="s">
        <v>2</v>
      </c>
      <c r="N136" t="s">
        <v>2</v>
      </c>
      <c r="O136" t="s">
        <v>2</v>
      </c>
      <c r="T136" t="s">
        <v>2</v>
      </c>
      <c r="AJ136">
        <f>COUNTIF(B136:AI136,"x")</f>
        <v>10</v>
      </c>
      <c r="AK136" t="str">
        <f>HYPERLINK("https://twitter.com/TimCowlishaw/status/814844696212209669","Twitter")</f>
        <v>Twitter</v>
      </c>
      <c r="AL136" s="1">
        <v>42734</v>
      </c>
    </row>
    <row r="137" spans="1:38">
      <c r="A137" t="s">
        <v>54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H137" t="s">
        <v>2</v>
      </c>
      <c r="J137" t="s">
        <v>2</v>
      </c>
      <c r="L137" t="s">
        <v>2</v>
      </c>
      <c r="N137" t="s">
        <v>2</v>
      </c>
      <c r="O137" t="s">
        <v>2</v>
      </c>
      <c r="AJ137">
        <f>COUNTIF(B137:AI137,"x")</f>
        <v>10</v>
      </c>
      <c r="AK137" t="str">
        <f>HYPERLINK("https://twitter.com/jcrasnick/status/814901696040202240","Twitter")</f>
        <v>Twitter</v>
      </c>
      <c r="AL137" s="1">
        <v>42734</v>
      </c>
    </row>
    <row r="138" spans="1:38">
      <c r="A138" t="s">
        <v>73</v>
      </c>
      <c r="B138" t="s">
        <v>2</v>
      </c>
      <c r="C138" t="s">
        <v>2</v>
      </c>
      <c r="D138" t="s">
        <v>2</v>
      </c>
      <c r="F138" t="s">
        <v>2</v>
      </c>
      <c r="H138" t="s">
        <v>2</v>
      </c>
      <c r="J138" t="s">
        <v>2</v>
      </c>
      <c r="L138" t="s">
        <v>2</v>
      </c>
      <c r="N138" t="s">
        <v>2</v>
      </c>
      <c r="O138" t="s">
        <v>2</v>
      </c>
      <c r="T138" t="s">
        <v>2</v>
      </c>
      <c r="AJ138">
        <f>COUNTIF(B138:AI138,"x")</f>
        <v>10</v>
      </c>
      <c r="AK138" t="str">
        <f>HYPERLINK("http://www.wcpo.com/news/insider/fay-its-finally-time-to-vote-for-barry-bonds-roger-clemens-on-baseball-hall-of-fame-ballot","WCPO.com")</f>
        <v>WCPO.com</v>
      </c>
      <c r="AL138" s="1">
        <v>42734</v>
      </c>
    </row>
    <row r="139" spans="1:38">
      <c r="A139" t="s">
        <v>102</v>
      </c>
      <c r="B139" t="s">
        <v>2</v>
      </c>
      <c r="E139" t="s">
        <v>2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L139" t="s">
        <v>2</v>
      </c>
      <c r="O139" t="s">
        <v>2</v>
      </c>
      <c r="S139" t="s">
        <v>2</v>
      </c>
      <c r="AJ139">
        <f>COUNTIF(B139:AI139,"x")</f>
        <v>10</v>
      </c>
      <c r="AK139" t="s">
        <v>103</v>
      </c>
      <c r="AL139" s="1">
        <v>42734</v>
      </c>
    </row>
    <row r="140" spans="1:38">
      <c r="A140" t="s">
        <v>155</v>
      </c>
      <c r="B140" t="s">
        <v>2</v>
      </c>
      <c r="C140" t="s">
        <v>2</v>
      </c>
      <c r="D140" t="s">
        <v>2</v>
      </c>
      <c r="H140" t="s">
        <v>2</v>
      </c>
      <c r="J140" t="s">
        <v>2</v>
      </c>
      <c r="L140" t="s">
        <v>2</v>
      </c>
      <c r="N140" t="s">
        <v>2</v>
      </c>
      <c r="P140" t="s">
        <v>2</v>
      </c>
      <c r="T140" t="s">
        <v>2</v>
      </c>
      <c r="AJ140">
        <f>COUNTIF(B140:AI140,"x")</f>
        <v>9</v>
      </c>
      <c r="AK140" t="s">
        <v>27</v>
      </c>
      <c r="AL140" s="1">
        <v>42734</v>
      </c>
    </row>
    <row r="141" spans="1:38">
      <c r="A141" t="s">
        <v>202</v>
      </c>
      <c r="B141" t="s">
        <v>2</v>
      </c>
      <c r="C141" t="s">
        <v>2</v>
      </c>
      <c r="D141" t="s">
        <v>2</v>
      </c>
      <c r="E141" t="s">
        <v>2</v>
      </c>
      <c r="H141" t="s">
        <v>2</v>
      </c>
      <c r="J141" t="s">
        <v>2</v>
      </c>
      <c r="L141" t="s">
        <v>2</v>
      </c>
      <c r="N141" t="s">
        <v>2</v>
      </c>
      <c r="O141" t="s">
        <v>2</v>
      </c>
      <c r="S141" t="s">
        <v>2</v>
      </c>
      <c r="AJ141">
        <f>COUNTIF(B141:AI141,"x")</f>
        <v>10</v>
      </c>
      <c r="AK141" t="str">
        <f>HYPERLINK("https://twitter.com/NYPost_Mets/status/814893731484667904","Twitter")</f>
        <v>Twitter</v>
      </c>
      <c r="AL141" s="1">
        <v>42734</v>
      </c>
    </row>
    <row r="142" spans="1:38">
      <c r="A142" t="s">
        <v>239</v>
      </c>
      <c r="B142" t="s">
        <v>2</v>
      </c>
      <c r="E142" t="s">
        <v>2</v>
      </c>
      <c r="F142" t="s">
        <v>2</v>
      </c>
      <c r="H142" t="s">
        <v>2</v>
      </c>
      <c r="J142" t="s">
        <v>2</v>
      </c>
      <c r="L142" t="s">
        <v>2</v>
      </c>
      <c r="N142" t="s">
        <v>2</v>
      </c>
      <c r="O142" t="s">
        <v>2</v>
      </c>
      <c r="Q142" t="s">
        <v>2</v>
      </c>
      <c r="AJ142">
        <f>COUNTIF(B142:AI142,"x")</f>
        <v>9</v>
      </c>
      <c r="AK142" t="str">
        <f>HYPERLINK("https://twitter.com/arniestapleton/status/815012603353305088","Twitter")</f>
        <v>Twitter</v>
      </c>
      <c r="AL142" s="1">
        <v>42734</v>
      </c>
    </row>
    <row r="143" spans="1:38">
      <c r="A143" t="s">
        <v>258</v>
      </c>
      <c r="B143" t="s">
        <v>2</v>
      </c>
      <c r="C143" t="s">
        <v>2</v>
      </c>
      <c r="D143" t="s">
        <v>2</v>
      </c>
      <c r="E143" t="s">
        <v>2</v>
      </c>
      <c r="L143" t="s">
        <v>2</v>
      </c>
      <c r="M143" t="s">
        <v>2</v>
      </c>
      <c r="N143" t="s">
        <v>2</v>
      </c>
      <c r="R143" t="s">
        <v>2</v>
      </c>
      <c r="AJ143">
        <f>COUNTIF(B143:AI143,"x")</f>
        <v>8</v>
      </c>
      <c r="AK143" t="s">
        <v>11</v>
      </c>
      <c r="AL143" s="1">
        <v>42734</v>
      </c>
    </row>
    <row r="144" spans="1:38">
      <c r="A144" t="s">
        <v>89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H144" t="s">
        <v>2</v>
      </c>
      <c r="L144" t="s">
        <v>2</v>
      </c>
      <c r="N144" t="s">
        <v>2</v>
      </c>
      <c r="Q144" t="s">
        <v>2</v>
      </c>
      <c r="T144" t="s">
        <v>2</v>
      </c>
      <c r="AJ144">
        <f>COUNTIF(B144:AI144,"x")</f>
        <v>10</v>
      </c>
      <c r="AK144" t="str">
        <f>HYPERLINK("https://twitter.com/pgraham34/status/815325437672861696","Twitter")</f>
        <v>Twitter</v>
      </c>
      <c r="AL144" s="1">
        <v>42735</v>
      </c>
    </row>
    <row r="145" spans="1:38">
      <c r="A145" t="s">
        <v>127</v>
      </c>
      <c r="B145" t="s">
        <v>2</v>
      </c>
      <c r="C145" t="s">
        <v>2</v>
      </c>
      <c r="D145" t="s">
        <v>2</v>
      </c>
      <c r="F145" t="s">
        <v>2</v>
      </c>
      <c r="H145" t="s">
        <v>2</v>
      </c>
      <c r="I145" t="s">
        <v>2</v>
      </c>
      <c r="L145" t="s">
        <v>2</v>
      </c>
      <c r="N145" t="s">
        <v>2</v>
      </c>
      <c r="O145" t="s">
        <v>2</v>
      </c>
      <c r="P145" t="s">
        <v>2</v>
      </c>
      <c r="AJ145">
        <f>COUNTIF(B145:AI145,"x")</f>
        <v>10</v>
      </c>
      <c r="AK145" t="str">
        <f>HYPERLINK("https://www.instagram.com/p/BOtZgKCDjVn/","Instagram")</f>
        <v>Instagram</v>
      </c>
      <c r="AL145" s="1">
        <v>42735</v>
      </c>
    </row>
    <row r="146" spans="1:38">
      <c r="A146" t="s">
        <v>133</v>
      </c>
      <c r="E146" t="s">
        <v>2</v>
      </c>
      <c r="F146" t="s">
        <v>2</v>
      </c>
      <c r="L146" t="s">
        <v>2</v>
      </c>
      <c r="AJ146">
        <f>COUNTIF(B146:AI146,"x")</f>
        <v>3</v>
      </c>
      <c r="AK146" t="s">
        <v>5</v>
      </c>
      <c r="AL146" s="1">
        <v>42735</v>
      </c>
    </row>
    <row r="147" spans="1:38">
      <c r="A147" t="s">
        <v>171</v>
      </c>
      <c r="B147" t="s">
        <v>2</v>
      </c>
      <c r="E147" t="s">
        <v>2</v>
      </c>
      <c r="F147" t="s">
        <v>2</v>
      </c>
      <c r="I147" t="s">
        <v>2</v>
      </c>
      <c r="L147" t="s">
        <v>2</v>
      </c>
      <c r="N147" t="s">
        <v>2</v>
      </c>
      <c r="P147" t="s">
        <v>2</v>
      </c>
      <c r="Q147" t="s">
        <v>2</v>
      </c>
      <c r="AJ147">
        <f>COUNTIF(B147:AI147,"x")</f>
        <v>8</v>
      </c>
      <c r="AK147" t="str">
        <f>HYPERLINK("http://m.mlb.com/news/article/212565674/jeff-bagwells-stats-deserve-hall-of-fame-vote/","MLB.com")</f>
        <v>MLB.com</v>
      </c>
      <c r="AL147" s="1">
        <v>42735</v>
      </c>
    </row>
    <row r="148" spans="1:38">
      <c r="A148" t="s">
        <v>186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H148" t="s">
        <v>2</v>
      </c>
      <c r="J148" t="s">
        <v>2</v>
      </c>
      <c r="L148" t="s">
        <v>2</v>
      </c>
      <c r="M148" t="s">
        <v>2</v>
      </c>
      <c r="N148" t="s">
        <v>2</v>
      </c>
      <c r="AJ148">
        <f>COUNTIF(B148:AI148,"x")</f>
        <v>10</v>
      </c>
      <c r="AK148" t="str">
        <f>HYPERLINK("https://twitter.com/DougPadilla/status/815092256281530368","Twitter")</f>
        <v>Twitter</v>
      </c>
      <c r="AL148" s="1">
        <v>42735</v>
      </c>
    </row>
    <row r="149" spans="1:38">
      <c r="A149" t="s">
        <v>194</v>
      </c>
      <c r="B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L149" t="s">
        <v>2</v>
      </c>
      <c r="O149" t="s">
        <v>2</v>
      </c>
      <c r="T149" t="s">
        <v>2</v>
      </c>
      <c r="AJ149">
        <f>COUNTIF(B149:AI149,"x")</f>
        <v>10</v>
      </c>
      <c r="AK149" t="s">
        <v>5</v>
      </c>
      <c r="AL149" s="1">
        <v>42735</v>
      </c>
    </row>
    <row r="150" spans="1:38">
      <c r="A150" t="s">
        <v>220</v>
      </c>
      <c r="B150" t="s">
        <v>2</v>
      </c>
      <c r="C150" t="s">
        <v>2</v>
      </c>
      <c r="D150" t="s">
        <v>2</v>
      </c>
      <c r="E150" t="s">
        <v>2</v>
      </c>
      <c r="F150" t="s">
        <v>2</v>
      </c>
      <c r="H150" t="s">
        <v>2</v>
      </c>
      <c r="N150" t="s">
        <v>2</v>
      </c>
      <c r="O150" t="s">
        <v>2</v>
      </c>
      <c r="AJ150">
        <f>COUNTIF(B150:AI150,"x")</f>
        <v>8</v>
      </c>
      <c r="AK150" t="str">
        <f>HYPERLINK("https://twitter.com/RogRubin/status/815253749979578372","Twitter")</f>
        <v>Twitter</v>
      </c>
      <c r="AL150" s="1">
        <v>42735</v>
      </c>
    </row>
    <row r="151" spans="1:38">
      <c r="A151" t="s">
        <v>57</v>
      </c>
      <c r="B151" t="s">
        <v>2</v>
      </c>
      <c r="L151" t="s">
        <v>2</v>
      </c>
      <c r="N151" t="s">
        <v>2</v>
      </c>
      <c r="P151" t="s">
        <v>2</v>
      </c>
      <c r="AJ151">
        <f>COUNTIF(B151:AI151,"x")</f>
        <v>4</v>
      </c>
      <c r="AK151" t="str">
        <f>HYPERLINK("https://twitter.com/EnquirerDoc/status/816134645444202497","Twitter")</f>
        <v>Twitter</v>
      </c>
      <c r="AL151" s="1">
        <v>42737</v>
      </c>
    </row>
    <row r="152" spans="1:38">
      <c r="A152" t="s">
        <v>65</v>
      </c>
      <c r="E152" t="s">
        <v>2</v>
      </c>
      <c r="F152" t="s">
        <v>2</v>
      </c>
      <c r="L152" t="s">
        <v>2</v>
      </c>
      <c r="AJ152">
        <f>COUNTIF(B152:AI152,"x")</f>
        <v>3</v>
      </c>
      <c r="AK152" t="str">
        <f>HYPERLINK("https://twitter.com/stevedilbeck/status/816009339248877568","Twitter")</f>
        <v>Twitter</v>
      </c>
      <c r="AL152" s="1">
        <v>42737</v>
      </c>
    </row>
    <row r="153" spans="1:38">
      <c r="A153" t="s">
        <v>80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H153" t="s">
        <v>2</v>
      </c>
      <c r="J153" t="s">
        <v>2</v>
      </c>
      <c r="L153" t="s">
        <v>2</v>
      </c>
      <c r="N153" t="s">
        <v>2</v>
      </c>
      <c r="O153" t="s">
        <v>2</v>
      </c>
      <c r="AJ153">
        <f>COUNTIF(B153:AI153,"x")</f>
        <v>10</v>
      </c>
      <c r="AK153" t="str">
        <f>HYPERLINK("http://www.gammonsdaily.com/peter-gammons-the-hall-of-fame-ballot/","Gammons Daily")</f>
        <v>Gammons Daily</v>
      </c>
      <c r="AL153" s="1">
        <v>42737</v>
      </c>
    </row>
    <row r="154" spans="1:38">
      <c r="A154" t="s">
        <v>81</v>
      </c>
      <c r="B154" t="s">
        <v>2</v>
      </c>
      <c r="C154" t="s">
        <v>2</v>
      </c>
      <c r="D154" t="s">
        <v>2</v>
      </c>
      <c r="E154" t="s">
        <v>2</v>
      </c>
      <c r="F154" t="s">
        <v>2</v>
      </c>
      <c r="L154" t="s">
        <v>2</v>
      </c>
      <c r="O154" t="s">
        <v>2</v>
      </c>
      <c r="AJ154">
        <f>COUNTIF(B154:AI154,"x")</f>
        <v>7</v>
      </c>
      <c r="AK154" t="str">
        <f>HYPERLINK("https://twitter.com/APgelston/status/815784735121305601","Twitter")</f>
        <v>Twitter</v>
      </c>
      <c r="AL154" s="1">
        <v>42737</v>
      </c>
    </row>
    <row r="155" spans="1:38">
      <c r="A155" t="s">
        <v>142</v>
      </c>
      <c r="B155" t="s">
        <v>2</v>
      </c>
      <c r="C155" t="s">
        <v>2</v>
      </c>
      <c r="D155" t="s">
        <v>2</v>
      </c>
      <c r="F155" t="s">
        <v>2</v>
      </c>
      <c r="H155" t="s">
        <v>2</v>
      </c>
      <c r="J155" t="s">
        <v>2</v>
      </c>
      <c r="L155" t="s">
        <v>2</v>
      </c>
      <c r="M155" t="s">
        <v>2</v>
      </c>
      <c r="N155" t="s">
        <v>2</v>
      </c>
      <c r="O155" t="s">
        <v>2</v>
      </c>
      <c r="AJ155">
        <f>COUNTIF(B155:AI155,"x")</f>
        <v>10</v>
      </c>
      <c r="AK155" t="str">
        <f>HYPERLINK("https://twitter.com/gilebreton/status/815980292687200256","Twitter")</f>
        <v>Twitter</v>
      </c>
      <c r="AL155" s="1">
        <v>42737</v>
      </c>
    </row>
    <row r="156" spans="1:38">
      <c r="A156" t="s">
        <v>235</v>
      </c>
      <c r="C156" t="s">
        <v>2</v>
      </c>
      <c r="D156" t="s">
        <v>2</v>
      </c>
      <c r="H156" t="s">
        <v>2</v>
      </c>
      <c r="J156" t="s">
        <v>2</v>
      </c>
      <c r="L156" t="s">
        <v>2</v>
      </c>
      <c r="M156" t="s">
        <v>2</v>
      </c>
      <c r="N156" t="s">
        <v>2</v>
      </c>
      <c r="Q156" t="s">
        <v>2</v>
      </c>
      <c r="S156" t="s">
        <v>2</v>
      </c>
      <c r="AJ156">
        <f>COUNTIF(B156:AI156,"x")</f>
        <v>9</v>
      </c>
      <c r="AK156" t="s">
        <v>5</v>
      </c>
      <c r="AL156" s="1">
        <v>42737</v>
      </c>
    </row>
    <row r="157" spans="1:38">
      <c r="A157" t="s">
        <v>87</v>
      </c>
      <c r="B157" t="s">
        <v>2</v>
      </c>
      <c r="E157" t="s">
        <v>2</v>
      </c>
      <c r="F157" t="s">
        <v>2</v>
      </c>
      <c r="H157" t="s">
        <v>2</v>
      </c>
      <c r="J157" t="s">
        <v>2</v>
      </c>
      <c r="L157" t="s">
        <v>2</v>
      </c>
      <c r="N157" t="s">
        <v>2</v>
      </c>
      <c r="O157" t="s">
        <v>2</v>
      </c>
      <c r="Q157" t="s">
        <v>2</v>
      </c>
      <c r="T157" t="s">
        <v>2</v>
      </c>
      <c r="AJ157">
        <f>COUNTIF(B157:AI157,"x")</f>
        <v>10</v>
      </c>
      <c r="AK157" t="str">
        <f>HYPERLINK("http://sports.live.stltoday.com/Event/Cardinals_chat_with_Derrick_Goold_b95f057d6e73?Page=0","StL Post Dispatch")</f>
        <v>StL Post Dispatch</v>
      </c>
      <c r="AL157" s="1">
        <v>42738</v>
      </c>
    </row>
    <row r="158" spans="1:38">
      <c r="A158" t="s">
        <v>113</v>
      </c>
      <c r="C158" t="s">
        <v>2</v>
      </c>
      <c r="E158" t="s">
        <v>2</v>
      </c>
      <c r="F158" t="s">
        <v>2</v>
      </c>
      <c r="H158" t="s">
        <v>2</v>
      </c>
      <c r="I158" t="s">
        <v>2</v>
      </c>
      <c r="J158" t="s">
        <v>2</v>
      </c>
      <c r="K158" t="s">
        <v>2</v>
      </c>
      <c r="L158" t="s">
        <v>2</v>
      </c>
      <c r="N158" t="s">
        <v>2</v>
      </c>
      <c r="Q158" t="s">
        <v>2</v>
      </c>
      <c r="AJ158">
        <f>COUNTIF(B158:AI158,"x")</f>
        <v>10</v>
      </c>
      <c r="AK158" t="str">
        <f>HYPERLINK("http://www.fanragsports.com/mlb/heymans-hall-fame-thoughts-bonds-bagwell-ballot/","Fanrag Sports")</f>
        <v>Fanrag Sports</v>
      </c>
      <c r="AL158" s="1">
        <v>42738</v>
      </c>
    </row>
    <row r="159" spans="1:38">
      <c r="A159" t="s">
        <v>143</v>
      </c>
      <c r="B159" t="s">
        <v>2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L159" t="s">
        <v>2</v>
      </c>
      <c r="N159" t="s">
        <v>2</v>
      </c>
      <c r="O159" t="s">
        <v>2</v>
      </c>
      <c r="Q159" t="s">
        <v>2</v>
      </c>
      <c r="AJ159">
        <f>COUNTIF(B159:AI159,"x")</f>
        <v>10</v>
      </c>
      <c r="AK159" t="s">
        <v>30</v>
      </c>
      <c r="AL159" s="1">
        <v>42738</v>
      </c>
    </row>
    <row r="160" spans="1:38">
      <c r="A160" t="s">
        <v>149</v>
      </c>
      <c r="B160" t="s">
        <v>2</v>
      </c>
      <c r="C160" t="s">
        <v>2</v>
      </c>
      <c r="D160" t="s">
        <v>2</v>
      </c>
      <c r="F160" t="s">
        <v>2</v>
      </c>
      <c r="G160" t="s">
        <v>2</v>
      </c>
      <c r="L160" t="s">
        <v>2</v>
      </c>
      <c r="P160" t="s">
        <v>2</v>
      </c>
      <c r="Q160" t="s">
        <v>2</v>
      </c>
      <c r="R160" t="s">
        <v>2</v>
      </c>
      <c r="S160" t="s">
        <v>2</v>
      </c>
      <c r="AJ160">
        <f>COUNTIF(B160:AI160,"x")</f>
        <v>10</v>
      </c>
      <c r="AK160" t="s">
        <v>27</v>
      </c>
      <c r="AL160" s="1">
        <v>42738</v>
      </c>
    </row>
    <row r="161" spans="1:38">
      <c r="A161" t="s">
        <v>179</v>
      </c>
      <c r="B161" t="s">
        <v>2</v>
      </c>
      <c r="C161" t="s">
        <v>2</v>
      </c>
      <c r="D161" t="s">
        <v>2</v>
      </c>
      <c r="E161" t="s">
        <v>2</v>
      </c>
      <c r="F161" t="s">
        <v>2</v>
      </c>
      <c r="I161" t="s">
        <v>2</v>
      </c>
      <c r="L161" t="s">
        <v>2</v>
      </c>
      <c r="N161" t="s">
        <v>2</v>
      </c>
      <c r="P161" t="s">
        <v>2</v>
      </c>
      <c r="R161" t="s">
        <v>2</v>
      </c>
      <c r="AJ161">
        <f>COUNTIF(B161:AI161,"x")</f>
        <v>10</v>
      </c>
      <c r="AK161" t="str">
        <f>HYPERLINK("http://www.usatoday.com/story/sports/mlb/columnist/bob-nightengale/2017/01/03/barry-bonds-roger-clemens-hall-of-fame/96099982/","USA Today")</f>
        <v>USA Today</v>
      </c>
      <c r="AL161" s="1">
        <v>42738</v>
      </c>
    </row>
    <row r="162" spans="1:38">
      <c r="A162" t="s">
        <v>38</v>
      </c>
      <c r="B162" t="s">
        <v>2</v>
      </c>
      <c r="E162" t="s">
        <v>2</v>
      </c>
      <c r="F162" t="s">
        <v>2</v>
      </c>
      <c r="G162" t="s">
        <v>2</v>
      </c>
      <c r="H162" t="s">
        <v>2</v>
      </c>
      <c r="L162" t="s">
        <v>2</v>
      </c>
      <c r="N162" t="s">
        <v>2</v>
      </c>
      <c r="S162" t="s">
        <v>2</v>
      </c>
      <c r="AJ162">
        <f>COUNTIF(B162:AI162,"x")</f>
        <v>8</v>
      </c>
      <c r="AK162" t="str">
        <f>HYPERLINK("https://www.facebook.com/photo.php?fbid=1552959358051522&amp;set=a.157746237572848.38809.100000124183309&amp;type=3&amp;theater","Facebook")</f>
        <v>Facebook</v>
      </c>
      <c r="AL162" s="1">
        <v>42739</v>
      </c>
    </row>
    <row r="163" spans="1:38">
      <c r="A163" t="s">
        <v>43</v>
      </c>
      <c r="B163" t="s">
        <v>2</v>
      </c>
      <c r="C163" t="s">
        <v>2</v>
      </c>
      <c r="D163" t="s">
        <v>2</v>
      </c>
      <c r="F163" t="s">
        <v>2</v>
      </c>
      <c r="H163" t="s">
        <v>2</v>
      </c>
      <c r="I163" t="s">
        <v>2</v>
      </c>
      <c r="J163" t="s">
        <v>2</v>
      </c>
      <c r="L163" t="s">
        <v>2</v>
      </c>
      <c r="P163" t="s">
        <v>2</v>
      </c>
      <c r="Q163" t="s">
        <v>2</v>
      </c>
      <c r="AJ163">
        <f>COUNTIF(B163:AI163,"x")</f>
        <v>10</v>
      </c>
      <c r="AK163" t="str">
        <f>HYPERLINK("https://twitter.com/johncanzanobft/status/816872239584808961","Twitter")</f>
        <v>Twitter</v>
      </c>
      <c r="AL163" s="1">
        <v>42739</v>
      </c>
    </row>
    <row r="164" spans="1:38">
      <c r="A164" t="s">
        <v>62</v>
      </c>
      <c r="B164" t="s">
        <v>2</v>
      </c>
      <c r="F164" t="s">
        <v>2</v>
      </c>
      <c r="H164" t="s">
        <v>2</v>
      </c>
      <c r="I164" t="s">
        <v>2</v>
      </c>
      <c r="J164" t="s">
        <v>2</v>
      </c>
      <c r="L164" t="s">
        <v>2</v>
      </c>
      <c r="Q164" t="s">
        <v>2</v>
      </c>
      <c r="AJ164">
        <f>COUNTIF(B164:AI164,"x")</f>
        <v>7</v>
      </c>
      <c r="AK164" t="str">
        <f>HYPERLINK("http://www.newyorkmetsreport.com/2017/01/03/my-hall-of-fame-ballot-2/","New York Mets Report")</f>
        <v>New York Mets Report</v>
      </c>
      <c r="AL164" s="1">
        <v>42739</v>
      </c>
    </row>
    <row r="165" spans="1:38">
      <c r="A165" t="s">
        <v>1</v>
      </c>
      <c r="B165" t="s">
        <v>2</v>
      </c>
      <c r="C165" t="s">
        <v>2</v>
      </c>
      <c r="D165" t="s">
        <v>2</v>
      </c>
      <c r="E165" t="s">
        <v>2</v>
      </c>
      <c r="H165" t="s">
        <v>2</v>
      </c>
      <c r="J165" t="s">
        <v>2</v>
      </c>
      <c r="L165" t="s">
        <v>2</v>
      </c>
      <c r="N165" t="s">
        <v>2</v>
      </c>
      <c r="O165" t="s">
        <v>2</v>
      </c>
      <c r="AJ165">
        <f>COUNTIF(B165:AI165,"x")</f>
        <v>9</v>
      </c>
      <c r="AK165" t="str">
        <f>HYPERLINK("http://apps.bostonglobe.com/sports/graphics/2017/01/baseball-hof/","Boston Globe")</f>
        <v>Boston Globe</v>
      </c>
      <c r="AL165" s="1">
        <v>42740</v>
      </c>
    </row>
    <row r="166" spans="1:38">
      <c r="A166" t="s">
        <v>39</v>
      </c>
      <c r="B166" t="s">
        <v>2</v>
      </c>
      <c r="C166" t="s">
        <v>2</v>
      </c>
      <c r="D166" t="s">
        <v>2</v>
      </c>
      <c r="F166" t="s">
        <v>2</v>
      </c>
      <c r="G166" t="s">
        <v>2</v>
      </c>
      <c r="J166" t="s">
        <v>2</v>
      </c>
      <c r="L166" t="s">
        <v>2</v>
      </c>
      <c r="N166" t="s">
        <v>2</v>
      </c>
      <c r="O166" t="s">
        <v>2</v>
      </c>
      <c r="P166" t="s">
        <v>2</v>
      </c>
      <c r="AJ166">
        <f>COUNTIF(B166:AI166,"x")</f>
        <v>10</v>
      </c>
      <c r="AK166" t="str">
        <f>HYPERLINK("http://apps.bostonglobe.com/sports/graphics/2017/01/baseball-hof/","Boston Globe")</f>
        <v>Boston Globe</v>
      </c>
      <c r="AL166" s="1">
        <v>42740</v>
      </c>
    </row>
    <row r="167" spans="1:38">
      <c r="A167" t="s">
        <v>117</v>
      </c>
      <c r="B167" t="s">
        <v>2</v>
      </c>
      <c r="F167" t="s">
        <v>2</v>
      </c>
      <c r="H167" t="s">
        <v>2</v>
      </c>
      <c r="J167" t="s">
        <v>2</v>
      </c>
      <c r="L167" t="s">
        <v>2</v>
      </c>
      <c r="O167" t="s">
        <v>2</v>
      </c>
      <c r="AJ167">
        <f>COUNTIF(B167:AI167,"x")</f>
        <v>6</v>
      </c>
      <c r="AK167" t="str">
        <f>HYPERLINK("http://apps.bostonglobe.com/sports/graphics/2017/01/baseball-hof/","Boston Globe")</f>
        <v>Boston Globe</v>
      </c>
      <c r="AL167" s="1">
        <v>42740</v>
      </c>
    </row>
    <row r="168" spans="1:38">
      <c r="A168" t="s">
        <v>222</v>
      </c>
      <c r="B168" t="s">
        <v>2</v>
      </c>
      <c r="E168" t="s">
        <v>2</v>
      </c>
      <c r="H168" t="s">
        <v>2</v>
      </c>
      <c r="J168" t="s">
        <v>2</v>
      </c>
      <c r="L168" t="s">
        <v>2</v>
      </c>
      <c r="N168" t="s">
        <v>2</v>
      </c>
      <c r="O168" t="s">
        <v>2</v>
      </c>
      <c r="AJ168">
        <f>COUNTIF(B168:AI168,"x")</f>
        <v>7</v>
      </c>
      <c r="AK168" t="str">
        <f>HYPERLINK("http://apps.bostonglobe.com/sports/graphics/2017/01/baseball-hof/","Boston Globe")</f>
        <v>Boston Globe</v>
      </c>
      <c r="AL168" s="1">
        <v>42740</v>
      </c>
    </row>
    <row r="169" spans="1:38">
      <c r="A169" t="s">
        <v>228</v>
      </c>
      <c r="E169" t="s">
        <v>2</v>
      </c>
      <c r="L169" t="s">
        <v>2</v>
      </c>
      <c r="AJ169">
        <f>COUNTIF(B169:AI169,"x")</f>
        <v>2</v>
      </c>
      <c r="AK169" t="str">
        <f>HYPERLINK("http://apps.bostonglobe.com/sports/graphics/2017/01/baseball-hof/","Boston Globe")</f>
        <v>Boston Globe</v>
      </c>
      <c r="AL169" s="1">
        <v>42740</v>
      </c>
    </row>
    <row r="170" spans="1:38">
      <c r="A170" t="s">
        <v>61</v>
      </c>
      <c r="B170" t="s">
        <v>2</v>
      </c>
      <c r="F170" t="s">
        <v>2</v>
      </c>
      <c r="L170" t="s">
        <v>2</v>
      </c>
      <c r="N170" t="s">
        <v>2</v>
      </c>
      <c r="O170" t="s">
        <v>2</v>
      </c>
      <c r="AJ170">
        <f>COUNTIF(B170:AI170,"x")</f>
        <v>5</v>
      </c>
      <c r="AK170" t="str">
        <f>HYPERLINK("https://twitter.com/Saders76/status/817554455558311937","Twitter")</f>
        <v>Twitter</v>
      </c>
      <c r="AL170" s="1">
        <v>42741</v>
      </c>
    </row>
    <row r="171" spans="1:38">
      <c r="A171" t="s">
        <v>88</v>
      </c>
      <c r="B171" t="s">
        <v>2</v>
      </c>
      <c r="C171" t="s">
        <v>2</v>
      </c>
      <c r="D171" t="s">
        <v>2</v>
      </c>
      <c r="F171" t="s">
        <v>2</v>
      </c>
      <c r="H171" t="s">
        <v>2</v>
      </c>
      <c r="J171" t="s">
        <v>2</v>
      </c>
      <c r="L171" t="s">
        <v>2</v>
      </c>
      <c r="N171" t="s">
        <v>2</v>
      </c>
      <c r="O171" t="s">
        <v>2</v>
      </c>
      <c r="Q171" t="s">
        <v>2</v>
      </c>
      <c r="AJ171">
        <f>COUNTIF(B171:AI171,"x")</f>
        <v>10</v>
      </c>
      <c r="AK171" t="str">
        <f>HYPERLINK("http://sportsday.dallasnews.com/texas-rangers/rangers/2017/01/06/see-sportsday-staffers-put-baseball-hall-fame-ballots","Dallas Morning News")</f>
        <v>Dallas Morning News</v>
      </c>
      <c r="AL171" s="1">
        <v>42741</v>
      </c>
    </row>
    <row r="172" spans="1:38">
      <c r="A172" t="s">
        <v>166</v>
      </c>
      <c r="B172" t="s">
        <v>2</v>
      </c>
      <c r="E172" t="s">
        <v>2</v>
      </c>
      <c r="F172" t="s">
        <v>2</v>
      </c>
      <c r="I172" t="s">
        <v>2</v>
      </c>
      <c r="S172" t="s">
        <v>2</v>
      </c>
      <c r="AJ172">
        <f>COUNTIF(B172:AI172,"x")</f>
        <v>5</v>
      </c>
      <c r="AK172" t="str">
        <f>HYPERLINK("http://www.nj.com/yankees/index.ssf/2017/01/baseball_hall_of_fame_how_i_filled_out_my_2017_bal.html#0","NJ.com")</f>
        <v>NJ.com</v>
      </c>
      <c r="AL172" s="1">
        <v>42741</v>
      </c>
    </row>
    <row r="173" spans="1:38">
      <c r="A173" t="s">
        <v>206</v>
      </c>
      <c r="B173" t="s">
        <v>2</v>
      </c>
      <c r="E173" t="s">
        <v>2</v>
      </c>
      <c r="F173" t="s">
        <v>2</v>
      </c>
      <c r="H173" t="s">
        <v>2</v>
      </c>
      <c r="J173" t="s">
        <v>2</v>
      </c>
      <c r="L173" t="s">
        <v>2</v>
      </c>
      <c r="N173" t="s">
        <v>2</v>
      </c>
      <c r="O173" t="s">
        <v>2</v>
      </c>
      <c r="Q173" t="s">
        <v>2</v>
      </c>
      <c r="T173" t="s">
        <v>2</v>
      </c>
      <c r="AJ173">
        <f>COUNTIF(B173:AI173,"x")</f>
        <v>10</v>
      </c>
      <c r="AK173" t="str">
        <f>HYPERLINK("https://twitter.com/clarkspencer/status/817386914231808000","Twitter")</f>
        <v>Twitter</v>
      </c>
      <c r="AL173" s="1">
        <v>42741</v>
      </c>
    </row>
    <row r="174" spans="1:38">
      <c r="A174" t="s">
        <v>237</v>
      </c>
      <c r="B174" t="s">
        <v>2</v>
      </c>
      <c r="E174" t="s">
        <v>2</v>
      </c>
      <c r="F174" t="s">
        <v>2</v>
      </c>
      <c r="H174" t="s">
        <v>2</v>
      </c>
      <c r="J174" t="s">
        <v>2</v>
      </c>
      <c r="L174" t="s">
        <v>2</v>
      </c>
      <c r="N174" t="s">
        <v>2</v>
      </c>
      <c r="O174" t="s">
        <v>2</v>
      </c>
      <c r="T174" t="s">
        <v>2</v>
      </c>
      <c r="AJ174">
        <f>COUNTIF(B174:AI174,"x")</f>
        <v>9</v>
      </c>
      <c r="AK174" t="str">
        <f>HYPERLINK("https://twitter.com/clarkspencer/status/817386914231808000","Twitter")</f>
        <v>Twitter</v>
      </c>
      <c r="AL174" s="3">
        <v>42741</v>
      </c>
    </row>
    <row r="175" spans="1:38">
      <c r="A175" t="s">
        <v>96</v>
      </c>
      <c r="B175" t="s">
        <v>2</v>
      </c>
      <c r="C175" t="s">
        <v>2</v>
      </c>
      <c r="D175" t="s">
        <v>2</v>
      </c>
      <c r="E175" t="s">
        <v>2</v>
      </c>
      <c r="F175" t="s">
        <v>2</v>
      </c>
      <c r="L175" t="s">
        <v>2</v>
      </c>
      <c r="N175" t="s">
        <v>2</v>
      </c>
      <c r="T175" t="s">
        <v>2</v>
      </c>
      <c r="AJ175">
        <f>COUNTIF(B175:AI175,"x")</f>
        <v>8</v>
      </c>
      <c r="AK175" t="str">
        <f>HYPERLINK("https://www.thestar.com/sports/baseball/2017/01/07/why-my-baseball-hall-ballot-includes-clemens-bonds-griffin.html","Toronto Star")</f>
        <v>Toronto Star</v>
      </c>
      <c r="AL175" s="1">
        <v>42742</v>
      </c>
    </row>
    <row r="176" spans="1:38">
      <c r="A176" t="s">
        <v>115</v>
      </c>
      <c r="B176" t="s">
        <v>2</v>
      </c>
      <c r="E176" t="s">
        <v>2</v>
      </c>
      <c r="F176" t="s">
        <v>2</v>
      </c>
      <c r="H176" t="s">
        <v>2</v>
      </c>
      <c r="I176" t="s">
        <v>2</v>
      </c>
      <c r="L176" t="s">
        <v>2</v>
      </c>
      <c r="N176" t="s">
        <v>2</v>
      </c>
      <c r="Q176" t="s">
        <v>2</v>
      </c>
      <c r="AJ176">
        <f>COUNTIF(B176:AI176,"x")</f>
        <v>8</v>
      </c>
      <c r="AK176" t="s">
        <v>116</v>
      </c>
      <c r="AL176" s="1">
        <v>42742</v>
      </c>
    </row>
    <row r="177" spans="1:38">
      <c r="A177" t="s">
        <v>119</v>
      </c>
      <c r="B177" t="s">
        <v>2</v>
      </c>
      <c r="E177" t="s">
        <v>2</v>
      </c>
      <c r="F177" t="s">
        <v>2</v>
      </c>
      <c r="H177" t="s">
        <v>2</v>
      </c>
      <c r="I177" t="s">
        <v>2</v>
      </c>
      <c r="J177" t="s">
        <v>2</v>
      </c>
      <c r="L177" t="s">
        <v>2</v>
      </c>
      <c r="O177" t="s">
        <v>2</v>
      </c>
      <c r="Q177" t="s">
        <v>2</v>
      </c>
      <c r="S177" t="s">
        <v>2</v>
      </c>
      <c r="AJ177">
        <f>COUNTIF(B177:AI177,"x")</f>
        <v>10</v>
      </c>
      <c r="AK177" t="str">
        <f>HYPERLINK("http://www.cleveland.com/tribe/index.ssf/2017/01/has_bud_seligs_election_to_coo.html","Cleveland.com")</f>
        <v>Cleveland.com</v>
      </c>
      <c r="AL177" s="1">
        <v>42742</v>
      </c>
    </row>
    <row r="178" spans="1:38">
      <c r="A178" t="s">
        <v>205</v>
      </c>
      <c r="B178" t="s">
        <v>2</v>
      </c>
      <c r="E178" t="s">
        <v>2</v>
      </c>
      <c r="F178" t="s">
        <v>2</v>
      </c>
      <c r="L178" t="s">
        <v>2</v>
      </c>
      <c r="N178" t="s">
        <v>2</v>
      </c>
      <c r="AJ178">
        <f>COUNTIF(B178:AI178,"x")</f>
        <v>5</v>
      </c>
      <c r="AK178" t="s">
        <v>30</v>
      </c>
      <c r="AL178" s="1">
        <v>42742</v>
      </c>
    </row>
    <row r="179" spans="1:38">
      <c r="A179" t="s">
        <v>46</v>
      </c>
      <c r="AJ179">
        <f>COUNTIF(B179:AI179,"x")</f>
        <v>0</v>
      </c>
      <c r="AK179" t="str">
        <f>HYPERLINK("http://www.murraychass.com/?p=10495","MurrayChass.com")</f>
        <v>MurrayChass.com</v>
      </c>
      <c r="AL179" s="1">
        <v>42743</v>
      </c>
    </row>
    <row r="180" spans="1:38">
      <c r="A180" t="s">
        <v>92</v>
      </c>
      <c r="B180" t="s">
        <v>2</v>
      </c>
      <c r="E180" t="s">
        <v>2</v>
      </c>
      <c r="F180" t="s">
        <v>2</v>
      </c>
      <c r="H180" t="s">
        <v>2</v>
      </c>
      <c r="J180" t="s">
        <v>2</v>
      </c>
      <c r="L180" t="s">
        <v>2</v>
      </c>
      <c r="O180" t="s">
        <v>2</v>
      </c>
      <c r="Q180" t="s">
        <v>2</v>
      </c>
      <c r="AJ180">
        <f>COUNTIF(B180:AI180,"x")</f>
        <v>8</v>
      </c>
      <c r="AK180" t="s">
        <v>93</v>
      </c>
      <c r="AL180" s="1">
        <v>42743</v>
      </c>
    </row>
    <row r="181" spans="1:38">
      <c r="A181" t="s">
        <v>245</v>
      </c>
      <c r="E181" t="s">
        <v>2</v>
      </c>
      <c r="F181" t="s">
        <v>2</v>
      </c>
      <c r="L181" t="s">
        <v>2</v>
      </c>
      <c r="Q181" t="s">
        <v>2</v>
      </c>
      <c r="AJ181">
        <f>COUNTIF(B181:AI181,"x")</f>
        <v>4</v>
      </c>
      <c r="AK181" t="str">
        <f>HYPERLINK("http://www.chicagotribune.com/sports/baseball/ct-hall-of-fame-ballot-sullivan-spt-0115-20170114-story.html","Radio/DM + ChiTrib")</f>
        <v>Radio/DM + ChiTrib</v>
      </c>
      <c r="AL181" s="1">
        <v>42743</v>
      </c>
    </row>
    <row r="182" spans="1:38">
      <c r="A182" t="s">
        <v>226</v>
      </c>
      <c r="E182" t="s">
        <v>2</v>
      </c>
      <c r="F182" t="s">
        <v>2</v>
      </c>
      <c r="G182" t="s">
        <v>2</v>
      </c>
      <c r="J182" t="s">
        <v>2</v>
      </c>
      <c r="L182" t="s">
        <v>2</v>
      </c>
      <c r="AJ182">
        <f>COUNTIF(B182:AI182,"x")</f>
        <v>5</v>
      </c>
      <c r="AK182" t="s">
        <v>11</v>
      </c>
      <c r="AL182" s="1">
        <v>42744</v>
      </c>
    </row>
    <row r="183" spans="1:38">
      <c r="A183" t="s">
        <v>244</v>
      </c>
      <c r="B183" t="s">
        <v>2</v>
      </c>
      <c r="F183" t="s">
        <v>2</v>
      </c>
      <c r="H183" t="s">
        <v>2</v>
      </c>
      <c r="L183" t="s">
        <v>2</v>
      </c>
      <c r="N183" t="s">
        <v>2</v>
      </c>
      <c r="Q183" t="s">
        <v>2</v>
      </c>
      <c r="AJ183">
        <f>COUNTIF(B183:AI183,"x")</f>
        <v>6</v>
      </c>
      <c r="AK183" t="str">
        <f>HYPERLINK("http://www.golferswest.com/all-sports-opinions/edgar-five-others-among-my-hof-picks/","Golfers West")</f>
        <v>Golfers West</v>
      </c>
      <c r="AL183" s="1">
        <v>42744</v>
      </c>
    </row>
    <row r="184" spans="1:38">
      <c r="A184" t="s">
        <v>20</v>
      </c>
      <c r="B184" t="s">
        <v>2</v>
      </c>
      <c r="H184" t="s">
        <v>2</v>
      </c>
      <c r="J184" t="s">
        <v>2</v>
      </c>
      <c r="L184" t="s">
        <v>2</v>
      </c>
      <c r="N184" t="s">
        <v>2</v>
      </c>
      <c r="O184" t="s">
        <v>2</v>
      </c>
      <c r="T184" t="s">
        <v>2</v>
      </c>
      <c r="AJ184">
        <f>COUNTIF(B184:AI184,"x")</f>
        <v>7</v>
      </c>
      <c r="AK184" t="str">
        <f>HYPERLINK("http://coldomaha.com/2017/twins/mws-mike-berardino-reveals-his-hall-of-fame-ballot/","Midwest Swing Pod")</f>
        <v>Midwest Swing Pod</v>
      </c>
      <c r="AL184" s="1">
        <v>42745</v>
      </c>
    </row>
    <row r="185" spans="1:38">
      <c r="A185" t="s">
        <v>125</v>
      </c>
      <c r="B185" t="s">
        <v>2</v>
      </c>
      <c r="C185" t="s">
        <v>2</v>
      </c>
      <c r="D185" t="s">
        <v>2</v>
      </c>
      <c r="E185" t="s">
        <v>2</v>
      </c>
      <c r="H185" t="s">
        <v>2</v>
      </c>
      <c r="J185" t="s">
        <v>2</v>
      </c>
      <c r="L185" t="s">
        <v>2</v>
      </c>
      <c r="M185" t="s">
        <v>2</v>
      </c>
      <c r="N185" t="s">
        <v>2</v>
      </c>
      <c r="O185" t="s">
        <v>2</v>
      </c>
      <c r="AJ185">
        <f>COUNTIF(B185:AI185,"x")</f>
        <v>10</v>
      </c>
      <c r="AK185" t="str">
        <f>HYPERLINK("http://m.kusports.com/weblogs/keegan-lunch-break/2017/jan/10/i-am-a-pinata-here-is-my-baseball-hall-o/?templates=mobile","KU Sports")</f>
        <v>KU Sports</v>
      </c>
      <c r="AL185" s="1">
        <v>42745</v>
      </c>
    </row>
    <row r="186" spans="1:38">
      <c r="A186" t="s">
        <v>167</v>
      </c>
      <c r="B186" t="s">
        <v>2</v>
      </c>
      <c r="E186" t="s">
        <v>2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L186" t="s">
        <v>2</v>
      </c>
      <c r="AJ186">
        <f>COUNTIF(B186:AI186,"x")</f>
        <v>8</v>
      </c>
      <c r="AK186" t="str">
        <f>HYPERLINK("http://bleacherreport.com/articles/2686125-seligs-call-to-the-hall-shouldnt-bring-flood-of-new-names-to-cooperstown","Bleacher Report")</f>
        <v>Bleacher Report</v>
      </c>
      <c r="AL186" s="1">
        <v>42745</v>
      </c>
    </row>
    <row r="187" spans="1:38">
      <c r="A187" t="s">
        <v>168</v>
      </c>
      <c r="B187" t="s">
        <v>2</v>
      </c>
      <c r="C187" t="s">
        <v>2</v>
      </c>
      <c r="D187" t="s">
        <v>2</v>
      </c>
      <c r="E187" t="s">
        <v>2</v>
      </c>
      <c r="F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AJ187">
        <f>COUNTIF(B187:AI187,"x")</f>
        <v>10</v>
      </c>
      <c r="AK187" t="str">
        <f>HYPERLINK("https://twitter.com/KevinModesti/status/818863958593417221","Twitter")</f>
        <v>Twitter</v>
      </c>
      <c r="AL187" s="1">
        <v>42745</v>
      </c>
    </row>
    <row r="188" spans="1:38">
      <c r="A188" t="s">
        <v>210</v>
      </c>
      <c r="B188" t="s">
        <v>2</v>
      </c>
      <c r="C188" t="s">
        <v>2</v>
      </c>
      <c r="D188" t="s">
        <v>2</v>
      </c>
      <c r="F188" t="s">
        <v>2</v>
      </c>
      <c r="I188" t="s">
        <v>2</v>
      </c>
      <c r="J188" t="s">
        <v>2</v>
      </c>
      <c r="L188" t="s">
        <v>2</v>
      </c>
      <c r="N188" t="s">
        <v>2</v>
      </c>
      <c r="Q188" t="s">
        <v>2</v>
      </c>
      <c r="T188" t="s">
        <v>2</v>
      </c>
      <c r="AJ188">
        <f>COUNTIF(B188:AI188,"x")</f>
        <v>10</v>
      </c>
      <c r="AK188" t="str">
        <f>HYPERLINK("https://twitter.com/TracyRingolsby/status/818810414381355010","Twitter")</f>
        <v>Twitter</v>
      </c>
      <c r="AL188" s="1">
        <v>42745</v>
      </c>
    </row>
    <row r="189" spans="1:38">
      <c r="A189" t="s">
        <v>22</v>
      </c>
      <c r="B189" t="s">
        <v>2</v>
      </c>
      <c r="C189" t="s">
        <v>2</v>
      </c>
      <c r="D189" t="s">
        <v>2</v>
      </c>
      <c r="E189" t="s">
        <v>2</v>
      </c>
      <c r="K189" t="s">
        <v>2</v>
      </c>
      <c r="L189" t="s">
        <v>2</v>
      </c>
      <c r="M189" t="s">
        <v>2</v>
      </c>
      <c r="AJ189">
        <f>COUNTIF(B189:AI189,"x")</f>
        <v>7</v>
      </c>
      <c r="AK189" t="s">
        <v>5</v>
      </c>
      <c r="AL189" s="1">
        <v>42746</v>
      </c>
    </row>
    <row r="190" spans="1:38">
      <c r="A190" t="s">
        <v>58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J190" t="s">
        <v>2</v>
      </c>
      <c r="L190" t="s">
        <v>2</v>
      </c>
      <c r="N190" t="s">
        <v>2</v>
      </c>
      <c r="O190" t="s">
        <v>2</v>
      </c>
      <c r="T190" t="s">
        <v>2</v>
      </c>
      <c r="AJ190">
        <f>COUNTIF(B190:AI190,"x")</f>
        <v>10</v>
      </c>
      <c r="AK190" t="s">
        <v>59</v>
      </c>
      <c r="AL190" s="1">
        <v>42746</v>
      </c>
    </row>
    <row r="191" spans="1:38">
      <c r="A191" t="s">
        <v>204</v>
      </c>
      <c r="B191" t="s">
        <v>2</v>
      </c>
      <c r="F191" t="s">
        <v>2</v>
      </c>
      <c r="L191" t="s">
        <v>2</v>
      </c>
      <c r="N191" t="s">
        <v>2</v>
      </c>
      <c r="Q191" t="s">
        <v>2</v>
      </c>
      <c r="AJ191">
        <f>COUNTIF(B191:AI191,"x")</f>
        <v>5</v>
      </c>
      <c r="AK191" t="str">
        <f>HYPERLINK("https://twitter.com/RobRains/status/819275961648742400","Twitter")</f>
        <v>Twitter</v>
      </c>
      <c r="AL191" s="1">
        <v>42746</v>
      </c>
    </row>
    <row r="192" spans="1:38">
      <c r="A192" t="s">
        <v>190</v>
      </c>
      <c r="B192" t="s">
        <v>2</v>
      </c>
      <c r="E192" t="s">
        <v>2</v>
      </c>
      <c r="F192" t="s">
        <v>2</v>
      </c>
      <c r="G192" t="s">
        <v>2</v>
      </c>
      <c r="H192" t="s">
        <v>2</v>
      </c>
      <c r="J192" t="s">
        <v>2</v>
      </c>
      <c r="L192" t="s">
        <v>2</v>
      </c>
      <c r="N192" t="s">
        <v>2</v>
      </c>
      <c r="O192" t="s">
        <v>2</v>
      </c>
      <c r="Q192" t="s">
        <v>2</v>
      </c>
      <c r="AJ192">
        <f>COUNTIF(B192:AI192,"x")</f>
        <v>10</v>
      </c>
      <c r="AK192" t="s">
        <v>11</v>
      </c>
      <c r="AL192" s="1">
        <v>42747</v>
      </c>
    </row>
    <row r="193" spans="1:38">
      <c r="A193" t="s">
        <v>252</v>
      </c>
      <c r="B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L193" t="s">
        <v>2</v>
      </c>
      <c r="O193" t="s">
        <v>2</v>
      </c>
      <c r="AJ193">
        <f>COUNTIF(B193:AI193,"x")</f>
        <v>9</v>
      </c>
      <c r="AK193" t="s">
        <v>253</v>
      </c>
      <c r="AL193" s="1">
        <v>42747</v>
      </c>
    </row>
    <row r="194" spans="1:38">
      <c r="A194" t="s">
        <v>283</v>
      </c>
      <c r="B194" t="s">
        <v>2</v>
      </c>
      <c r="C194" t="s">
        <v>2</v>
      </c>
      <c r="D194" t="s">
        <v>2</v>
      </c>
      <c r="E194" t="s">
        <v>2</v>
      </c>
      <c r="G194" t="s">
        <v>2</v>
      </c>
      <c r="M194" t="s">
        <v>2</v>
      </c>
      <c r="N194" t="s">
        <v>2</v>
      </c>
      <c r="T194" t="s">
        <v>2</v>
      </c>
      <c r="AJ194">
        <f>COUNTIF(B194:AI194,"x")</f>
        <v>8</v>
      </c>
      <c r="AK194" t="s">
        <v>284</v>
      </c>
      <c r="AL194" s="3">
        <v>42747</v>
      </c>
    </row>
    <row r="195" spans="1:38">
      <c r="A195" t="s">
        <v>170</v>
      </c>
      <c r="B195" t="s">
        <v>2</v>
      </c>
      <c r="C195" t="s">
        <v>2</v>
      </c>
      <c r="D195" t="s">
        <v>2</v>
      </c>
      <c r="E195" t="s">
        <v>2</v>
      </c>
      <c r="F195" t="s">
        <v>2</v>
      </c>
      <c r="H195" t="s">
        <v>2</v>
      </c>
      <c r="I195" t="s">
        <v>2</v>
      </c>
      <c r="L195" t="s">
        <v>2</v>
      </c>
      <c r="N195" t="s">
        <v>2</v>
      </c>
      <c r="O195" t="s">
        <v>2</v>
      </c>
      <c r="AJ195">
        <f>COUNTIF(B195:AI195,"x")</f>
        <v>10</v>
      </c>
      <c r="AK195" t="s">
        <v>5</v>
      </c>
      <c r="AL195" s="1">
        <v>42748</v>
      </c>
    </row>
    <row r="196" spans="1:38">
      <c r="A196" t="s">
        <v>182</v>
      </c>
      <c r="B196" t="s">
        <v>2</v>
      </c>
      <c r="C196" t="s">
        <v>2</v>
      </c>
      <c r="D196" t="s">
        <v>2</v>
      </c>
      <c r="F196" t="s">
        <v>2</v>
      </c>
      <c r="H196" t="s">
        <v>2</v>
      </c>
      <c r="J196" t="s">
        <v>2</v>
      </c>
      <c r="L196" t="s">
        <v>2</v>
      </c>
      <c r="N196" t="s">
        <v>2</v>
      </c>
      <c r="O196" t="s">
        <v>2</v>
      </c>
      <c r="AJ196">
        <f>COUNTIF(B196:AI196,"x")</f>
        <v>9</v>
      </c>
      <c r="AK196" t="str">
        <f>HYPERLINK("http://thebig1070.iheart.com/onair/drew-olson-57982/one-writers-baseball-hall-of-fame-15469155/","The Big 1070")</f>
        <v>The Big 1070</v>
      </c>
      <c r="AL196" s="1">
        <v>42748</v>
      </c>
    </row>
    <row r="197" spans="1:38">
      <c r="A197" t="s">
        <v>60</v>
      </c>
      <c r="B197" t="s">
        <v>2</v>
      </c>
      <c r="C197" t="s">
        <v>2</v>
      </c>
      <c r="D197" t="s">
        <v>2</v>
      </c>
      <c r="H197" t="s">
        <v>2</v>
      </c>
      <c r="J197" t="s">
        <v>2</v>
      </c>
      <c r="L197" t="s">
        <v>2</v>
      </c>
      <c r="M197" t="s">
        <v>2</v>
      </c>
      <c r="N197" t="s">
        <v>2</v>
      </c>
      <c r="O197" t="s">
        <v>2</v>
      </c>
      <c r="T197" t="s">
        <v>2</v>
      </c>
      <c r="AJ197">
        <f>COUNTIF(B197:AI197,"x")</f>
        <v>10</v>
      </c>
      <c r="AK197" t="str">
        <f>HYPERLINK("http://nypost.com/2017/01/14/my-ballot-for-the-baseball-hall-of-fame-a-f-king-museum/","NY Post")</f>
        <v>NY Post</v>
      </c>
      <c r="AL197" s="1">
        <v>42749</v>
      </c>
    </row>
    <row r="198" spans="1:38">
      <c r="A198" t="s">
        <v>86</v>
      </c>
      <c r="B198" t="s">
        <v>2</v>
      </c>
      <c r="E198" t="s">
        <v>2</v>
      </c>
      <c r="F198" t="s">
        <v>2</v>
      </c>
      <c r="G198" t="s">
        <v>2</v>
      </c>
      <c r="H198" t="s">
        <v>2</v>
      </c>
      <c r="L198" t="s">
        <v>2</v>
      </c>
      <c r="N198" t="s">
        <v>2</v>
      </c>
      <c r="S198" t="s">
        <v>2</v>
      </c>
      <c r="AJ198">
        <f>COUNTIF(B198:AI198,"x")</f>
        <v>8</v>
      </c>
      <c r="AK198" t="str">
        <f>HYPERLINK("http://www.chicagotribune.com/sports/baseball/ct-hall-of-fame-ballot-gonzales-spt-0115-20170114-story.html","Chicago Tribune")</f>
        <v>Chicago Tribune</v>
      </c>
      <c r="AL198" s="1">
        <v>42749</v>
      </c>
    </row>
    <row r="199" spans="1:38">
      <c r="A199" t="s">
        <v>126</v>
      </c>
      <c r="E199" t="s">
        <v>2</v>
      </c>
      <c r="F199" t="s">
        <v>2</v>
      </c>
      <c r="G199" t="s">
        <v>2</v>
      </c>
      <c r="H199" t="s">
        <v>2</v>
      </c>
      <c r="I199" t="s">
        <v>2</v>
      </c>
      <c r="J199" t="s">
        <v>2</v>
      </c>
      <c r="L199" t="s">
        <v>2</v>
      </c>
      <c r="O199" t="s">
        <v>2</v>
      </c>
      <c r="AJ199">
        <f>COUNTIF(B199:AI199,"x")</f>
        <v>8</v>
      </c>
      <c r="AK199" t="s">
        <v>27</v>
      </c>
      <c r="AL199" s="1">
        <v>42750</v>
      </c>
    </row>
    <row r="200" spans="1:38">
      <c r="A200" t="s">
        <v>180</v>
      </c>
      <c r="B200" t="s">
        <v>2</v>
      </c>
      <c r="C200" t="s">
        <v>2</v>
      </c>
      <c r="D200" t="s">
        <v>2</v>
      </c>
      <c r="E200" t="s">
        <v>2</v>
      </c>
      <c r="H200" t="s">
        <v>2</v>
      </c>
      <c r="J200" t="s">
        <v>2</v>
      </c>
      <c r="L200" t="s">
        <v>2</v>
      </c>
      <c r="N200" t="s">
        <v>2</v>
      </c>
      <c r="O200" t="s">
        <v>2</v>
      </c>
      <c r="T200" t="s">
        <v>2</v>
      </c>
      <c r="AJ200">
        <f>COUNTIF(B200:AI200,"x")</f>
        <v>10</v>
      </c>
      <c r="AK200" t="str">
        <f>HYPERLINK("https://twitter.com/EricNunezAP/status/820682186928115712","Twitter")</f>
        <v>Twitter</v>
      </c>
      <c r="AL200" s="1">
        <v>42750</v>
      </c>
    </row>
    <row r="201" spans="1:38">
      <c r="A201" t="s">
        <v>13</v>
      </c>
      <c r="B201" t="s">
        <v>2</v>
      </c>
      <c r="C201" t="s">
        <v>2</v>
      </c>
      <c r="D201" t="s">
        <v>2</v>
      </c>
      <c r="E201" t="s">
        <v>2</v>
      </c>
      <c r="H201" t="s">
        <v>2</v>
      </c>
      <c r="L201" t="s">
        <v>2</v>
      </c>
      <c r="N201" t="s">
        <v>2</v>
      </c>
      <c r="AJ201">
        <f>COUNTIF(B201:AI201,"x")</f>
        <v>7</v>
      </c>
      <c r="AK201" t="str">
        <f>HYPERLINK("http://www.mercurynews.com/2017/01/16/baggarlys-ballot-bonds-clemens-no-brainer-hall-of-famers/?utm_medium=Social&amp;utm_campaign=Echobox&amp;utm_source=Twitter&amp;utm_term=Autofeed#link_time=1484572166","SJ Mercury News")</f>
        <v>SJ Mercury News</v>
      </c>
      <c r="AL201" s="1">
        <v>42751</v>
      </c>
    </row>
    <row r="202" spans="1:38">
      <c r="A202" t="s">
        <v>33</v>
      </c>
      <c r="B202" t="s">
        <v>2</v>
      </c>
      <c r="C202" t="s">
        <v>2</v>
      </c>
      <c r="D202" t="s">
        <v>2</v>
      </c>
      <c r="H202" t="s">
        <v>2</v>
      </c>
      <c r="J202" t="s">
        <v>2</v>
      </c>
      <c r="L202" t="s">
        <v>2</v>
      </c>
      <c r="M202" t="s">
        <v>2</v>
      </c>
      <c r="N202" t="s">
        <v>2</v>
      </c>
      <c r="O202" t="s">
        <v>2</v>
      </c>
      <c r="T202" t="s">
        <v>2</v>
      </c>
      <c r="AJ202">
        <f>COUNTIF(B202:AI202,"x")</f>
        <v>10</v>
      </c>
      <c r="AK202" t="str">
        <f>HYPERLINK("https://twitter.com/MarkBradleyAJC/status/821135340387893253","Twitter")</f>
        <v>Twitter</v>
      </c>
      <c r="AL202" s="1">
        <v>42751</v>
      </c>
    </row>
    <row r="203" spans="1:38">
      <c r="A203" t="s">
        <v>44</v>
      </c>
      <c r="B203" t="s">
        <v>2</v>
      </c>
      <c r="C203" t="s">
        <v>2</v>
      </c>
      <c r="D203" t="s">
        <v>2</v>
      </c>
      <c r="E203" t="s">
        <v>2</v>
      </c>
      <c r="H203" t="s">
        <v>2</v>
      </c>
      <c r="I203" t="s">
        <v>2</v>
      </c>
      <c r="J203" t="s">
        <v>2</v>
      </c>
      <c r="L203" t="s">
        <v>2</v>
      </c>
      <c r="N203" t="s">
        <v>2</v>
      </c>
      <c r="O203" t="s">
        <v>2</v>
      </c>
      <c r="AJ203">
        <f>COUNTIF(B203:AI203,"x")</f>
        <v>10</v>
      </c>
      <c r="AK203" t="str">
        <f>HYPERLINK("http://www.espn.com/mlb/story/_/id/18436379/seven-elected-espn-2017-baseball-hall-fame-ballot","ESPN")</f>
        <v>ESPN</v>
      </c>
      <c r="AL203" s="1">
        <v>42751</v>
      </c>
    </row>
    <row r="204" spans="1:38">
      <c r="A204" t="s">
        <v>75</v>
      </c>
      <c r="B204" t="s">
        <v>2</v>
      </c>
      <c r="F204" t="s">
        <v>2</v>
      </c>
      <c r="H204" t="s">
        <v>2</v>
      </c>
      <c r="J204" t="s">
        <v>2</v>
      </c>
      <c r="L204" t="s">
        <v>2</v>
      </c>
      <c r="N204" t="s">
        <v>2</v>
      </c>
      <c r="T204" t="s">
        <v>2</v>
      </c>
      <c r="AJ204">
        <f>COUNTIF(B204:AI204,"x")</f>
        <v>7</v>
      </c>
      <c r="AK204" t="str">
        <f>HYPERLINK("http://www.tampabay.com/sports/baseball/rays/fennelly-rules-are-rules-so-no-bonds-and-co-on-my-ballot/2309762","Tampabay.com")</f>
        <v>Tampabay.com</v>
      </c>
      <c r="AL204" s="1">
        <v>42751</v>
      </c>
    </row>
    <row r="205" spans="1:38">
      <c r="A205" t="s">
        <v>83</v>
      </c>
      <c r="E205" t="s">
        <v>2</v>
      </c>
      <c r="T205" t="s">
        <v>2</v>
      </c>
      <c r="AJ205">
        <f>COUNTIF(B205:AI205,"x")</f>
        <v>2</v>
      </c>
      <c r="AK205" t="str">
        <f>HYPERLINK("https://twitter.com/rgilliescanada/status/821788361157443586","Twitter")</f>
        <v>Twitter</v>
      </c>
      <c r="AL205" s="1">
        <v>42751</v>
      </c>
    </row>
    <row r="206" spans="1:38">
      <c r="A206" t="s">
        <v>85</v>
      </c>
      <c r="F206" t="s">
        <v>2</v>
      </c>
      <c r="I206" t="s">
        <v>2</v>
      </c>
      <c r="J206" t="s">
        <v>2</v>
      </c>
      <c r="Q206" t="s">
        <v>2</v>
      </c>
      <c r="AJ206">
        <f>COUNTIF(B206:AI206,"x")</f>
        <v>4</v>
      </c>
      <c r="AK206" t="str">
        <f>HYPERLINK("http://www.espn.com/mlb/story/_/id/18436379/seven-elected-espn-2017-baseball-hall-fame-ballot","ESPN")</f>
        <v>ESPN</v>
      </c>
      <c r="AL206" s="1">
        <v>42751</v>
      </c>
    </row>
    <row r="207" spans="1:38">
      <c r="A207" t="s">
        <v>91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S207" t="s">
        <v>2</v>
      </c>
      <c r="AJ207">
        <f>COUNTIF(B207:AI207,"x")</f>
        <v>9</v>
      </c>
      <c r="AK207" t="str">
        <f>HYPERLINK("http://www.espn.com/mlb/story/_/id/18436379/seven-elected-espn-2017-baseball-hall-fame-ballot","ESPN")</f>
        <v>ESPN</v>
      </c>
      <c r="AL207" s="1">
        <v>42751</v>
      </c>
    </row>
    <row r="208" spans="1:38">
      <c r="A208" t="s">
        <v>98</v>
      </c>
      <c r="E208" t="s">
        <v>2</v>
      </c>
      <c r="F208" t="s">
        <v>2</v>
      </c>
      <c r="G208" t="s">
        <v>2</v>
      </c>
      <c r="H208" t="s">
        <v>2</v>
      </c>
      <c r="L208" t="s">
        <v>2</v>
      </c>
      <c r="Q208" t="s">
        <v>2</v>
      </c>
      <c r="AJ208">
        <f>COUNTIF(B208:AI208,"x")</f>
        <v>6</v>
      </c>
      <c r="AK208" t="str">
        <f>HYPERLINK("http://www.espn.com/mlb/story/_/id/18436379/seven-elected-espn-2017-baseball-hall-fame-ballot","ESPN")</f>
        <v>ESPN</v>
      </c>
      <c r="AL208" s="1">
        <v>42751</v>
      </c>
    </row>
    <row r="209" spans="1:38">
      <c r="A209" t="s">
        <v>114</v>
      </c>
      <c r="C209" t="s">
        <v>2</v>
      </c>
      <c r="F209" t="s">
        <v>2</v>
      </c>
      <c r="G209" t="s">
        <v>2</v>
      </c>
      <c r="H209" t="s">
        <v>2</v>
      </c>
      <c r="L209" t="s">
        <v>2</v>
      </c>
      <c r="N209" t="s">
        <v>2</v>
      </c>
      <c r="Q209" t="s">
        <v>2</v>
      </c>
      <c r="S209" t="s">
        <v>2</v>
      </c>
      <c r="AJ209">
        <f>COUNTIF(B209:AI209,"x")</f>
        <v>8</v>
      </c>
      <c r="AK209" t="str">
        <f>HYPERLINK("http://www.mercurynews.com/2017/01/16/hickeys-ballot-bonds-in-but-not-clemens-for-me/","SJ Mercury News")</f>
        <v>SJ Mercury News</v>
      </c>
      <c r="AL209" s="1">
        <v>42751</v>
      </c>
    </row>
    <row r="210" spans="1:38">
      <c r="A210" t="s">
        <v>137</v>
      </c>
      <c r="B210" t="s">
        <v>2</v>
      </c>
      <c r="C210" t="s">
        <v>2</v>
      </c>
      <c r="D210" t="s">
        <v>2</v>
      </c>
      <c r="E210" t="s">
        <v>2</v>
      </c>
      <c r="F210" t="s">
        <v>2</v>
      </c>
      <c r="H210" t="s">
        <v>2</v>
      </c>
      <c r="J210" t="s">
        <v>2</v>
      </c>
      <c r="L210" t="s">
        <v>2</v>
      </c>
      <c r="N210" t="s">
        <v>2</v>
      </c>
      <c r="O210" t="s">
        <v>2</v>
      </c>
      <c r="AJ210">
        <f>COUNTIF(B210:AI210,"x")</f>
        <v>10</v>
      </c>
      <c r="AK210" t="str">
        <f>HYPERLINK("http://www.espn.com/mlb/story/_/id/18436379/seven-elected-espn-2017-baseball-hall-fame-ballot","ESPN")</f>
        <v>ESPN</v>
      </c>
      <c r="AL210" s="1">
        <v>42751</v>
      </c>
    </row>
    <row r="211" spans="1:38">
      <c r="A211" t="s">
        <v>203</v>
      </c>
      <c r="B211" t="s">
        <v>2</v>
      </c>
      <c r="E211" t="s">
        <v>2</v>
      </c>
      <c r="L211" t="s">
        <v>2</v>
      </c>
      <c r="Q211" t="s">
        <v>2</v>
      </c>
      <c r="AJ211">
        <f>COUNTIF(B211:AI211,"x")</f>
        <v>4</v>
      </c>
      <c r="AK211" t="str">
        <f>HYPERLINK("http://www.mercurynews.com/2017/01/16/purdy-ballot-peds-still-cloud-my-baseball-hall-of-fame-votes/","SJ Mercury News")</f>
        <v>SJ Mercury News</v>
      </c>
      <c r="AL211" s="1">
        <v>42751</v>
      </c>
    </row>
    <row r="212" spans="1:38">
      <c r="A212" t="s">
        <v>238</v>
      </c>
      <c r="B212" t="s">
        <v>2</v>
      </c>
      <c r="F212" t="s">
        <v>2</v>
      </c>
      <c r="H212" t="s">
        <v>2</v>
      </c>
      <c r="L212" t="s">
        <v>2</v>
      </c>
      <c r="AJ212">
        <f>COUNTIF(B212:AI212,"x")</f>
        <v>4</v>
      </c>
      <c r="AK212" t="str">
        <f>HYPERLINK("http://www.espn.com/mlb/story/_/id/18436379/seven-elected-espn-2017-baseball-hall-fame-ballot","ESPN")</f>
        <v>ESPN</v>
      </c>
      <c r="AL212" s="1">
        <v>42751</v>
      </c>
    </row>
    <row r="213" spans="1:38">
      <c r="A213" t="s">
        <v>240</v>
      </c>
      <c r="B213" t="s">
        <v>2</v>
      </c>
      <c r="C213" t="s">
        <v>2</v>
      </c>
      <c r="D213" t="s">
        <v>2</v>
      </c>
      <c r="E213" t="s">
        <v>2</v>
      </c>
      <c r="F213" t="s">
        <v>2</v>
      </c>
      <c r="H213" t="s">
        <v>2</v>
      </c>
      <c r="J213" t="s">
        <v>2</v>
      </c>
      <c r="L213" t="s">
        <v>2</v>
      </c>
      <c r="N213" t="s">
        <v>2</v>
      </c>
      <c r="O213" t="s">
        <v>2</v>
      </c>
      <c r="AJ213">
        <f>COUNTIF(B213:AI213,"x")</f>
        <v>10</v>
      </c>
      <c r="AK213" t="str">
        <f>HYPERLINK("http://www.espn.com/mlb/story/_/id/18436379/seven-elected-espn-2017-baseball-hall-fame-ballot","ESPN")</f>
        <v>ESPN</v>
      </c>
      <c r="AL213" s="1">
        <v>42751</v>
      </c>
    </row>
    <row r="214" spans="1:38">
      <c r="A214" t="s">
        <v>4</v>
      </c>
      <c r="B214" t="s">
        <v>2</v>
      </c>
      <c r="C214" t="s">
        <v>2</v>
      </c>
      <c r="D214" t="s">
        <v>2</v>
      </c>
      <c r="E214" t="s">
        <v>2</v>
      </c>
      <c r="F214" t="s">
        <v>2</v>
      </c>
      <c r="H214" t="s">
        <v>2</v>
      </c>
      <c r="L214" t="s">
        <v>2</v>
      </c>
      <c r="N214" t="s">
        <v>2</v>
      </c>
      <c r="Q214" t="s">
        <v>2</v>
      </c>
      <c r="AJ214">
        <f>COUNTIF(B214:AI214,"x")</f>
        <v>9</v>
      </c>
      <c r="AK214" t="s">
        <v>5</v>
      </c>
      <c r="AL214" s="1">
        <v>42752</v>
      </c>
    </row>
    <row r="215" spans="1:38">
      <c r="A215" t="s">
        <v>18</v>
      </c>
      <c r="B215" t="s">
        <v>2</v>
      </c>
      <c r="E215" t="s">
        <v>2</v>
      </c>
      <c r="F215" t="s">
        <v>2</v>
      </c>
      <c r="N215" t="s">
        <v>2</v>
      </c>
      <c r="Q215" t="s">
        <v>2</v>
      </c>
      <c r="AJ215">
        <f>COUNTIF(B215:AI215,"x")</f>
        <v>5</v>
      </c>
      <c r="AK215" t="str">
        <f>HYPERLINK("http://m.mlb.com/news/article/213641980/mlb-writers-reveal-ballots-for-hall-of-fame/","MLB.com")</f>
        <v>MLB.com</v>
      </c>
      <c r="AL215" s="1">
        <v>42752</v>
      </c>
    </row>
    <row r="216" spans="1:38">
      <c r="A216" t="s">
        <v>21</v>
      </c>
      <c r="B216" t="s">
        <v>2</v>
      </c>
      <c r="F216" t="s">
        <v>2</v>
      </c>
      <c r="J216" t="s">
        <v>2</v>
      </c>
      <c r="N216" t="s">
        <v>2</v>
      </c>
      <c r="O216" t="s">
        <v>2</v>
      </c>
      <c r="Q216" t="s">
        <v>2</v>
      </c>
      <c r="AJ216">
        <f>COUNTIF(B216:AI216,"x")</f>
        <v>6</v>
      </c>
      <c r="AK216" t="str">
        <f>HYPERLINK("https://twitter.com/BiertempfelTrib/status/821344470075666432","Twitter")</f>
        <v>Twitter</v>
      </c>
      <c r="AL216" s="1">
        <v>42752</v>
      </c>
    </row>
    <row r="217" spans="1:38">
      <c r="A217" t="s">
        <v>25</v>
      </c>
      <c r="B217" t="s">
        <v>2</v>
      </c>
      <c r="F217" t="s">
        <v>2</v>
      </c>
      <c r="H217" t="s">
        <v>2</v>
      </c>
      <c r="I217" t="s">
        <v>2</v>
      </c>
      <c r="L217" t="s">
        <v>2</v>
      </c>
      <c r="N217" t="s">
        <v>2</v>
      </c>
      <c r="O217" t="s">
        <v>2</v>
      </c>
      <c r="AJ217">
        <f>COUNTIF(B217:AI217,"x")</f>
        <v>7</v>
      </c>
      <c r="AK217" t="str">
        <f>HYPERLINK("http://m.mlb.com/news/article/213641980/mlb-writers-reveal-ballots-for-hall-of-fame/","MLB.com")</f>
        <v>MLB.com</v>
      </c>
      <c r="AL217" s="1">
        <v>42752</v>
      </c>
    </row>
    <row r="218" spans="1:38">
      <c r="A218" t="s">
        <v>40</v>
      </c>
      <c r="B218" t="s">
        <v>2</v>
      </c>
      <c r="C218" t="s">
        <v>2</v>
      </c>
      <c r="D218" t="s">
        <v>2</v>
      </c>
      <c r="E218" t="s">
        <v>2</v>
      </c>
      <c r="M218" t="s">
        <v>2</v>
      </c>
      <c r="N218" t="s">
        <v>2</v>
      </c>
      <c r="O218" t="s">
        <v>2</v>
      </c>
      <c r="P218" t="s">
        <v>2</v>
      </c>
      <c r="AJ218">
        <f>COUNTIF(B218:AI218,"x")</f>
        <v>8</v>
      </c>
      <c r="AK218" t="str">
        <f>HYPERLINK("http://www.northjersey.com/story/sports/mlb/2017/01/17/pete-calderas-baseball-hall-fame-ballot/96684356/","NorthJersey.com")</f>
        <v>NorthJersey.com</v>
      </c>
      <c r="AL218" s="1">
        <v>42752</v>
      </c>
    </row>
    <row r="219" spans="1:38">
      <c r="A219" t="s">
        <v>99</v>
      </c>
      <c r="B219" t="s">
        <v>2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L219" t="s">
        <v>2</v>
      </c>
      <c r="M219" t="s">
        <v>2</v>
      </c>
      <c r="N219" t="s">
        <v>2</v>
      </c>
      <c r="Q219" t="s">
        <v>2</v>
      </c>
      <c r="AJ219">
        <f>COUNTIF(B219:AI219,"x")</f>
        <v>10</v>
      </c>
      <c r="AK219" t="str">
        <f>HYPERLINK("http://m.mlb.com/news/article/213641980/mlb-writers-reveal-ballots-for-hall-of-fame/","MLB.com")</f>
        <v>MLB.com</v>
      </c>
      <c r="AL219" s="1">
        <v>42752</v>
      </c>
    </row>
    <row r="220" spans="1:38">
      <c r="A220" t="s">
        <v>100</v>
      </c>
      <c r="B220" t="s">
        <v>2</v>
      </c>
      <c r="C220" t="s">
        <v>2</v>
      </c>
      <c r="D220" t="s">
        <v>2</v>
      </c>
      <c r="E220" t="s">
        <v>2</v>
      </c>
      <c r="F220" t="s">
        <v>2</v>
      </c>
      <c r="I220" t="s">
        <v>2</v>
      </c>
      <c r="L220" t="s">
        <v>2</v>
      </c>
      <c r="N220" t="s">
        <v>2</v>
      </c>
      <c r="Q220" t="s">
        <v>2</v>
      </c>
      <c r="S220" t="s">
        <v>2</v>
      </c>
      <c r="AJ220">
        <f>COUNTIF(B220:AI220,"x")</f>
        <v>10</v>
      </c>
      <c r="AK220" t="str">
        <f>HYPERLINK("http://m.mlb.com/news/article/213641980/mlb-writers-reveal-ballots-for-hall-of-fame/","MLB.com")</f>
        <v>MLB.com</v>
      </c>
      <c r="AL220" s="1">
        <v>42752</v>
      </c>
    </row>
    <row r="221" spans="1:38">
      <c r="A221" t="s">
        <v>128</v>
      </c>
      <c r="E221" t="s">
        <v>2</v>
      </c>
      <c r="F221" t="s">
        <v>2</v>
      </c>
      <c r="H221" t="s">
        <v>2</v>
      </c>
      <c r="L221" t="s">
        <v>2</v>
      </c>
      <c r="Q221" t="s">
        <v>2</v>
      </c>
      <c r="AJ221">
        <f>COUNTIF(B221:AI221,"x")</f>
        <v>5</v>
      </c>
      <c r="AK221" t="str">
        <f>HYPERLINK("http://www.sfchronicle.com/giants/article/The-Chronicle-s-Hall-of-Fame-voters-break-down-10861575.php","SF Chronicle")</f>
        <v>SF Chronicle</v>
      </c>
      <c r="AL221" s="1">
        <v>42752</v>
      </c>
    </row>
    <row r="222" spans="1:38">
      <c r="A222" t="s">
        <v>135</v>
      </c>
      <c r="B222" t="s">
        <v>2</v>
      </c>
      <c r="E222" t="s">
        <v>2</v>
      </c>
      <c r="F222" t="s">
        <v>2</v>
      </c>
      <c r="G222" t="s">
        <v>2</v>
      </c>
      <c r="J222" t="s">
        <v>2</v>
      </c>
      <c r="AJ222">
        <f>COUNTIF(B222:AI222,"x")</f>
        <v>5</v>
      </c>
      <c r="AK222" t="str">
        <f>HYPERLINK("http://www.sfchronicle.com/giants/article/The-Chronicle-s-Hall-of-Fame-voters-break-down-10861575.php","SF Chronicle")</f>
        <v>SF Chronicle</v>
      </c>
      <c r="AL222" s="1">
        <v>42752</v>
      </c>
    </row>
    <row r="223" spans="1:38">
      <c r="A223" t="s">
        <v>147</v>
      </c>
      <c r="AJ223">
        <f>COUNTIF(B223:AI223,"x")</f>
        <v>0</v>
      </c>
      <c r="AK223" t="str">
        <f>HYPERLINK("http://www.cleveland.com/livingston/index.ssf/2017/01/why_i_abstained_on_my_baseball.html","Cleveland.com")</f>
        <v>Cleveland.com</v>
      </c>
      <c r="AL223" s="1">
        <v>42752</v>
      </c>
    </row>
    <row r="224" spans="1:38">
      <c r="A224" t="s">
        <v>161</v>
      </c>
      <c r="B224" t="s">
        <v>2</v>
      </c>
      <c r="C224" t="s">
        <v>2</v>
      </c>
      <c r="D224" t="s">
        <v>2</v>
      </c>
      <c r="F224" t="s">
        <v>2</v>
      </c>
      <c r="G224" t="s">
        <v>2</v>
      </c>
      <c r="J224" t="s">
        <v>2</v>
      </c>
      <c r="L224" t="s">
        <v>2</v>
      </c>
      <c r="M224" t="s">
        <v>2</v>
      </c>
      <c r="N224" t="s">
        <v>2</v>
      </c>
      <c r="O224" t="s">
        <v>2</v>
      </c>
      <c r="AJ224">
        <f>COUNTIF(B224:AI224,"x")</f>
        <v>10</v>
      </c>
      <c r="AK224" t="str">
        <f>HYPERLINK("http://www.mydaytondailynews.com/sports/sports-daily-hall-fame-ballot-opposite-blank/nab7BBrkXpQ2Ctn7vLF7DI/","Dayton Daily News")</f>
        <v>Dayton Daily News</v>
      </c>
      <c r="AL224" s="1">
        <v>42752</v>
      </c>
    </row>
    <row r="225" spans="1:38">
      <c r="A225" t="s">
        <v>165</v>
      </c>
      <c r="B225" t="s">
        <v>2</v>
      </c>
      <c r="C225" t="s">
        <v>2</v>
      </c>
      <c r="D225" t="s">
        <v>2</v>
      </c>
      <c r="J225" t="s">
        <v>2</v>
      </c>
      <c r="L225" t="s">
        <v>2</v>
      </c>
      <c r="M225" t="s">
        <v>2</v>
      </c>
      <c r="N225" t="s">
        <v>2</v>
      </c>
      <c r="O225" t="s">
        <v>2</v>
      </c>
      <c r="R225" t="s">
        <v>2</v>
      </c>
      <c r="T225" t="s">
        <v>2</v>
      </c>
      <c r="AJ225">
        <f>COUNTIF(B225:AI225,"x")</f>
        <v>10</v>
      </c>
      <c r="AK225" t="s">
        <v>27</v>
      </c>
      <c r="AL225" s="1">
        <v>42752</v>
      </c>
    </row>
    <row r="226" spans="1:38">
      <c r="A226" t="s">
        <v>175</v>
      </c>
      <c r="B226" t="s">
        <v>2</v>
      </c>
      <c r="C226" t="s">
        <v>2</v>
      </c>
      <c r="D226" t="s">
        <v>2</v>
      </c>
      <c r="L226" t="s">
        <v>2</v>
      </c>
      <c r="N226" t="s">
        <v>2</v>
      </c>
      <c r="AJ226">
        <f>COUNTIF(B226:AI226,"x")</f>
        <v>5</v>
      </c>
      <c r="AK226" t="str">
        <f>HYPERLINK("http://m.mlb.com/news/article/213641980/mlb-writers-reveal-ballots-for-hall-of-fame/","MLB.com")</f>
        <v>MLB.com</v>
      </c>
      <c r="AL226" s="1">
        <v>42752</v>
      </c>
    </row>
    <row r="227" spans="1:38">
      <c r="A227" t="s">
        <v>183</v>
      </c>
      <c r="B227" t="s">
        <v>2</v>
      </c>
      <c r="E227" t="s">
        <v>2</v>
      </c>
      <c r="F227" t="s">
        <v>2</v>
      </c>
      <c r="G227" t="s">
        <v>2</v>
      </c>
      <c r="L227" t="s">
        <v>2</v>
      </c>
      <c r="N227" t="s">
        <v>2</v>
      </c>
      <c r="AJ227">
        <f>COUNTIF(B227:AI227,"x")</f>
        <v>6</v>
      </c>
      <c r="AK227" t="str">
        <f>HYPERLINK("http://www.usatoday.com/story/sports/mlb/2017/01/17/baseball-hall-fame-how-usa-today-sports-voted/96676540/","USA Today")</f>
        <v>USA Today</v>
      </c>
      <c r="AL227" s="1">
        <v>42752</v>
      </c>
    </row>
    <row r="228" spans="1:38">
      <c r="A228" t="s">
        <v>187</v>
      </c>
      <c r="B228" t="s">
        <v>2</v>
      </c>
      <c r="C228" t="s">
        <v>2</v>
      </c>
      <c r="D228" t="s">
        <v>2</v>
      </c>
      <c r="F228" t="s">
        <v>2</v>
      </c>
      <c r="H228" t="s">
        <v>2</v>
      </c>
      <c r="J228" t="s">
        <v>2</v>
      </c>
      <c r="L228" t="s">
        <v>2</v>
      </c>
      <c r="O228" t="s">
        <v>2</v>
      </c>
      <c r="Q228" t="s">
        <v>2</v>
      </c>
      <c r="R228" t="s">
        <v>2</v>
      </c>
      <c r="AJ228">
        <f>COUNTIF(B228:AI228,"x")</f>
        <v>10</v>
      </c>
      <c r="AK228" t="str">
        <f>HYPERLINK("https://twitter.com/jparis_sports/status/821404917784948736","Twitter")</f>
        <v>Twitter</v>
      </c>
      <c r="AL228" s="1">
        <v>42752</v>
      </c>
    </row>
    <row r="229" spans="1:38">
      <c r="A229" t="s">
        <v>188</v>
      </c>
      <c r="C229" t="s">
        <v>2</v>
      </c>
      <c r="D229" t="s">
        <v>2</v>
      </c>
      <c r="F229" t="s">
        <v>2</v>
      </c>
      <c r="N229" t="s">
        <v>2</v>
      </c>
      <c r="P229" t="s">
        <v>2</v>
      </c>
      <c r="Q229" t="s">
        <v>2</v>
      </c>
      <c r="R229" t="s">
        <v>2</v>
      </c>
      <c r="AJ229">
        <f>COUNTIF(B229:AI229,"x")</f>
        <v>7</v>
      </c>
      <c r="AK229" t="str">
        <f>HYPERLINK("https://theshadowleague.com/story/my-baseball-hall-of-fame-ballot","The Shadow League")</f>
        <v>The Shadow League</v>
      </c>
      <c r="AL229" s="1">
        <v>42752</v>
      </c>
    </row>
    <row r="230" spans="1:38">
      <c r="A230" t="s">
        <v>193</v>
      </c>
      <c r="B230" t="s">
        <v>2</v>
      </c>
      <c r="C230" t="s">
        <v>2</v>
      </c>
      <c r="D230" t="s">
        <v>2</v>
      </c>
      <c r="F230" t="s">
        <v>2</v>
      </c>
      <c r="H230" t="s">
        <v>2</v>
      </c>
      <c r="J230" t="s">
        <v>2</v>
      </c>
      <c r="L230" t="s">
        <v>2</v>
      </c>
      <c r="N230" t="s">
        <v>2</v>
      </c>
      <c r="Q230" t="s">
        <v>2</v>
      </c>
      <c r="T230" t="s">
        <v>2</v>
      </c>
      <c r="AJ230">
        <f>COUNTIF(B230:AI230,"x")</f>
        <v>10</v>
      </c>
      <c r="AK230" t="str">
        <f>HYPERLINK("http://www.fanragsports.com/mlb/perrotto-explaining-my-hall-of-fame-ballot/","Fanrag Sports")</f>
        <v>Fanrag Sports</v>
      </c>
      <c r="AL230" s="1">
        <v>42752</v>
      </c>
    </row>
    <row r="231" spans="1:38">
      <c r="A231" t="s">
        <v>200</v>
      </c>
      <c r="B231" t="s">
        <v>2</v>
      </c>
      <c r="C231" t="s">
        <v>2</v>
      </c>
      <c r="D231" t="s">
        <v>2</v>
      </c>
      <c r="H231" t="s">
        <v>2</v>
      </c>
      <c r="J231" t="s">
        <v>2</v>
      </c>
      <c r="L231" t="s">
        <v>2</v>
      </c>
      <c r="M231" t="s">
        <v>2</v>
      </c>
      <c r="N231" t="s">
        <v>2</v>
      </c>
      <c r="O231" t="s">
        <v>2</v>
      </c>
      <c r="T231" t="s">
        <v>2</v>
      </c>
      <c r="AJ231">
        <f>COUNTIF(B231:AI231,"x")</f>
        <v>10</v>
      </c>
      <c r="AK231" t="str">
        <f>HYPERLINK("http://joeposnanski.com/ballot-10-vlad-and-manny/","JoePosnanski.com")</f>
        <v>JoePosnanski.com</v>
      </c>
      <c r="AL231" s="1">
        <v>42752</v>
      </c>
    </row>
    <row r="232" spans="1:38">
      <c r="A232" t="s">
        <v>221</v>
      </c>
      <c r="B232" t="s">
        <v>2</v>
      </c>
      <c r="C232" t="s">
        <v>2</v>
      </c>
      <c r="D232" t="s">
        <v>2</v>
      </c>
      <c r="E232" t="s">
        <v>2</v>
      </c>
      <c r="F232" t="s">
        <v>2</v>
      </c>
      <c r="L232" t="s">
        <v>2</v>
      </c>
      <c r="N232" t="s">
        <v>2</v>
      </c>
      <c r="AJ232">
        <f>COUNTIF(B232:AI232,"x")</f>
        <v>7</v>
      </c>
      <c r="AK232" t="str">
        <f>HYPERLINK("https://twitter.com/tribjoerutter/status/821561557708664832","Twitter")</f>
        <v>Twitter</v>
      </c>
      <c r="AL232" s="1">
        <v>42752</v>
      </c>
    </row>
    <row r="233" spans="1:38">
      <c r="A233" t="s">
        <v>224</v>
      </c>
      <c r="B233" t="s">
        <v>2</v>
      </c>
      <c r="C233" t="s">
        <v>2</v>
      </c>
      <c r="D233" t="s">
        <v>2</v>
      </c>
      <c r="F233" t="s">
        <v>2</v>
      </c>
      <c r="H233" t="s">
        <v>2</v>
      </c>
      <c r="J233" t="s">
        <v>2</v>
      </c>
      <c r="L233" t="s">
        <v>2</v>
      </c>
      <c r="N233" t="s">
        <v>2</v>
      </c>
      <c r="O233" t="s">
        <v>2</v>
      </c>
      <c r="P233" t="s">
        <v>2</v>
      </c>
      <c r="AJ233">
        <f>COUNTIF(B233:AI233,"x")</f>
        <v>10</v>
      </c>
      <c r="AK233" t="str">
        <f>HYPERLINK("http://www.sfchronicle.com/giants/article/The-Chronicle-s-Hall-of-Fame-voters-break-down-10861575.php","SF Chronicle")</f>
        <v>SF Chronicle</v>
      </c>
      <c r="AL233" s="1">
        <v>42752</v>
      </c>
    </row>
    <row r="234" spans="1:38">
      <c r="A234" t="s">
        <v>229</v>
      </c>
      <c r="B234" t="s">
        <v>2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L234" t="s">
        <v>2</v>
      </c>
      <c r="N234" t="s">
        <v>2</v>
      </c>
      <c r="Q234" t="s">
        <v>2</v>
      </c>
      <c r="AJ234">
        <f>COUNTIF(B234:AI234,"x")</f>
        <v>10</v>
      </c>
      <c r="AK234" t="str">
        <f>HYPERLINK("http://www.sfchronicle.com/giants/article/The-Chronicle-s-Hall-of-Fame-voters-break-down-10861575.php","SF Chronicle")</f>
        <v>SF Chronicle</v>
      </c>
      <c r="AL234" s="1">
        <v>42752</v>
      </c>
    </row>
    <row r="235" spans="1:38">
      <c r="A235" t="s">
        <v>233</v>
      </c>
      <c r="B235" t="s">
        <v>2</v>
      </c>
      <c r="C235" t="s">
        <v>2</v>
      </c>
      <c r="D235" t="s">
        <v>2</v>
      </c>
      <c r="E235" t="s">
        <v>2</v>
      </c>
      <c r="F235" t="s">
        <v>2</v>
      </c>
      <c r="H235" t="s">
        <v>2</v>
      </c>
      <c r="J235" t="s">
        <v>2</v>
      </c>
      <c r="L235" t="s">
        <v>2</v>
      </c>
      <c r="N235" t="s">
        <v>2</v>
      </c>
      <c r="O235" t="s">
        <v>2</v>
      </c>
      <c r="AJ235">
        <f>COUNTIF(B235:AI235,"x")</f>
        <v>10</v>
      </c>
      <c r="AK235" t="str">
        <f>HYPERLINK("http://www.sfchronicle.com/giants/article/The-Chronicle-s-Hall-of-Fame-voters-break-down-10861575.php","SF Chronicle")</f>
        <v>SF Chronicle</v>
      </c>
      <c r="AL235" s="1">
        <v>42752</v>
      </c>
    </row>
    <row r="236" spans="1:38">
      <c r="A236" t="s">
        <v>19</v>
      </c>
      <c r="B236" t="s">
        <v>2</v>
      </c>
      <c r="E236" t="s">
        <v>2</v>
      </c>
      <c r="F236" t="s">
        <v>2</v>
      </c>
      <c r="H236" t="s">
        <v>2</v>
      </c>
      <c r="J236" t="s">
        <v>2</v>
      </c>
      <c r="L236" t="s">
        <v>2</v>
      </c>
      <c r="N236" t="s">
        <v>2</v>
      </c>
      <c r="O236" t="s">
        <v>2</v>
      </c>
      <c r="S236" t="s">
        <v>2</v>
      </c>
      <c r="T236" t="s">
        <v>2</v>
      </c>
      <c r="AJ236">
        <f>COUNTIF(B236:AI236,"x")</f>
        <v>10</v>
      </c>
      <c r="AK236" t="str">
        <f>HYPERLINK("https://twitter.com/AmalieBenjamin/status/821835241069412352/photo/1","Twitter")</f>
        <v>Twitter</v>
      </c>
      <c r="AL236" s="1">
        <v>42753</v>
      </c>
    </row>
    <row r="237" spans="1:38">
      <c r="A237" t="s">
        <v>49</v>
      </c>
      <c r="B237" t="s">
        <v>2</v>
      </c>
      <c r="C237" t="s">
        <v>2</v>
      </c>
      <c r="D237" t="s">
        <v>2</v>
      </c>
      <c r="E237" t="s">
        <v>2</v>
      </c>
      <c r="F237" t="s">
        <v>2</v>
      </c>
      <c r="H237" t="s">
        <v>2</v>
      </c>
      <c r="J237" t="s">
        <v>2</v>
      </c>
      <c r="N237" t="s">
        <v>2</v>
      </c>
      <c r="O237" t="s">
        <v>2</v>
      </c>
      <c r="T237" t="s">
        <v>2</v>
      </c>
      <c r="AJ237">
        <f>COUNTIF(B237:AI237,"x")</f>
        <v>10</v>
      </c>
      <c r="AK237" t="str">
        <f>HYPERLINK("http://www.baltimorebaseball.com/2017/01/19/hall-fame-ballot-luck-shame-thoughts-widvort/?utm_source=dlvr.it&amp;utm_medium=twitter","Baltimorebaseball.com")</f>
        <v>Baltimorebaseball.com</v>
      </c>
      <c r="AL237" s="3">
        <v>42753</v>
      </c>
    </row>
    <row r="238" spans="1:38">
      <c r="A238" t="s">
        <v>79</v>
      </c>
      <c r="B238" t="s">
        <v>2</v>
      </c>
      <c r="E238" t="s">
        <v>2</v>
      </c>
      <c r="F238" t="s">
        <v>2</v>
      </c>
      <c r="H238" t="s">
        <v>2</v>
      </c>
      <c r="I238" t="s">
        <v>2</v>
      </c>
      <c r="J238" t="s">
        <v>2</v>
      </c>
      <c r="L238" t="s">
        <v>2</v>
      </c>
      <c r="Q238" t="s">
        <v>2</v>
      </c>
      <c r="AJ238">
        <f>COUNTIF(B238:AI238,"x")</f>
        <v>8</v>
      </c>
      <c r="AK238" t="str">
        <f>HYPERLINK("https://twitter.com/DadScribe/status/821856104313458689","Twitter")</f>
        <v>Twitter</v>
      </c>
      <c r="AL238" s="3">
        <v>42753</v>
      </c>
    </row>
    <row r="239" spans="1:38">
      <c r="A239" t="s">
        <v>106</v>
      </c>
      <c r="B239" t="s">
        <v>2</v>
      </c>
      <c r="C239" t="s">
        <v>2</v>
      </c>
      <c r="D239" t="s">
        <v>2</v>
      </c>
      <c r="E239" t="s">
        <v>2</v>
      </c>
      <c r="F239" t="s">
        <v>2</v>
      </c>
      <c r="H239" t="s">
        <v>2</v>
      </c>
      <c r="J239" t="s">
        <v>2</v>
      </c>
      <c r="L239" t="s">
        <v>2</v>
      </c>
      <c r="N239" t="s">
        <v>2</v>
      </c>
      <c r="O239" t="s">
        <v>2</v>
      </c>
      <c r="AJ239">
        <f>COUNTIF(B239:AI239,"x")</f>
        <v>10</v>
      </c>
      <c r="AK239" t="str">
        <f>HYPERLINK("http://www.jsonline.com/story/sports/mlb/brewers/2017/01/18/haudricourts-hof-ballot-10-choices-not-enough/96676716/","Journal Sentinel")</f>
        <v>Journal Sentinel</v>
      </c>
      <c r="AL239" s="1">
        <v>42753</v>
      </c>
    </row>
    <row r="240" spans="1:38">
      <c r="A240" t="s">
        <v>111</v>
      </c>
      <c r="C240" t="s">
        <v>2</v>
      </c>
      <c r="D240" t="s">
        <v>2</v>
      </c>
      <c r="E240" t="s">
        <v>2</v>
      </c>
      <c r="F240" t="s">
        <v>2</v>
      </c>
      <c r="L240" t="s">
        <v>2</v>
      </c>
      <c r="M240" t="s">
        <v>2</v>
      </c>
      <c r="N240" t="s">
        <v>2</v>
      </c>
      <c r="Q240" t="s">
        <v>2</v>
      </c>
      <c r="T240" t="s">
        <v>2</v>
      </c>
      <c r="AJ240">
        <f>COUNTIF(B240:AI240,"x")</f>
        <v>9</v>
      </c>
      <c r="AK240" t="str">
        <f>HYPERLINK("https://twitter.com/bhertzel/status/818878101451108352","Twitter")</f>
        <v>Twitter</v>
      </c>
      <c r="AL240" s="1">
        <v>42753</v>
      </c>
    </row>
    <row r="241" spans="1:38">
      <c r="A241" t="s">
        <v>123</v>
      </c>
      <c r="B241" t="s">
        <v>2</v>
      </c>
      <c r="E241" t="s">
        <v>2</v>
      </c>
      <c r="F241" t="s">
        <v>2</v>
      </c>
      <c r="H241" t="s">
        <v>2</v>
      </c>
      <c r="I241" t="s">
        <v>2</v>
      </c>
      <c r="N241" t="s">
        <v>2</v>
      </c>
      <c r="P241" t="s">
        <v>2</v>
      </c>
      <c r="Q241" t="s">
        <v>2</v>
      </c>
      <c r="AJ241">
        <f>COUNTIF(B241:AI241,"x")</f>
        <v>8</v>
      </c>
      <c r="AK241" t="str">
        <f>HYPERLINK("https://twitter.com/Katzcopsnsports/status/821750536647086080","Twitter")</f>
        <v>Twitter</v>
      </c>
      <c r="AL241" s="1">
        <v>42753</v>
      </c>
    </row>
    <row r="242" spans="1:38">
      <c r="A242" t="s">
        <v>129</v>
      </c>
      <c r="C242" t="s">
        <v>2</v>
      </c>
      <c r="D242" t="s">
        <v>2</v>
      </c>
      <c r="E242" t="s">
        <v>2</v>
      </c>
      <c r="F242" t="s">
        <v>2</v>
      </c>
      <c r="J242" t="s">
        <v>2</v>
      </c>
      <c r="M242" t="s">
        <v>2</v>
      </c>
      <c r="N242" t="s">
        <v>2</v>
      </c>
      <c r="P242" t="s">
        <v>2</v>
      </c>
      <c r="R242" t="s">
        <v>2</v>
      </c>
      <c r="AJ242">
        <f>COUNTIF(B242:AI242,"x")</f>
        <v>9</v>
      </c>
      <c r="AK242" t="str">
        <f>HYPERLINK("http://nypost.com/2017/01/18/11-voters-share-their-hall-of-fame-ballots/","NY Post")</f>
        <v>NY Post</v>
      </c>
      <c r="AL242" s="1">
        <v>42753</v>
      </c>
    </row>
    <row r="243" spans="1:38">
      <c r="A243" t="s">
        <v>150</v>
      </c>
      <c r="B243" t="s">
        <v>2</v>
      </c>
      <c r="C243" t="s">
        <v>2</v>
      </c>
      <c r="D243" t="s">
        <v>2</v>
      </c>
      <c r="E243" t="s">
        <v>2</v>
      </c>
      <c r="F243" t="s">
        <v>2</v>
      </c>
      <c r="H243" t="s">
        <v>2</v>
      </c>
      <c r="L243" t="s">
        <v>2</v>
      </c>
      <c r="N243" t="s">
        <v>2</v>
      </c>
      <c r="O243" t="s">
        <v>2</v>
      </c>
      <c r="Q243" t="s">
        <v>2</v>
      </c>
      <c r="AJ243">
        <f>COUNTIF(B243:AI243,"x")</f>
        <v>10</v>
      </c>
      <c r="AK243" t="str">
        <f>HYPERLINK("http://www.heraldtribune.com/sports/20170118/hall-of-fame-dennis-maffezzolis-reveals-his-picks-for-baseball-hall","Herald Tribune")</f>
        <v>Herald Tribune</v>
      </c>
      <c r="AL243" s="1">
        <v>42753</v>
      </c>
    </row>
    <row r="244" spans="1:38">
      <c r="A244" t="s">
        <v>152</v>
      </c>
      <c r="B244" t="s">
        <v>2</v>
      </c>
      <c r="E244" t="s">
        <v>2</v>
      </c>
      <c r="F244" t="s">
        <v>2</v>
      </c>
      <c r="H244" t="s">
        <v>2</v>
      </c>
      <c r="J244" t="s">
        <v>2</v>
      </c>
      <c r="L244" t="s">
        <v>2</v>
      </c>
      <c r="N244" t="s">
        <v>2</v>
      </c>
      <c r="O244" t="s">
        <v>2</v>
      </c>
      <c r="T244" t="s">
        <v>2</v>
      </c>
      <c r="AJ244">
        <f>COUNTIF(B244:AI244,"x")</f>
        <v>9</v>
      </c>
      <c r="AK244" t="str">
        <f>HYPERLINK("http://www.cleveland.com/tribe/index.ssf/2017/01/hall_of_fame_baseball.html","Cleveland.com")</f>
        <v>Cleveland.com</v>
      </c>
      <c r="AL244" s="3">
        <v>42753</v>
      </c>
    </row>
    <row r="245" spans="1:38">
      <c r="A245" t="s">
        <v>159</v>
      </c>
      <c r="B245" t="s">
        <v>2</v>
      </c>
      <c r="C245" t="s">
        <v>2</v>
      </c>
      <c r="D245" t="s">
        <v>2</v>
      </c>
      <c r="E245" t="s">
        <v>2</v>
      </c>
      <c r="G245" t="s">
        <v>2</v>
      </c>
      <c r="H245" t="s">
        <v>2</v>
      </c>
      <c r="J245" t="s">
        <v>2</v>
      </c>
      <c r="L245" t="s">
        <v>2</v>
      </c>
      <c r="N245" t="s">
        <v>2</v>
      </c>
      <c r="O245" t="s">
        <v>2</v>
      </c>
      <c r="AJ245">
        <f>COUNTIF(B245:AI245,"x")</f>
        <v>10</v>
      </c>
      <c r="AK245" t="str">
        <f>HYPERLINK("https://twitter.com/AnthonyMcCarron/status/821774805137555458","Twitter")</f>
        <v>Twitter</v>
      </c>
      <c r="AL245" s="1">
        <v>42753</v>
      </c>
    </row>
    <row r="246" spans="1:38">
      <c r="A246" t="s">
        <v>208</v>
      </c>
      <c r="B246" t="s">
        <v>2</v>
      </c>
      <c r="C246" t="s">
        <v>2</v>
      </c>
      <c r="D246" t="s">
        <v>2</v>
      </c>
      <c r="F246" t="s">
        <v>2</v>
      </c>
      <c r="H246" t="s">
        <v>2</v>
      </c>
      <c r="L246" t="s">
        <v>2</v>
      </c>
      <c r="M246" t="s">
        <v>2</v>
      </c>
      <c r="N246" t="s">
        <v>2</v>
      </c>
      <c r="Q246" t="s">
        <v>2</v>
      </c>
      <c r="T246" t="s">
        <v>2</v>
      </c>
      <c r="AJ246">
        <f>COUNTIF(B246:AI246,"x")</f>
        <v>10</v>
      </c>
      <c r="AK246" t="str">
        <f>HYPERLINK("https://twitter.com/ByTimReynolds/status/821726540484513792","Twitter")</f>
        <v>Twitter</v>
      </c>
      <c r="AL246" s="1">
        <v>42753</v>
      </c>
    </row>
    <row r="247" spans="1:38">
      <c r="A247" t="s">
        <v>209</v>
      </c>
      <c r="C247" t="s">
        <v>2</v>
      </c>
      <c r="D247" t="s">
        <v>2</v>
      </c>
      <c r="E247" t="s">
        <v>2</v>
      </c>
      <c r="F247" t="s">
        <v>2</v>
      </c>
      <c r="G247" t="s">
        <v>2</v>
      </c>
      <c r="J247" t="s">
        <v>2</v>
      </c>
      <c r="M247" t="s">
        <v>2</v>
      </c>
      <c r="N247" t="s">
        <v>2</v>
      </c>
      <c r="O247" t="s">
        <v>2</v>
      </c>
      <c r="AJ247">
        <f>COUNTIF(B247:AI247,"x")</f>
        <v>9</v>
      </c>
      <c r="AK247" t="str">
        <f>HYPERLINK("http://www.newsday.com/sports/baseball/2017-baseball-hall-of-fame-ballot-by-newsday-s-anthony-rieber-1.12973508?utm_content=buffer983ae&amp;utm_medium=social&amp;utm_source=twitter.com&amp;utm_campaign=buffer","Newsday")</f>
        <v>Newsday</v>
      </c>
      <c r="AL247" s="1">
        <v>42753</v>
      </c>
    </row>
    <row r="248" spans="1:38">
      <c r="A248" t="s">
        <v>212</v>
      </c>
      <c r="C248" t="s">
        <v>2</v>
      </c>
      <c r="I248" t="s">
        <v>2</v>
      </c>
      <c r="L248" t="s">
        <v>2</v>
      </c>
      <c r="N248" t="s">
        <v>2</v>
      </c>
      <c r="AJ248">
        <f>COUNTIF(B248:AI248,"x")</f>
        <v>4</v>
      </c>
      <c r="AK248" t="str">
        <f>HYPERLINK("https://twitter.com/alanrobinson412/status/821829896804573185","Twitter")</f>
        <v>Twitter</v>
      </c>
      <c r="AL248" s="1">
        <v>42753</v>
      </c>
    </row>
    <row r="249" spans="1:38">
      <c r="A249" t="s">
        <v>230</v>
      </c>
      <c r="B249" t="s">
        <v>2</v>
      </c>
      <c r="C249" t="s">
        <v>2</v>
      </c>
      <c r="D249" t="s">
        <v>2</v>
      </c>
      <c r="E249" t="s">
        <v>2</v>
      </c>
      <c r="H249" t="s">
        <v>2</v>
      </c>
      <c r="J249" t="s">
        <v>2</v>
      </c>
      <c r="L249" t="s">
        <v>2</v>
      </c>
      <c r="N249" t="s">
        <v>2</v>
      </c>
      <c r="O249" t="s">
        <v>2</v>
      </c>
      <c r="AJ249">
        <f>COUNTIF(B249:AI249,"x")</f>
        <v>9</v>
      </c>
      <c r="AK249" t="str">
        <f>HYPERLINK("http://nypost.com/2017/01/18/11-voters-share-their-hall-of-fame-ballots/","NY Post")</f>
        <v>NY Post</v>
      </c>
      <c r="AL249" s="1">
        <v>42753</v>
      </c>
    </row>
    <row r="250" spans="1:38">
      <c r="A250" t="s">
        <v>260</v>
      </c>
      <c r="B250" t="s">
        <v>2</v>
      </c>
      <c r="E250" t="s">
        <v>2</v>
      </c>
      <c r="F250" t="s">
        <v>2</v>
      </c>
      <c r="J250" t="s">
        <v>2</v>
      </c>
      <c r="L250" t="s">
        <v>2</v>
      </c>
      <c r="O250" t="s">
        <v>2</v>
      </c>
      <c r="Q250" t="s">
        <v>2</v>
      </c>
      <c r="S250" t="s">
        <v>2</v>
      </c>
      <c r="AJ250">
        <f>COUNTIF(B250:AI250,"x")</f>
        <v>8</v>
      </c>
      <c r="AK250" t="str">
        <f>HYPERLINK("https://twitter.com/Toquesdebola/status/821898884620259329","Twitter")</f>
        <v>Twitter</v>
      </c>
      <c r="AL250" s="4">
        <v>42753</v>
      </c>
    </row>
    <row r="251" spans="1:38">
      <c r="A251" t="s">
        <v>264</v>
      </c>
      <c r="B251" t="s">
        <v>2</v>
      </c>
      <c r="C251" t="s">
        <v>2</v>
      </c>
      <c r="D251" t="s">
        <v>2</v>
      </c>
      <c r="F251" t="s">
        <v>2</v>
      </c>
      <c r="G251" t="s">
        <v>2</v>
      </c>
      <c r="J251" t="s">
        <v>2</v>
      </c>
      <c r="L251" t="s">
        <v>2</v>
      </c>
      <c r="N251" t="s">
        <v>2</v>
      </c>
      <c r="Q251" t="s">
        <v>2</v>
      </c>
      <c r="S251" t="s">
        <v>2</v>
      </c>
      <c r="AJ251">
        <f>COUNTIF(B251:AI251,"x")</f>
        <v>10</v>
      </c>
      <c r="AK251" t="str">
        <f>HYPERLINK("https://twitter.com/dfbarron/status/821861030812860417","Twitter")</f>
        <v>Twitter</v>
      </c>
      <c r="AL251" s="4">
        <v>42753</v>
      </c>
    </row>
    <row r="252" spans="1:38">
      <c r="A252" t="s">
        <v>266</v>
      </c>
      <c r="B252" t="s">
        <v>2</v>
      </c>
      <c r="C252" t="s">
        <v>2</v>
      </c>
      <c r="D252" t="s">
        <v>2</v>
      </c>
      <c r="E252" t="s">
        <v>2</v>
      </c>
      <c r="F252" t="s">
        <v>2</v>
      </c>
      <c r="L252" t="s">
        <v>2</v>
      </c>
      <c r="N252" t="s">
        <v>2</v>
      </c>
      <c r="O252" t="s">
        <v>2</v>
      </c>
      <c r="Q252" t="s">
        <v>2</v>
      </c>
      <c r="R252" t="s">
        <v>2</v>
      </c>
      <c r="AJ252">
        <f>COUNTIF(B252:AI252,"x")</f>
        <v>10</v>
      </c>
      <c r="AK252" t="str">
        <f>HYPERLINK("http://www.dailyherald.com/article/20170118/sports/170118787/","Daily Herald")</f>
        <v>Daily Herald</v>
      </c>
      <c r="AL252" s="4">
        <v>42753</v>
      </c>
    </row>
    <row r="253" spans="1:38">
      <c r="A253" t="s">
        <v>270</v>
      </c>
      <c r="B253" t="s">
        <v>2</v>
      </c>
      <c r="F253" t="s">
        <v>2</v>
      </c>
      <c r="H253" t="s">
        <v>2</v>
      </c>
      <c r="J253" t="s">
        <v>2</v>
      </c>
      <c r="L253" t="s">
        <v>2</v>
      </c>
      <c r="N253" t="s">
        <v>2</v>
      </c>
      <c r="O253" t="s">
        <v>2</v>
      </c>
      <c r="Q253" t="s">
        <v>2</v>
      </c>
      <c r="AJ253">
        <f>COUNTIF(B253:AI253,"x")</f>
        <v>8</v>
      </c>
      <c r="AK253" t="s">
        <v>5</v>
      </c>
      <c r="AL253" s="4">
        <v>42753</v>
      </c>
    </row>
    <row r="254" spans="1:38">
      <c r="A254" t="s">
        <v>272</v>
      </c>
      <c r="B254" t="s">
        <v>2</v>
      </c>
      <c r="E254" t="s">
        <v>2</v>
      </c>
      <c r="F254" t="s">
        <v>2</v>
      </c>
      <c r="L254" t="s">
        <v>2</v>
      </c>
      <c r="N254" t="s">
        <v>2</v>
      </c>
      <c r="O254" t="s">
        <v>2</v>
      </c>
      <c r="P254" t="s">
        <v>2</v>
      </c>
      <c r="Q254" t="s">
        <v>2</v>
      </c>
      <c r="AJ254">
        <f>COUNTIF(B254:AI254,"x")</f>
        <v>8</v>
      </c>
      <c r="AK254" t="s">
        <v>30</v>
      </c>
      <c r="AL254" s="4">
        <v>42753</v>
      </c>
    </row>
    <row r="255" spans="1:38">
      <c r="A255" t="s">
        <v>276</v>
      </c>
      <c r="B255" t="s">
        <v>2</v>
      </c>
      <c r="E255" t="s">
        <v>2</v>
      </c>
      <c r="AJ255">
        <f>COUNTIF(B255:AI255,"x")</f>
        <v>2</v>
      </c>
      <c r="AK255" t="str">
        <f>HYPERLINK("https://twitter.com/TomPowersPP/status/821886021566599168","Twitter")</f>
        <v>Twitter</v>
      </c>
      <c r="AL255" s="4">
        <v>42753</v>
      </c>
    </row>
    <row r="256" spans="1:38">
      <c r="A256" t="s">
        <v>282</v>
      </c>
      <c r="B256" t="s">
        <v>2</v>
      </c>
      <c r="E256" t="s">
        <v>2</v>
      </c>
      <c r="F256" t="s">
        <v>2</v>
      </c>
      <c r="H256" t="s">
        <v>2</v>
      </c>
      <c r="L256" t="s">
        <v>2</v>
      </c>
      <c r="N256" t="s">
        <v>2</v>
      </c>
      <c r="O256" t="s">
        <v>2</v>
      </c>
      <c r="S256" t="s">
        <v>2</v>
      </c>
      <c r="T256" t="s">
        <v>2</v>
      </c>
      <c r="AJ256">
        <f>COUNTIF(B256:AI256,"x")</f>
        <v>9</v>
      </c>
      <c r="AK256" t="str">
        <f>HYPERLINK("http://www.masnsports.com/nationals-pastime/2017/01/my-2017-hall-of-fame-ballot.html","MASN")</f>
        <v>MASN</v>
      </c>
      <c r="AL256" s="4">
        <v>42753</v>
      </c>
    </row>
    <row r="257" spans="1:38">
      <c r="A257" t="s">
        <v>283</v>
      </c>
      <c r="B257" t="s">
        <v>2</v>
      </c>
      <c r="C257" t="s">
        <v>2</v>
      </c>
      <c r="D257" t="s">
        <v>2</v>
      </c>
      <c r="E257" t="s">
        <v>2</v>
      </c>
      <c r="F257" t="s">
        <v>2</v>
      </c>
      <c r="H257" t="s">
        <v>2</v>
      </c>
      <c r="J257" t="s">
        <v>2</v>
      </c>
      <c r="L257" t="s">
        <v>2</v>
      </c>
      <c r="M257" t="s">
        <v>2</v>
      </c>
      <c r="N257" t="s">
        <v>2</v>
      </c>
      <c r="AJ257">
        <f>COUNTIF(B257:AI257,"x")</f>
        <v>10</v>
      </c>
      <c r="AK257" t="s">
        <v>284</v>
      </c>
      <c r="AL257" s="3">
        <v>42753</v>
      </c>
    </row>
    <row r="258" spans="1:38">
      <c r="A258" t="s">
        <v>261</v>
      </c>
      <c r="B258" t="s">
        <v>2</v>
      </c>
      <c r="D258" t="s">
        <v>2</v>
      </c>
      <c r="F258" t="s">
        <v>2</v>
      </c>
      <c r="H258" t="s">
        <v>2</v>
      </c>
      <c r="J258" t="s">
        <v>2</v>
      </c>
      <c r="L258" t="s">
        <v>2</v>
      </c>
      <c r="M258" t="s">
        <v>2</v>
      </c>
      <c r="N258" t="s">
        <v>2</v>
      </c>
      <c r="AJ258">
        <f>COUNTIF(B258:AI258,"x")</f>
        <v>8</v>
      </c>
      <c r="AK258" t="s">
        <v>262</v>
      </c>
      <c r="AL258" s="4">
        <v>42754</v>
      </c>
    </row>
    <row r="259" spans="1:38">
      <c r="A259" t="s">
        <v>263</v>
      </c>
      <c r="B259" t="s">
        <v>2</v>
      </c>
      <c r="C259" t="s">
        <v>2</v>
      </c>
      <c r="D259" t="s">
        <v>2</v>
      </c>
      <c r="E259" t="s">
        <v>2</v>
      </c>
      <c r="F259" t="s">
        <v>2</v>
      </c>
      <c r="H259" t="s">
        <v>2</v>
      </c>
      <c r="J259" t="s">
        <v>2</v>
      </c>
      <c r="L259" t="s">
        <v>2</v>
      </c>
      <c r="N259" t="s">
        <v>2</v>
      </c>
      <c r="O259" t="s">
        <v>2</v>
      </c>
      <c r="AJ259">
        <f>COUNTIF(B259:AI259,"x")</f>
        <v>10</v>
      </c>
      <c r="AK259" t="s">
        <v>262</v>
      </c>
      <c r="AL259" s="4">
        <v>42754</v>
      </c>
    </row>
    <row r="260" spans="1:38">
      <c r="A260" t="s">
        <v>267</v>
      </c>
      <c r="B260" t="s">
        <v>2</v>
      </c>
      <c r="E260" t="s">
        <v>2</v>
      </c>
      <c r="H260" t="s">
        <v>2</v>
      </c>
      <c r="J260" t="s">
        <v>2</v>
      </c>
      <c r="L260" t="s">
        <v>2</v>
      </c>
      <c r="O260" t="s">
        <v>2</v>
      </c>
      <c r="AJ260">
        <f>COUNTIF(B260:AI260,"x")</f>
        <v>6</v>
      </c>
      <c r="AK260" t="str">
        <f>HYPERLINK("http://www.chroniclet.com/sports/2017/01/19/Jim-Ingraham-Voting-for-baseball-s-Hall-of-Fame-is-serious-business.html","Chronicle Telegram")</f>
        <v>Chronicle Telegram</v>
      </c>
      <c r="AL260" s="4">
        <v>42754</v>
      </c>
    </row>
    <row r="261" spans="1:38">
      <c r="A261" t="s">
        <v>269</v>
      </c>
      <c r="B261" t="s">
        <v>2</v>
      </c>
      <c r="F261" t="s">
        <v>2</v>
      </c>
      <c r="H261" t="s">
        <v>2</v>
      </c>
      <c r="L261" t="s">
        <v>2</v>
      </c>
      <c r="N261" t="s">
        <v>2</v>
      </c>
      <c r="O261" t="s">
        <v>2</v>
      </c>
      <c r="Q261" t="s">
        <v>2</v>
      </c>
      <c r="S261" t="s">
        <v>2</v>
      </c>
      <c r="AJ261">
        <f>COUNTIF(B261:AI261,"x")</f>
        <v>8</v>
      </c>
      <c r="AK261" t="str">
        <f>HYPERLINK("http://www.bnd.com/sports/mlb/st-louis-cardinals/article127333879.html","BND")</f>
        <v>BND</v>
      </c>
      <c r="AL261" s="4">
        <v>42754</v>
      </c>
    </row>
    <row r="262" spans="1:38">
      <c r="A262" t="s">
        <v>271</v>
      </c>
      <c r="B262" t="s">
        <v>2</v>
      </c>
      <c r="C262" t="s">
        <v>2</v>
      </c>
      <c r="D262" t="s">
        <v>2</v>
      </c>
      <c r="E262" t="s">
        <v>2</v>
      </c>
      <c r="F262" t="s">
        <v>2</v>
      </c>
      <c r="N262" t="s">
        <v>2</v>
      </c>
      <c r="AJ262">
        <f>COUNTIF(B262:AI262,"x")</f>
        <v>6</v>
      </c>
      <c r="AK262" t="str">
        <f>HYPERLINK("http://www.pe.com/articles/guerrero-823495-hall-one.html","Press-Enterprise")</f>
        <v>Press-Enterprise</v>
      </c>
      <c r="AL262" s="4">
        <v>42754</v>
      </c>
    </row>
    <row r="263" spans="1:38">
      <c r="A263" t="s">
        <v>274</v>
      </c>
      <c r="B263" t="s">
        <v>2</v>
      </c>
      <c r="E263" t="s">
        <v>2</v>
      </c>
      <c r="F263" t="s">
        <v>2</v>
      </c>
      <c r="H263" t="s">
        <v>2</v>
      </c>
      <c r="I263" t="s">
        <v>2</v>
      </c>
      <c r="J263" t="s">
        <v>2</v>
      </c>
      <c r="L263" t="s">
        <v>2</v>
      </c>
      <c r="N263" t="s">
        <v>2</v>
      </c>
      <c r="Q263" t="s">
        <v>2</v>
      </c>
      <c r="T263" t="s">
        <v>2</v>
      </c>
      <c r="AJ263">
        <f>COUNTIF(B263:AI263,"x")</f>
        <v>10</v>
      </c>
      <c r="AK263" t="str">
        <f>HYPERLINK("http://www.bnd.com/sports/mlb/st-louis-cardinals/article127333879.html","BND")</f>
        <v>BND</v>
      </c>
      <c r="AL263" s="4">
        <v>42754</v>
      </c>
    </row>
    <row r="264" spans="1:38">
      <c r="A264" t="s">
        <v>277</v>
      </c>
      <c r="B264" t="s">
        <v>2</v>
      </c>
      <c r="C264" t="s">
        <v>2</v>
      </c>
      <c r="D264" t="s">
        <v>2</v>
      </c>
      <c r="E264" t="s">
        <v>2</v>
      </c>
      <c r="F264" t="s">
        <v>2</v>
      </c>
      <c r="J264" t="s">
        <v>2</v>
      </c>
      <c r="L264" t="s">
        <v>2</v>
      </c>
      <c r="N264" t="s">
        <v>2</v>
      </c>
      <c r="Q264" t="s">
        <v>2</v>
      </c>
      <c r="AJ264">
        <f>COUNTIF(B264:AI264,"x")</f>
        <v>9</v>
      </c>
      <c r="AK264" t="s">
        <v>30</v>
      </c>
      <c r="AL264" s="4">
        <v>42754</v>
      </c>
    </row>
    <row r="265" spans="1:38">
      <c r="A265" t="s">
        <v>278</v>
      </c>
      <c r="B265" t="s">
        <v>2</v>
      </c>
      <c r="E265" t="s">
        <v>2</v>
      </c>
      <c r="F265" t="s">
        <v>2</v>
      </c>
      <c r="H265" t="s">
        <v>2</v>
      </c>
      <c r="I265" t="s">
        <v>2</v>
      </c>
      <c r="J265" t="s">
        <v>2</v>
      </c>
      <c r="L265" t="s">
        <v>2</v>
      </c>
      <c r="N265" t="s">
        <v>2</v>
      </c>
      <c r="Q265" t="s">
        <v>2</v>
      </c>
      <c r="T265" t="s">
        <v>2</v>
      </c>
      <c r="AJ265">
        <f>COUNTIF(B265:AI265,"x")</f>
        <v>10</v>
      </c>
      <c r="AK265" t="str">
        <f>HYPERLINK("https://twitter.com/LyleMSpencer/status/822160826765185025","Twitter")</f>
        <v>Twitter</v>
      </c>
      <c r="AL265" s="4">
        <v>42754</v>
      </c>
    </row>
    <row r="266" spans="1:38">
      <c r="A266" t="s">
        <v>280</v>
      </c>
      <c r="B266" t="s">
        <v>2</v>
      </c>
      <c r="E266" t="s">
        <v>2</v>
      </c>
      <c r="F266" t="s">
        <v>2</v>
      </c>
      <c r="I266" t="s">
        <v>2</v>
      </c>
      <c r="J266" t="s">
        <v>2</v>
      </c>
      <c r="L266" t="s">
        <v>2</v>
      </c>
      <c r="N266" t="s">
        <v>2</v>
      </c>
      <c r="Q266" t="s">
        <v>2</v>
      </c>
      <c r="S266" t="s">
        <v>2</v>
      </c>
      <c r="AJ266">
        <f>COUNTIF(B266:AI266,"x")</f>
        <v>9</v>
      </c>
      <c r="AK266" t="str">
        <f>HYPERLINK("http://www.bnd.com/sports/mlb/st-louis-cardinals/article127333879.html","BND")</f>
        <v>BND</v>
      </c>
      <c r="AL266" s="4">
        <v>42754</v>
      </c>
    </row>
    <row r="267" spans="1:38">
      <c r="A267" t="s">
        <v>281</v>
      </c>
      <c r="B267" t="s">
        <v>2</v>
      </c>
      <c r="E267" t="s">
        <v>2</v>
      </c>
      <c r="F267" t="s">
        <v>2</v>
      </c>
      <c r="H267" t="s">
        <v>2</v>
      </c>
      <c r="J267" t="s">
        <v>2</v>
      </c>
      <c r="L267" t="s">
        <v>2</v>
      </c>
      <c r="O267" t="s">
        <v>2</v>
      </c>
      <c r="AJ267">
        <f>COUNTIF(B267:AI267,"x")</f>
        <v>7</v>
      </c>
      <c r="AK267" t="s">
        <v>262</v>
      </c>
      <c r="AL267" s="4">
        <v>42754</v>
      </c>
    </row>
    <row r="268" spans="1:38">
      <c r="A268" t="s">
        <v>386</v>
      </c>
      <c r="E268" t="s">
        <v>2</v>
      </c>
      <c r="F268" t="s">
        <v>2</v>
      </c>
      <c r="N268" t="s">
        <v>2</v>
      </c>
      <c r="AJ268">
        <f>COUNTIF(B268:AI268,"x")</f>
        <v>3</v>
      </c>
      <c r="AK268" t="str">
        <f>HYPERLINK("http://bbwaa.com/17-hof-ballots/","BBWAA.com")</f>
        <v>BBWAA.com</v>
      </c>
      <c r="AL268" s="4">
        <v>42755</v>
      </c>
    </row>
    <row r="269" spans="1:38">
      <c r="A269" t="s">
        <v>387</v>
      </c>
      <c r="B269" t="s">
        <v>2</v>
      </c>
      <c r="C269" t="s">
        <v>2</v>
      </c>
      <c r="D269" t="s">
        <v>2</v>
      </c>
      <c r="G269" t="s">
        <v>2</v>
      </c>
      <c r="J269" t="s">
        <v>2</v>
      </c>
      <c r="L269" t="s">
        <v>2</v>
      </c>
      <c r="M269" t="s">
        <v>2</v>
      </c>
      <c r="N269" t="s">
        <v>2</v>
      </c>
      <c r="P269" t="s">
        <v>2</v>
      </c>
      <c r="R269" t="s">
        <v>2</v>
      </c>
      <c r="AJ269">
        <f>COUNTIF(B269:AI269,"x")</f>
        <v>10</v>
      </c>
      <c r="AK269" t="str">
        <f>HYPERLINK("http://bbwaa.com/17-hof-ballots/","BBWAA.com")</f>
        <v>BBWAA.com</v>
      </c>
      <c r="AL269" s="4">
        <v>42755</v>
      </c>
    </row>
    <row r="270" spans="1:38">
      <c r="A270" t="s">
        <v>389</v>
      </c>
      <c r="B270" t="s">
        <v>2</v>
      </c>
      <c r="C270" t="s">
        <v>2</v>
      </c>
      <c r="D270" t="s">
        <v>2</v>
      </c>
      <c r="E270" t="s">
        <v>2</v>
      </c>
      <c r="J270" t="s">
        <v>2</v>
      </c>
      <c r="L270" t="s">
        <v>2</v>
      </c>
      <c r="N270" t="s">
        <v>2</v>
      </c>
      <c r="O270" t="s">
        <v>2</v>
      </c>
      <c r="P270" t="s">
        <v>2</v>
      </c>
      <c r="T270" t="s">
        <v>2</v>
      </c>
      <c r="AJ270">
        <f>COUNTIF(B270:AI270,"x")</f>
        <v>10</v>
      </c>
      <c r="AK270" t="str">
        <f>HYPERLINK("http://bbwaa.com/17-hof-ballots/","BBWAA.com")</f>
        <v>BBWAA.com</v>
      </c>
      <c r="AL270" s="4">
        <v>42755</v>
      </c>
    </row>
    <row r="271" spans="1:38">
      <c r="A271" t="s">
        <v>390</v>
      </c>
      <c r="B271" t="s">
        <v>2</v>
      </c>
      <c r="C271" t="s">
        <v>2</v>
      </c>
      <c r="D271" t="s">
        <v>2</v>
      </c>
      <c r="F271" t="s">
        <v>2</v>
      </c>
      <c r="J271" t="s">
        <v>2</v>
      </c>
      <c r="L271" t="s">
        <v>2</v>
      </c>
      <c r="N271" t="s">
        <v>2</v>
      </c>
      <c r="O271" t="s">
        <v>2</v>
      </c>
      <c r="P271" t="s">
        <v>2</v>
      </c>
      <c r="T271" t="s">
        <v>2</v>
      </c>
      <c r="AJ271">
        <f>COUNTIF(B271:AI271,"x")</f>
        <v>10</v>
      </c>
      <c r="AK271" t="str">
        <f>HYPERLINK("http://bbwaa.com/17-hof-ballots/","BBWAA.com")</f>
        <v>BBWAA.com</v>
      </c>
      <c r="AL271" s="4">
        <v>42755</v>
      </c>
    </row>
    <row r="272" spans="1:38">
      <c r="A272" t="s">
        <v>391</v>
      </c>
      <c r="B272" t="s">
        <v>2</v>
      </c>
      <c r="E272" t="s">
        <v>2</v>
      </c>
      <c r="G272" t="s">
        <v>2</v>
      </c>
      <c r="H272" t="s">
        <v>2</v>
      </c>
      <c r="J272" t="s">
        <v>2</v>
      </c>
      <c r="L272" t="s">
        <v>2</v>
      </c>
      <c r="N272" t="s">
        <v>2</v>
      </c>
      <c r="O272" t="s">
        <v>2</v>
      </c>
      <c r="P272" t="s">
        <v>2</v>
      </c>
      <c r="Q272" t="s">
        <v>2</v>
      </c>
      <c r="AJ272">
        <f>COUNTIF(B272:AI272,"x")</f>
        <v>10</v>
      </c>
      <c r="AK272" t="str">
        <f>HYPERLINK("http://bbwaa.com/17-hof-ballots/","BBWAA.com")</f>
        <v>BBWAA.com</v>
      </c>
      <c r="AL272" s="4">
        <v>42755</v>
      </c>
    </row>
    <row r="273" spans="1:38">
      <c r="A273" t="s">
        <v>392</v>
      </c>
      <c r="B273" t="s">
        <v>2</v>
      </c>
      <c r="F273" t="s">
        <v>2</v>
      </c>
      <c r="J273" t="s">
        <v>2</v>
      </c>
      <c r="L273" t="s">
        <v>2</v>
      </c>
      <c r="AJ273">
        <f>COUNTIF(B273:AI273,"x")</f>
        <v>4</v>
      </c>
      <c r="AK273" t="str">
        <f>HYPERLINK("http://bbwaa.com/17-hof-ballots/","BBWAA.com")</f>
        <v>BBWAA.com</v>
      </c>
      <c r="AL273" s="4">
        <v>42755</v>
      </c>
    </row>
    <row r="274" spans="1:38">
      <c r="A274" t="s">
        <v>393</v>
      </c>
      <c r="B274" t="s">
        <v>2</v>
      </c>
      <c r="C274" t="s">
        <v>2</v>
      </c>
      <c r="D274" t="s">
        <v>2</v>
      </c>
      <c r="E274" t="s">
        <v>2</v>
      </c>
      <c r="F274" t="s">
        <v>2</v>
      </c>
      <c r="J274" t="s">
        <v>2</v>
      </c>
      <c r="L274" t="s">
        <v>2</v>
      </c>
      <c r="AJ274">
        <f>COUNTIF(B274:AI274,"x")</f>
        <v>7</v>
      </c>
      <c r="AK274" t="str">
        <f>HYPERLINK("http://bbwaa.com/17-hof-ballots/","BBWAA.com")</f>
        <v>BBWAA.com</v>
      </c>
      <c r="AL274" s="4">
        <v>42755</v>
      </c>
    </row>
    <row r="275" spans="1:38">
      <c r="A275" t="s">
        <v>394</v>
      </c>
      <c r="E275" t="s">
        <v>2</v>
      </c>
      <c r="F275" t="s">
        <v>2</v>
      </c>
      <c r="G275" t="s">
        <v>2</v>
      </c>
      <c r="H275" t="s">
        <v>2</v>
      </c>
      <c r="I275" t="s">
        <v>2</v>
      </c>
      <c r="J275" t="s">
        <v>2</v>
      </c>
      <c r="L275" t="s">
        <v>2</v>
      </c>
      <c r="O275" t="s">
        <v>2</v>
      </c>
      <c r="Q275" t="s">
        <v>2</v>
      </c>
      <c r="T275" t="s">
        <v>2</v>
      </c>
      <c r="AJ275">
        <f>COUNTIF(B275:AI275,"x")</f>
        <v>10</v>
      </c>
      <c r="AK275" t="str">
        <f>HYPERLINK("http://bbwaa.com/17-hof-ballots/","BBWAA.com")</f>
        <v>BBWAA.com</v>
      </c>
      <c r="AL275" s="4">
        <v>42755</v>
      </c>
    </row>
    <row r="276" spans="1:38">
      <c r="A276" t="s">
        <v>395</v>
      </c>
      <c r="B276" t="s">
        <v>2</v>
      </c>
      <c r="F276" t="s">
        <v>2</v>
      </c>
      <c r="J276" t="s">
        <v>2</v>
      </c>
      <c r="N276" t="s">
        <v>2</v>
      </c>
      <c r="O276" t="s">
        <v>2</v>
      </c>
      <c r="Q276" t="s">
        <v>2</v>
      </c>
      <c r="AJ276">
        <f>COUNTIF(B276:AI276,"x")</f>
        <v>6</v>
      </c>
      <c r="AK276" t="str">
        <f>HYPERLINK("http://bbwaa.com/17-hof-ballots/","BBWAA.com")</f>
        <v>BBWAA.com</v>
      </c>
      <c r="AL276" s="4">
        <v>42755</v>
      </c>
    </row>
    <row r="277" spans="1:38">
      <c r="A277" t="s">
        <v>396</v>
      </c>
      <c r="B277" t="s">
        <v>2</v>
      </c>
      <c r="C277" t="s">
        <v>2</v>
      </c>
      <c r="D277" t="s">
        <v>2</v>
      </c>
      <c r="E277" t="s">
        <v>2</v>
      </c>
      <c r="F277" t="s">
        <v>2</v>
      </c>
      <c r="H277" t="s">
        <v>2</v>
      </c>
      <c r="L277" t="s">
        <v>2</v>
      </c>
      <c r="N277" t="s">
        <v>2</v>
      </c>
      <c r="AJ277">
        <f>COUNTIF(B277:AI277,"x")</f>
        <v>8</v>
      </c>
      <c r="AK277" t="str">
        <f>HYPERLINK("http://bbwaa.com/17-hof-ballots/","BBWAA.com")</f>
        <v>BBWAA.com</v>
      </c>
      <c r="AL277" s="4">
        <v>42755</v>
      </c>
    </row>
    <row r="278" spans="1:38">
      <c r="A278" t="s">
        <v>397</v>
      </c>
      <c r="B278" t="s">
        <v>2</v>
      </c>
      <c r="C278" t="s">
        <v>2</v>
      </c>
      <c r="D278" t="s">
        <v>2</v>
      </c>
      <c r="E278" t="s">
        <v>2</v>
      </c>
      <c r="F278" t="s">
        <v>2</v>
      </c>
      <c r="G278" t="s">
        <v>2</v>
      </c>
      <c r="I278" t="s">
        <v>2</v>
      </c>
      <c r="L278" t="s">
        <v>2</v>
      </c>
      <c r="N278" t="s">
        <v>2</v>
      </c>
      <c r="T278" t="s">
        <v>2</v>
      </c>
      <c r="AJ278">
        <f>COUNTIF(B278:AI278,"x")</f>
        <v>10</v>
      </c>
      <c r="AK278" t="str">
        <f>HYPERLINK("http://bbwaa.com/17-hof-ballots/","BBWAA.com")</f>
        <v>BBWAA.com</v>
      </c>
      <c r="AL278" s="4">
        <v>42755</v>
      </c>
    </row>
    <row r="279" spans="1:38">
      <c r="A279" t="s">
        <v>398</v>
      </c>
      <c r="B279" t="s">
        <v>2</v>
      </c>
      <c r="F279" t="s">
        <v>2</v>
      </c>
      <c r="H279" t="s">
        <v>2</v>
      </c>
      <c r="I279" t="s">
        <v>2</v>
      </c>
      <c r="J279" t="s">
        <v>2</v>
      </c>
      <c r="L279" t="s">
        <v>2</v>
      </c>
      <c r="N279" t="s">
        <v>2</v>
      </c>
      <c r="P279" t="s">
        <v>2</v>
      </c>
      <c r="Q279" t="s">
        <v>2</v>
      </c>
      <c r="AJ279">
        <f>COUNTIF(B279:AI279,"x")</f>
        <v>9</v>
      </c>
      <c r="AK279" t="str">
        <f>HYPERLINK("http://bbwaa.com/17-hof-ballots/","BBWAA.com")</f>
        <v>BBWAA.com</v>
      </c>
      <c r="AL279" s="4">
        <v>42755</v>
      </c>
    </row>
    <row r="280" spans="1:38">
      <c r="A280" t="s">
        <v>399</v>
      </c>
      <c r="B280" t="s">
        <v>2</v>
      </c>
      <c r="C280" t="s">
        <v>2</v>
      </c>
      <c r="D280" t="s">
        <v>2</v>
      </c>
      <c r="E280" t="s">
        <v>2</v>
      </c>
      <c r="F280" t="s">
        <v>2</v>
      </c>
      <c r="L280" t="s">
        <v>2</v>
      </c>
      <c r="M280" t="s">
        <v>2</v>
      </c>
      <c r="N280" t="s">
        <v>2</v>
      </c>
      <c r="O280" t="s">
        <v>2</v>
      </c>
      <c r="Q280" t="s">
        <v>2</v>
      </c>
      <c r="AJ280">
        <f>COUNTIF(B280:AI280,"x")</f>
        <v>10</v>
      </c>
      <c r="AK280" t="str">
        <f>HYPERLINK("http://bbwaa.com/17-hof-ballots/","BBWAA.com")</f>
        <v>BBWAA.com</v>
      </c>
      <c r="AL280" s="4">
        <v>42755</v>
      </c>
    </row>
    <row r="281" spans="1:38">
      <c r="A281" t="s">
        <v>400</v>
      </c>
      <c r="B281" t="s">
        <v>2</v>
      </c>
      <c r="E281" t="s">
        <v>2</v>
      </c>
      <c r="F281" t="s">
        <v>2</v>
      </c>
      <c r="H281" t="s">
        <v>2</v>
      </c>
      <c r="I281" t="s">
        <v>2</v>
      </c>
      <c r="L281" t="s">
        <v>2</v>
      </c>
      <c r="M281" t="s">
        <v>2</v>
      </c>
      <c r="N281" t="s">
        <v>2</v>
      </c>
      <c r="O281" t="s">
        <v>2</v>
      </c>
      <c r="Q281" t="s">
        <v>2</v>
      </c>
      <c r="AJ281">
        <f>COUNTIF(B281:AI281,"x")</f>
        <v>10</v>
      </c>
      <c r="AK281" t="str">
        <f>HYPERLINK("http://bbwaa.com/17-hof-ballots/","BBWAA.com")</f>
        <v>BBWAA.com</v>
      </c>
      <c r="AL281" s="4">
        <v>42755</v>
      </c>
    </row>
    <row r="282" spans="1:38">
      <c r="A282" t="s">
        <v>401</v>
      </c>
      <c r="B282" t="s">
        <v>2</v>
      </c>
      <c r="C282" t="s">
        <v>2</v>
      </c>
      <c r="D282" t="s">
        <v>2</v>
      </c>
      <c r="E282" t="s">
        <v>2</v>
      </c>
      <c r="J282" t="s">
        <v>2</v>
      </c>
      <c r="L282" t="s">
        <v>2</v>
      </c>
      <c r="M282" t="s">
        <v>2</v>
      </c>
      <c r="N282" t="s">
        <v>2</v>
      </c>
      <c r="O282" t="s">
        <v>2</v>
      </c>
      <c r="P282" t="s">
        <v>2</v>
      </c>
      <c r="AJ282">
        <f>COUNTIF(B282:AI282,"x")</f>
        <v>10</v>
      </c>
      <c r="AK282" t="str">
        <f>HYPERLINK("http://bbwaa.com/17-hof-ballots/","BBWAA.com")</f>
        <v>BBWAA.com</v>
      </c>
      <c r="AL282" s="4">
        <v>42755</v>
      </c>
    </row>
    <row r="283" spans="1:38">
      <c r="A283" t="s">
        <v>402</v>
      </c>
      <c r="B283" t="s">
        <v>2</v>
      </c>
      <c r="E283" t="s">
        <v>2</v>
      </c>
      <c r="F283" t="s">
        <v>2</v>
      </c>
      <c r="H283" t="s">
        <v>2</v>
      </c>
      <c r="J283" t="s">
        <v>2</v>
      </c>
      <c r="L283" t="s">
        <v>2</v>
      </c>
      <c r="N283" t="s">
        <v>2</v>
      </c>
      <c r="P283" t="s">
        <v>2</v>
      </c>
      <c r="S283" t="s">
        <v>2</v>
      </c>
      <c r="AJ283">
        <f>COUNTIF(B283:AI283,"x")</f>
        <v>9</v>
      </c>
      <c r="AK283" t="str">
        <f>HYPERLINK("http://bbwaa.com/17-hof-ballots/","BBWAA.com")</f>
        <v>BBWAA.com</v>
      </c>
      <c r="AL283" s="4">
        <v>42755</v>
      </c>
    </row>
    <row r="284" spans="1:38">
      <c r="A284" t="s">
        <v>403</v>
      </c>
      <c r="B284" t="s">
        <v>2</v>
      </c>
      <c r="C284" t="s">
        <v>2</v>
      </c>
      <c r="D284" t="s">
        <v>2</v>
      </c>
      <c r="F284" t="s">
        <v>2</v>
      </c>
      <c r="I284" t="s">
        <v>2</v>
      </c>
      <c r="J284" t="s">
        <v>2</v>
      </c>
      <c r="L284" t="s">
        <v>2</v>
      </c>
      <c r="M284" t="s">
        <v>2</v>
      </c>
      <c r="N284" t="s">
        <v>2</v>
      </c>
      <c r="R284" t="s">
        <v>2</v>
      </c>
      <c r="AJ284">
        <f>COUNTIF(B284:AI284,"x")</f>
        <v>10</v>
      </c>
      <c r="AK284" t="str">
        <f>HYPERLINK("http://bbwaa.com/17-hof-ballots/","BBWAA.com")</f>
        <v>BBWAA.com</v>
      </c>
      <c r="AL284" s="4">
        <v>42755</v>
      </c>
    </row>
    <row r="285" spans="1:38">
      <c r="A285" t="s">
        <v>404</v>
      </c>
      <c r="B285" t="s">
        <v>2</v>
      </c>
      <c r="F285" t="s">
        <v>2</v>
      </c>
      <c r="I285" t="s">
        <v>2</v>
      </c>
      <c r="J285" t="s">
        <v>2</v>
      </c>
      <c r="L285" t="s">
        <v>2</v>
      </c>
      <c r="AJ285">
        <f>COUNTIF(B285:AI285,"x")</f>
        <v>5</v>
      </c>
      <c r="AK285" t="str">
        <f>HYPERLINK("http://bbwaa.com/17-hof-ballots/","BBWAA.com")</f>
        <v>BBWAA.com</v>
      </c>
      <c r="AL285" s="4">
        <v>42755</v>
      </c>
    </row>
    <row r="286" spans="1:38">
      <c r="A286" t="s">
        <v>405</v>
      </c>
      <c r="B286" t="s">
        <v>2</v>
      </c>
      <c r="E286" t="s">
        <v>2</v>
      </c>
      <c r="F286" t="s">
        <v>2</v>
      </c>
      <c r="L286" t="s">
        <v>2</v>
      </c>
      <c r="O286" t="s">
        <v>2</v>
      </c>
      <c r="Q286" t="s">
        <v>2</v>
      </c>
      <c r="AJ286">
        <f>COUNTIF(B286:AI286,"x")</f>
        <v>6</v>
      </c>
      <c r="AK286" t="str">
        <f>HYPERLINK("http://bbwaa.com/17-hof-ballots/","BBWAA.com")</f>
        <v>BBWAA.com</v>
      </c>
      <c r="AL286" s="4">
        <v>42755</v>
      </c>
    </row>
    <row r="287" spans="1:38">
      <c r="A287" t="s">
        <v>406</v>
      </c>
      <c r="B287" t="s">
        <v>2</v>
      </c>
      <c r="C287" t="s">
        <v>2</v>
      </c>
      <c r="D287" t="s">
        <v>2</v>
      </c>
      <c r="E287" t="s">
        <v>2</v>
      </c>
      <c r="F287" t="s">
        <v>2</v>
      </c>
      <c r="H287" t="s">
        <v>2</v>
      </c>
      <c r="L287" t="s">
        <v>2</v>
      </c>
      <c r="M287" t="s">
        <v>2</v>
      </c>
      <c r="N287" t="s">
        <v>2</v>
      </c>
      <c r="O287" t="s">
        <v>2</v>
      </c>
      <c r="AJ287">
        <f>COUNTIF(B287:AI287,"x")</f>
        <v>10</v>
      </c>
      <c r="AK287" t="str">
        <f>HYPERLINK("http://bbwaa.com/17-hof-ballots/","BBWAA.com")</f>
        <v>BBWAA.com</v>
      </c>
      <c r="AL287" s="4">
        <v>42755</v>
      </c>
    </row>
    <row r="288" spans="1:38">
      <c r="A288" t="s">
        <v>407</v>
      </c>
      <c r="B288" t="s">
        <v>2</v>
      </c>
      <c r="C288" t="s">
        <v>2</v>
      </c>
      <c r="D288" t="s">
        <v>2</v>
      </c>
      <c r="E288" t="s">
        <v>2</v>
      </c>
      <c r="F288" t="s">
        <v>2</v>
      </c>
      <c r="L288" t="s">
        <v>2</v>
      </c>
      <c r="N288" t="s">
        <v>2</v>
      </c>
      <c r="O288" t="s">
        <v>2</v>
      </c>
      <c r="Q288" t="s">
        <v>2</v>
      </c>
      <c r="R288" t="s">
        <v>2</v>
      </c>
      <c r="AJ288">
        <f>COUNTIF(B288:AI288,"x")</f>
        <v>10</v>
      </c>
      <c r="AK288" t="str">
        <f>HYPERLINK("http://bbwaa.com/17-hof-ballots/","BBWAA.com")</f>
        <v>BBWAA.com</v>
      </c>
      <c r="AL288" s="4">
        <v>42755</v>
      </c>
    </row>
    <row r="289" spans="1:38">
      <c r="A289" t="s">
        <v>408</v>
      </c>
      <c r="F289" t="s">
        <v>2</v>
      </c>
      <c r="I289" t="s">
        <v>2</v>
      </c>
      <c r="J289" t="s">
        <v>2</v>
      </c>
      <c r="L289" t="s">
        <v>2</v>
      </c>
      <c r="N289" t="s">
        <v>2</v>
      </c>
      <c r="O289" t="s">
        <v>2</v>
      </c>
      <c r="AJ289">
        <f>COUNTIF(B289:AI289,"x")</f>
        <v>6</v>
      </c>
      <c r="AK289" t="str">
        <f>HYPERLINK("http://bbwaa.com/17-hof-ballots/","BBWAA.com")</f>
        <v>BBWAA.com</v>
      </c>
      <c r="AL289" s="4">
        <v>42755</v>
      </c>
    </row>
    <row r="290" spans="1:38">
      <c r="A290" t="s">
        <v>410</v>
      </c>
      <c r="B290" t="s">
        <v>2</v>
      </c>
      <c r="E290" t="s">
        <v>2</v>
      </c>
      <c r="G290" t="s">
        <v>2</v>
      </c>
      <c r="H290" t="s">
        <v>2</v>
      </c>
      <c r="I290" t="s">
        <v>2</v>
      </c>
      <c r="J290" t="s">
        <v>2</v>
      </c>
      <c r="L290" t="s">
        <v>2</v>
      </c>
      <c r="N290" t="s">
        <v>2</v>
      </c>
      <c r="O290" t="s">
        <v>2</v>
      </c>
      <c r="T290" t="s">
        <v>2</v>
      </c>
      <c r="AJ290">
        <f>COUNTIF(B290:AI290,"x")</f>
        <v>10</v>
      </c>
      <c r="AK290" t="str">
        <f>HYPERLINK("http://bbwaa.com/17-hof-ballots/","BBWAA.com")</f>
        <v>BBWAA.com</v>
      </c>
      <c r="AL290" s="4">
        <v>42755</v>
      </c>
    </row>
    <row r="291" spans="1:38">
      <c r="A291" t="s">
        <v>412</v>
      </c>
      <c r="B291" t="s">
        <v>2</v>
      </c>
      <c r="C291" t="s">
        <v>2</v>
      </c>
      <c r="D291" t="s">
        <v>2</v>
      </c>
      <c r="E291" t="s">
        <v>2</v>
      </c>
      <c r="F291" t="s">
        <v>2</v>
      </c>
      <c r="J291" t="s">
        <v>2</v>
      </c>
      <c r="L291" t="s">
        <v>2</v>
      </c>
      <c r="M291" t="s">
        <v>2</v>
      </c>
      <c r="N291" t="s">
        <v>2</v>
      </c>
      <c r="AJ291">
        <f>COUNTIF(B291:AI291,"x")</f>
        <v>9</v>
      </c>
      <c r="AK291" t="str">
        <f>HYPERLINK("http://bbwaa.com/17-hof-ballots/","BBWAA.com")</f>
        <v>BBWAA.com</v>
      </c>
      <c r="AL291" s="4">
        <v>42755</v>
      </c>
    </row>
    <row r="292" spans="1:38">
      <c r="A292" t="s">
        <v>413</v>
      </c>
      <c r="E292" t="s">
        <v>2</v>
      </c>
      <c r="G292" t="s">
        <v>2</v>
      </c>
      <c r="H292" t="s">
        <v>2</v>
      </c>
      <c r="I292" t="s">
        <v>2</v>
      </c>
      <c r="O292" t="s">
        <v>2</v>
      </c>
      <c r="AJ292">
        <f>COUNTIF(B292:AI292,"x")</f>
        <v>5</v>
      </c>
      <c r="AK292" t="str">
        <f>HYPERLINK("http://bbwaa.com/17-hof-ballots/","BBWAA.com")</f>
        <v>BBWAA.com</v>
      </c>
      <c r="AL292" s="4">
        <v>42755</v>
      </c>
    </row>
    <row r="293" spans="1:38">
      <c r="A293" t="s">
        <v>416</v>
      </c>
      <c r="B293" t="s">
        <v>2</v>
      </c>
      <c r="C293" t="s">
        <v>2</v>
      </c>
      <c r="D293" t="s">
        <v>2</v>
      </c>
      <c r="E293" t="s">
        <v>2</v>
      </c>
      <c r="F293" t="s">
        <v>2</v>
      </c>
      <c r="H293" t="s">
        <v>2</v>
      </c>
      <c r="I293" t="s">
        <v>2</v>
      </c>
      <c r="L293" t="s">
        <v>2</v>
      </c>
      <c r="N293" t="s">
        <v>2</v>
      </c>
      <c r="T293" t="s">
        <v>2</v>
      </c>
      <c r="AJ293">
        <f>COUNTIF(B293:AI293,"x")</f>
        <v>10</v>
      </c>
      <c r="AK293" t="str">
        <f>HYPERLINK("http://bbwaa.com/17-hof-ballots/","BBWAA.com")</f>
        <v>BBWAA.com</v>
      </c>
      <c r="AL293" s="4">
        <v>42755</v>
      </c>
    </row>
    <row r="294" spans="1:38">
      <c r="A294" t="s">
        <v>417</v>
      </c>
      <c r="B294" t="s">
        <v>2</v>
      </c>
      <c r="C294" t="s">
        <v>2</v>
      </c>
      <c r="D294" t="s">
        <v>2</v>
      </c>
      <c r="E294" t="s">
        <v>2</v>
      </c>
      <c r="F294" t="s">
        <v>2</v>
      </c>
      <c r="H294" t="s">
        <v>2</v>
      </c>
      <c r="J294" t="s">
        <v>2</v>
      </c>
      <c r="L294" t="s">
        <v>2</v>
      </c>
      <c r="N294" t="s">
        <v>2</v>
      </c>
      <c r="Q294" t="s">
        <v>2</v>
      </c>
      <c r="AJ294">
        <f>COUNTIF(B294:AI294,"x")</f>
        <v>10</v>
      </c>
      <c r="AK294" t="str">
        <f>HYPERLINK("http://bbwaa.com/17-hof-ballots/","BBWAA.com")</f>
        <v>BBWAA.com</v>
      </c>
      <c r="AL294" s="4">
        <v>42755</v>
      </c>
    </row>
    <row r="295" spans="1:38">
      <c r="A295" t="s">
        <v>418</v>
      </c>
      <c r="B295" t="s">
        <v>2</v>
      </c>
      <c r="E295" t="s">
        <v>2</v>
      </c>
      <c r="F295" t="s">
        <v>2</v>
      </c>
      <c r="H295" t="s">
        <v>2</v>
      </c>
      <c r="J295" t="s">
        <v>2</v>
      </c>
      <c r="L295" t="s">
        <v>2</v>
      </c>
      <c r="N295" t="s">
        <v>2</v>
      </c>
      <c r="AJ295">
        <f>COUNTIF(B295:AI295,"x")</f>
        <v>7</v>
      </c>
      <c r="AK295" t="str">
        <f>HYPERLINK("http://bbwaa.com/17-hof-ballots/","BBWAA.com")</f>
        <v>BBWAA.com</v>
      </c>
      <c r="AL295" s="4">
        <v>42755</v>
      </c>
    </row>
    <row r="296" spans="1:38">
      <c r="A296" t="s">
        <v>419</v>
      </c>
      <c r="B296" t="s">
        <v>2</v>
      </c>
      <c r="C296" t="s">
        <v>2</v>
      </c>
      <c r="D296" t="s">
        <v>2</v>
      </c>
      <c r="F296" t="s">
        <v>2</v>
      </c>
      <c r="H296" t="s">
        <v>2</v>
      </c>
      <c r="J296" t="s">
        <v>2</v>
      </c>
      <c r="L296" t="s">
        <v>2</v>
      </c>
      <c r="M296" t="s">
        <v>2</v>
      </c>
      <c r="N296" t="s">
        <v>2</v>
      </c>
      <c r="T296" t="s">
        <v>2</v>
      </c>
      <c r="AJ296">
        <f>COUNTIF(B296:AI296,"x")</f>
        <v>10</v>
      </c>
      <c r="AK296" t="str">
        <f>HYPERLINK("http://bbwaa.com/17-hof-ballots/","BBWAA.com")</f>
        <v>BBWAA.com</v>
      </c>
      <c r="AL296" s="4">
        <v>42755</v>
      </c>
    </row>
    <row r="297" spans="1:38">
      <c r="A297" t="s">
        <v>420</v>
      </c>
      <c r="B297" t="s">
        <v>2</v>
      </c>
      <c r="C297" t="s">
        <v>2</v>
      </c>
      <c r="D297" t="s">
        <v>2</v>
      </c>
      <c r="G297" t="s">
        <v>2</v>
      </c>
      <c r="H297" t="s">
        <v>2</v>
      </c>
      <c r="L297" t="s">
        <v>2</v>
      </c>
      <c r="N297" t="s">
        <v>2</v>
      </c>
      <c r="AJ297">
        <f>COUNTIF(B297:AI297,"x")</f>
        <v>7</v>
      </c>
      <c r="AK297" t="str">
        <f>HYPERLINK("http://bbwaa.com/17-hof-ballots/","BBWAA.com")</f>
        <v>BBWAA.com</v>
      </c>
      <c r="AL297" s="4">
        <v>42755</v>
      </c>
    </row>
    <row r="298" spans="1:38">
      <c r="A298" t="s">
        <v>421</v>
      </c>
      <c r="B298" t="s">
        <v>2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L298" t="s">
        <v>2</v>
      </c>
      <c r="N298" t="s">
        <v>2</v>
      </c>
      <c r="Q298" t="s">
        <v>2</v>
      </c>
      <c r="AJ298">
        <f>COUNTIF(B298:AI298,"x")</f>
        <v>10</v>
      </c>
      <c r="AK298" t="str">
        <f>HYPERLINK("http://bbwaa.com/17-hof-ballots/","BBWAA.com")</f>
        <v>BBWAA.com</v>
      </c>
      <c r="AL298" s="4">
        <v>42755</v>
      </c>
    </row>
    <row r="299" spans="1:38">
      <c r="A299" t="s">
        <v>422</v>
      </c>
      <c r="F299" t="s">
        <v>2</v>
      </c>
      <c r="I299" t="s">
        <v>2</v>
      </c>
      <c r="L299" t="s">
        <v>2</v>
      </c>
      <c r="Q299" t="s">
        <v>2</v>
      </c>
      <c r="AJ299">
        <f>COUNTIF(B299:AI299,"x")</f>
        <v>4</v>
      </c>
      <c r="AK299" t="str">
        <f>HYPERLINK("http://bbwaa.com/17-hof-ballots/","BBWAA.com")</f>
        <v>BBWAA.com</v>
      </c>
      <c r="AL299" s="4">
        <v>42755</v>
      </c>
    </row>
    <row r="300" spans="1:38">
      <c r="A300" t="s">
        <v>423</v>
      </c>
      <c r="B300" t="s">
        <v>2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L300" t="s">
        <v>2</v>
      </c>
      <c r="N300" t="s">
        <v>2</v>
      </c>
      <c r="O300" t="s">
        <v>2</v>
      </c>
      <c r="Q300" t="s">
        <v>2</v>
      </c>
      <c r="AJ300">
        <f>COUNTIF(B300:AI300,"x")</f>
        <v>10</v>
      </c>
      <c r="AK300" t="str">
        <f>HYPERLINK("http://bbwaa.com/17-hof-ballots/","BBWAA.com")</f>
        <v>BBWAA.com</v>
      </c>
      <c r="AL300" s="4">
        <v>42755</v>
      </c>
    </row>
    <row r="301" spans="1:38">
      <c r="A301" t="s">
        <v>424</v>
      </c>
      <c r="E301" t="s">
        <v>2</v>
      </c>
      <c r="F301" t="s">
        <v>2</v>
      </c>
      <c r="G301" t="s">
        <v>2</v>
      </c>
      <c r="N301" t="s">
        <v>2</v>
      </c>
      <c r="Q301" t="s">
        <v>2</v>
      </c>
      <c r="AJ301">
        <f>COUNTIF(B301:AI301,"x")</f>
        <v>5</v>
      </c>
      <c r="AK301" t="str">
        <f>HYPERLINK("http://bbwaa.com/17-hof-ballots/","BBWAA.com")</f>
        <v>BBWAA.com</v>
      </c>
      <c r="AL301" s="4">
        <v>42755</v>
      </c>
    </row>
    <row r="302" spans="1:38">
      <c r="A302" t="s">
        <v>425</v>
      </c>
      <c r="B302" t="s">
        <v>2</v>
      </c>
      <c r="C302" t="s">
        <v>2</v>
      </c>
      <c r="D302" t="s">
        <v>2</v>
      </c>
      <c r="E302" t="s">
        <v>2</v>
      </c>
      <c r="J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AJ302">
        <f>COUNTIF(B302:AI302,"x")</f>
        <v>10</v>
      </c>
      <c r="AK302" t="str">
        <f>HYPERLINK("http://bbwaa.com/17-hof-ballots/","BBWAA.com")</f>
        <v>BBWAA.com</v>
      </c>
      <c r="AL302" s="4">
        <v>42755</v>
      </c>
    </row>
    <row r="303" spans="1:38">
      <c r="A303" t="s">
        <v>426</v>
      </c>
      <c r="B303" t="s">
        <v>2</v>
      </c>
      <c r="E303" t="s">
        <v>2</v>
      </c>
      <c r="F303" t="s">
        <v>2</v>
      </c>
      <c r="H303" t="s">
        <v>2</v>
      </c>
      <c r="L303" t="s">
        <v>2</v>
      </c>
      <c r="M303" t="s">
        <v>2</v>
      </c>
      <c r="N303" t="s">
        <v>2</v>
      </c>
      <c r="AJ303">
        <f>COUNTIF(B303:AI303,"x")</f>
        <v>7</v>
      </c>
      <c r="AK303" t="str">
        <f>HYPERLINK("http://bbwaa.com/17-hof-ballots/","BBWAA.com")</f>
        <v>BBWAA.com</v>
      </c>
      <c r="AL303" s="4">
        <v>42755</v>
      </c>
    </row>
    <row r="304" spans="1:38">
      <c r="A304" t="s">
        <v>265</v>
      </c>
      <c r="B304" t="s">
        <v>2</v>
      </c>
      <c r="C304" t="s">
        <v>2</v>
      </c>
      <c r="D304" t="s">
        <v>2</v>
      </c>
      <c r="M304" t="s">
        <v>2</v>
      </c>
      <c r="N304" t="s">
        <v>2</v>
      </c>
      <c r="AJ304">
        <v>5</v>
      </c>
      <c r="AK304" t="str">
        <f>HYPERLINK("https://www.pressboxonline.com/2017/01/21/glenn-clark-radio-week-in-review-jan-16-20-2017","Glenn Clark Radio")</f>
        <v>Glenn Clark Radio</v>
      </c>
      <c r="AL304" s="4">
        <v>42756</v>
      </c>
    </row>
    <row r="305" spans="1:38">
      <c r="A305" t="s">
        <v>411</v>
      </c>
      <c r="B305" t="s">
        <v>2</v>
      </c>
      <c r="C305" t="s">
        <v>2</v>
      </c>
      <c r="D305" t="s">
        <v>2</v>
      </c>
      <c r="E305" t="s">
        <v>2</v>
      </c>
      <c r="F305" t="s">
        <v>2</v>
      </c>
      <c r="L305" t="s">
        <v>2</v>
      </c>
      <c r="M305" t="s">
        <v>2</v>
      </c>
      <c r="N305" t="s">
        <v>2</v>
      </c>
      <c r="O305" t="s">
        <v>2</v>
      </c>
      <c r="Q305" t="s">
        <v>2</v>
      </c>
      <c r="AJ305">
        <f>COUNTIF(B305:AI305,"x")</f>
        <v>10</v>
      </c>
      <c r="AK305" t="str">
        <f>HYPERLINK("http://bbwaa.com/17-hof-ballots/","BBWAA.com")</f>
        <v>BBWAA.com</v>
      </c>
      <c r="AL305" s="4">
        <v>42756</v>
      </c>
    </row>
    <row r="306" spans="1:38">
      <c r="A306" t="s">
        <v>283</v>
      </c>
      <c r="B306" t="s">
        <v>2</v>
      </c>
      <c r="E306" t="s">
        <v>2</v>
      </c>
      <c r="F306" t="s">
        <v>2</v>
      </c>
      <c r="L306" t="s">
        <v>2</v>
      </c>
      <c r="N306" t="s">
        <v>2</v>
      </c>
      <c r="AJ306">
        <f>COUNTIF(B306:AI306,"x")</f>
        <v>5</v>
      </c>
      <c r="AK306" t="s">
        <v>284</v>
      </c>
      <c r="AL306" s="3">
        <v>42756</v>
      </c>
    </row>
    <row r="307" spans="1:38">
      <c r="A307" t="s">
        <v>409</v>
      </c>
      <c r="B307" t="s">
        <v>2</v>
      </c>
      <c r="C307" t="s">
        <v>2</v>
      </c>
      <c r="D307" t="s">
        <v>2</v>
      </c>
      <c r="E307" t="s">
        <v>2</v>
      </c>
      <c r="F307" t="s">
        <v>2</v>
      </c>
      <c r="I307" t="s">
        <v>2</v>
      </c>
      <c r="L307" t="s">
        <v>2</v>
      </c>
      <c r="M307" t="s">
        <v>2</v>
      </c>
      <c r="N307" t="s">
        <v>2</v>
      </c>
      <c r="P307" t="s">
        <v>2</v>
      </c>
      <c r="AJ307">
        <f>COUNTIF(B307:AI307,"x")</f>
        <v>10</v>
      </c>
      <c r="AK307" t="str">
        <f>HYPERLINK("http://bbwaa.com/17-hof-ballots/","BBWAA.com")</f>
        <v>BBWAA.com</v>
      </c>
      <c r="AL307" s="4">
        <v>42757</v>
      </c>
    </row>
    <row r="308" spans="1:38">
      <c r="A308" t="s">
        <v>388</v>
      </c>
      <c r="B308" t="s">
        <v>2</v>
      </c>
      <c r="D308" t="s">
        <v>2</v>
      </c>
      <c r="H308" t="s">
        <v>2</v>
      </c>
      <c r="L308" t="s">
        <v>2</v>
      </c>
      <c r="N308" t="s">
        <v>2</v>
      </c>
      <c r="O308" t="s">
        <v>2</v>
      </c>
      <c r="AJ308">
        <f>COUNTIF(B308:AI308,"x")</f>
        <v>6</v>
      </c>
      <c r="AK308" t="str">
        <f>HYPERLINK("http://bbwaa.com/17-hof-ballots/","BBWAA.com")</f>
        <v>BBWAA.com</v>
      </c>
      <c r="AL308" s="4">
        <v>42758</v>
      </c>
    </row>
    <row r="309" spans="1:38">
      <c r="A309" t="s">
        <v>268</v>
      </c>
      <c r="B309" t="s">
        <v>2</v>
      </c>
      <c r="E309" t="s">
        <v>2</v>
      </c>
      <c r="F309" t="s">
        <v>2</v>
      </c>
      <c r="G309" t="s">
        <v>2</v>
      </c>
      <c r="H309" t="s">
        <v>2</v>
      </c>
      <c r="N309" t="s">
        <v>2</v>
      </c>
      <c r="Q309" t="s">
        <v>2</v>
      </c>
      <c r="S309" t="s">
        <v>2</v>
      </c>
      <c r="AJ309">
        <f>COUNTIF(B309:AI309,"x")</f>
        <v>8</v>
      </c>
      <c r="AK309" t="s">
        <v>27</v>
      </c>
      <c r="AL309" s="4">
        <v>42758</v>
      </c>
    </row>
    <row r="310" spans="1:38">
      <c r="A310" t="s">
        <v>273</v>
      </c>
      <c r="B310" t="s">
        <v>2</v>
      </c>
      <c r="C310" t="s">
        <v>2</v>
      </c>
      <c r="D310" t="s">
        <v>2</v>
      </c>
      <c r="F310" t="s">
        <v>2</v>
      </c>
      <c r="H310" t="s">
        <v>2</v>
      </c>
      <c r="L310" t="s">
        <v>2</v>
      </c>
      <c r="N310" t="s">
        <v>2</v>
      </c>
      <c r="O310" t="s">
        <v>2</v>
      </c>
      <c r="P310" t="s">
        <v>2</v>
      </c>
      <c r="Q310" t="s">
        <v>2</v>
      </c>
      <c r="AJ310">
        <f>COUNTIF(B310:AI310,"x")</f>
        <v>10</v>
      </c>
      <c r="AK310" t="str">
        <f>HYPERLINK("http://bbwaa.com/17-hof-ballots/","BBWAA.com")</f>
        <v>BBWAA.com</v>
      </c>
      <c r="AL310" s="4">
        <v>42758</v>
      </c>
    </row>
    <row r="311" spans="1:38">
      <c r="A311" t="s">
        <v>279</v>
      </c>
      <c r="B311" t="s">
        <v>2</v>
      </c>
      <c r="E311" t="s">
        <v>2</v>
      </c>
      <c r="F311" t="s">
        <v>2</v>
      </c>
      <c r="H311" t="s">
        <v>2</v>
      </c>
      <c r="J311" t="s">
        <v>2</v>
      </c>
      <c r="L311" t="s">
        <v>2</v>
      </c>
      <c r="O311" t="s">
        <v>2</v>
      </c>
      <c r="T311" t="s">
        <v>2</v>
      </c>
      <c r="AJ311">
        <f>COUNTIF(B311:AI311,"x")</f>
        <v>8</v>
      </c>
      <c r="AK311" t="s">
        <v>27</v>
      </c>
      <c r="AL311" s="4">
        <v>42758</v>
      </c>
    </row>
    <row r="312" spans="1:38">
      <c r="A312" t="s">
        <v>415</v>
      </c>
      <c r="B312" t="s">
        <v>2</v>
      </c>
      <c r="E312" t="s">
        <v>2</v>
      </c>
      <c r="J312" t="s">
        <v>2</v>
      </c>
      <c r="L312" t="s">
        <v>2</v>
      </c>
      <c r="N312" t="s">
        <v>2</v>
      </c>
      <c r="T312" t="s">
        <v>2</v>
      </c>
      <c r="AJ312">
        <f>COUNTIF(B312:AI312,"x")</f>
        <v>6</v>
      </c>
      <c r="AK312" t="str">
        <f>HYPERLINK("http://bbwaa.com/17-hof-ballots/","BBWAA.com")</f>
        <v>BBWAA.com</v>
      </c>
      <c r="AL312" s="4">
        <v>42759</v>
      </c>
    </row>
    <row r="313" spans="1:38">
      <c r="A313" t="s">
        <v>275</v>
      </c>
      <c r="B313" t="s">
        <v>2</v>
      </c>
      <c r="F313" t="s">
        <v>2</v>
      </c>
      <c r="H313" t="s">
        <v>2</v>
      </c>
      <c r="J313" t="s">
        <v>2</v>
      </c>
      <c r="L313" t="s">
        <v>2</v>
      </c>
      <c r="M313" t="s">
        <v>2</v>
      </c>
      <c r="O313" t="s">
        <v>2</v>
      </c>
      <c r="P313" t="s">
        <v>2</v>
      </c>
      <c r="R313" t="s">
        <v>2</v>
      </c>
      <c r="AJ313">
        <f>COUNTIF(B313:AI313,"x")</f>
        <v>9</v>
      </c>
      <c r="AK313" t="s">
        <v>27</v>
      </c>
      <c r="AL313" s="4">
        <v>42759</v>
      </c>
    </row>
    <row r="314" spans="1:38">
      <c r="A314" t="s">
        <v>414</v>
      </c>
      <c r="B314" t="s">
        <v>2</v>
      </c>
      <c r="E314" t="s">
        <v>2</v>
      </c>
      <c r="H314" t="s">
        <v>2</v>
      </c>
      <c r="O314" t="s">
        <v>2</v>
      </c>
      <c r="AJ314">
        <f>COUNTIF(B314:AI314,"x")</f>
        <v>4</v>
      </c>
      <c r="AK314" t="str">
        <f>HYPERLINK("http://bbwaa.com/17-hof-ballots/","BBWAA.com")</f>
        <v>BBWAA.com</v>
      </c>
      <c r="AL314" s="4">
        <v>42762</v>
      </c>
    </row>
    <row r="315" spans="1:38">
      <c r="A315" t="s">
        <v>385</v>
      </c>
      <c r="B315" t="s">
        <v>2</v>
      </c>
      <c r="C315" t="s">
        <v>2</v>
      </c>
      <c r="D315" t="s">
        <v>2</v>
      </c>
      <c r="E315" t="s">
        <v>2</v>
      </c>
      <c r="F315" t="s">
        <v>2</v>
      </c>
      <c r="G315" t="s">
        <v>2</v>
      </c>
      <c r="L315" t="s">
        <v>2</v>
      </c>
      <c r="N315" t="s">
        <v>2</v>
      </c>
      <c r="Q315" t="s">
        <v>2</v>
      </c>
      <c r="AJ315">
        <f>COUNTIF(B315:AI315,"x")</f>
        <v>9</v>
      </c>
      <c r="AK315" t="str">
        <f>HYPERLINK("http://bbwaa.com/17-hof-ballots/","BBWAA.com")</f>
        <v>BBWAA.com</v>
      </c>
      <c r="AL315" s="4">
        <v>42763</v>
      </c>
    </row>
  </sheetData>
  <sortState ref="A2:AL315">
    <sortCondition ref="AL1"/>
  </sortState>
  <hyperlinks>
    <hyperlink ref="AK3" r:id="rId1" display="http://bit.ly/2fAuQya"/>
    <hyperlink ref="AK6" r:id="rId2" display="http://bit.ly/2gGMY8D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" sqref="C1:C34"/>
    </sheetView>
  </sheetViews>
  <sheetFormatPr baseColWidth="10" defaultRowHeight="15" x14ac:dyDescent="0"/>
  <sheetData>
    <row r="1" spans="1:3">
      <c r="A1" t="s">
        <v>288</v>
      </c>
      <c r="B1" t="s">
        <v>289</v>
      </c>
      <c r="C1" t="str">
        <f>CONCATENATE(A1, " ", B1)</f>
        <v>Jeff Bagwell</v>
      </c>
    </row>
    <row r="2" spans="1:3">
      <c r="A2" t="s">
        <v>290</v>
      </c>
      <c r="B2" t="s">
        <v>291</v>
      </c>
      <c r="C2" t="str">
        <f t="shared" ref="C2:C34" si="0">CONCATENATE(A2, " ", B2)</f>
        <v>Barry Bonds</v>
      </c>
    </row>
    <row r="3" spans="1:3">
      <c r="A3" t="s">
        <v>292</v>
      </c>
      <c r="B3" t="s">
        <v>293</v>
      </c>
      <c r="C3" t="str">
        <f t="shared" si="0"/>
        <v>Roger Clemens</v>
      </c>
    </row>
    <row r="4" spans="1:3">
      <c r="A4" t="s">
        <v>294</v>
      </c>
      <c r="B4" t="s">
        <v>295</v>
      </c>
      <c r="C4" t="str">
        <f t="shared" si="0"/>
        <v>Vlad Guerrero</v>
      </c>
    </row>
    <row r="5" spans="1:3">
      <c r="A5" t="s">
        <v>296</v>
      </c>
      <c r="B5" t="s">
        <v>297</v>
      </c>
      <c r="C5" t="str">
        <f t="shared" si="0"/>
        <v>Trevor Hoffman</v>
      </c>
    </row>
    <row r="6" spans="1:3">
      <c r="A6" t="s">
        <v>288</v>
      </c>
      <c r="B6" t="s">
        <v>346</v>
      </c>
      <c r="C6" t="str">
        <f t="shared" si="0"/>
        <v>Jeff Kent</v>
      </c>
    </row>
    <row r="7" spans="1:3">
      <c r="A7" t="s">
        <v>298</v>
      </c>
      <c r="B7" t="s">
        <v>299</v>
      </c>
      <c r="C7" t="str">
        <f t="shared" si="0"/>
        <v>Edgar Martinez</v>
      </c>
    </row>
    <row r="8" spans="1:3">
      <c r="A8" t="s">
        <v>300</v>
      </c>
      <c r="B8" t="s">
        <v>301</v>
      </c>
      <c r="C8" t="str">
        <f t="shared" si="0"/>
        <v>Fred McGriff</v>
      </c>
    </row>
    <row r="9" spans="1:3">
      <c r="A9" t="s">
        <v>302</v>
      </c>
      <c r="B9" t="s">
        <v>303</v>
      </c>
      <c r="C9" t="str">
        <f t="shared" si="0"/>
        <v>Mike Mussina</v>
      </c>
    </row>
    <row r="10" spans="1:3">
      <c r="A10" t="s">
        <v>304</v>
      </c>
      <c r="B10" t="s">
        <v>305</v>
      </c>
      <c r="C10" t="str">
        <f t="shared" si="0"/>
        <v>Jorge Posada</v>
      </c>
    </row>
    <row r="11" spans="1:3">
      <c r="A11" t="s">
        <v>306</v>
      </c>
      <c r="B11" t="s">
        <v>347</v>
      </c>
      <c r="C11" t="str">
        <f t="shared" si="0"/>
        <v>Tim Raines</v>
      </c>
    </row>
    <row r="12" spans="1:3">
      <c r="A12" t="s">
        <v>307</v>
      </c>
      <c r="B12" t="s">
        <v>308</v>
      </c>
      <c r="C12" t="str">
        <f t="shared" si="0"/>
        <v>Manny Ramirez</v>
      </c>
    </row>
    <row r="13" spans="1:3">
      <c r="A13" t="s">
        <v>309</v>
      </c>
      <c r="B13" t="s">
        <v>310</v>
      </c>
      <c r="C13" t="str">
        <f t="shared" si="0"/>
        <v>Ivan Rodriguez</v>
      </c>
    </row>
    <row r="14" spans="1:3">
      <c r="A14" t="s">
        <v>311</v>
      </c>
      <c r="B14" t="s">
        <v>312</v>
      </c>
      <c r="C14" t="str">
        <f t="shared" si="0"/>
        <v>Curt Schilling</v>
      </c>
    </row>
    <row r="15" spans="1:3">
      <c r="A15" t="s">
        <v>313</v>
      </c>
      <c r="B15" t="s">
        <v>314</v>
      </c>
      <c r="C15" t="str">
        <f t="shared" si="0"/>
        <v>Gary Sheffield</v>
      </c>
    </row>
    <row r="16" spans="1:3">
      <c r="A16" t="s">
        <v>315</v>
      </c>
      <c r="B16" t="s">
        <v>348</v>
      </c>
      <c r="C16" t="str">
        <f t="shared" si="0"/>
        <v>Lee Smith</v>
      </c>
    </row>
    <row r="17" spans="1:3">
      <c r="A17" t="s">
        <v>316</v>
      </c>
      <c r="B17" t="s">
        <v>317</v>
      </c>
      <c r="C17" t="str">
        <f t="shared" si="0"/>
        <v>Sammy Sosa</v>
      </c>
    </row>
    <row r="18" spans="1:3">
      <c r="A18" t="s">
        <v>318</v>
      </c>
      <c r="B18" t="s">
        <v>319</v>
      </c>
      <c r="C18" t="str">
        <f t="shared" si="0"/>
        <v>Billy Wagner</v>
      </c>
    </row>
    <row r="19" spans="1:3">
      <c r="A19" t="s">
        <v>320</v>
      </c>
      <c r="B19" t="s">
        <v>321</v>
      </c>
      <c r="C19" t="str">
        <f t="shared" si="0"/>
        <v>Larry Walker</v>
      </c>
    </row>
    <row r="20" spans="1:3">
      <c r="A20" t="s">
        <v>322</v>
      </c>
      <c r="B20" t="s">
        <v>323</v>
      </c>
      <c r="C20" t="str">
        <f t="shared" si="0"/>
        <v>Casey Blake</v>
      </c>
    </row>
    <row r="21" spans="1:3">
      <c r="A21" t="s">
        <v>324</v>
      </c>
      <c r="B21" t="s">
        <v>349</v>
      </c>
      <c r="C21" t="str">
        <f t="shared" si="0"/>
        <v>Pat Burrell</v>
      </c>
    </row>
    <row r="22" spans="1:3">
      <c r="A22" t="s">
        <v>325</v>
      </c>
      <c r="B22" t="s">
        <v>326</v>
      </c>
      <c r="C22" t="str">
        <f t="shared" si="0"/>
        <v>Orlando Cabrera</v>
      </c>
    </row>
    <row r="23" spans="1:3">
      <c r="A23" t="s">
        <v>302</v>
      </c>
      <c r="B23" t="s">
        <v>327</v>
      </c>
      <c r="C23" t="str">
        <f t="shared" si="0"/>
        <v>Mike Cameron</v>
      </c>
    </row>
    <row r="24" spans="1:3">
      <c r="A24" t="s">
        <v>328</v>
      </c>
      <c r="B24" t="s">
        <v>350</v>
      </c>
      <c r="C24" t="str">
        <f t="shared" si="0"/>
        <v>J.D. Drew</v>
      </c>
    </row>
    <row r="25" spans="1:3">
      <c r="A25" t="s">
        <v>329</v>
      </c>
      <c r="B25" t="s">
        <v>330</v>
      </c>
      <c r="C25" t="str">
        <f t="shared" si="0"/>
        <v>Carlos Guillen</v>
      </c>
    </row>
    <row r="26" spans="1:3">
      <c r="A26" t="s">
        <v>331</v>
      </c>
      <c r="B26" t="s">
        <v>315</v>
      </c>
      <c r="C26" t="str">
        <f t="shared" si="0"/>
        <v>Derrek Lee</v>
      </c>
    </row>
    <row r="27" spans="1:3">
      <c r="A27" t="s">
        <v>332</v>
      </c>
      <c r="B27" t="s">
        <v>333</v>
      </c>
      <c r="C27" t="str">
        <f t="shared" si="0"/>
        <v>Melvin Mora</v>
      </c>
    </row>
    <row r="28" spans="1:3">
      <c r="A28" t="s">
        <v>334</v>
      </c>
      <c r="B28" t="s">
        <v>335</v>
      </c>
      <c r="C28" t="str">
        <f t="shared" si="0"/>
        <v>Magglio Ordonez</v>
      </c>
    </row>
    <row r="29" spans="1:3">
      <c r="A29" t="s">
        <v>298</v>
      </c>
      <c r="B29" t="s">
        <v>336</v>
      </c>
      <c r="C29" t="str">
        <f t="shared" si="0"/>
        <v>Edgar Renteria</v>
      </c>
    </row>
    <row r="30" spans="1:3">
      <c r="A30" t="s">
        <v>337</v>
      </c>
      <c r="B30" t="s">
        <v>338</v>
      </c>
      <c r="C30" t="str">
        <f t="shared" si="0"/>
        <v>Arthur Rhodes</v>
      </c>
    </row>
    <row r="31" spans="1:3">
      <c r="A31" t="s">
        <v>339</v>
      </c>
      <c r="B31" t="s">
        <v>340</v>
      </c>
      <c r="C31" t="str">
        <f t="shared" si="0"/>
        <v>Freddy Sanchez</v>
      </c>
    </row>
    <row r="32" spans="1:3">
      <c r="A32" t="s">
        <v>341</v>
      </c>
      <c r="B32" t="s">
        <v>342</v>
      </c>
      <c r="C32" t="str">
        <f t="shared" si="0"/>
        <v>Matt Stairs</v>
      </c>
    </row>
    <row r="33" spans="1:3">
      <c r="A33" t="s">
        <v>343</v>
      </c>
      <c r="B33" t="s">
        <v>344</v>
      </c>
      <c r="C33" t="str">
        <f t="shared" si="0"/>
        <v>Jason Varitek</v>
      </c>
    </row>
    <row r="34" spans="1:3">
      <c r="A34" t="s">
        <v>306</v>
      </c>
      <c r="B34" t="s">
        <v>345</v>
      </c>
      <c r="C34" t="str">
        <f t="shared" si="0"/>
        <v>Tim Wakefield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Deppen</dc:creator>
  <cp:lastModifiedBy>Jacob Deppen</cp:lastModifiedBy>
  <dcterms:created xsi:type="dcterms:W3CDTF">2018-12-14T00:16:15Z</dcterms:created>
  <dcterms:modified xsi:type="dcterms:W3CDTF">2018-12-14T05:29:14Z</dcterms:modified>
</cp:coreProperties>
</file>