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3040" windowHeight="9585"/>
  </bookViews>
  <sheets>
    <sheet name="Calculation Fields" sheetId="9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8" i="9"/>
  <c r="I76" l="1"/>
  <c r="I81" s="1"/>
  <c r="I56"/>
  <c r="I58" s="1"/>
  <c r="I57" s="1"/>
  <c r="I65"/>
  <c r="I67"/>
  <c r="I66" s="1"/>
  <c r="I30"/>
  <c r="I73"/>
  <c r="I72" s="1"/>
  <c r="I87"/>
  <c r="I88"/>
  <c r="I93"/>
  <c r="I94"/>
  <c r="I40"/>
  <c r="I41"/>
  <c r="I115"/>
  <c r="I45"/>
  <c r="I46"/>
  <c r="I18"/>
  <c r="I19"/>
  <c r="I44" l="1"/>
  <c r="I104" s="1"/>
  <c r="I89"/>
  <c r="I95"/>
  <c r="I103" s="1"/>
  <c r="I50"/>
  <c r="I49" s="1"/>
  <c r="I109" l="1"/>
  <c r="I111" s="1"/>
  <c r="I105"/>
  <c r="I113" l="1"/>
  <c r="I114"/>
</calcChain>
</file>

<file path=xl/sharedStrings.xml><?xml version="1.0" encoding="utf-8"?>
<sst xmlns="http://schemas.openxmlformats.org/spreadsheetml/2006/main" count="280" uniqueCount="245">
  <si>
    <t>Field Name</t>
  </si>
  <si>
    <t>Formula</t>
  </si>
  <si>
    <t>Demo Value</t>
  </si>
  <si>
    <t>Input</t>
  </si>
  <si>
    <t>Units</t>
  </si>
  <si>
    <t>Comments</t>
  </si>
  <si>
    <t>B3</t>
  </si>
  <si>
    <t>B4</t>
  </si>
  <si>
    <t>B5</t>
  </si>
  <si>
    <t>B6</t>
  </si>
  <si>
    <t>Field Type</t>
  </si>
  <si>
    <t>ASSUMPTIONS (Behind the scenes)</t>
  </si>
  <si>
    <t>INPUTS</t>
  </si>
  <si>
    <t>First Name</t>
  </si>
  <si>
    <t>Last Name</t>
  </si>
  <si>
    <t>Email</t>
  </si>
  <si>
    <t>Number of invoices per year</t>
  </si>
  <si>
    <t>Number of payments per year</t>
  </si>
  <si>
    <t>Percent of payments already electronic</t>
  </si>
  <si>
    <t>Annual AP Spend</t>
  </si>
  <si>
    <t># of Employees processing AP</t>
  </si>
  <si>
    <t>B7</t>
  </si>
  <si>
    <t>Company Information</t>
  </si>
  <si>
    <t>Number of Invoices</t>
  </si>
  <si>
    <t>C3</t>
  </si>
  <si>
    <t>C4</t>
  </si>
  <si>
    <t>C5</t>
  </si>
  <si>
    <t>C6</t>
  </si>
  <si>
    <t>C7</t>
  </si>
  <si>
    <t>C8</t>
  </si>
  <si>
    <t>Number of Payments</t>
  </si>
  <si>
    <t>Percentage of Payments Already Electronic</t>
  </si>
  <si>
    <t>Average Invoice Amount</t>
  </si>
  <si>
    <t>Average Payment Amount</t>
  </si>
  <si>
    <t>Annual Spend</t>
  </si>
  <si>
    <t>B6/B3</t>
  </si>
  <si>
    <t>B6/B4</t>
  </si>
  <si>
    <t>Costs and Industry Assumptions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</si>
  <si>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</si>
  <si>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</si>
  <si>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</si>
  <si>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</si>
  <si>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</si>
  <si>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</si>
  <si>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</si>
  <si>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</si>
  <si>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</si>
  <si>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Current Cost of Manual Check Printing/Mailing</t>
  </si>
  <si>
    <t>Current Cost of ACH^</t>
  </si>
  <si>
    <t>Industry Est. Manual Processing Cost per Invoice</t>
  </si>
  <si>
    <t>Industry Est. Automated Processing Cost per Invoice</t>
  </si>
  <si>
    <t>ADD'L Percentage of Payments to ACH</t>
  </si>
  <si>
    <t>Percentage of Spend to Rebate Offering Vendors</t>
  </si>
  <si>
    <t>Average Rebate Amount</t>
  </si>
  <si>
    <t>Early Pay Discount as a Percent of Total Spend*</t>
  </si>
  <si>
    <t>Discount Rate</t>
  </si>
  <si>
    <t>0</t>
  </si>
  <si>
    <t>.1</t>
  </si>
  <si>
    <t>0.005</t>
  </si>
  <si>
    <t>5940000/4000000000</t>
  </si>
  <si>
    <t>.05</t>
  </si>
  <si>
    <t>Fees</t>
  </si>
  <si>
    <t>C22</t>
  </si>
  <si>
    <t>C23</t>
  </si>
  <si>
    <t>C24</t>
  </si>
  <si>
    <t>MineralTree per Check Cost</t>
  </si>
  <si>
    <t>MineralTree per ACH Cost</t>
  </si>
  <si>
    <t>MineralTree per Invoice: capture-code-approve-post</t>
  </si>
  <si>
    <t>Check Printing/Mailing, Current ACH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</si>
  <si>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</si>
  <si>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</si>
  <si>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</si>
  <si>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</si>
  <si>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</si>
  <si>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</si>
  <si>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</si>
  <si>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</si>
  <si>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</si>
  <si>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</si>
  <si>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</si>
  <si>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</si>
  <si>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Annual Payments</t>
  </si>
  <si>
    <t>Current Annual Checks</t>
  </si>
  <si>
    <t>Current Annual ACH</t>
  </si>
  <si>
    <t>Current Cost per Check Printing/Mailing</t>
  </si>
  <si>
    <t>Current Cost ACH</t>
  </si>
  <si>
    <t>Current Annual Cost</t>
  </si>
  <si>
    <t>Estimated Number Checks thru MT</t>
  </si>
  <si>
    <t>Estimated Number ACH Payments thru MT</t>
  </si>
  <si>
    <t>MineralTree Cost per Check</t>
  </si>
  <si>
    <t>MineralTree Cost per ACH</t>
  </si>
  <si>
    <t>Monthly Savings</t>
  </si>
  <si>
    <t>Annual Savings</t>
  </si>
  <si>
    <t>B4*(1-B5)</t>
  </si>
  <si>
    <t>B4*B5</t>
  </si>
  <si>
    <t>C11*G4+G5*C12</t>
  </si>
  <si>
    <t>B4*(1-B5-C15)*(1-C16)</t>
  </si>
  <si>
    <t>B4*(B5+C15)*(1-C16)</t>
  </si>
  <si>
    <t>G8-(G9*C22+G10*C23)</t>
  </si>
  <si>
    <t>G14/12</t>
  </si>
  <si>
    <t>REBATES</t>
  </si>
  <si>
    <t>G17</t>
  </si>
  <si>
    <t>G18</t>
  </si>
  <si>
    <t>G19</t>
  </si>
  <si>
    <t>G20</t>
  </si>
  <si>
    <t>G21</t>
  </si>
  <si>
    <t>G22</t>
  </si>
  <si>
    <t>Annual Spend Conversion</t>
  </si>
  <si>
    <t>Monthly Rebate</t>
  </si>
  <si>
    <t>Annual Rebate</t>
  </si>
  <si>
    <t>B6*C16</t>
  </si>
  <si>
    <t>G20*C17</t>
  </si>
  <si>
    <t>G22/12</t>
  </si>
  <si>
    <t>Opportunity Cost of Invoice Processing</t>
  </si>
  <si>
    <t>G26</t>
  </si>
  <si>
    <t>G27</t>
  </si>
  <si>
    <t>G28</t>
  </si>
  <si>
    <t>G29</t>
  </si>
  <si>
    <t>G31</t>
  </si>
  <si>
    <t>G32</t>
  </si>
  <si>
    <t>G33</t>
  </si>
  <si>
    <t>Est. Manual Processing Cost per Invoice</t>
  </si>
  <si>
    <t>Est. Automated Processing Cost per Invoice</t>
  </si>
  <si>
    <t>MineralTree Cost per Invoice Processed</t>
  </si>
  <si>
    <t>Est. Total Automated Processing Cost per Invoice</t>
  </si>
  <si>
    <t>Monthly Opportunity Cost Savings</t>
  </si>
  <si>
    <t>Annual Opportunity Cost Savings</t>
  </si>
  <si>
    <t>C14+C24</t>
  </si>
  <si>
    <t>B3*(C13-C14-C24)</t>
  </si>
  <si>
    <t>G33/12</t>
  </si>
  <si>
    <t>Early Pay Discounts</t>
  </si>
  <si>
    <t>G36</t>
  </si>
  <si>
    <t>G37</t>
  </si>
  <si>
    <t>G38</t>
  </si>
  <si>
    <t>G39</t>
  </si>
  <si>
    <t>Discount as a Percent of Total Spend</t>
  </si>
  <si>
    <t>Monthly Discount</t>
  </si>
  <si>
    <t>Annual Discount</t>
  </si>
  <si>
    <t>B6*C18</t>
  </si>
  <si>
    <t>G39/12</t>
  </si>
  <si>
    <t>K6</t>
  </si>
  <si>
    <t>K7</t>
  </si>
  <si>
    <t>K8</t>
  </si>
  <si>
    <t>K9</t>
  </si>
  <si>
    <t>K10</t>
  </si>
  <si>
    <t>Invoices/year</t>
  </si>
  <si>
    <t>salary (we don't necesarrily need to gather this, can estimate 40k</t>
  </si>
  <si>
    <t>cost of AP staff labor/invoice</t>
  </si>
  <si>
    <t>cost of approver labor/invoice</t>
  </si>
  <si>
    <t>Total cost/invoice of manual processing*</t>
  </si>
  <si>
    <t>J3</t>
  </si>
  <si>
    <t>60000</t>
  </si>
  <si>
    <t>B7*(K7/B3)</t>
  </si>
  <si>
    <t>F4</t>
  </si>
  <si>
    <t>F5</t>
  </si>
  <si>
    <t>F6</t>
  </si>
  <si>
    <t>F7</t>
  </si>
  <si>
    <t>F8</t>
  </si>
  <si>
    <t>F9</t>
  </si>
  <si>
    <t>Paper storage and retention costs*</t>
  </si>
  <si>
    <t>Too-early payments**</t>
  </si>
  <si>
    <t>Duplicate Payments***</t>
  </si>
  <si>
    <t>Paper copies made (assume 50% electronic, 2pg each)^</t>
  </si>
  <si>
    <t>Late payment fees^^</t>
  </si>
  <si>
    <t>Total Hard Costs per invoice</t>
  </si>
  <si>
    <t>25</t>
  </si>
  <si>
    <t>SUM(F4:F8)/100</t>
  </si>
  <si>
    <t>F11</t>
  </si>
  <si>
    <t>Invoice Preparation</t>
  </si>
  <si>
    <t>1000</t>
  </si>
  <si>
    <t>F16</t>
  </si>
  <si>
    <t>F17</t>
  </si>
  <si>
    <t>F22</t>
  </si>
  <si>
    <t>F23</t>
  </si>
  <si>
    <t>F24</t>
  </si>
  <si>
    <t>F28</t>
  </si>
  <si>
    <t>F29</t>
  </si>
  <si>
    <t>Invoice Approval</t>
  </si>
  <si>
    <t>Other Tasks</t>
  </si>
  <si>
    <t>Average hourly salary for AP staff</t>
  </si>
  <si>
    <t>Average hourly salary for department manager approver</t>
  </si>
  <si>
    <t>Total Salary Cost per invoice</t>
  </si>
  <si>
    <t>Total Cost from Invoice Errors per invoice</t>
  </si>
  <si>
    <t>Total Costs (Manual Processing)</t>
  </si>
  <si>
    <t>250</t>
  </si>
  <si>
    <t>300</t>
  </si>
  <si>
    <t>45</t>
  </si>
  <si>
    <t>(F11+F17)/60*F22/100+F16/60*F23/100</t>
  </si>
  <si>
    <t>0.014*B6*0.5*0.1/B3</t>
  </si>
  <si>
    <t>F24+F28+F9</t>
  </si>
  <si>
    <t>(F16/60)*(F23/100)</t>
  </si>
  <si>
    <t>K8+F9+1.88</t>
  </si>
  <si>
    <t>Current Annual Costs</t>
  </si>
  <si>
    <t>J8</t>
  </si>
  <si>
    <t>J4</t>
  </si>
  <si>
    <t>Annual Volumes</t>
  </si>
  <si>
    <t>J5</t>
  </si>
  <si>
    <t>J9</t>
  </si>
  <si>
    <t>J10</t>
  </si>
  <si>
    <t>Invoices</t>
  </si>
  <si>
    <t>Payments</t>
  </si>
  <si>
    <t>Total AP Spend</t>
  </si>
  <si>
    <t>Invoice processing</t>
  </si>
  <si>
    <t>K10*B3</t>
  </si>
  <si>
    <t>Payment processing</t>
  </si>
  <si>
    <t>Current Cost of Manual Accounts Payable</t>
  </si>
  <si>
    <t>J9+J8</t>
  </si>
  <si>
    <t>After Annual Costs</t>
  </si>
  <si>
    <t>J13</t>
  </si>
  <si>
    <t>J14</t>
  </si>
  <si>
    <t>J15</t>
  </si>
  <si>
    <t>J16</t>
  </si>
  <si>
    <t xml:space="preserve">Subscription: </t>
  </si>
  <si>
    <t>Remaining processing:</t>
  </si>
  <si>
    <t>Estimate rebates:</t>
  </si>
  <si>
    <t>Future Cost of Automation Accounts Payable</t>
  </si>
  <si>
    <t>J8*0.4</t>
  </si>
  <si>
    <t>J18</t>
  </si>
  <si>
    <t>J19</t>
  </si>
  <si>
    <t>J20</t>
  </si>
  <si>
    <t>Annual Savings (dollars)</t>
  </si>
  <si>
    <t>Time to Breakeven (months)</t>
  </si>
  <si>
    <t>Annual Savings (weeks)</t>
  </si>
  <si>
    <t>J10-J16</t>
  </si>
  <si>
    <t>(J16/J10)*(365/30)</t>
  </si>
  <si>
    <t>0.6*(B7*40*52)/40</t>
  </si>
  <si>
    <t>J13+J14-G22</t>
  </si>
  <si>
    <t>6000/B3*100</t>
  </si>
  <si>
    <t>B6*0.1/B3*100*0.0019</t>
  </si>
  <si>
    <t>B6*0.17*0.005/B3*100</t>
  </si>
  <si>
    <t>50*0.12*2</t>
  </si>
  <si>
    <t>B6*0.005/B3*100*0.015</t>
  </si>
  <si>
    <t>D20</t>
  </si>
  <si>
    <t>D22</t>
  </si>
  <si>
    <t>D21</t>
  </si>
  <si>
    <t>Company</t>
  </si>
  <si>
    <t>D23</t>
  </si>
  <si>
    <t>B8</t>
  </si>
  <si>
    <t>Your ERP / Accounting System</t>
  </si>
  <si>
    <t>Enterprise Bank &amp; Trust</t>
  </si>
  <si>
    <t>1.50</t>
  </si>
  <si>
    <t>(B3*H36)+(B4*H35)</t>
  </si>
  <si>
    <t>1.98</t>
  </si>
  <si>
    <t>(I5*H36)+(I6*H34)+1800</t>
  </si>
  <si>
    <t>(B3*C24)+(B4*C22)+1800</t>
  </si>
</sst>
</file>

<file path=xl/styles.xml><?xml version="1.0" encoding="utf-8"?>
<styleSheet xmlns="http://schemas.openxmlformats.org/spreadsheetml/2006/main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&quot;$&quot;#,##0.00"/>
    <numFmt numFmtId="166" formatCode="0.000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222121"/>
      <name val="Calibri"/>
      <family val="2"/>
      <scheme val="minor"/>
    </font>
    <font>
      <sz val="11"/>
      <color rgb="FF2221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43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5" fontId="5" fillId="0" borderId="0" xfId="2" applyNumberFormat="1" applyFont="1"/>
    <xf numFmtId="37" fontId="5" fillId="0" borderId="0" xfId="1" applyNumberFormat="1" applyFont="1"/>
    <xf numFmtId="1" fontId="5" fillId="0" borderId="0" xfId="0" applyNumberFormat="1" applyFont="1"/>
    <xf numFmtId="5" fontId="6" fillId="0" borderId="0" xfId="2" applyNumberFormat="1" applyFont="1"/>
    <xf numFmtId="37" fontId="6" fillId="0" borderId="0" xfId="1" applyNumberFormat="1" applyFont="1"/>
    <xf numFmtId="9" fontId="6" fillId="0" borderId="0" xfId="3" applyFont="1"/>
    <xf numFmtId="1" fontId="6" fillId="0" borderId="0" xfId="3" applyNumberFormat="1" applyFont="1"/>
    <xf numFmtId="44" fontId="6" fillId="0" borderId="0" xfId="2" applyFont="1"/>
    <xf numFmtId="0" fontId="7" fillId="0" borderId="0" xfId="0" applyFont="1"/>
    <xf numFmtId="0" fontId="8" fillId="0" borderId="0" xfId="0" applyFont="1"/>
    <xf numFmtId="49" fontId="2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49" fontId="6" fillId="0" borderId="0" xfId="0" quotePrefix="1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5" fillId="0" borderId="0" xfId="0" quotePrefix="1" applyNumberFormat="1" applyFont="1" applyAlignment="1">
      <alignment horizontal="left"/>
    </xf>
    <xf numFmtId="49" fontId="6" fillId="0" borderId="0" xfId="1" quotePrefix="1" applyNumberFormat="1" applyFont="1" applyAlignment="1">
      <alignment horizontal="left"/>
    </xf>
    <xf numFmtId="49" fontId="6" fillId="3" borderId="0" xfId="2" quotePrefix="1" applyNumberFormat="1" applyFont="1" applyFill="1" applyAlignment="1">
      <alignment horizontal="left"/>
    </xf>
    <xf numFmtId="49" fontId="6" fillId="3" borderId="0" xfId="0" quotePrefix="1" applyNumberFormat="1" applyFont="1" applyFill="1" applyAlignment="1">
      <alignment horizontal="left"/>
    </xf>
    <xf numFmtId="49" fontId="6" fillId="3" borderId="0" xfId="1" quotePrefix="1" applyNumberFormat="1" applyFont="1" applyFill="1" applyAlignment="1">
      <alignment horizontal="left"/>
    </xf>
    <xf numFmtId="44" fontId="6" fillId="0" borderId="0" xfId="2" applyFont="1" applyAlignment="1">
      <alignment horizontal="left"/>
    </xf>
    <xf numFmtId="0" fontId="6" fillId="0" borderId="0" xfId="2" applyNumberFormat="1" applyFont="1" applyAlignment="1">
      <alignment horizontal="left"/>
    </xf>
    <xf numFmtId="10" fontId="6" fillId="0" borderId="0" xfId="3" applyNumberFormat="1" applyFont="1"/>
    <xf numFmtId="166" fontId="6" fillId="0" borderId="0" xfId="3" applyNumberFormat="1" applyFont="1"/>
    <xf numFmtId="44" fontId="6" fillId="0" borderId="0" xfId="2" quotePrefix="1" applyFont="1" applyAlignment="1">
      <alignment horizontal="left"/>
    </xf>
    <xf numFmtId="49" fontId="6" fillId="4" borderId="0" xfId="1" quotePrefix="1" applyNumberFormat="1" applyFont="1" applyFill="1" applyAlignment="1">
      <alignment horizontal="left"/>
    </xf>
    <xf numFmtId="165" fontId="6" fillId="0" borderId="0" xfId="3" applyNumberFormat="1" applyFont="1"/>
    <xf numFmtId="44" fontId="6" fillId="0" borderId="0" xfId="3" applyNumberFormat="1" applyFont="1"/>
    <xf numFmtId="49" fontId="5" fillId="2" borderId="0" xfId="0" quotePrefix="1" applyNumberFormat="1" applyFont="1" applyFill="1" applyAlignment="1">
      <alignment horizontal="left"/>
    </xf>
    <xf numFmtId="49" fontId="9" fillId="0" borderId="0" xfId="1" quotePrefix="1" applyNumberFormat="1" applyFont="1" applyAlignment="1">
      <alignment horizontal="left"/>
    </xf>
    <xf numFmtId="44" fontId="6" fillId="5" borderId="0" xfId="2" applyFont="1" applyFill="1"/>
    <xf numFmtId="164" fontId="6" fillId="5" borderId="0" xfId="1" applyNumberFormat="1" applyFont="1" applyFill="1"/>
    <xf numFmtId="37" fontId="6" fillId="5" borderId="0" xfId="1" applyNumberFormat="1" applyFont="1" applyFill="1"/>
    <xf numFmtId="44" fontId="10" fillId="6" borderId="0" xfId="2" applyFont="1" applyFill="1"/>
    <xf numFmtId="49" fontId="10" fillId="7" borderId="0" xfId="1" applyNumberFormat="1" applyFont="1" applyFill="1" applyAlignment="1">
      <alignment horizontal="left"/>
    </xf>
    <xf numFmtId="44" fontId="10" fillId="7" borderId="0" xfId="2" applyFont="1" applyFill="1"/>
    <xf numFmtId="0" fontId="6" fillId="0" borderId="0" xfId="0" quotePrefix="1" applyFont="1"/>
  </cellXfs>
  <cellStyles count="16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66FF33"/>
      <color rgb="FF222121"/>
      <color rgb="FFCCCCCC"/>
      <color rgb="FF1F74BB"/>
      <color rgb="FF7F7F80"/>
      <color rgb="FFFAA41A"/>
      <color rgb="FF6EBE49"/>
      <color rgb="FFF7F8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24"/>
  <sheetViews>
    <sheetView tabSelected="1" topLeftCell="D86" workbookViewId="0">
      <selection activeCell="I57" sqref="I57"/>
    </sheetView>
  </sheetViews>
  <sheetFormatPr defaultColWidth="8.85546875" defaultRowHeight="15"/>
  <cols>
    <col min="1" max="3" width="0" hidden="1" customWidth="1"/>
    <col min="4" max="4" width="4.42578125" customWidth="1"/>
    <col min="5" max="5" width="10.7109375" customWidth="1"/>
    <col min="6" max="6" width="42.85546875" customWidth="1"/>
    <col min="7" max="7" width="14.42578125" customWidth="1"/>
    <col min="8" max="8" width="20.140625" style="21" customWidth="1"/>
    <col min="9" max="9" width="22.85546875" customWidth="1"/>
    <col min="10" max="10" width="24" customWidth="1"/>
    <col min="11" max="11" width="20.42578125" bestFit="1" customWidth="1"/>
  </cols>
  <sheetData>
    <row r="2" spans="1:14">
      <c r="E2" s="1" t="s">
        <v>239</v>
      </c>
      <c r="F2" s="1"/>
      <c r="G2" s="1"/>
      <c r="H2" s="16"/>
      <c r="I2" s="1"/>
    </row>
    <row r="3" spans="1:14">
      <c r="E3" s="1"/>
      <c r="F3" s="1"/>
      <c r="G3" s="1"/>
      <c r="H3" s="16"/>
      <c r="I3" s="1"/>
    </row>
    <row r="4" spans="1:14">
      <c r="E4" s="1" t="s">
        <v>0</v>
      </c>
      <c r="F4" s="1" t="s">
        <v>12</v>
      </c>
      <c r="G4" s="1" t="s">
        <v>10</v>
      </c>
      <c r="H4" s="16" t="s">
        <v>1</v>
      </c>
      <c r="I4" s="1" t="s">
        <v>2</v>
      </c>
      <c r="J4" s="1" t="s">
        <v>4</v>
      </c>
      <c r="K4" s="1" t="s">
        <v>5</v>
      </c>
    </row>
    <row r="5" spans="1:14">
      <c r="A5">
        <v>182</v>
      </c>
      <c r="B5">
        <v>796</v>
      </c>
      <c r="C5">
        <v>3</v>
      </c>
      <c r="E5" s="5" t="s">
        <v>6</v>
      </c>
      <c r="F5" s="5" t="s">
        <v>16</v>
      </c>
      <c r="G5" s="5" t="s">
        <v>3</v>
      </c>
      <c r="H5" s="17"/>
      <c r="I5" s="9">
        <v>24000</v>
      </c>
    </row>
    <row r="6" spans="1:14">
      <c r="A6">
        <v>183</v>
      </c>
      <c r="B6">
        <v>797</v>
      </c>
      <c r="C6">
        <v>4</v>
      </c>
      <c r="E6" s="5" t="s">
        <v>7</v>
      </c>
      <c r="F6" s="5" t="s">
        <v>17</v>
      </c>
      <c r="G6" s="5" t="s">
        <v>3</v>
      </c>
      <c r="H6" s="17"/>
      <c r="I6" s="10">
        <v>12000</v>
      </c>
    </row>
    <row r="7" spans="1:14">
      <c r="A7">
        <v>184</v>
      </c>
      <c r="B7">
        <v>798</v>
      </c>
      <c r="C7">
        <v>5</v>
      </c>
      <c r="E7" s="5" t="s">
        <v>8</v>
      </c>
      <c r="F7" s="5" t="s">
        <v>18</v>
      </c>
      <c r="G7" s="5" t="s">
        <v>3</v>
      </c>
      <c r="H7" s="17"/>
      <c r="I7" s="11">
        <v>0.2</v>
      </c>
    </row>
    <row r="8" spans="1:14" s="5" customFormat="1">
      <c r="A8" s="5">
        <v>185</v>
      </c>
      <c r="B8" s="5">
        <v>799</v>
      </c>
      <c r="C8" s="5">
        <v>6</v>
      </c>
      <c r="E8" s="5" t="s">
        <v>9</v>
      </c>
      <c r="F8" s="5" t="s">
        <v>19</v>
      </c>
      <c r="G8" s="5" t="s">
        <v>3</v>
      </c>
      <c r="H8" s="17"/>
      <c r="I8" s="13">
        <v>40000000</v>
      </c>
      <c r="M8"/>
      <c r="N8"/>
    </row>
    <row r="9" spans="1:14" s="5" customFormat="1">
      <c r="A9" s="5">
        <v>186</v>
      </c>
      <c r="B9" s="5">
        <v>800</v>
      </c>
      <c r="C9" s="5">
        <v>7</v>
      </c>
      <c r="E9" s="5" t="s">
        <v>21</v>
      </c>
      <c r="F9" s="5" t="s">
        <v>20</v>
      </c>
      <c r="G9" s="5" t="s">
        <v>3</v>
      </c>
      <c r="H9" s="17"/>
      <c r="I9" s="12">
        <v>2</v>
      </c>
      <c r="M9"/>
      <c r="N9"/>
    </row>
    <row r="10" spans="1:14" s="5" customFormat="1">
      <c r="A10" s="5">
        <v>704</v>
      </c>
      <c r="B10" s="5">
        <v>863</v>
      </c>
      <c r="E10" s="5" t="s">
        <v>237</v>
      </c>
      <c r="F10" s="5" t="s">
        <v>238</v>
      </c>
      <c r="H10" s="17"/>
      <c r="I10" s="11"/>
      <c r="M10"/>
    </row>
    <row r="12" spans="1:14">
      <c r="F12" s="1" t="s">
        <v>11</v>
      </c>
      <c r="G12" s="1"/>
      <c r="H12" s="18"/>
      <c r="I12" s="2"/>
    </row>
    <row r="13" spans="1:14" s="5" customFormat="1">
      <c r="H13" s="19"/>
      <c r="I13" s="11"/>
    </row>
    <row r="14" spans="1:14" s="5" customFormat="1">
      <c r="F14" s="15" t="s">
        <v>22</v>
      </c>
      <c r="H14" s="19"/>
      <c r="I14" s="11"/>
    </row>
    <row r="15" spans="1:14" s="5" customFormat="1">
      <c r="E15" s="5" t="s">
        <v>24</v>
      </c>
      <c r="F15" s="5" t="s">
        <v>23</v>
      </c>
      <c r="H15" s="24" t="s">
        <v>6</v>
      </c>
      <c r="I15" s="9"/>
    </row>
    <row r="16" spans="1:14" s="5" customFormat="1">
      <c r="E16" s="5" t="s">
        <v>25</v>
      </c>
      <c r="F16" s="5" t="s">
        <v>30</v>
      </c>
      <c r="H16" s="25" t="s">
        <v>7</v>
      </c>
      <c r="I16" s="12"/>
    </row>
    <row r="17" spans="1:13" s="5" customFormat="1">
      <c r="E17" s="5" t="s">
        <v>26</v>
      </c>
      <c r="F17" s="5" t="s">
        <v>31</v>
      </c>
      <c r="H17" s="26" t="s">
        <v>8</v>
      </c>
      <c r="I17" s="11"/>
    </row>
    <row r="18" spans="1:13" s="5" customFormat="1">
      <c r="A18" s="5">
        <v>187</v>
      </c>
      <c r="B18" s="5">
        <v>801</v>
      </c>
      <c r="C18" s="5">
        <v>6</v>
      </c>
      <c r="E18" s="5" t="s">
        <v>27</v>
      </c>
      <c r="F18" s="5" t="s">
        <v>32</v>
      </c>
      <c r="H18" s="23" t="s">
        <v>35</v>
      </c>
      <c r="I18" s="10">
        <f>I8/I5</f>
        <v>1666.6666666666667</v>
      </c>
      <c r="M18"/>
    </row>
    <row r="19" spans="1:13" s="5" customFormat="1">
      <c r="A19" s="5">
        <v>188</v>
      </c>
      <c r="B19" s="5">
        <v>802</v>
      </c>
      <c r="C19" s="5">
        <v>7</v>
      </c>
      <c r="E19" s="5" t="s">
        <v>28</v>
      </c>
      <c r="F19" s="5" t="s">
        <v>33</v>
      </c>
      <c r="H19" s="23" t="s">
        <v>36</v>
      </c>
      <c r="I19" s="10">
        <f>I8/I6</f>
        <v>3333.3333333333335</v>
      </c>
      <c r="M19"/>
    </row>
    <row r="20" spans="1:13" s="5" customFormat="1">
      <c r="E20" s="5" t="s">
        <v>29</v>
      </c>
      <c r="F20" s="5" t="s">
        <v>34</v>
      </c>
      <c r="H20" s="26" t="s">
        <v>9</v>
      </c>
      <c r="I20" s="13"/>
    </row>
    <row r="21" spans="1:13" s="5" customFormat="1">
      <c r="H21" s="20"/>
      <c r="I21" s="10"/>
    </row>
    <row r="22" spans="1:13" s="5" customFormat="1">
      <c r="F22" s="15" t="s">
        <v>37</v>
      </c>
      <c r="H22" s="20"/>
      <c r="I22" s="10"/>
    </row>
    <row r="23" spans="1:13" s="5" customFormat="1">
      <c r="A23" s="5">
        <v>189</v>
      </c>
      <c r="B23" s="5">
        <v>803</v>
      </c>
      <c r="C23" s="5">
        <v>11</v>
      </c>
      <c r="E23" s="5" t="s">
        <v>38</v>
      </c>
      <c r="F23" s="5" t="s">
        <v>47</v>
      </c>
      <c r="H23" s="28">
        <v>5</v>
      </c>
      <c r="I23" s="27">
        <v>5</v>
      </c>
      <c r="M23"/>
    </row>
    <row r="24" spans="1:13" s="5" customFormat="1">
      <c r="A24" s="5">
        <v>190</v>
      </c>
      <c r="B24" s="5">
        <v>804</v>
      </c>
      <c r="C24" s="5">
        <v>12</v>
      </c>
      <c r="E24" s="5" t="s">
        <v>39</v>
      </c>
      <c r="F24" s="5" t="s">
        <v>48</v>
      </c>
      <c r="H24" s="28">
        <v>0.55000000000000004</v>
      </c>
      <c r="I24" s="27">
        <v>0.55000000000000004</v>
      </c>
      <c r="M24"/>
    </row>
    <row r="25" spans="1:13" s="5" customFormat="1">
      <c r="A25" s="5">
        <v>191</v>
      </c>
      <c r="B25" s="5">
        <v>805</v>
      </c>
      <c r="C25" s="5">
        <v>13</v>
      </c>
      <c r="E25" s="5" t="s">
        <v>40</v>
      </c>
      <c r="F25" s="5" t="s">
        <v>49</v>
      </c>
      <c r="H25" s="28">
        <v>15</v>
      </c>
      <c r="I25" s="27">
        <v>15</v>
      </c>
      <c r="M25"/>
    </row>
    <row r="26" spans="1:13" s="5" customFormat="1">
      <c r="A26" s="5">
        <v>192</v>
      </c>
      <c r="B26" s="5">
        <v>806</v>
      </c>
      <c r="C26" s="5">
        <v>14</v>
      </c>
      <c r="E26" s="5" t="s">
        <v>41</v>
      </c>
      <c r="F26" s="5" t="s">
        <v>50</v>
      </c>
      <c r="H26" s="28">
        <v>4</v>
      </c>
      <c r="I26" s="27">
        <v>4</v>
      </c>
      <c r="M26"/>
    </row>
    <row r="27" spans="1:13" s="5" customFormat="1">
      <c r="A27" s="5">
        <v>193</v>
      </c>
      <c r="B27" s="5">
        <v>807</v>
      </c>
      <c r="C27" s="5">
        <v>15</v>
      </c>
      <c r="E27" s="5" t="s">
        <v>42</v>
      </c>
      <c r="F27" s="5" t="s">
        <v>51</v>
      </c>
      <c r="H27" s="20" t="s">
        <v>56</v>
      </c>
      <c r="I27" s="11">
        <v>0</v>
      </c>
      <c r="M27"/>
    </row>
    <row r="28" spans="1:13" s="5" customFormat="1">
      <c r="A28" s="5">
        <v>194</v>
      </c>
      <c r="B28" s="5">
        <v>808</v>
      </c>
      <c r="C28" s="5">
        <v>16</v>
      </c>
      <c r="E28" s="5" t="s">
        <v>43</v>
      </c>
      <c r="F28" s="5" t="s">
        <v>52</v>
      </c>
      <c r="H28" s="20" t="s">
        <v>57</v>
      </c>
      <c r="I28" s="11">
        <v>0.1</v>
      </c>
      <c r="M28"/>
    </row>
    <row r="29" spans="1:13" s="5" customFormat="1">
      <c r="A29" s="5">
        <v>195</v>
      </c>
      <c r="B29" s="5">
        <v>809</v>
      </c>
      <c r="C29" s="5">
        <v>17</v>
      </c>
      <c r="E29" s="5" t="s">
        <v>44</v>
      </c>
      <c r="F29" s="5" t="s">
        <v>53</v>
      </c>
      <c r="H29" s="20" t="s">
        <v>58</v>
      </c>
      <c r="I29" s="29">
        <v>5.0000000000000001E-3</v>
      </c>
      <c r="M29"/>
    </row>
    <row r="30" spans="1:13" s="5" customFormat="1">
      <c r="A30" s="5">
        <v>196</v>
      </c>
      <c r="B30" s="5">
        <v>810</v>
      </c>
      <c r="C30" s="5">
        <v>18</v>
      </c>
      <c r="E30" s="5" t="s">
        <v>45</v>
      </c>
      <c r="F30" s="5" t="s">
        <v>54</v>
      </c>
      <c r="H30" s="23" t="s">
        <v>59</v>
      </c>
      <c r="I30" s="30">
        <f>5940000/4000000000</f>
        <v>1.485E-3</v>
      </c>
      <c r="M30"/>
    </row>
    <row r="31" spans="1:13" s="5" customFormat="1">
      <c r="A31" s="5">
        <v>197</v>
      </c>
      <c r="B31" s="5">
        <v>811</v>
      </c>
      <c r="C31" s="5">
        <v>19</v>
      </c>
      <c r="E31" s="5" t="s">
        <v>46</v>
      </c>
      <c r="F31" s="5" t="s">
        <v>55</v>
      </c>
      <c r="H31" s="20" t="s">
        <v>60</v>
      </c>
      <c r="I31" s="11">
        <v>0.05</v>
      </c>
      <c r="M31"/>
    </row>
    <row r="32" spans="1:13" s="5" customFormat="1">
      <c r="H32" s="20"/>
      <c r="I32" s="11"/>
    </row>
    <row r="33" spans="1:13" s="5" customFormat="1">
      <c r="F33" s="15" t="s">
        <v>61</v>
      </c>
      <c r="H33" s="20"/>
      <c r="I33" s="11"/>
    </row>
    <row r="34" spans="1:13" s="5" customFormat="1">
      <c r="A34" s="5">
        <v>198</v>
      </c>
      <c r="B34" s="5">
        <v>812</v>
      </c>
      <c r="C34" s="5">
        <v>22</v>
      </c>
      <c r="E34" s="5" t="s">
        <v>62</v>
      </c>
      <c r="F34" s="5" t="s">
        <v>65</v>
      </c>
      <c r="H34" s="41" t="s">
        <v>240</v>
      </c>
      <c r="I34" s="42">
        <v>1.5</v>
      </c>
      <c r="M34"/>
    </row>
    <row r="35" spans="1:13" s="5" customFormat="1">
      <c r="A35" s="5">
        <v>199</v>
      </c>
      <c r="B35" s="5">
        <v>813</v>
      </c>
      <c r="C35" s="5">
        <v>23</v>
      </c>
      <c r="E35" s="5" t="s">
        <v>63</v>
      </c>
      <c r="F35" s="5" t="s">
        <v>66</v>
      </c>
      <c r="H35" s="41" t="s">
        <v>240</v>
      </c>
      <c r="I35" s="42">
        <v>1.5</v>
      </c>
      <c r="M35"/>
    </row>
    <row r="36" spans="1:13" s="5" customFormat="1">
      <c r="A36" s="5">
        <v>200</v>
      </c>
      <c r="B36" s="5">
        <v>814</v>
      </c>
      <c r="C36" s="5">
        <v>24</v>
      </c>
      <c r="E36" s="5" t="s">
        <v>64</v>
      </c>
      <c r="F36" s="5" t="s">
        <v>67</v>
      </c>
      <c r="H36" s="41" t="s">
        <v>242</v>
      </c>
      <c r="I36" s="42">
        <v>1.98</v>
      </c>
      <c r="M36"/>
    </row>
    <row r="37" spans="1:13" s="5" customFormat="1">
      <c r="H37" s="20"/>
      <c r="I37" s="11"/>
    </row>
    <row r="38" spans="1:13" s="5" customFormat="1">
      <c r="F38" s="15" t="s">
        <v>68</v>
      </c>
      <c r="H38" s="20"/>
      <c r="I38" s="11"/>
    </row>
    <row r="39" spans="1:13" s="5" customFormat="1">
      <c r="E39" s="5" t="s">
        <v>69</v>
      </c>
      <c r="F39" s="5" t="s">
        <v>81</v>
      </c>
      <c r="H39" s="26" t="s">
        <v>7</v>
      </c>
      <c r="I39" s="12"/>
      <c r="M39"/>
    </row>
    <row r="40" spans="1:13" s="5" customFormat="1">
      <c r="A40" s="5">
        <v>201</v>
      </c>
      <c r="B40" s="5">
        <v>815</v>
      </c>
      <c r="C40" s="5">
        <v>4</v>
      </c>
      <c r="E40" s="5" t="s">
        <v>70</v>
      </c>
      <c r="F40" s="5" t="s">
        <v>82</v>
      </c>
      <c r="H40" s="23" t="s">
        <v>93</v>
      </c>
      <c r="I40" s="12">
        <f>I6*(1-I7)</f>
        <v>9600</v>
      </c>
      <c r="M40"/>
    </row>
    <row r="41" spans="1:13" s="5" customFormat="1">
      <c r="A41" s="5">
        <v>202</v>
      </c>
      <c r="B41" s="5">
        <v>816</v>
      </c>
      <c r="C41" s="5">
        <v>5</v>
      </c>
      <c r="E41" s="5" t="s">
        <v>71</v>
      </c>
      <c r="F41" s="5" t="s">
        <v>83</v>
      </c>
      <c r="H41" s="23" t="s">
        <v>94</v>
      </c>
      <c r="I41" s="12">
        <f>I6*I7</f>
        <v>2400</v>
      </c>
      <c r="M41"/>
    </row>
    <row r="42" spans="1:13" s="5" customFormat="1">
      <c r="E42" s="5" t="s">
        <v>72</v>
      </c>
      <c r="F42" s="5" t="s">
        <v>84</v>
      </c>
      <c r="H42" s="26" t="s">
        <v>38</v>
      </c>
      <c r="I42" s="34"/>
      <c r="M42"/>
    </row>
    <row r="43" spans="1:13" s="5" customFormat="1">
      <c r="E43" s="5" t="s">
        <v>73</v>
      </c>
      <c r="F43" s="5" t="s">
        <v>85</v>
      </c>
      <c r="H43" s="26" t="s">
        <v>39</v>
      </c>
      <c r="I43" s="34"/>
      <c r="M43"/>
    </row>
    <row r="44" spans="1:13" s="5" customFormat="1">
      <c r="A44" s="5">
        <v>203</v>
      </c>
      <c r="B44" s="5">
        <v>817</v>
      </c>
      <c r="C44" s="5">
        <v>8</v>
      </c>
      <c r="E44" s="5" t="s">
        <v>74</v>
      </c>
      <c r="F44" s="5" t="s">
        <v>86</v>
      </c>
      <c r="H44" s="23" t="s">
        <v>95</v>
      </c>
      <c r="I44" s="33">
        <f>I23*I40+I41*I24</f>
        <v>49320</v>
      </c>
      <c r="M44"/>
    </row>
    <row r="45" spans="1:13" s="5" customFormat="1">
      <c r="A45" s="5">
        <v>204</v>
      </c>
      <c r="B45" s="5">
        <v>818</v>
      </c>
      <c r="C45" s="5">
        <v>9</v>
      </c>
      <c r="E45" s="5" t="s">
        <v>75</v>
      </c>
      <c r="F45" s="5" t="s">
        <v>87</v>
      </c>
      <c r="H45" s="23" t="s">
        <v>96</v>
      </c>
      <c r="I45" s="12">
        <f>I6*(1-I7-I27)*(1-I28)</f>
        <v>8640</v>
      </c>
      <c r="M45"/>
    </row>
    <row r="46" spans="1:13" s="5" customFormat="1">
      <c r="A46" s="5">
        <v>205</v>
      </c>
      <c r="B46" s="5">
        <v>819</v>
      </c>
      <c r="C46" s="5">
        <v>10</v>
      </c>
      <c r="E46" s="5" t="s">
        <v>76</v>
      </c>
      <c r="F46" s="5" t="s">
        <v>88</v>
      </c>
      <c r="H46" s="23" t="s">
        <v>97</v>
      </c>
      <c r="I46" s="12">
        <f>I6*(I7+I27)*(1-I28)</f>
        <v>2160</v>
      </c>
      <c r="M46"/>
    </row>
    <row r="47" spans="1:13" s="5" customFormat="1">
      <c r="E47" s="5" t="s">
        <v>77</v>
      </c>
      <c r="F47" s="5" t="s">
        <v>89</v>
      </c>
      <c r="H47" s="26" t="s">
        <v>62</v>
      </c>
      <c r="I47" s="13"/>
      <c r="M47"/>
    </row>
    <row r="48" spans="1:13" s="5" customFormat="1">
      <c r="E48" s="5" t="s">
        <v>78</v>
      </c>
      <c r="F48" s="5" t="s">
        <v>90</v>
      </c>
      <c r="H48" s="26" t="s">
        <v>63</v>
      </c>
      <c r="I48" s="13"/>
      <c r="M48"/>
    </row>
    <row r="49" spans="1:13" s="5" customFormat="1">
      <c r="A49" s="5">
        <v>206</v>
      </c>
      <c r="B49" s="5">
        <v>820</v>
      </c>
      <c r="C49" s="5">
        <v>13</v>
      </c>
      <c r="E49" s="5" t="s">
        <v>79</v>
      </c>
      <c r="F49" s="5" t="s">
        <v>91</v>
      </c>
      <c r="H49" s="23" t="s">
        <v>99</v>
      </c>
      <c r="I49" s="13">
        <f>I50/22</f>
        <v>1505.4545454545455</v>
      </c>
      <c r="M49"/>
    </row>
    <row r="50" spans="1:13" s="5" customFormat="1">
      <c r="A50" s="5">
        <v>207</v>
      </c>
      <c r="B50" s="5">
        <v>821</v>
      </c>
      <c r="C50" s="5">
        <v>14</v>
      </c>
      <c r="E50" s="5" t="s">
        <v>80</v>
      </c>
      <c r="F50" s="5" t="s">
        <v>92</v>
      </c>
      <c r="H50" s="23" t="s">
        <v>98</v>
      </c>
      <c r="I50" s="13">
        <f>I44-(I45*I34+I46*I35)</f>
        <v>33120</v>
      </c>
      <c r="M50"/>
    </row>
    <row r="51" spans="1:13" s="5" customFormat="1">
      <c r="H51" s="23"/>
      <c r="I51" s="10"/>
    </row>
    <row r="52" spans="1:13" s="5" customFormat="1">
      <c r="F52" s="15" t="s">
        <v>100</v>
      </c>
      <c r="H52" s="23"/>
      <c r="I52" s="10"/>
    </row>
    <row r="53" spans="1:13" s="5" customFormat="1">
      <c r="E53" s="5" t="s">
        <v>101</v>
      </c>
      <c r="F53" s="5" t="s">
        <v>52</v>
      </c>
      <c r="H53" s="26" t="s">
        <v>43</v>
      </c>
      <c r="I53" s="11"/>
      <c r="M53"/>
    </row>
    <row r="54" spans="1:13" s="5" customFormat="1">
      <c r="E54" s="5" t="s">
        <v>102</v>
      </c>
      <c r="F54" s="5" t="s">
        <v>53</v>
      </c>
      <c r="H54" s="26" t="s">
        <v>44</v>
      </c>
      <c r="I54" s="29"/>
      <c r="M54"/>
    </row>
    <row r="55" spans="1:13" s="5" customFormat="1">
      <c r="E55" s="5" t="s">
        <v>103</v>
      </c>
      <c r="F55" s="5" t="s">
        <v>34</v>
      </c>
      <c r="H55" s="26" t="s">
        <v>29</v>
      </c>
      <c r="I55" s="13"/>
      <c r="M55"/>
    </row>
    <row r="56" spans="1:13" s="5" customFormat="1">
      <c r="A56" s="5">
        <v>208</v>
      </c>
      <c r="B56" s="5">
        <v>822</v>
      </c>
      <c r="C56" s="5">
        <v>20</v>
      </c>
      <c r="E56" s="5" t="s">
        <v>104</v>
      </c>
      <c r="F56" s="5" t="s">
        <v>107</v>
      </c>
      <c r="H56" s="23" t="s">
        <v>110</v>
      </c>
      <c r="I56" s="13">
        <f>I8*I28</f>
        <v>4000000</v>
      </c>
      <c r="M56"/>
    </row>
    <row r="57" spans="1:13" s="5" customFormat="1">
      <c r="A57" s="5">
        <v>209</v>
      </c>
      <c r="B57" s="5">
        <v>823</v>
      </c>
      <c r="C57" s="5">
        <v>21</v>
      </c>
      <c r="E57" s="5" t="s">
        <v>105</v>
      </c>
      <c r="F57" s="5" t="s">
        <v>108</v>
      </c>
      <c r="H57" s="23" t="s">
        <v>112</v>
      </c>
      <c r="I57" s="13">
        <f>I58/12</f>
        <v>1666.6666666666667</v>
      </c>
      <c r="M57"/>
    </row>
    <row r="58" spans="1:13" s="5" customFormat="1">
      <c r="A58" s="5">
        <v>210</v>
      </c>
      <c r="B58" s="5">
        <v>824</v>
      </c>
      <c r="C58" s="5">
        <v>22</v>
      </c>
      <c r="E58" s="5" t="s">
        <v>106</v>
      </c>
      <c r="F58" s="5" t="s">
        <v>109</v>
      </c>
      <c r="H58" s="23" t="s">
        <v>111</v>
      </c>
      <c r="I58" s="13">
        <f>I56*I29</f>
        <v>20000</v>
      </c>
      <c r="M58"/>
    </row>
    <row r="59" spans="1:13" s="5" customFormat="1">
      <c r="H59" s="23"/>
      <c r="I59" s="10"/>
      <c r="M59"/>
    </row>
    <row r="60" spans="1:13" s="5" customFormat="1">
      <c r="F60" s="15" t="s">
        <v>113</v>
      </c>
      <c r="H60" s="23"/>
      <c r="I60" s="10"/>
      <c r="M60"/>
    </row>
    <row r="61" spans="1:13" s="5" customFormat="1">
      <c r="E61" s="5" t="s">
        <v>114</v>
      </c>
      <c r="F61" s="5" t="s">
        <v>23</v>
      </c>
      <c r="H61" s="26" t="s">
        <v>24</v>
      </c>
      <c r="I61" s="13"/>
      <c r="M61"/>
    </row>
    <row r="62" spans="1:13" s="5" customFormat="1">
      <c r="E62" s="5" t="s">
        <v>115</v>
      </c>
      <c r="F62" s="5" t="s">
        <v>121</v>
      </c>
      <c r="H62" s="26" t="s">
        <v>40</v>
      </c>
      <c r="I62" s="13"/>
      <c r="M62"/>
    </row>
    <row r="63" spans="1:13" s="5" customFormat="1">
      <c r="E63" s="5" t="s">
        <v>116</v>
      </c>
      <c r="F63" s="5" t="s">
        <v>122</v>
      </c>
      <c r="H63" s="26" t="s">
        <v>41</v>
      </c>
      <c r="I63" s="13"/>
      <c r="M63"/>
    </row>
    <row r="64" spans="1:13" s="5" customFormat="1">
      <c r="E64" s="5" t="s">
        <v>117</v>
      </c>
      <c r="F64" s="5" t="s">
        <v>123</v>
      </c>
      <c r="H64" s="26" t="s">
        <v>64</v>
      </c>
      <c r="I64" s="13"/>
      <c r="M64"/>
    </row>
    <row r="65" spans="1:13" s="5" customFormat="1">
      <c r="A65" s="5">
        <v>211</v>
      </c>
      <c r="B65" s="5">
        <v>825</v>
      </c>
      <c r="C65" s="5">
        <v>31</v>
      </c>
      <c r="E65" s="5" t="s">
        <v>118</v>
      </c>
      <c r="F65" s="5" t="s">
        <v>124</v>
      </c>
      <c r="H65" s="23" t="s">
        <v>127</v>
      </c>
      <c r="I65" s="13">
        <f>I26+I36</f>
        <v>5.98</v>
      </c>
      <c r="M65"/>
    </row>
    <row r="66" spans="1:13" s="5" customFormat="1">
      <c r="A66" s="5">
        <v>212</v>
      </c>
      <c r="B66" s="5">
        <v>826</v>
      </c>
      <c r="C66" s="5">
        <v>32</v>
      </c>
      <c r="E66" s="5" t="s">
        <v>119</v>
      </c>
      <c r="F66" s="5" t="s">
        <v>125</v>
      </c>
      <c r="H66" s="23" t="s">
        <v>129</v>
      </c>
      <c r="I66" s="13">
        <f>I67/12</f>
        <v>18040</v>
      </c>
      <c r="M66"/>
    </row>
    <row r="67" spans="1:13" s="5" customFormat="1">
      <c r="A67" s="5">
        <v>213</v>
      </c>
      <c r="B67" s="5">
        <v>827</v>
      </c>
      <c r="C67" s="5">
        <v>33</v>
      </c>
      <c r="E67" s="5" t="s">
        <v>120</v>
      </c>
      <c r="F67" s="5" t="s">
        <v>126</v>
      </c>
      <c r="H67" s="23" t="s">
        <v>128</v>
      </c>
      <c r="I67" s="13">
        <f>I5*(I25-I26-I36)</f>
        <v>216480</v>
      </c>
      <c r="M67"/>
    </row>
    <row r="68" spans="1:13" s="5" customFormat="1">
      <c r="H68" s="23"/>
      <c r="I68" s="10"/>
      <c r="M68"/>
    </row>
    <row r="69" spans="1:13" s="5" customFormat="1">
      <c r="F69" s="15" t="s">
        <v>130</v>
      </c>
      <c r="H69" s="23"/>
      <c r="I69" s="10"/>
      <c r="M69"/>
    </row>
    <row r="70" spans="1:13" s="5" customFormat="1">
      <c r="E70" s="5" t="s">
        <v>131</v>
      </c>
      <c r="F70" s="5" t="s">
        <v>34</v>
      </c>
      <c r="H70" s="26" t="s">
        <v>9</v>
      </c>
      <c r="I70" s="10"/>
      <c r="M70"/>
    </row>
    <row r="71" spans="1:13" s="5" customFormat="1">
      <c r="E71" s="5" t="s">
        <v>132</v>
      </c>
      <c r="F71" s="5" t="s">
        <v>135</v>
      </c>
      <c r="H71" s="26" t="s">
        <v>45</v>
      </c>
      <c r="I71" s="30"/>
      <c r="M71"/>
    </row>
    <row r="72" spans="1:13" s="5" customFormat="1">
      <c r="A72" s="5">
        <v>214</v>
      </c>
      <c r="B72" s="5">
        <v>828</v>
      </c>
      <c r="C72" s="5">
        <v>38</v>
      </c>
      <c r="E72" s="5" t="s">
        <v>133</v>
      </c>
      <c r="F72" s="5" t="s">
        <v>136</v>
      </c>
      <c r="H72" s="23" t="s">
        <v>139</v>
      </c>
      <c r="I72" s="13">
        <f>I73/12</f>
        <v>4950</v>
      </c>
      <c r="M72"/>
    </row>
    <row r="73" spans="1:13" s="5" customFormat="1">
      <c r="A73" s="5">
        <v>215</v>
      </c>
      <c r="B73" s="5">
        <v>829</v>
      </c>
      <c r="C73" s="5">
        <v>39</v>
      </c>
      <c r="E73" s="5" t="s">
        <v>134</v>
      </c>
      <c r="F73" s="5" t="s">
        <v>137</v>
      </c>
      <c r="H73" s="23" t="s">
        <v>138</v>
      </c>
      <c r="I73" s="13">
        <f>I8*I30</f>
        <v>59400</v>
      </c>
      <c r="M73"/>
    </row>
    <row r="74" spans="1:13" s="5" customFormat="1">
      <c r="H74" s="23"/>
      <c r="I74" s="10"/>
      <c r="M74"/>
    </row>
    <row r="75" spans="1:13" s="5" customFormat="1">
      <c r="F75" s="15" t="s">
        <v>49</v>
      </c>
      <c r="H75" s="23"/>
      <c r="I75" s="10"/>
      <c r="M75"/>
    </row>
    <row r="76" spans="1:13" s="5" customFormat="1">
      <c r="A76" s="5">
        <v>216</v>
      </c>
      <c r="B76" s="5">
        <v>830</v>
      </c>
      <c r="C76" s="5">
        <v>4</v>
      </c>
      <c r="E76" s="5" t="s">
        <v>153</v>
      </c>
      <c r="F76" s="5" t="s">
        <v>159</v>
      </c>
      <c r="H76" s="36" t="s">
        <v>227</v>
      </c>
      <c r="I76" s="31">
        <f>6000/I5*100</f>
        <v>25</v>
      </c>
      <c r="M76"/>
    </row>
    <row r="77" spans="1:13" s="5" customFormat="1">
      <c r="A77" s="5">
        <v>217</v>
      </c>
      <c r="B77" s="5">
        <v>831</v>
      </c>
      <c r="C77" s="5">
        <v>5</v>
      </c>
      <c r="E77" s="5" t="s">
        <v>154</v>
      </c>
      <c r="F77" s="5" t="s">
        <v>160</v>
      </c>
      <c r="H77" s="36" t="s">
        <v>228</v>
      </c>
      <c r="I77" s="31">
        <v>31.67</v>
      </c>
      <c r="M77"/>
    </row>
    <row r="78" spans="1:13" s="5" customFormat="1">
      <c r="A78" s="5">
        <v>218</v>
      </c>
      <c r="B78" s="5">
        <v>832</v>
      </c>
      <c r="C78" s="5">
        <v>6</v>
      </c>
      <c r="E78" s="5" t="s">
        <v>155</v>
      </c>
      <c r="F78" s="5" t="s">
        <v>161</v>
      </c>
      <c r="H78" s="36" t="s">
        <v>229</v>
      </c>
      <c r="I78" s="31">
        <v>141.66999999999999</v>
      </c>
      <c r="M78"/>
    </row>
    <row r="79" spans="1:13" s="5" customFormat="1">
      <c r="A79" s="5">
        <v>219</v>
      </c>
      <c r="B79" s="5">
        <v>833</v>
      </c>
      <c r="C79" s="5">
        <v>7</v>
      </c>
      <c r="E79" s="5" t="s">
        <v>156</v>
      </c>
      <c r="F79" s="5" t="s">
        <v>162</v>
      </c>
      <c r="H79" s="36" t="s">
        <v>230</v>
      </c>
      <c r="I79" s="31">
        <v>12</v>
      </c>
      <c r="M79"/>
    </row>
    <row r="80" spans="1:13" s="5" customFormat="1">
      <c r="A80" s="5">
        <v>220</v>
      </c>
      <c r="B80" s="5">
        <v>834</v>
      </c>
      <c r="C80" s="5">
        <v>8</v>
      </c>
      <c r="E80" s="5" t="s">
        <v>157</v>
      </c>
      <c r="F80" s="5" t="s">
        <v>163</v>
      </c>
      <c r="H80" s="36" t="s">
        <v>231</v>
      </c>
      <c r="I80" s="31">
        <v>12.5</v>
      </c>
      <c r="M80"/>
    </row>
    <row r="81" spans="1:13" s="5" customFormat="1">
      <c r="A81" s="5">
        <v>221</v>
      </c>
      <c r="B81" s="5">
        <v>835</v>
      </c>
      <c r="C81" s="5">
        <v>9</v>
      </c>
      <c r="E81" s="5" t="s">
        <v>158</v>
      </c>
      <c r="F81" s="5" t="s">
        <v>164</v>
      </c>
      <c r="H81" s="23" t="s">
        <v>166</v>
      </c>
      <c r="I81" s="13">
        <f>SUM(I76:I80)/100</f>
        <v>2.2283999999999997</v>
      </c>
      <c r="M81"/>
    </row>
    <row r="82" spans="1:13" s="5" customFormat="1">
      <c r="A82" s="5">
        <v>222</v>
      </c>
      <c r="B82" s="5">
        <v>836</v>
      </c>
      <c r="C82" s="5">
        <v>11</v>
      </c>
      <c r="E82" s="5" t="s">
        <v>167</v>
      </c>
      <c r="F82" s="5" t="s">
        <v>168</v>
      </c>
      <c r="H82" s="23" t="s">
        <v>169</v>
      </c>
      <c r="I82" s="10">
        <v>1000</v>
      </c>
      <c r="M82"/>
    </row>
    <row r="83" spans="1:13" s="5" customFormat="1">
      <c r="A83" s="5">
        <v>223</v>
      </c>
      <c r="B83" s="5">
        <v>837</v>
      </c>
      <c r="C83" s="5">
        <v>16</v>
      </c>
      <c r="E83" s="5" t="s">
        <v>170</v>
      </c>
      <c r="F83" s="5" t="s">
        <v>177</v>
      </c>
      <c r="H83" s="23" t="s">
        <v>184</v>
      </c>
      <c r="I83" s="10">
        <v>250</v>
      </c>
      <c r="M83"/>
    </row>
    <row r="84" spans="1:13" s="5" customFormat="1">
      <c r="A84" s="5">
        <v>224</v>
      </c>
      <c r="B84" s="5">
        <v>838</v>
      </c>
      <c r="C84" s="5">
        <v>17</v>
      </c>
      <c r="E84" s="5" t="s">
        <v>171</v>
      </c>
      <c r="F84" s="5" t="s">
        <v>178</v>
      </c>
      <c r="H84" s="23" t="s">
        <v>185</v>
      </c>
      <c r="I84" s="10">
        <v>300</v>
      </c>
      <c r="M84"/>
    </row>
    <row r="85" spans="1:13" s="5" customFormat="1">
      <c r="A85" s="5">
        <v>225</v>
      </c>
      <c r="B85" s="5">
        <v>839</v>
      </c>
      <c r="C85" s="5">
        <v>22</v>
      </c>
      <c r="E85" s="5" t="s">
        <v>172</v>
      </c>
      <c r="F85" s="5" t="s">
        <v>179</v>
      </c>
      <c r="H85" s="23" t="s">
        <v>165</v>
      </c>
      <c r="I85" s="13">
        <v>25</v>
      </c>
      <c r="M85"/>
    </row>
    <row r="86" spans="1:13" s="5" customFormat="1">
      <c r="A86" s="5">
        <v>226</v>
      </c>
      <c r="B86" s="5">
        <v>840</v>
      </c>
      <c r="C86" s="5">
        <v>23</v>
      </c>
      <c r="E86" s="5" t="s">
        <v>173</v>
      </c>
      <c r="F86" s="5" t="s">
        <v>180</v>
      </c>
      <c r="H86" s="23" t="s">
        <v>186</v>
      </c>
      <c r="I86" s="13">
        <v>45</v>
      </c>
      <c r="M86"/>
    </row>
    <row r="87" spans="1:13" s="5" customFormat="1">
      <c r="A87" s="5">
        <v>227</v>
      </c>
      <c r="B87" s="5">
        <v>841</v>
      </c>
      <c r="C87" s="5">
        <v>24</v>
      </c>
      <c r="E87" s="5" t="s">
        <v>174</v>
      </c>
      <c r="F87" s="5" t="s">
        <v>181</v>
      </c>
      <c r="H87" s="23" t="s">
        <v>187</v>
      </c>
      <c r="I87" s="13">
        <f>((I82+I84)/60)*(I85/100)+(I83/60)*(I86/100)</f>
        <v>7.291666666666667</v>
      </c>
      <c r="M87"/>
    </row>
    <row r="88" spans="1:13" s="5" customFormat="1">
      <c r="A88" s="5">
        <v>228</v>
      </c>
      <c r="B88" s="5">
        <v>842</v>
      </c>
      <c r="C88" s="5">
        <v>28</v>
      </c>
      <c r="E88" s="5" t="s">
        <v>175</v>
      </c>
      <c r="F88" s="5" t="s">
        <v>182</v>
      </c>
      <c r="H88" s="23" t="s">
        <v>188</v>
      </c>
      <c r="I88" s="13">
        <f>0.014*I8*0.5*0.1/I5</f>
        <v>1.1666666666666667</v>
      </c>
      <c r="M88"/>
    </row>
    <row r="89" spans="1:13" s="5" customFormat="1">
      <c r="A89" s="5">
        <v>229</v>
      </c>
      <c r="B89" s="5">
        <v>843</v>
      </c>
      <c r="C89" s="5">
        <v>29</v>
      </c>
      <c r="E89" s="5" t="s">
        <v>176</v>
      </c>
      <c r="F89" s="5" t="s">
        <v>183</v>
      </c>
      <c r="H89" s="23" t="s">
        <v>189</v>
      </c>
      <c r="I89" s="13">
        <f>I87+I88+I81</f>
        <v>10.686733333333333</v>
      </c>
      <c r="M89"/>
    </row>
    <row r="90" spans="1:13" s="5" customFormat="1">
      <c r="H90" s="23"/>
      <c r="I90" s="13"/>
      <c r="M90"/>
    </row>
    <row r="91" spans="1:13" s="5" customFormat="1">
      <c r="E91" s="5" t="s">
        <v>140</v>
      </c>
      <c r="F91" s="14" t="s">
        <v>145</v>
      </c>
      <c r="H91" s="26" t="s">
        <v>6</v>
      </c>
      <c r="I91" s="10"/>
      <c r="M91"/>
    </row>
    <row r="92" spans="1:13" s="5" customFormat="1">
      <c r="A92" s="5">
        <v>230</v>
      </c>
      <c r="B92" s="5">
        <v>844</v>
      </c>
      <c r="C92" s="5">
        <v>7</v>
      </c>
      <c r="E92" s="5" t="s">
        <v>141</v>
      </c>
      <c r="F92" s="5" t="s">
        <v>146</v>
      </c>
      <c r="H92" s="23" t="s">
        <v>151</v>
      </c>
      <c r="I92" s="13">
        <v>60000</v>
      </c>
      <c r="M92"/>
    </row>
    <row r="93" spans="1:13" s="5" customFormat="1">
      <c r="A93" s="5">
        <v>231</v>
      </c>
      <c r="B93" s="5">
        <v>845</v>
      </c>
      <c r="C93" s="5">
        <v>8</v>
      </c>
      <c r="E93" s="5" t="s">
        <v>142</v>
      </c>
      <c r="F93" s="5" t="s">
        <v>147</v>
      </c>
      <c r="H93" s="23" t="s">
        <v>152</v>
      </c>
      <c r="I93" s="13">
        <f>I9*(I92/I5)</f>
        <v>5</v>
      </c>
      <c r="M93"/>
    </row>
    <row r="94" spans="1:13" s="5" customFormat="1">
      <c r="A94" s="5">
        <v>232</v>
      </c>
      <c r="B94" s="5">
        <v>846</v>
      </c>
      <c r="C94" s="5">
        <v>9</v>
      </c>
      <c r="E94" s="5" t="s">
        <v>143</v>
      </c>
      <c r="F94" s="5" t="s">
        <v>148</v>
      </c>
      <c r="H94" s="23" t="s">
        <v>190</v>
      </c>
      <c r="I94" s="13">
        <f>(I83/60)*(I86/100)</f>
        <v>1.8750000000000002</v>
      </c>
      <c r="M94"/>
    </row>
    <row r="95" spans="1:13" s="5" customFormat="1">
      <c r="A95" s="5">
        <v>233</v>
      </c>
      <c r="B95" s="5">
        <v>847</v>
      </c>
      <c r="C95" s="5">
        <v>10</v>
      </c>
      <c r="E95" s="5" t="s">
        <v>144</v>
      </c>
      <c r="F95" s="5" t="s">
        <v>149</v>
      </c>
      <c r="H95" s="23" t="s">
        <v>191</v>
      </c>
      <c r="I95" s="13">
        <f>I93+I81+I94</f>
        <v>9.1034000000000006</v>
      </c>
      <c r="M95"/>
    </row>
    <row r="96" spans="1:13" s="5" customFormat="1">
      <c r="H96" s="23"/>
      <c r="I96" s="10"/>
      <c r="M96"/>
    </row>
    <row r="97" spans="1:13" s="5" customFormat="1">
      <c r="F97" s="15" t="s">
        <v>195</v>
      </c>
      <c r="H97" s="23"/>
      <c r="I97" s="10"/>
      <c r="M97"/>
    </row>
    <row r="98" spans="1:13" s="5" customFormat="1">
      <c r="E98" s="5" t="s">
        <v>150</v>
      </c>
      <c r="F98" s="5" t="s">
        <v>199</v>
      </c>
      <c r="H98" s="26" t="s">
        <v>6</v>
      </c>
      <c r="I98" s="10"/>
      <c r="M98"/>
    </row>
    <row r="99" spans="1:13" s="5" customFormat="1">
      <c r="E99" s="5" t="s">
        <v>194</v>
      </c>
      <c r="F99" s="5" t="s">
        <v>200</v>
      </c>
      <c r="H99" s="26" t="s">
        <v>7</v>
      </c>
      <c r="I99" s="10"/>
      <c r="M99"/>
    </row>
    <row r="100" spans="1:13" s="5" customFormat="1">
      <c r="E100" s="5" t="s">
        <v>196</v>
      </c>
      <c r="F100" s="5" t="s">
        <v>201</v>
      </c>
      <c r="H100" s="26" t="s">
        <v>9</v>
      </c>
      <c r="I100" s="10"/>
      <c r="M100"/>
    </row>
    <row r="101" spans="1:13" s="5" customFormat="1">
      <c r="H101" s="23"/>
      <c r="I101" s="10"/>
      <c r="M101"/>
    </row>
    <row r="102" spans="1:13" s="5" customFormat="1">
      <c r="F102" s="15" t="s">
        <v>192</v>
      </c>
      <c r="H102" s="23"/>
      <c r="I102" s="10"/>
      <c r="M102"/>
    </row>
    <row r="103" spans="1:13" s="5" customFormat="1">
      <c r="A103" s="5">
        <v>234</v>
      </c>
      <c r="B103" s="5">
        <v>848</v>
      </c>
      <c r="C103" s="5">
        <v>8</v>
      </c>
      <c r="E103" s="5" t="s">
        <v>193</v>
      </c>
      <c r="F103" s="5" t="s">
        <v>202</v>
      </c>
      <c r="H103" s="23" t="s">
        <v>203</v>
      </c>
      <c r="I103" s="13">
        <f>I95*I5</f>
        <v>218481.6</v>
      </c>
      <c r="M103"/>
    </row>
    <row r="104" spans="1:13" s="5" customFormat="1">
      <c r="A104" s="5">
        <v>235</v>
      </c>
      <c r="B104" s="5">
        <v>849</v>
      </c>
      <c r="C104" s="5">
        <v>9</v>
      </c>
      <c r="E104" s="5" t="s">
        <v>197</v>
      </c>
      <c r="F104" s="5" t="s">
        <v>204</v>
      </c>
      <c r="H104" s="23" t="s">
        <v>74</v>
      </c>
      <c r="I104" s="13">
        <f>I44</f>
        <v>49320</v>
      </c>
      <c r="M104"/>
    </row>
    <row r="105" spans="1:13" s="5" customFormat="1">
      <c r="A105" s="5">
        <v>236</v>
      </c>
      <c r="B105" s="5">
        <v>850</v>
      </c>
      <c r="C105" s="5">
        <v>10</v>
      </c>
      <c r="E105" s="5" t="s">
        <v>198</v>
      </c>
      <c r="F105" s="5" t="s">
        <v>205</v>
      </c>
      <c r="H105" s="32" t="s">
        <v>206</v>
      </c>
      <c r="I105" s="37">
        <f>I103+I104</f>
        <v>267801.59999999998</v>
      </c>
      <c r="M105"/>
    </row>
    <row r="106" spans="1:13" s="5" customFormat="1">
      <c r="H106" s="23"/>
      <c r="I106" s="10"/>
      <c r="M106"/>
    </row>
    <row r="107" spans="1:13" s="5" customFormat="1">
      <c r="F107" s="15" t="s">
        <v>207</v>
      </c>
      <c r="H107" s="23"/>
      <c r="I107" s="10"/>
      <c r="M107"/>
    </row>
    <row r="108" spans="1:13" s="5" customFormat="1">
      <c r="A108" s="5">
        <v>237</v>
      </c>
      <c r="B108" s="5">
        <v>851</v>
      </c>
      <c r="C108" s="5">
        <v>13</v>
      </c>
      <c r="E108" s="5" t="s">
        <v>208</v>
      </c>
      <c r="F108" s="5" t="s">
        <v>212</v>
      </c>
      <c r="H108" s="23" t="s">
        <v>241</v>
      </c>
      <c r="I108" s="40">
        <f>(I5*H36)+(I6*H34)+1800</f>
        <v>67320</v>
      </c>
      <c r="J108" s="43" t="s">
        <v>243</v>
      </c>
      <c r="K108" s="43" t="s">
        <v>244</v>
      </c>
      <c r="M108"/>
    </row>
    <row r="109" spans="1:13" s="5" customFormat="1">
      <c r="A109" s="5">
        <v>238</v>
      </c>
      <c r="B109" s="5">
        <v>852</v>
      </c>
      <c r="C109" s="5">
        <v>14</v>
      </c>
      <c r="E109" s="5" t="s">
        <v>209</v>
      </c>
      <c r="F109" s="5" t="s">
        <v>213</v>
      </c>
      <c r="H109" s="23" t="s">
        <v>216</v>
      </c>
      <c r="I109" s="13">
        <f>I103*0.4</f>
        <v>87392.640000000014</v>
      </c>
      <c r="M109"/>
    </row>
    <row r="110" spans="1:13" s="5" customFormat="1">
      <c r="E110" s="5" t="s">
        <v>210</v>
      </c>
      <c r="F110" s="5" t="s">
        <v>214</v>
      </c>
      <c r="H110" s="26" t="s">
        <v>106</v>
      </c>
      <c r="I110" s="13"/>
      <c r="M110"/>
    </row>
    <row r="111" spans="1:13" s="5" customFormat="1">
      <c r="A111" s="5">
        <v>239</v>
      </c>
      <c r="B111" s="5">
        <v>853</v>
      </c>
      <c r="C111" s="5">
        <v>16</v>
      </c>
      <c r="E111" s="5" t="s">
        <v>211</v>
      </c>
      <c r="F111" s="5" t="s">
        <v>215</v>
      </c>
      <c r="H111" s="32" t="s">
        <v>226</v>
      </c>
      <c r="I111" s="37">
        <f>I108+I109-I58</f>
        <v>134712.64000000001</v>
      </c>
      <c r="M111"/>
    </row>
    <row r="112" spans="1:13" s="5" customFormat="1">
      <c r="H112" s="23"/>
      <c r="I112" s="10"/>
      <c r="M112"/>
    </row>
    <row r="113" spans="1:13" s="5" customFormat="1">
      <c r="A113" s="5">
        <v>240</v>
      </c>
      <c r="B113" s="5">
        <v>854</v>
      </c>
      <c r="C113" s="5">
        <v>18</v>
      </c>
      <c r="E113" s="5" t="s">
        <v>217</v>
      </c>
      <c r="F113" s="5" t="s">
        <v>220</v>
      </c>
      <c r="H113" s="32" t="s">
        <v>223</v>
      </c>
      <c r="I113" s="37">
        <f>I105-I111</f>
        <v>133088.95999999996</v>
      </c>
      <c r="M113"/>
    </row>
    <row r="114" spans="1:13" s="5" customFormat="1">
      <c r="A114" s="5">
        <v>241</v>
      </c>
      <c r="B114" s="5">
        <v>855</v>
      </c>
      <c r="C114" s="5">
        <v>19</v>
      </c>
      <c r="E114" s="5" t="s">
        <v>218</v>
      </c>
      <c r="F114" s="5" t="s">
        <v>221</v>
      </c>
      <c r="H114" s="32" t="s">
        <v>224</v>
      </c>
      <c r="I114" s="38">
        <f>(I111/I105)*(365/30)</f>
        <v>6.1202165583277575</v>
      </c>
      <c r="M114"/>
    </row>
    <row r="115" spans="1:13" s="5" customFormat="1">
      <c r="A115" s="5">
        <v>242</v>
      </c>
      <c r="B115" s="5">
        <v>856</v>
      </c>
      <c r="C115" s="5">
        <v>20</v>
      </c>
      <c r="E115" s="5" t="s">
        <v>219</v>
      </c>
      <c r="F115" s="5" t="s">
        <v>222</v>
      </c>
      <c r="H115" s="32" t="s">
        <v>225</v>
      </c>
      <c r="I115" s="39">
        <f>0.6*(I9*40*52)/40</f>
        <v>62.4</v>
      </c>
      <c r="M115"/>
    </row>
    <row r="116" spans="1:13" s="5" customFormat="1">
      <c r="H116" s="20"/>
      <c r="I116" s="10"/>
    </row>
    <row r="117" spans="1:13" s="5" customFormat="1">
      <c r="H117" s="20"/>
      <c r="I117" s="10"/>
    </row>
    <row r="118" spans="1:13" s="5" customFormat="1">
      <c r="B118" s="5">
        <v>857</v>
      </c>
      <c r="E118" s="5" t="s">
        <v>232</v>
      </c>
      <c r="F118" s="5" t="s">
        <v>13</v>
      </c>
      <c r="H118" s="20"/>
      <c r="I118" s="10"/>
    </row>
    <row r="119" spans="1:13">
      <c r="B119" s="5">
        <v>859</v>
      </c>
      <c r="E119" s="5" t="s">
        <v>233</v>
      </c>
      <c r="F119" s="5" t="s">
        <v>15</v>
      </c>
    </row>
    <row r="120" spans="1:13">
      <c r="B120" s="5">
        <v>858</v>
      </c>
      <c r="E120" s="5" t="s">
        <v>234</v>
      </c>
      <c r="F120" s="3" t="s">
        <v>14</v>
      </c>
    </row>
    <row r="121" spans="1:13">
      <c r="B121" s="5">
        <v>860</v>
      </c>
      <c r="E121" s="5" t="s">
        <v>236</v>
      </c>
      <c r="F121" s="5" t="s">
        <v>235</v>
      </c>
      <c r="G121" s="4"/>
      <c r="H121" s="22"/>
      <c r="I121" s="6"/>
    </row>
    <row r="122" spans="1:13">
      <c r="E122" s="4"/>
      <c r="F122" s="5"/>
      <c r="G122" s="4"/>
      <c r="H122" s="22"/>
      <c r="I122" s="7"/>
    </row>
    <row r="123" spans="1:13">
      <c r="E123" s="4"/>
      <c r="F123" s="5"/>
      <c r="G123" s="4"/>
      <c r="H123" s="22"/>
      <c r="I123" s="6"/>
    </row>
    <row r="124" spans="1:13">
      <c r="E124" s="4"/>
      <c r="F124" s="5"/>
      <c r="G124" s="4"/>
      <c r="H124" s="35"/>
      <c r="I12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 Fields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Rudd, Christopher</dc:creator>
  <cp:lastModifiedBy>Chris</cp:lastModifiedBy>
  <dcterms:created xsi:type="dcterms:W3CDTF">2017-04-19T14:48:53Z</dcterms:created>
  <dcterms:modified xsi:type="dcterms:W3CDTF">2018-10-25T23:46:11Z</dcterms:modified>
</cp:coreProperties>
</file>