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5" windowWidth="21675" windowHeight="16440"/>
  </bookViews>
  <sheets>
    <sheet name="Mineral Tree" sheetId="9" r:id="rId1"/>
    <sheet name="Marketing Formulas" sheetId="3" r:id="rId2"/>
    <sheet name="Sales Formulas" sheetId="6" r:id="rId3"/>
    <sheet name="Sales Formatting &amp; Text" sheetId="8" r:id="rId4"/>
    <sheet name="Marketing Formatting &amp; Text" sheetId="5" r:id="rId5"/>
    <sheet name="Old" sheetId="2" r:id="rId6"/>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76" i="9" l="1"/>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F81" i="9"/>
  <c r="J81" i="9"/>
  <c r="J82" i="9"/>
  <c r="J83" i="9"/>
  <c r="J84" i="9"/>
  <c r="J85" i="9"/>
  <c r="J86" i="9"/>
  <c r="J87" i="9"/>
  <c r="J88" i="9"/>
  <c r="F89" i="9"/>
  <c r="J89" i="9"/>
  <c r="J90" i="9"/>
  <c r="J91" i="9"/>
  <c r="J92" i="9"/>
  <c r="J93" i="9"/>
  <c r="J94" i="9"/>
  <c r="F95" i="9"/>
  <c r="J95" i="9"/>
  <c r="J96" i="9"/>
  <c r="J97" i="9"/>
  <c r="J98" i="9"/>
  <c r="J99" i="9"/>
  <c r="J100" i="9"/>
  <c r="J101" i="9"/>
  <c r="J102" i="9"/>
  <c r="F103" i="9"/>
  <c r="J103" i="9"/>
  <c r="J104" i="9"/>
  <c r="F105" i="9"/>
  <c r="J105" i="9"/>
  <c r="J106" i="9"/>
  <c r="J107" i="9"/>
  <c r="J108" i="9"/>
  <c r="F109" i="9"/>
  <c r="J109" i="9"/>
  <c r="J110" i="9"/>
  <c r="F111" i="9"/>
  <c r="J111" i="9"/>
  <c r="J112" i="9"/>
  <c r="F113" i="9"/>
  <c r="J113" i="9"/>
  <c r="F114" i="9"/>
  <c r="J114" i="9"/>
  <c r="J115" i="9"/>
  <c r="F40" i="9"/>
  <c r="J40" i="9"/>
  <c r="F41" i="9"/>
  <c r="J41" i="9"/>
  <c r="J42" i="9"/>
  <c r="J43" i="9"/>
  <c r="F44" i="9"/>
  <c r="J44" i="9"/>
  <c r="F45" i="9"/>
  <c r="J45" i="9"/>
  <c r="F46" i="9"/>
  <c r="J46" i="9"/>
  <c r="J47" i="9"/>
  <c r="J48" i="9"/>
  <c r="F50" i="9"/>
  <c r="F49" i="9"/>
  <c r="J49" i="9"/>
  <c r="J50" i="9"/>
  <c r="J34" i="9"/>
  <c r="J35" i="9"/>
  <c r="J36" i="9"/>
  <c r="J23" i="9"/>
  <c r="J24" i="9"/>
  <c r="J25" i="9"/>
  <c r="J26" i="9"/>
  <c r="J27" i="9"/>
  <c r="J28" i="9"/>
  <c r="J29" i="9"/>
  <c r="F30" i="9"/>
  <c r="J30" i="9"/>
  <c r="J31" i="9"/>
  <c r="F18" i="9"/>
  <c r="J18" i="9"/>
  <c r="F19" i="9"/>
  <c r="J19" i="9"/>
  <c r="J6" i="9"/>
  <c r="J7" i="9"/>
  <c r="J8" i="9"/>
  <c r="J9" i="9"/>
  <c r="J10" i="9"/>
  <c r="K9" i="9"/>
  <c r="K8" i="9"/>
  <c r="K7" i="9"/>
  <c r="J5" i="9"/>
  <c r="F115" i="9"/>
  <c r="F108" i="9"/>
  <c r="F93" i="9"/>
  <c r="F56" i="9"/>
  <c r="F58" i="9"/>
  <c r="F104" i="9"/>
  <c r="F94" i="9"/>
  <c r="F87" i="9"/>
  <c r="F88" i="9"/>
  <c r="F73" i="9"/>
  <c r="F72" i="9"/>
  <c r="F67" i="9"/>
  <c r="F66" i="9"/>
  <c r="F65" i="9"/>
  <c r="F57" i="9"/>
  <c r="O27" i="5"/>
  <c r="O24" i="5"/>
  <c r="F21" i="6"/>
  <c r="F24" i="6"/>
  <c r="F23" i="6"/>
  <c r="F25" i="6"/>
  <c r="F20" i="3"/>
  <c r="F21" i="3"/>
  <c r="F22" i="3"/>
  <c r="F23" i="3"/>
  <c r="O30" i="5"/>
  <c r="O35" i="5"/>
  <c r="O27" i="8"/>
  <c r="O30" i="8"/>
  <c r="O24" i="8"/>
  <c r="O34" i="8"/>
  <c r="O38" i="8"/>
  <c r="F18" i="6"/>
  <c r="F22" i="6"/>
  <c r="E12" i="2"/>
  <c r="E13" i="2"/>
  <c r="E14" i="2"/>
  <c r="E15" i="2"/>
  <c r="E16" i="2"/>
</calcChain>
</file>

<file path=xl/sharedStrings.xml><?xml version="1.0" encoding="utf-8"?>
<sst xmlns="http://schemas.openxmlformats.org/spreadsheetml/2006/main" count="506" uniqueCount="364">
  <si>
    <t>Field Name</t>
  </si>
  <si>
    <t>Field Label</t>
  </si>
  <si>
    <t>Formula</t>
  </si>
  <si>
    <t>Demo Value</t>
  </si>
  <si>
    <t>A4</t>
  </si>
  <si>
    <t>A5</t>
  </si>
  <si>
    <t>A1</t>
  </si>
  <si>
    <t>A2</t>
  </si>
  <si>
    <t>Average Deal Size</t>
  </si>
  <si>
    <t>Number of Appointment Setting Sales Reps</t>
  </si>
  <si>
    <t>Input</t>
  </si>
  <si>
    <t>A3</t>
  </si>
  <si>
    <t>Opportunity Win Rate</t>
  </si>
  <si>
    <t>Appointment to Close Win Rate</t>
  </si>
  <si>
    <t>A6</t>
  </si>
  <si>
    <t>Hours Spent Prospecting Daily Per Rep</t>
  </si>
  <si>
    <t>Number of Appointments Set Daily Per Rep</t>
  </si>
  <si>
    <t>Hours Saved Daily with DicoverOrg for Each Rep</t>
  </si>
  <si>
    <t>A7</t>
  </si>
  <si>
    <t>Additional Appointments Set Each week with DiscoverOrg</t>
  </si>
  <si>
    <t>(A3/A1) * A2 * A5</t>
  </si>
  <si>
    <t>A8</t>
  </si>
  <si>
    <t>Additional Appointments set each year as a result of the incremental appointments set with DiscoverOrg</t>
  </si>
  <si>
    <t>A7 * 50</t>
  </si>
  <si>
    <t>A9</t>
  </si>
  <si>
    <t>Additional Revenue / Rep / Year</t>
  </si>
  <si>
    <t>A8 * A6 * A4</t>
  </si>
  <si>
    <t>A10</t>
  </si>
  <si>
    <t>Total Additional Revenue</t>
  </si>
  <si>
    <t>A9 * A5</t>
  </si>
  <si>
    <t>A11</t>
  </si>
  <si>
    <t>Return on Investment</t>
  </si>
  <si>
    <t>A10 / 60000</t>
  </si>
  <si>
    <t>Sales</t>
  </si>
  <si>
    <t>Meeting-to-Opportunity Rate</t>
  </si>
  <si>
    <t>Units</t>
  </si>
  <si>
    <t>Comments</t>
  </si>
  <si>
    <t>Annual Data Decay Rate</t>
  </si>
  <si>
    <t>Bad Data Record Cost</t>
  </si>
  <si>
    <t>Database Update Percentage</t>
  </si>
  <si>
    <t>B1</t>
  </si>
  <si>
    <t>B2</t>
  </si>
  <si>
    <t>B3</t>
  </si>
  <si>
    <t>B4</t>
  </si>
  <si>
    <t>B5</t>
  </si>
  <si>
    <t>B6</t>
  </si>
  <si>
    <t>B11</t>
  </si>
  <si>
    <t>B12</t>
  </si>
  <si>
    <t>B13</t>
  </si>
  <si>
    <t>B21</t>
  </si>
  <si>
    <t>B22</t>
  </si>
  <si>
    <t>B23</t>
  </si>
  <si>
    <t>Lift in Qualified Leads</t>
  </si>
  <si>
    <t>Field Type</t>
  </si>
  <si>
    <t>Output</t>
  </si>
  <si>
    <t>Assumption-Hidden in Calculation</t>
  </si>
  <si>
    <t>Average Customer Subscription Fee</t>
  </si>
  <si>
    <t>Average User License Fee</t>
  </si>
  <si>
    <t>B14</t>
  </si>
  <si>
    <t>B15</t>
  </si>
  <si>
    <t>B24</t>
  </si>
  <si>
    <t>Number of Contacts in Marketing Database</t>
  </si>
  <si>
    <t>OUTPUTS</t>
  </si>
  <si>
    <t>ASSUMPTIONS (Behind the scenes)</t>
  </si>
  <si>
    <t>INPUTS</t>
  </si>
  <si>
    <t>Qualified Lead-to-Meeting Rate</t>
  </si>
  <si>
    <t>(20%)</t>
  </si>
  <si>
    <t>($20,000)</t>
  </si>
  <si>
    <t>(500,000)</t>
  </si>
  <si>
    <t>(50%)</t>
  </si>
  <si>
    <t>First Name</t>
  </si>
  <si>
    <t>Last Name</t>
  </si>
  <si>
    <t>Email</t>
  </si>
  <si>
    <t>Company Name</t>
  </si>
  <si>
    <t>GET YOUR PERSONALIZED ROI REPORT</t>
  </si>
  <si>
    <t>(30%)</t>
  </si>
  <si>
    <t>B3 * B11 * B12 * B13</t>
  </si>
  <si>
    <t>B2 * B14</t>
  </si>
  <si>
    <t>A21</t>
  </si>
  <si>
    <t>A22</t>
  </si>
  <si>
    <t>A23</t>
  </si>
  <si>
    <t>A24</t>
  </si>
  <si>
    <t>Incremental Meetings Per Rep Per Week</t>
  </si>
  <si>
    <t>A12</t>
  </si>
  <si>
    <t>A13</t>
  </si>
  <si>
    <t>A14</t>
  </si>
  <si>
    <t>Working Weeks in a Year</t>
  </si>
  <si>
    <t>= A2*A13*A14</t>
  </si>
  <si>
    <t>A15</t>
  </si>
  <si>
    <t>Sales Research Hours Saved Per Week</t>
  </si>
  <si>
    <t>= A2*A14*A15</t>
  </si>
  <si>
    <t>A17</t>
  </si>
  <si>
    <t>A18</t>
  </si>
  <si>
    <t>A25</t>
  </si>
  <si>
    <t>Average Marketing Customer Subscription Fee</t>
  </si>
  <si>
    <t>Avg. Number of Bad Records Touched by Each SDR each Year</t>
  </si>
  <si>
    <t>A19</t>
  </si>
  <si>
    <t>= A19*A18*A17*A2</t>
  </si>
  <si>
    <t>Get Your Personalized ROI Report Today!</t>
  </si>
  <si>
    <t>CALCULATOR RESULTS</t>
  </si>
  <si>
    <t>ADDITIONAL APPOINTMENTS SET</t>
  </si>
  <si>
    <t>ADDITIONAL QUALIFIED LEADS GENERATED</t>
  </si>
  <si>
    <r>
      <rPr>
        <sz val="24"/>
        <color theme="0"/>
        <rFont val="Open Sans"/>
        <family val="2"/>
      </rPr>
      <t>DiscoverOrg</t>
    </r>
    <r>
      <rPr>
        <sz val="36"/>
        <color theme="0"/>
        <rFont val="Open Sans"/>
        <family val="2"/>
      </rPr>
      <t xml:space="preserve">
</t>
    </r>
    <r>
      <rPr>
        <b/>
        <sz val="40"/>
        <color theme="0"/>
        <rFont val="Open Sans"/>
        <family val="2"/>
      </rPr>
      <t>SALES</t>
    </r>
    <r>
      <rPr>
        <sz val="36"/>
        <color theme="0"/>
        <rFont val="Open Sans"/>
        <family val="2"/>
      </rPr>
      <t xml:space="preserve">
ROI</t>
    </r>
  </si>
  <si>
    <r>
      <rPr>
        <sz val="24"/>
        <color rgb="FFCCCCCC"/>
        <rFont val="Open Sans"/>
        <family val="2"/>
      </rPr>
      <t>DiscoverOrg</t>
    </r>
    <r>
      <rPr>
        <sz val="36"/>
        <color rgb="FFCCCCCC"/>
        <rFont val="Open Sans"/>
        <family val="2"/>
      </rPr>
      <t xml:space="preserve">
</t>
    </r>
    <r>
      <rPr>
        <b/>
        <sz val="40"/>
        <color rgb="FFCCCCCC"/>
        <rFont val="Open Sans"/>
        <family val="2"/>
      </rPr>
      <t>MARKETING</t>
    </r>
    <r>
      <rPr>
        <sz val="36"/>
        <color rgb="FFCCCCCC"/>
        <rFont val="Open Sans"/>
        <family val="2"/>
      </rPr>
      <t xml:space="preserve">
ROI</t>
    </r>
  </si>
  <si>
    <t>Annual Qualified Leads Goal</t>
  </si>
  <si>
    <t>Green</t>
  </si>
  <si>
    <t>Blue</t>
  </si>
  <si>
    <t>Orange</t>
  </si>
  <si>
    <t>Light Gray</t>
  </si>
  <si>
    <t>Near Black</t>
  </si>
  <si>
    <t>Dark Gray</t>
  </si>
  <si>
    <r>
      <rPr>
        <sz val="40"/>
        <color rgb="FFCCCCCC"/>
        <rFont val="Open Sans"/>
        <family val="2"/>
      </rPr>
      <t>DiscoverOrg</t>
    </r>
    <r>
      <rPr>
        <sz val="36"/>
        <color rgb="FFCCCCCC"/>
        <rFont val="Open Sans"/>
        <family val="2"/>
      </rPr>
      <t xml:space="preserve">
</t>
    </r>
    <r>
      <rPr>
        <b/>
        <sz val="40"/>
        <color rgb="FFCCCCCC"/>
        <rFont val="Open Sans"/>
        <family val="2"/>
      </rPr>
      <t>SALES</t>
    </r>
    <r>
      <rPr>
        <sz val="36"/>
        <color rgb="FFCCCCCC"/>
        <rFont val="Open Sans"/>
        <family val="2"/>
      </rPr>
      <t xml:space="preserve">
ROI</t>
    </r>
  </si>
  <si>
    <r>
      <rPr>
        <sz val="24"/>
        <color theme="0"/>
        <rFont val="Open Sans"/>
        <family val="2"/>
      </rPr>
      <t>DiscoverOrg</t>
    </r>
    <r>
      <rPr>
        <sz val="36"/>
        <color theme="0"/>
        <rFont val="Open Sans"/>
        <family val="2"/>
      </rPr>
      <t xml:space="preserve">
</t>
    </r>
    <r>
      <rPr>
        <b/>
        <sz val="40"/>
        <color theme="0"/>
        <rFont val="Open Sans"/>
        <family val="2"/>
      </rPr>
      <t>MARKETING</t>
    </r>
    <r>
      <rPr>
        <sz val="36"/>
        <color theme="0"/>
        <rFont val="Open Sans"/>
        <family val="2"/>
      </rPr>
      <t xml:space="preserve">
ROI</t>
    </r>
  </si>
  <si>
    <t>(20)</t>
  </si>
  <si>
    <t>Number of Appointment-Setting Sales Reps</t>
  </si>
  <si>
    <t>HOURS REGAINED FOR PROSPECTING</t>
  </si>
  <si>
    <t>- IN YEAR ONE -</t>
  </si>
  <si>
    <t>RETURN ON INVESTMENT</t>
  </si>
  <si>
    <t>ADDITIONAL REVENUE GENERATED (SALES)</t>
  </si>
  <si>
    <t>RETURN ON INVESTMENT (SALES)</t>
  </si>
  <si>
    <t>RETURN ON INVESTMENT (MARKETING)</t>
  </si>
  <si>
    <t>ADDITIONAL REVENUE GENERATED (MARKETING)</t>
  </si>
  <si>
    <t>B22 * B4 * B5 * B6 * B1</t>
  </si>
  <si>
    <t>=(A24+A23) / ((A11)+(A12*A2))</t>
  </si>
  <si>
    <t>BAD DATA OPPORTUNITY COST AVOIDED</t>
  </si>
  <si>
    <t>($25,000)</t>
  </si>
  <si>
    <t>(16,000)</t>
  </si>
  <si>
    <t>ADDITIONAL REVENUE GENERATED</t>
  </si>
  <si>
    <t xml:space="preserve"> Discover the Value of Human-Verified Data in Lead Generation and Prospecting</t>
  </si>
  <si>
    <t>(B23+B21) / B15</t>
  </si>
  <si>
    <t>= A21*A3*A4*A1</t>
  </si>
  <si>
    <t>Number of invoices per year</t>
  </si>
  <si>
    <t>Number of payments per year</t>
  </si>
  <si>
    <t>Percent of payments already electronic</t>
  </si>
  <si>
    <t>Annual AP Spend</t>
  </si>
  <si>
    <t># of Employees processing AP</t>
  </si>
  <si>
    <t>B7</t>
  </si>
  <si>
    <t>Company Information</t>
  </si>
  <si>
    <t>Number of Invoices</t>
  </si>
  <si>
    <t>C3</t>
  </si>
  <si>
    <t>C4</t>
  </si>
  <si>
    <t>C5</t>
  </si>
  <si>
    <t>C6</t>
  </si>
  <si>
    <t>C7</t>
  </si>
  <si>
    <t>C8</t>
  </si>
  <si>
    <t>Number of Payments</t>
  </si>
  <si>
    <t>Percentage of Payments Already Electronic</t>
  </si>
  <si>
    <t>Average Invoice Amount</t>
  </si>
  <si>
    <t>Average Payment Amount</t>
  </si>
  <si>
    <t>Annual Spend</t>
  </si>
  <si>
    <t>B6/B3</t>
  </si>
  <si>
    <t>B6/B4</t>
  </si>
  <si>
    <t>Costs and Industry Assumptions</t>
  </si>
  <si>
    <t>C11</t>
  </si>
  <si>
    <t>C12</t>
  </si>
  <si>
    <t>C13</t>
  </si>
  <si>
    <t>C14</t>
  </si>
  <si>
    <t>C15</t>
  </si>
  <si>
    <t>C16</t>
  </si>
  <si>
    <t>C17</t>
  </si>
  <si>
    <t>C18</t>
  </si>
  <si>
    <t>C19</t>
  </si>
  <si>
    <t>Current Cost of Manual Check Printing/Mailing</t>
  </si>
  <si>
    <t>Current Cost of ACH^</t>
  </si>
  <si>
    <t>Industry Est. Manual Processing Cost per Invoice</t>
  </si>
  <si>
    <t>Industry Est. Automated Processing Cost per Invoice</t>
  </si>
  <si>
    <t>ADD'L Percentage of Payments to ACH</t>
  </si>
  <si>
    <t>Percentage of Spend to Rebate Offering Vendors</t>
  </si>
  <si>
    <t>Average Rebate Amount</t>
  </si>
  <si>
    <t>Early Pay Discount as a Percent of Total Spend*</t>
  </si>
  <si>
    <t>Discount Rate</t>
  </si>
  <si>
    <t>0</t>
  </si>
  <si>
    <t>.1</t>
  </si>
  <si>
    <t>0.005</t>
  </si>
  <si>
    <t>5940000/4000000000</t>
  </si>
  <si>
    <t>.05</t>
  </si>
  <si>
    <t>Fees</t>
  </si>
  <si>
    <t>C22</t>
  </si>
  <si>
    <t>C23</t>
  </si>
  <si>
    <t>C24</t>
  </si>
  <si>
    <t>MineralTree per Check Cost</t>
  </si>
  <si>
    <t>MineralTree per ACH Cost</t>
  </si>
  <si>
    <t>MineralTree per Invoice: capture-code-approve-post</t>
  </si>
  <si>
    <t>1.75</t>
  </si>
  <si>
    <t>0.5</t>
  </si>
  <si>
    <t>3.5</t>
  </si>
  <si>
    <t>Check Printing/Mailing, Current ACH</t>
  </si>
  <si>
    <t>G3</t>
  </si>
  <si>
    <t>G4</t>
  </si>
  <si>
    <t>G5</t>
  </si>
  <si>
    <t>G6</t>
  </si>
  <si>
    <t>G7</t>
  </si>
  <si>
    <t>G8</t>
  </si>
  <si>
    <t>G9</t>
  </si>
  <si>
    <t>G10</t>
  </si>
  <si>
    <t>G11</t>
  </si>
  <si>
    <t>G12</t>
  </si>
  <si>
    <t>G13</t>
  </si>
  <si>
    <t>G14</t>
  </si>
  <si>
    <t>Annual Payments</t>
  </si>
  <si>
    <t>Current Annual Checks</t>
  </si>
  <si>
    <t>Current Annual ACH</t>
  </si>
  <si>
    <t>Current Cost per Check Printing/Mailing</t>
  </si>
  <si>
    <t>Current Cost ACH</t>
  </si>
  <si>
    <t>Current Annual Cost</t>
  </si>
  <si>
    <t>Estimated Number Checks thru MT</t>
  </si>
  <si>
    <t>Estimated Number ACH Payments thru MT</t>
  </si>
  <si>
    <t>MineralTree Cost per Check</t>
  </si>
  <si>
    <t>MineralTree Cost per ACH</t>
  </si>
  <si>
    <t>Monthly Savings</t>
  </si>
  <si>
    <t>Annual Savings</t>
  </si>
  <si>
    <t>B4*(1-B5)</t>
  </si>
  <si>
    <t>B4*B5</t>
  </si>
  <si>
    <t>C11*G4+G5*C12</t>
  </si>
  <si>
    <t>B4*(1-B5-C15)*(1-C16)</t>
  </si>
  <si>
    <t>B4*(B5+C15)*(1-C16)</t>
  </si>
  <si>
    <t>G8-(G9*C22+G10*C23)</t>
  </si>
  <si>
    <t>G14/12</t>
  </si>
  <si>
    <t>REBATES</t>
  </si>
  <si>
    <t>G17</t>
  </si>
  <si>
    <t>G18</t>
  </si>
  <si>
    <t>G19</t>
  </si>
  <si>
    <t>G20</t>
  </si>
  <si>
    <t>G21</t>
  </si>
  <si>
    <t>G22</t>
  </si>
  <si>
    <t>Annual Spend Conversion</t>
  </si>
  <si>
    <t>Monthly Rebate</t>
  </si>
  <si>
    <t>Annual Rebate</t>
  </si>
  <si>
    <t>B6*C16</t>
  </si>
  <si>
    <t>G20*C17</t>
  </si>
  <si>
    <t>G22/12</t>
  </si>
  <si>
    <t>Opportunity Cost of Invoice Processing</t>
  </si>
  <si>
    <t>G26</t>
  </si>
  <si>
    <t>G27</t>
  </si>
  <si>
    <t>G28</t>
  </si>
  <si>
    <t>G29</t>
  </si>
  <si>
    <t>G31</t>
  </si>
  <si>
    <t>G32</t>
  </si>
  <si>
    <t>G33</t>
  </si>
  <si>
    <t>Est. Manual Processing Cost per Invoice</t>
  </si>
  <si>
    <t>Est. Automated Processing Cost per Invoice</t>
  </si>
  <si>
    <t>MineralTree Cost per Invoice Processed</t>
  </si>
  <si>
    <t>Est. Total Automated Processing Cost per Invoice</t>
  </si>
  <si>
    <t>Monthly Opportunity Cost Savings</t>
  </si>
  <si>
    <t>Annual Opportunity Cost Savings</t>
  </si>
  <si>
    <t>C14+C24</t>
  </si>
  <si>
    <t>B3*(C13-C14-C24)</t>
  </si>
  <si>
    <t>G33/12</t>
  </si>
  <si>
    <t>Early Pay Discounts</t>
  </si>
  <si>
    <t>G36</t>
  </si>
  <si>
    <t>G37</t>
  </si>
  <si>
    <t>G38</t>
  </si>
  <si>
    <t>G39</t>
  </si>
  <si>
    <t>Discount as a Percent of Total Spend</t>
  </si>
  <si>
    <t>Monthly Discount</t>
  </si>
  <si>
    <t>Annual Discount</t>
  </si>
  <si>
    <t>B6*C18</t>
  </si>
  <si>
    <t>G39/12</t>
  </si>
  <si>
    <t>K6</t>
  </si>
  <si>
    <t>K7</t>
  </si>
  <si>
    <t>K8</t>
  </si>
  <si>
    <t>K9</t>
  </si>
  <si>
    <t>K10</t>
  </si>
  <si>
    <t>Invoices/year</t>
  </si>
  <si>
    <t>salary (we don't necesarrily need to gather this, can estimate 40k</t>
  </si>
  <si>
    <t>cost of AP staff labor/invoice</t>
  </si>
  <si>
    <t>cost of approver labor/invoice</t>
  </si>
  <si>
    <t>Total cost/invoice of manual processing*</t>
  </si>
  <si>
    <t>J3</t>
  </si>
  <si>
    <t>60000</t>
  </si>
  <si>
    <t>B7*(K7/B3)</t>
  </si>
  <si>
    <t>F4</t>
  </si>
  <si>
    <t>F5</t>
  </si>
  <si>
    <t>F6</t>
  </si>
  <si>
    <t>F7</t>
  </si>
  <si>
    <t>F8</t>
  </si>
  <si>
    <t>F9</t>
  </si>
  <si>
    <t>Paper storage and retention costs*</t>
  </si>
  <si>
    <t>Too-early payments**</t>
  </si>
  <si>
    <t>Duplicate Payments***</t>
  </si>
  <si>
    <t>Paper copies made (assume 50% electronic, 2pg each)^</t>
  </si>
  <si>
    <t>Late payment fees^^</t>
  </si>
  <si>
    <t>Total Hard Costs per invoice</t>
  </si>
  <si>
    <t>25</t>
  </si>
  <si>
    <t>SUM(F4:F8)/100</t>
  </si>
  <si>
    <t>F11</t>
  </si>
  <si>
    <t>Invoice Preparation</t>
  </si>
  <si>
    <t>1000</t>
  </si>
  <si>
    <t>F16</t>
  </si>
  <si>
    <t>F17</t>
  </si>
  <si>
    <t>F22</t>
  </si>
  <si>
    <t>F23</t>
  </si>
  <si>
    <t>F24</t>
  </si>
  <si>
    <t>F28</t>
  </si>
  <si>
    <t>F29</t>
  </si>
  <si>
    <t>Invoice Approval</t>
  </si>
  <si>
    <t>Other Tasks</t>
  </si>
  <si>
    <t>Average hourly salary for AP staff</t>
  </si>
  <si>
    <t>Average hourly salary for department manager approver</t>
  </si>
  <si>
    <t>Total Salary Cost per invoice</t>
  </si>
  <si>
    <t>Total Cost from Invoice Errors per invoice</t>
  </si>
  <si>
    <t>Total Costs (Manual Processing)</t>
  </si>
  <si>
    <t>250</t>
  </si>
  <si>
    <t>300</t>
  </si>
  <si>
    <t>45</t>
  </si>
  <si>
    <t>(F11+F17)/60*F22/100+F16/60*F23/100</t>
  </si>
  <si>
    <t>0.014*B6*0.5*0.1/B3</t>
  </si>
  <si>
    <t>F24+F28+F9</t>
  </si>
  <si>
    <t>(F16/60)*(F23/100)</t>
  </si>
  <si>
    <t>K8+F9+1.88</t>
  </si>
  <si>
    <t>Current Annual Costs</t>
  </si>
  <si>
    <t>J8</t>
  </si>
  <si>
    <t>J4</t>
  </si>
  <si>
    <t>Annual Volumes</t>
  </si>
  <si>
    <t>J5</t>
  </si>
  <si>
    <t>J9</t>
  </si>
  <si>
    <t>J10</t>
  </si>
  <si>
    <t>Invoices</t>
  </si>
  <si>
    <t>Payments</t>
  </si>
  <si>
    <t>Total AP Spend</t>
  </si>
  <si>
    <t>Invoice processing</t>
  </si>
  <si>
    <t>K10*B3</t>
  </si>
  <si>
    <t>Payment processing</t>
  </si>
  <si>
    <t>Current Cost of Manual Accounts Payable</t>
  </si>
  <si>
    <t>J9+J8</t>
  </si>
  <si>
    <t>After Annual Costs</t>
  </si>
  <si>
    <t>J13</t>
  </si>
  <si>
    <t>J14</t>
  </si>
  <si>
    <t>J15</t>
  </si>
  <si>
    <t>J16</t>
  </si>
  <si>
    <t xml:space="preserve">Subscription: </t>
  </si>
  <si>
    <t>Remaining processing:</t>
  </si>
  <si>
    <t>Estimate rebates:</t>
  </si>
  <si>
    <t>Future Cost of Automation Accounts Payable</t>
  </si>
  <si>
    <t>(B3*2.3)+(B4*1.3)</t>
  </si>
  <si>
    <t>J8*0.4</t>
  </si>
  <si>
    <t>J18</t>
  </si>
  <si>
    <t>J19</t>
  </si>
  <si>
    <t>J20</t>
  </si>
  <si>
    <t>Annual Savings (dollars)</t>
  </si>
  <si>
    <t>Time to Breakeven (months)</t>
  </si>
  <si>
    <t>Annual Savings (weeks)</t>
  </si>
  <si>
    <t>J10-J16</t>
  </si>
  <si>
    <t>(J16/J10)*(365/30)</t>
  </si>
  <si>
    <t>0.6*(B7*40*52)/40</t>
  </si>
  <si>
    <t>J13+J14-G22</t>
  </si>
  <si>
    <t>INSERT INTO `wb_roi_fields` (`wb_roi_ID`,`shortName`,`Label`,InputType,fieldType,cell,cellcolumn,formula,demovalue) VALUES</t>
  </si>
  <si>
    <t>(10017,'Number of invoices per year','Number of invoices per year',2,1,3,'B','','24000')</t>
  </si>
  <si>
    <t>(10017,'Number of payments per year','Number of payments per year',2,1,,'B','','12000')</t>
  </si>
  <si>
    <t>(10017,'Percent of payments already electronic','Percent of payments already electronic',2,1,,'B','','0.2')</t>
  </si>
  <si>
    <t>(10017,'Annual AP Spend','Annual AP Spend',2,1,,'B','','40000000')</t>
  </si>
  <si>
    <t>(10017,'# of Employees processing AP','# of Employees processing AP',2,1,,'B','','2')</t>
  </si>
  <si>
    <t>(10017,'Annual AP Spend','Annual AP Spend',2,1,6,'B','','40000000'),(10017,'# of Employees processing AP','# of Employees processing AP',2,1,7,'B','','2')</t>
  </si>
  <si>
    <t>(10017,'Number of payments per year','Number of payments per year',2,1,4,'B','','12000'),(10017,'Percent of payments already electronic','Percent of payments already electronic',2,1,5,'B','','0.2'),(10017,'Annual AP Spend','Annual AP Spend',2,1,6,'B','','40000000'),(10017,'# of Employees processing AP','# of Employees processing AP',2,1,7,'B','','2')</t>
  </si>
  <si>
    <t>(10017,'Average Invoice Amount','Average Invoice Amount',2,1,6,'C','B6/B3','1666.66666666667'),(10017,'Average Payment Amount','Average Payment Amount',2,1,7,'C','B6/B4','3333')</t>
  </si>
  <si>
    <t>(10017,'Current Cost of Manual Check Printing/Mailing','Current Cost of Manual Check Printing/Mailing',2,1,11,'C','5','5'),(10017,'Current Cost of ACH^','Current Cost of ACH^',2,1,12,'C','0.55','0.55'),(10017,'Industry Est. Manual Processing Cost per Invoice','Industry Est. Manual Processing Cost per Invoice',2,1,13,'C','15','15'),(10017,'Industry Est. Automated Processing Cost per Invoice','Industry Est. Automated Processing Cost per Invoice',2,1,14,'C','4','4'),(10017,'ADD'L Percentage of Payments to ACH','ADD'L Percentage of Payments to ACH',2,1,15,'C','0','0'),(10017,'Percentage of Spend to Rebate Offering Vendors','Percentage of Spend to Rebate Offering Vendors',2,1,16,'C','.1','0.1'),(10017,'Average Rebate Amount','Average Rebate Amount',2,1,17,'C','0.005','0.005'),(10017,'Early Pay Discount as a Percent of Total Spend*','Early Pay Discount as a Percent of Total Spend*',2,1,18,'C','5940000/4000000000','0.001485'),(10017,'Discount Rate','Discount Rate',2,1,19,'C','.05','0.05')</t>
  </si>
  <si>
    <t>,(10017,'MineralTree per Check Cost','MineralTree per Check Cost',2,1,22,'C','1.75','1.75'),(10017,'MineralTree per ACH Cost','MineralTree per ACH Cost',2,1,23,'C','0.5','0.5'),(10017,'MineralTree per Invoice: capture-code-approve-post','MineralTree per Invoice: capture-code-approve-post',2,1,24,'C','3.5','3.5')</t>
  </si>
  <si>
    <t>,(10017,'Current Annual Checks','Current Annual Checks',2,1,4,'G','B4*(1-B5)','9600'),(10017,'Current Annual ACH','Current Annual ACH',2,1,5,'G','B4*B5','2400'),(10017,'Current Annual Cost','Current Annual Cost',2,1,8,'G','C11*G4+G5*C12','49320'),(10017,'Estimated Number Checks thru MT','Estimated Number Checks thru MT',2,1,9,'G','B4*(1-B5-C15)*(1-C16)','8640'),(10017,'Estimated Number ACH Payments thru MT','Estimated Number ACH Payments thru MT',2,1,10,'G','B4*(B5+C15)*(1-C16)','2160'),(10017,'Monthly Savings','Monthly Savings',2,1,13,'G','G14/12','1505.45454545455'),(10017,'Annual Savings','Annual Savings',2,1,14,'G','G8-(G9*C22+G10*C23)','33120')</t>
  </si>
  <si>
    <t>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costs*',2,1,4,'F','25','25'),(10017,'Too-early payments**','Too-early payments**',2,1,5,'F','31.67','31.67'),(10017,'Duplicate Payments***','Duplicate Payments***',2,1,6,'F','141.67','141.67'),(10017,'Paper copies made (assume 50% electronic, 2pg each)^','Paper copies made (assume 50% electronic, 2pg each)^',2,1,7,'F','12','12'),(10017,'Late payment fees^^','Late payment fees^^',2,1,8,'F','12.5','12.5'),(10017,'Total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Payable',2,1,10,'J','J9+J8','267921.6'),(10017,'Subscription: ','Subscription: ',2,1,13,'J','(B3*2.3)+(B4*1.3)','70800'),(10017,'Remaining processing:','Remaining processing:',2,1,14,'J','J8*0.4','87440.64'),(10017,'Future Cost of Automation Accounts Payable','Future Cost of Automation Accounts Payable',2,1,16,'J','J13+J14-G22','138240.64'),(10017,'Annual Savings (dollars)','Annual Savings (dollars)',2,1,18,'J','J10-J16','129680.96'),(10017,'Time to Breakeven (months)','Time to Breakeven (months)',2,1,19,'J','(J16/J10)*(365/30)','6.27768640776506'),(10017,'Annual Savings (weeks)','Annual Savings (weeks)',2,1,20,'J','0.6*(B7*40*52)/40','62.4')</t>
  </si>
  <si>
    <t>6000/B3*100</t>
  </si>
  <si>
    <t>B6*0.1/B3*100*0.0019</t>
  </si>
  <si>
    <t>B6*0.17*0.005/B3*100</t>
  </si>
  <si>
    <t>50*0.12*2</t>
  </si>
  <si>
    <t>B6*0.005/B3*100*0.015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</si>
</sst>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_);\(&quot;$&quot;#,##0\)"/>
    <numFmt numFmtId="44" formatCode="_(&quot;$&quot;* #,##0.00_);_(&quot;$&quot;* \(#,##0.00\);_(&quot;$&quot;* &quot;-&quot;??_);_(@_)"/>
    <numFmt numFmtId="43" formatCode="_(* #,##0.00_);_(* \(#,##0.00\);_(* &quot;-&quot;??_);_(@_)"/>
    <numFmt numFmtId="164" formatCode="#,##0.0_);\(#,##0.0\)"/>
    <numFmt numFmtId="165" formatCode="&quot;$&quot;#,##0.00"/>
    <numFmt numFmtId="166" formatCode="0.0000%"/>
  </numFmts>
  <fonts count="42">
    <font>
      <sz val="11"/>
      <color theme="1"/>
      <name val="Calibri"/>
      <family val="2"/>
      <scheme val="minor"/>
    </font>
    <font>
      <sz val="11"/>
      <color theme="1"/>
      <name val="Calibri"/>
      <family val="2"/>
      <scheme val="minor"/>
    </font>
    <font>
      <b/>
      <sz val="11"/>
      <color theme="1"/>
      <name val="Calibri"/>
      <family val="2"/>
      <scheme val="minor"/>
    </font>
    <font>
      <sz val="24"/>
      <color theme="1"/>
      <name val="Open Sans"/>
      <family val="2"/>
    </font>
    <font>
      <sz val="11"/>
      <color theme="1"/>
      <name val="Open Sans"/>
      <family val="2"/>
    </font>
    <font>
      <sz val="12"/>
      <color theme="1"/>
      <name val="Open Sans"/>
      <family val="2"/>
    </font>
    <font>
      <sz val="14"/>
      <color theme="1"/>
      <name val="Open Sans"/>
      <family val="2"/>
    </font>
    <font>
      <sz val="20"/>
      <color theme="1"/>
      <name val="Open Sans"/>
      <family val="2"/>
    </font>
    <font>
      <sz val="36"/>
      <color theme="0"/>
      <name val="Open Sans"/>
      <family val="2"/>
    </font>
    <font>
      <sz val="24"/>
      <color theme="0"/>
      <name val="Open Sans"/>
      <family val="2"/>
    </font>
    <font>
      <u/>
      <sz val="11"/>
      <color theme="10"/>
      <name val="Calibri"/>
      <family val="2"/>
      <scheme val="minor"/>
    </font>
    <font>
      <u/>
      <sz val="11"/>
      <color theme="11"/>
      <name val="Calibri"/>
      <family val="2"/>
      <scheme val="minor"/>
    </font>
    <font>
      <b/>
      <sz val="14"/>
      <color rgb="FF1F74BB"/>
      <name val="Open Sans"/>
      <family val="2"/>
    </font>
    <font>
      <b/>
      <sz val="16"/>
      <color rgb="FF7F7F80"/>
      <name val="Open Sans"/>
      <family val="2"/>
    </font>
    <font>
      <sz val="28"/>
      <color theme="0"/>
      <name val="Open Sans"/>
      <family val="2"/>
    </font>
    <font>
      <sz val="26"/>
      <color theme="0"/>
      <name val="Open Sans"/>
      <family val="2"/>
    </font>
    <font>
      <sz val="36"/>
      <color rgb="FFCCCCCC"/>
      <name val="Open Sans"/>
      <family val="2"/>
    </font>
    <font>
      <sz val="24"/>
      <color rgb="FFCCCCCC"/>
      <name val="Open Sans"/>
      <family val="2"/>
    </font>
    <font>
      <sz val="11"/>
      <color theme="1" tint="0.499984740745262"/>
      <name val="Open Sans"/>
      <family val="2"/>
    </font>
    <font>
      <sz val="11"/>
      <color theme="0"/>
      <name val="Open Sans"/>
      <family val="2"/>
    </font>
    <font>
      <sz val="12"/>
      <color theme="0"/>
      <name val="Open Sans"/>
      <family val="2"/>
    </font>
    <font>
      <sz val="24"/>
      <color theme="0" tint="-0.14999847407452621"/>
      <name val="Open Sans"/>
      <family val="2"/>
    </font>
    <font>
      <sz val="18"/>
      <color theme="0"/>
      <name val="Open Sans"/>
      <family val="2"/>
    </font>
    <font>
      <sz val="22"/>
      <color theme="0"/>
      <name val="Open Sans"/>
      <family val="2"/>
    </font>
    <font>
      <sz val="18"/>
      <color theme="0" tint="-0.14999847407452621"/>
      <name val="Open Sans"/>
      <family val="2"/>
    </font>
    <font>
      <b/>
      <sz val="16"/>
      <color theme="1" tint="0.499984740745262"/>
      <name val="Open Sans"/>
      <family val="2"/>
    </font>
    <font>
      <sz val="11"/>
      <color rgb="FF6EBE49"/>
      <name val="Calibri"/>
      <family val="2"/>
      <scheme val="minor"/>
    </font>
    <font>
      <sz val="11"/>
      <color rgb="FFFAA41A"/>
      <name val="Calibri"/>
      <family val="2"/>
      <scheme val="minor"/>
    </font>
    <font>
      <sz val="11"/>
      <color rgb="FF1F74BB"/>
      <name val="Calibri"/>
      <family val="2"/>
      <scheme val="minor"/>
    </font>
    <font>
      <sz val="11"/>
      <color rgb="FFCCCCCC"/>
      <name val="Open Sans"/>
      <family val="2"/>
    </font>
    <font>
      <sz val="20"/>
      <color rgb="FFCCCCCC"/>
      <name val="Open Sans"/>
      <family val="2"/>
    </font>
    <font>
      <b/>
      <sz val="40"/>
      <color theme="0"/>
      <name val="Open Sans"/>
      <family val="2"/>
    </font>
    <font>
      <b/>
      <sz val="40"/>
      <color rgb="FFCCCCCC"/>
      <name val="Open Sans"/>
      <family val="2"/>
    </font>
    <font>
      <b/>
      <sz val="11"/>
      <color theme="1"/>
      <name val="Open Sans"/>
      <family val="2"/>
    </font>
    <font>
      <b/>
      <sz val="20"/>
      <color theme="1"/>
      <name val="Open Sans"/>
      <family val="2"/>
    </font>
    <font>
      <b/>
      <sz val="14"/>
      <color theme="1"/>
      <name val="Open Sans"/>
      <family val="2"/>
    </font>
    <font>
      <sz val="40"/>
      <color rgb="FFCCCCCC"/>
      <name val="Open Sans"/>
      <family val="2"/>
    </font>
    <font>
      <b/>
      <sz val="11"/>
      <color rgb="FF222121"/>
      <name val="Calibri"/>
      <family val="2"/>
      <scheme val="minor"/>
    </font>
    <font>
      <sz val="11"/>
      <color rgb="FF222121"/>
      <name val="Calibri"/>
      <family val="2"/>
      <scheme val="minor"/>
    </font>
    <font>
      <sz val="11"/>
      <name val="Calibri"/>
      <family val="2"/>
      <scheme val="minor"/>
    </font>
    <font>
      <b/>
      <sz val="11"/>
      <color theme="4"/>
      <name val="Calibri"/>
      <family val="2"/>
      <scheme val="minor"/>
    </font>
    <font>
      <sz val="11"/>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1F74BB"/>
        <bgColor indexed="64"/>
      </patternFill>
    </fill>
    <fill>
      <patternFill patternType="solid">
        <fgColor rgb="FFFFFFFF"/>
        <bgColor rgb="FF000000"/>
      </patternFill>
    </fill>
    <fill>
      <patternFill patternType="solid">
        <fgColor rgb="FF6EBE49"/>
        <bgColor indexed="64"/>
      </patternFill>
    </fill>
    <fill>
      <patternFill patternType="solid">
        <fgColor rgb="FFCCCCCC"/>
        <bgColor indexed="64"/>
      </patternFill>
    </fill>
    <fill>
      <patternFill patternType="solid">
        <fgColor rgb="FF7F7F80"/>
        <bgColor indexed="64"/>
      </patternFill>
    </fill>
    <fill>
      <patternFill patternType="solid">
        <fgColor rgb="FFFAA41A"/>
        <bgColor indexed="64"/>
      </patternFill>
    </fill>
    <fill>
      <patternFill patternType="solid">
        <fgColor theme="1"/>
        <bgColor indexed="64"/>
      </patternFill>
    </fill>
    <fill>
      <patternFill patternType="solid">
        <fgColor rgb="FF1F74BB"/>
        <bgColor rgb="FF000000"/>
      </patternFill>
    </fill>
    <fill>
      <patternFill patternType="solid">
        <fgColor rgb="FF222121"/>
        <bgColor indexed="64"/>
      </patternFill>
    </fill>
    <fill>
      <patternFill patternType="solid">
        <fgColor rgb="FFFFFF00"/>
        <bgColor indexed="64"/>
      </patternFill>
    </fill>
    <fill>
      <patternFill patternType="solid">
        <fgColor theme="4" tint="0.59999389629810485"/>
        <bgColor indexed="64"/>
      </patternFill>
    </fill>
  </fills>
  <borders count="21">
    <border>
      <left/>
      <right/>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rgb="FFCCCCCC"/>
      </left>
      <right/>
      <top style="thin">
        <color rgb="FFCCCCCC"/>
      </top>
      <bottom/>
      <diagonal/>
    </border>
    <border>
      <left/>
      <right/>
      <top style="thin">
        <color rgb="FFCCCCCC"/>
      </top>
      <bottom/>
      <diagonal/>
    </border>
    <border>
      <left/>
      <right style="thin">
        <color rgb="FFCCCCCC"/>
      </right>
      <top style="thin">
        <color rgb="FFCCCCCC"/>
      </top>
      <bottom/>
      <diagonal/>
    </border>
    <border>
      <left style="thin">
        <color rgb="FFCCCCCC"/>
      </left>
      <right/>
      <top/>
      <bottom/>
      <diagonal/>
    </border>
    <border>
      <left/>
      <right style="thin">
        <color rgb="FFCCCCCC"/>
      </right>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style="thin">
        <color theme="0"/>
      </top>
      <bottom/>
      <diagonal/>
    </border>
  </borders>
  <cellStyleXfs count="1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63">
    <xf numFmtId="0" fontId="0" fillId="0" borderId="0" xfId="0"/>
    <xf numFmtId="0" fontId="0" fillId="0" borderId="0" xfId="0" quotePrefix="1"/>
    <xf numFmtId="0" fontId="2" fillId="0" borderId="0" xfId="0" applyFont="1"/>
    <xf numFmtId="44" fontId="0" fillId="0" borderId="0" xfId="2" applyFont="1"/>
    <xf numFmtId="9" fontId="0" fillId="0" borderId="0" xfId="3" applyFont="1"/>
    <xf numFmtId="43" fontId="0" fillId="0" borderId="0" xfId="0" applyNumberFormat="1"/>
    <xf numFmtId="0" fontId="0" fillId="0" borderId="0" xfId="0" applyBorder="1"/>
    <xf numFmtId="0" fontId="4" fillId="2" borderId="0" xfId="0" applyFont="1" applyFill="1"/>
    <xf numFmtId="0" fontId="6" fillId="2" borderId="0" xfId="0" applyFont="1" applyFill="1"/>
    <xf numFmtId="0" fontId="7" fillId="2" borderId="0" xfId="0" applyFont="1" applyFill="1"/>
    <xf numFmtId="0" fontId="4" fillId="2" borderId="0" xfId="0" applyFont="1" applyFill="1" applyAlignment="1">
      <alignment horizontal="center"/>
    </xf>
    <xf numFmtId="0" fontId="3" fillId="2" borderId="0" xfId="0" applyFont="1" applyFill="1"/>
    <xf numFmtId="0" fontId="12" fillId="4" borderId="0" xfId="0" applyFont="1" applyFill="1"/>
    <xf numFmtId="0" fontId="12" fillId="4" borderId="0" xfId="0" applyFont="1" applyFill="1" applyAlignment="1"/>
    <xf numFmtId="0" fontId="4" fillId="2" borderId="0" xfId="0" applyFont="1" applyFill="1" applyAlignment="1"/>
    <xf numFmtId="0" fontId="21" fillId="2" borderId="18" xfId="0" applyFont="1" applyFill="1" applyBorder="1" applyAlignment="1">
      <alignment horizontal="left" vertical="center" indent="1"/>
    </xf>
    <xf numFmtId="0" fontId="21" fillId="2" borderId="19" xfId="0" applyFont="1" applyFill="1" applyBorder="1" applyAlignment="1">
      <alignment horizontal="left" vertical="center" indent="1"/>
    </xf>
    <xf numFmtId="0" fontId="23" fillId="9" borderId="0" xfId="0" applyFont="1" applyFill="1" applyAlignment="1">
      <alignment horizontal="left" vertical="center" indent="2"/>
    </xf>
    <xf numFmtId="0" fontId="19" fillId="9" borderId="0" xfId="0" applyFont="1" applyFill="1"/>
    <xf numFmtId="0" fontId="4" fillId="3" borderId="9" xfId="0" applyFont="1" applyFill="1" applyBorder="1"/>
    <xf numFmtId="0" fontId="4" fillId="3" borderId="10" xfId="0" applyFont="1" applyFill="1" applyBorder="1"/>
    <xf numFmtId="0" fontId="4" fillId="3" borderId="12" xfId="0" applyFont="1" applyFill="1" applyBorder="1"/>
    <xf numFmtId="0" fontId="4" fillId="3" borderId="0" xfId="0" applyFont="1" applyFill="1" applyBorder="1"/>
    <xf numFmtId="0" fontId="3" fillId="3" borderId="0" xfId="0" applyFont="1" applyFill="1" applyBorder="1"/>
    <xf numFmtId="0" fontId="20" fillId="3" borderId="0" xfId="0" applyFont="1" applyFill="1" applyBorder="1" applyAlignment="1">
      <alignment horizontal="center"/>
    </xf>
    <xf numFmtId="9" fontId="21" fillId="2" borderId="0" xfId="0" quotePrefix="1" applyNumberFormat="1" applyFont="1" applyFill="1" applyBorder="1" applyAlignment="1">
      <alignment horizontal="left" vertical="center" indent="1"/>
    </xf>
    <xf numFmtId="0" fontId="21" fillId="2" borderId="0" xfId="0" applyFont="1" applyFill="1" applyBorder="1" applyAlignment="1">
      <alignment horizontal="left" vertical="center" indent="1"/>
    </xf>
    <xf numFmtId="0" fontId="12" fillId="4" borderId="0" xfId="0" applyFont="1" applyFill="1" applyBorder="1" applyAlignment="1"/>
    <xf numFmtId="0" fontId="6" fillId="2" borderId="0" xfId="0" applyFont="1" applyFill="1" applyBorder="1" applyAlignment="1"/>
    <xf numFmtId="9" fontId="24" fillId="2" borderId="17" xfId="0" quotePrefix="1" applyNumberFormat="1" applyFont="1" applyFill="1" applyBorder="1" applyAlignment="1">
      <alignment horizontal="left" vertical="center" indent="1"/>
    </xf>
    <xf numFmtId="0" fontId="13" fillId="2" borderId="15" xfId="0" applyFont="1" applyFill="1" applyBorder="1"/>
    <xf numFmtId="0" fontId="25" fillId="2" borderId="15" xfId="0" applyFont="1" applyFill="1" applyBorder="1"/>
    <xf numFmtId="0" fontId="18" fillId="2" borderId="15" xfId="0" applyFont="1" applyFill="1" applyBorder="1"/>
    <xf numFmtId="0" fontId="26" fillId="0" borderId="0" xfId="0" applyFont="1"/>
    <xf numFmtId="0" fontId="27" fillId="0" borderId="0" xfId="0" applyFont="1"/>
    <xf numFmtId="0" fontId="28" fillId="0" borderId="0" xfId="0" applyFont="1"/>
    <xf numFmtId="37" fontId="1" fillId="0" borderId="0" xfId="1" applyNumberFormat="1" applyFont="1"/>
    <xf numFmtId="0" fontId="0" fillId="0" borderId="0" xfId="0" applyFont="1"/>
    <xf numFmtId="5" fontId="1" fillId="0" borderId="0" xfId="2" applyNumberFormat="1" applyFont="1"/>
    <xf numFmtId="9" fontId="1" fillId="0" borderId="0" xfId="3" applyFont="1"/>
    <xf numFmtId="0" fontId="0" fillId="0" borderId="0" xfId="0" applyFont="1" applyBorder="1"/>
    <xf numFmtId="0" fontId="0" fillId="0" borderId="0" xfId="0" quotePrefix="1" applyNumberFormat="1" applyFont="1" applyBorder="1"/>
    <xf numFmtId="5" fontId="0" fillId="0" borderId="0" xfId="2" applyNumberFormat="1" applyFont="1" applyBorder="1"/>
    <xf numFmtId="0" fontId="17" fillId="2" borderId="0" xfId="0" applyFont="1" applyFill="1"/>
    <xf numFmtId="0" fontId="29" fillId="2" borderId="0" xfId="0" applyFont="1" applyFill="1"/>
    <xf numFmtId="0" fontId="19" fillId="3" borderId="0" xfId="0" applyFont="1" applyFill="1"/>
    <xf numFmtId="0" fontId="5" fillId="2" borderId="0" xfId="0" applyFont="1" applyFill="1" applyAlignment="1">
      <alignment horizontal="center"/>
    </xf>
    <xf numFmtId="0" fontId="15" fillId="11" borderId="0" xfId="0" applyFont="1" applyFill="1" applyAlignment="1">
      <alignment horizontal="left" vertical="center" indent="2"/>
    </xf>
    <xf numFmtId="0" fontId="23" fillId="11" borderId="0" xfId="0" applyFont="1" applyFill="1" applyAlignment="1">
      <alignment horizontal="left" vertical="center" indent="2"/>
    </xf>
    <xf numFmtId="0" fontId="19" fillId="11" borderId="0" xfId="0" applyFont="1" applyFill="1"/>
    <xf numFmtId="0" fontId="19" fillId="5" borderId="0" xfId="0" applyFont="1" applyFill="1"/>
    <xf numFmtId="0" fontId="19" fillId="8" borderId="0" xfId="0" applyFont="1" applyFill="1"/>
    <xf numFmtId="0" fontId="19" fillId="6" borderId="0" xfId="0" applyFont="1" applyFill="1"/>
    <xf numFmtId="0" fontId="19" fillId="7" borderId="0" xfId="0" applyFont="1" applyFill="1"/>
    <xf numFmtId="0" fontId="33" fillId="2" borderId="0" xfId="0" applyFont="1" applyFill="1"/>
    <xf numFmtId="0" fontId="34" fillId="2" borderId="0" xfId="0" applyFont="1" applyFill="1"/>
    <xf numFmtId="0" fontId="33" fillId="2" borderId="0" xfId="0" applyFont="1" applyFill="1" applyAlignment="1"/>
    <xf numFmtId="0" fontId="35" fillId="2" borderId="0" xfId="0" applyFont="1" applyFill="1" applyAlignment="1"/>
    <xf numFmtId="0" fontId="35" fillId="2" borderId="0" xfId="0" applyFont="1" applyFill="1"/>
    <xf numFmtId="3" fontId="30" fillId="2" borderId="0" xfId="0" quotePrefix="1" applyNumberFormat="1" applyFont="1" applyFill="1" applyBorder="1" applyAlignment="1">
      <alignment horizontal="left" vertical="center" indent="1"/>
    </xf>
    <xf numFmtId="3" fontId="30" fillId="2" borderId="0" xfId="0" applyNumberFormat="1" applyFont="1" applyFill="1" applyBorder="1" applyAlignment="1">
      <alignment horizontal="left" vertical="center" indent="1"/>
    </xf>
    <xf numFmtId="9" fontId="30" fillId="2" borderId="0" xfId="0" quotePrefix="1" applyNumberFormat="1" applyFont="1" applyFill="1" applyBorder="1" applyAlignment="1">
      <alignment horizontal="left" vertical="center" indent="1"/>
    </xf>
    <xf numFmtId="0" fontId="30" fillId="2" borderId="0" xfId="0" applyFont="1" applyFill="1" applyBorder="1" applyAlignment="1">
      <alignment horizontal="left" vertical="center" indent="1"/>
    </xf>
    <xf numFmtId="5" fontId="9" fillId="3" borderId="20" xfId="0" applyNumberFormat="1" applyFont="1" applyFill="1" applyBorder="1" applyAlignment="1">
      <alignment horizontal="center" vertical="center"/>
    </xf>
    <xf numFmtId="0" fontId="5" fillId="3" borderId="20" xfId="0" applyFont="1" applyFill="1" applyBorder="1" applyAlignment="1">
      <alignment horizontal="center"/>
    </xf>
    <xf numFmtId="0" fontId="20" fillId="3" borderId="20" xfId="0" applyFont="1" applyFill="1" applyBorder="1" applyAlignment="1">
      <alignment horizontal="center"/>
    </xf>
    <xf numFmtId="37" fontId="9" fillId="3" borderId="20" xfId="1" applyNumberFormat="1" applyFont="1" applyFill="1" applyBorder="1" applyAlignment="1">
      <alignment horizontal="center" vertical="center"/>
    </xf>
    <xf numFmtId="0" fontId="4" fillId="3" borderId="20" xfId="0" applyFont="1" applyFill="1" applyBorder="1"/>
    <xf numFmtId="0" fontId="3" fillId="3" borderId="20" xfId="0" applyFont="1" applyFill="1" applyBorder="1"/>
    <xf numFmtId="0" fontId="5" fillId="3" borderId="20" xfId="0" applyFont="1" applyFill="1" applyBorder="1"/>
    <xf numFmtId="0" fontId="37" fillId="0" borderId="0" xfId="0" applyFont="1"/>
    <xf numFmtId="0" fontId="38" fillId="0" borderId="0" xfId="0" applyFont="1"/>
    <xf numFmtId="0" fontId="37" fillId="0" borderId="0" xfId="0" quotePrefix="1" applyFont="1"/>
    <xf numFmtId="5" fontId="37" fillId="0" borderId="0" xfId="2" applyNumberFormat="1" applyFont="1"/>
    <xf numFmtId="37" fontId="37" fillId="0" borderId="0" xfId="1" applyNumberFormat="1" applyFont="1"/>
    <xf numFmtId="1" fontId="37" fillId="0" borderId="0" xfId="0" applyNumberFormat="1" applyFont="1"/>
    <xf numFmtId="5" fontId="38" fillId="0" borderId="0" xfId="2" applyNumberFormat="1" applyFont="1"/>
    <xf numFmtId="37" fontId="38" fillId="0" borderId="0" xfId="1" applyNumberFormat="1" applyFont="1"/>
    <xf numFmtId="9" fontId="38" fillId="0" borderId="0" xfId="3" applyFont="1"/>
    <xf numFmtId="0" fontId="38" fillId="0" borderId="0" xfId="0" quotePrefix="1" applyNumberFormat="1" applyFont="1"/>
    <xf numFmtId="0" fontId="38" fillId="0" borderId="0" xfId="0" quotePrefix="1" applyFont="1" applyAlignment="1">
      <alignment horizontal="right"/>
    </xf>
    <xf numFmtId="37" fontId="1" fillId="0" borderId="0" xfId="1" applyNumberFormat="1" applyFont="1" applyBorder="1"/>
    <xf numFmtId="164" fontId="1" fillId="0" borderId="0" xfId="1" applyNumberFormat="1" applyFont="1" applyBorder="1"/>
    <xf numFmtId="9" fontId="0" fillId="0" borderId="0" xfId="3" applyFont="1" applyBorder="1"/>
    <xf numFmtId="0" fontId="0" fillId="0" borderId="0" xfId="0" quotePrefix="1" applyFont="1"/>
    <xf numFmtId="0" fontId="38" fillId="0" borderId="0" xfId="0" quotePrefix="1" applyFont="1"/>
    <xf numFmtId="1" fontId="38" fillId="0" borderId="0" xfId="0" applyNumberFormat="1" applyFont="1"/>
    <xf numFmtId="0" fontId="37" fillId="12" borderId="0" xfId="0" quotePrefix="1" applyFont="1" applyFill="1"/>
    <xf numFmtId="0" fontId="38" fillId="12" borderId="0" xfId="0" quotePrefix="1" applyFont="1" applyFill="1"/>
    <xf numFmtId="1" fontId="38" fillId="0" borderId="0" xfId="3" applyNumberFormat="1" applyFont="1"/>
    <xf numFmtId="44" fontId="38" fillId="0" borderId="0" xfId="2" applyFont="1"/>
    <xf numFmtId="0" fontId="39" fillId="0" borderId="0" xfId="0" applyFont="1"/>
    <xf numFmtId="0" fontId="40" fillId="0" borderId="0" xfId="0" applyFont="1"/>
    <xf numFmtId="49" fontId="2" fillId="0" borderId="0" xfId="0" applyNumberFormat="1" applyFont="1" applyAlignment="1">
      <alignment horizontal="left"/>
    </xf>
    <xf numFmtId="49" fontId="38" fillId="0" borderId="0" xfId="0" applyNumberFormat="1" applyFont="1" applyAlignment="1">
      <alignment horizontal="left"/>
    </xf>
    <xf numFmtId="49" fontId="0" fillId="0" borderId="0" xfId="0" quotePrefix="1" applyNumberFormat="1" applyAlignment="1">
      <alignment horizontal="left"/>
    </xf>
    <xf numFmtId="49" fontId="38" fillId="0" borderId="0" xfId="0" quotePrefix="1" applyNumberFormat="1" applyFont="1" applyAlignment="1">
      <alignment horizontal="left"/>
    </xf>
    <xf numFmtId="49" fontId="38" fillId="0" borderId="0" xfId="1" applyNumberFormat="1" applyFont="1" applyAlignment="1">
      <alignment horizontal="left"/>
    </xf>
    <xf numFmtId="49" fontId="0" fillId="0" borderId="0" xfId="0" applyNumberFormat="1" applyAlignment="1">
      <alignment horizontal="left"/>
    </xf>
    <xf numFmtId="49" fontId="37" fillId="0" borderId="0" xfId="0" quotePrefix="1" applyNumberFormat="1" applyFont="1" applyAlignment="1">
      <alignment horizontal="left"/>
    </xf>
    <xf numFmtId="49" fontId="38" fillId="0" borderId="0" xfId="1" quotePrefix="1" applyNumberFormat="1" applyFont="1" applyAlignment="1">
      <alignment horizontal="left"/>
    </xf>
    <xf numFmtId="49" fontId="38" fillId="12" borderId="0" xfId="2" quotePrefix="1" applyNumberFormat="1" applyFont="1" applyFill="1" applyAlignment="1">
      <alignment horizontal="left"/>
    </xf>
    <xf numFmtId="49" fontId="38" fillId="12" borderId="0" xfId="0" quotePrefix="1" applyNumberFormat="1" applyFont="1" applyFill="1" applyAlignment="1">
      <alignment horizontal="left"/>
    </xf>
    <xf numFmtId="49" fontId="38" fillId="12" borderId="0" xfId="1" quotePrefix="1" applyNumberFormat="1" applyFont="1" applyFill="1" applyAlignment="1">
      <alignment horizontal="left"/>
    </xf>
    <xf numFmtId="44" fontId="38" fillId="0" borderId="0" xfId="2" applyFont="1" applyAlignment="1">
      <alignment horizontal="left"/>
    </xf>
    <xf numFmtId="0" fontId="38" fillId="0" borderId="0" xfId="2" applyNumberFormat="1" applyFont="1" applyAlignment="1">
      <alignment horizontal="left"/>
    </xf>
    <xf numFmtId="10" fontId="38" fillId="0" borderId="0" xfId="3" applyNumberFormat="1" applyFont="1"/>
    <xf numFmtId="166" fontId="38" fillId="0" borderId="0" xfId="3" applyNumberFormat="1" applyFont="1"/>
    <xf numFmtId="44" fontId="38" fillId="0" borderId="0" xfId="2" quotePrefix="1" applyFont="1" applyAlignment="1">
      <alignment horizontal="left"/>
    </xf>
    <xf numFmtId="49" fontId="38" fillId="13" borderId="0" xfId="1" quotePrefix="1" applyNumberFormat="1" applyFont="1" applyFill="1" applyAlignment="1">
      <alignment horizontal="left"/>
    </xf>
    <xf numFmtId="165" fontId="38" fillId="0" borderId="0" xfId="3" applyNumberFormat="1" applyFont="1"/>
    <xf numFmtId="44" fontId="38" fillId="0" borderId="0" xfId="3" applyNumberFormat="1" applyFont="1"/>
    <xf numFmtId="164" fontId="38" fillId="0" borderId="0" xfId="1" applyNumberFormat="1" applyFont="1"/>
    <xf numFmtId="49" fontId="37" fillId="2" borderId="0" xfId="0" quotePrefix="1" applyNumberFormat="1" applyFont="1" applyFill="1" applyAlignment="1">
      <alignment horizontal="left"/>
    </xf>
    <xf numFmtId="49" fontId="41" fillId="0" borderId="0" xfId="1" quotePrefix="1" applyNumberFormat="1" applyFont="1" applyAlignment="1">
      <alignment horizontal="left"/>
    </xf>
    <xf numFmtId="3" fontId="30" fillId="2" borderId="17" xfId="0" quotePrefix="1" applyNumberFormat="1" applyFont="1" applyFill="1" applyBorder="1" applyAlignment="1">
      <alignment horizontal="left" vertical="center" indent="1"/>
    </xf>
    <xf numFmtId="3" fontId="30" fillId="2" borderId="18" xfId="0" applyNumberFormat="1" applyFont="1" applyFill="1" applyBorder="1" applyAlignment="1">
      <alignment horizontal="left" vertical="center" indent="1"/>
    </xf>
    <xf numFmtId="3" fontId="30" fillId="2" borderId="19" xfId="0" applyNumberFormat="1" applyFont="1" applyFill="1" applyBorder="1" applyAlignment="1">
      <alignment horizontal="left" vertical="center" indent="1"/>
    </xf>
    <xf numFmtId="9" fontId="30" fillId="2" borderId="17" xfId="0" quotePrefix="1" applyNumberFormat="1" applyFont="1" applyFill="1" applyBorder="1" applyAlignment="1">
      <alignment horizontal="left" vertical="center" indent="1"/>
    </xf>
    <xf numFmtId="0" fontId="30" fillId="2" borderId="18" xfId="0" applyFont="1" applyFill="1" applyBorder="1" applyAlignment="1">
      <alignment horizontal="left" vertical="center" indent="1"/>
    </xf>
    <xf numFmtId="0" fontId="30" fillId="2" borderId="19" xfId="0" applyFont="1" applyFill="1" applyBorder="1" applyAlignment="1">
      <alignment horizontal="left" vertical="center" indent="1"/>
    </xf>
    <xf numFmtId="0" fontId="20" fillId="3" borderId="20" xfId="0" applyFont="1" applyFill="1" applyBorder="1" applyAlignment="1">
      <alignment horizontal="center" vertical="center"/>
    </xf>
    <xf numFmtId="0" fontId="8" fillId="5" borderId="9"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5" borderId="0"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0"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22" fillId="3" borderId="10" xfId="0" quotePrefix="1" applyFont="1" applyFill="1" applyBorder="1" applyAlignment="1">
      <alignment horizontal="center" vertical="center"/>
    </xf>
    <xf numFmtId="5" fontId="14" fillId="3" borderId="0" xfId="0" applyNumberFormat="1" applyFont="1" applyFill="1" applyBorder="1" applyAlignment="1">
      <alignment horizontal="center" vertical="center"/>
    </xf>
    <xf numFmtId="37" fontId="14" fillId="10" borderId="0" xfId="1" applyNumberFormat="1" applyFont="1" applyFill="1" applyAlignment="1">
      <alignment horizontal="center" vertical="center"/>
    </xf>
    <xf numFmtId="0" fontId="20" fillId="3" borderId="0" xfId="0" applyFont="1" applyFill="1" applyBorder="1" applyAlignment="1">
      <alignment horizontal="center" vertical="center"/>
    </xf>
    <xf numFmtId="0" fontId="20" fillId="10" borderId="0" xfId="0" applyFont="1" applyFill="1" applyAlignment="1">
      <alignment horizontal="center" vertical="center"/>
    </xf>
    <xf numFmtId="0" fontId="15" fillId="8" borderId="0" xfId="0" applyFont="1" applyFill="1" applyAlignment="1">
      <alignment horizontal="center" vertical="center" wrapText="1"/>
    </xf>
    <xf numFmtId="3" fontId="14" fillId="3" borderId="0" xfId="0" applyNumberFormat="1" applyFont="1" applyFill="1" applyBorder="1" applyAlignment="1">
      <alignment horizontal="center" vertical="center"/>
    </xf>
    <xf numFmtId="0" fontId="16" fillId="2" borderId="9"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16">
    <cellStyle name="Comma" xfId="1" builtinId="3"/>
    <cellStyle name="Currency" xfId="2" builtinId="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Percent" xfId="3" builtinId="5"/>
  </cellStyles>
  <dxfs count="0"/>
  <tableStyles count="0" defaultTableStyle="TableStyleMedium2" defaultPivotStyle="PivotStyleLight16"/>
  <colors>
    <mruColors>
      <color rgb="FF222121"/>
      <color rgb="FFCCCCCC"/>
      <color rgb="FF1F74BB"/>
      <color rgb="FF7F7F80"/>
      <color rgb="FFFAA41A"/>
      <color rgb="FF6EBE49"/>
      <color rgb="FFF7F8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24"/>
  <sheetViews>
    <sheetView tabSelected="1" topLeftCell="A98" workbookViewId="0">
      <selection activeCell="F77" sqref="F77"/>
    </sheetView>
  </sheetViews>
  <sheetFormatPr defaultColWidth="8.85546875" defaultRowHeight="15"/>
  <cols>
    <col min="2" max="2" width="10.7109375" customWidth="1"/>
    <col min="3" max="3" width="59" customWidth="1"/>
    <col min="4" max="4" width="14.42578125" customWidth="1"/>
    <col min="5" max="5" width="37" style="98" customWidth="1"/>
    <col min="6" max="6" width="22.85546875" customWidth="1"/>
    <col min="7" max="7" width="24" customWidth="1"/>
    <col min="8" max="8" width="20.42578125" bestFit="1" customWidth="1"/>
  </cols>
  <sheetData>
    <row r="2" spans="1:11">
      <c r="B2" s="2" t="s">
        <v>33</v>
      </c>
      <c r="C2" s="2"/>
      <c r="D2" s="2"/>
      <c r="E2" s="93"/>
      <c r="F2" s="2"/>
      <c r="J2" t="s">
        <v>346</v>
      </c>
    </row>
    <row r="3" spans="1:11">
      <c r="B3" s="2"/>
      <c r="C3" s="2"/>
      <c r="D3" s="2"/>
      <c r="E3" s="93"/>
      <c r="F3" s="2"/>
    </row>
    <row r="4" spans="1:11">
      <c r="B4" s="2" t="s">
        <v>0</v>
      </c>
      <c r="C4" s="2" t="s">
        <v>64</v>
      </c>
      <c r="D4" s="2" t="s">
        <v>53</v>
      </c>
      <c r="E4" s="93" t="s">
        <v>2</v>
      </c>
      <c r="F4" s="2" t="s">
        <v>3</v>
      </c>
      <c r="G4" s="2" t="s">
        <v>35</v>
      </c>
      <c r="H4" s="2" t="s">
        <v>36</v>
      </c>
    </row>
    <row r="5" spans="1:11">
      <c r="A5">
        <v>3</v>
      </c>
      <c r="B5" s="71" t="s">
        <v>42</v>
      </c>
      <c r="C5" s="71" t="s">
        <v>131</v>
      </c>
      <c r="D5" s="71" t="s">
        <v>10</v>
      </c>
      <c r="E5" s="94"/>
      <c r="F5" s="76">
        <v>24000</v>
      </c>
      <c r="I5" t="s">
        <v>347</v>
      </c>
      <c r="J5" t="str">
        <f>"(10017,'"&amp;C5&amp;"','"&amp;C5&amp;"',2,1,"&amp;A5&amp;",'B','"&amp;E5&amp;"','"&amp;F5&amp;"')"</f>
        <v>(10017,'Number of invoices per year','Number of invoices per year',2,1,3,'B','','24000')</v>
      </c>
    </row>
    <row r="6" spans="1:11">
      <c r="A6">
        <v>4</v>
      </c>
      <c r="B6" s="71" t="s">
        <v>43</v>
      </c>
      <c r="C6" s="71" t="s">
        <v>132</v>
      </c>
      <c r="D6" s="71" t="s">
        <v>10</v>
      </c>
      <c r="E6" s="94"/>
      <c r="F6" s="77">
        <v>12000</v>
      </c>
      <c r="I6" t="s">
        <v>348</v>
      </c>
      <c r="J6" t="str">
        <f t="shared" ref="J6" si="0">"(10017,'"&amp;C6&amp;"','"&amp;C6&amp;"',2,1,"&amp;A6&amp;",'B','"&amp;E6&amp;"','"&amp;F6&amp;"')"</f>
        <v>(10017,'Number of payments per year','Number of payments per year',2,1,4,'B','','12000')</v>
      </c>
    </row>
    <row r="7" spans="1:11">
      <c r="A7">
        <v>5</v>
      </c>
      <c r="B7" s="71" t="s">
        <v>44</v>
      </c>
      <c r="C7" s="71" t="s">
        <v>133</v>
      </c>
      <c r="D7" s="71" t="s">
        <v>10</v>
      </c>
      <c r="E7" s="94"/>
      <c r="F7" s="78">
        <v>0.2</v>
      </c>
      <c r="I7" t="s">
        <v>349</v>
      </c>
      <c r="J7" t="str">
        <f>J6&amp;","&amp;"(10017,'"&amp;C7&amp;"','"&amp;C7&amp;"',2,1,"&amp;A7&amp;",'B','"&amp;E7&amp;"','"&amp;F7&amp;"')"</f>
        <v>(10017,'Number of payments per year','Number of payments per year',2,1,4,'B','','12000'),(10017,'Percent of payments already electronic','Percent of payments already electronic',2,1,5,'B','','0.2')</v>
      </c>
      <c r="K7" t="str">
        <f>J6&amp;","&amp;J7</f>
        <v>(10017,'Number of payments per year','Number of payments per year',2,1,4,'B','','12000'),(10017,'Number of payments per year','Number of payments per year',2,1,4,'B','','12000'),(10017,'Percent of payments already electronic','Percent of payments already electronic',2,1,5,'B','','0.2')</v>
      </c>
    </row>
    <row r="8" spans="1:11" s="71" customFormat="1">
      <c r="A8" s="71">
        <v>6</v>
      </c>
      <c r="B8" s="71" t="s">
        <v>45</v>
      </c>
      <c r="C8" s="71" t="s">
        <v>134</v>
      </c>
      <c r="D8" s="71" t="s">
        <v>10</v>
      </c>
      <c r="E8" s="94"/>
      <c r="F8" s="90">
        <v>40000000</v>
      </c>
      <c r="I8" s="71" t="s">
        <v>350</v>
      </c>
      <c r="J8" t="str">
        <f t="shared" ref="J8:J10" si="1">J7&amp;","&amp;"(10017,'"&amp;C8&amp;"','"&amp;C8&amp;"',2,1,"&amp;A8&amp;",'B','"&amp;E8&amp;"','"&amp;F8&amp;"')"</f>
        <v>(10017,'Number of payments per year','Number of payments per year',2,1,4,'B','','12000'),(10017,'Percent of payments already electronic','Percent of payments already electronic',2,1,5,'B','','0.2'),(10017,'Annual AP Spend','Annual AP Spend',2,1,6,'B','','40000000')</v>
      </c>
      <c r="K8" t="str">
        <f t="shared" ref="K8:K9" si="2">J7&amp;","&amp;J8</f>
        <v>(10017,'Number of payments per year','Number of payments per year',2,1,4,'B','','12000'),(10017,'Percent of payments already electronic','Percent of payments already electronic',2,1,5,'B','','0.2'),(10017,'Number of payments per year','Number of payments per year',2,1,4,'B','','12000'),(10017,'Percent of payments already electronic','Percent of payments already electronic',2,1,5,'B','','0.2'),(10017,'Annual AP Spend','Annual AP Spend',2,1,6,'B','','40000000')</v>
      </c>
    </row>
    <row r="9" spans="1:11" s="71" customFormat="1">
      <c r="A9" s="71">
        <v>7</v>
      </c>
      <c r="B9" s="71" t="s">
        <v>136</v>
      </c>
      <c r="C9" s="71" t="s">
        <v>135</v>
      </c>
      <c r="D9" s="71" t="s">
        <v>10</v>
      </c>
      <c r="E9" s="94"/>
      <c r="F9" s="89">
        <v>2</v>
      </c>
      <c r="I9" s="71" t="s">
        <v>351</v>
      </c>
      <c r="J9" t="str">
        <f t="shared" si="1"/>
        <v>(10017,'Number of payments per year','Number of payments per year',2,1,4,'B','','12000'),(10017,'Percent of payments already electronic','Percent of payments already electronic',2,1,5,'B','','0.2'),(10017,'Annual AP Spend','Annual AP Spend',2,1,6,'B','','40000000'),(10017,'# of Employees processing AP','# of Employees processing AP',2,1,7,'B','','2')</v>
      </c>
      <c r="K9" t="str">
        <f t="shared" si="2"/>
        <v>(10017,'Number of payments per year','Number of payments per year',2,1,4,'B','','12000'),(10017,'Percent of payments already electronic','Percent of payments already electronic',2,1,5,'B','','0.2'),(10017,'Annual AP Spend','Annual AP Spend',2,1,6,'B','','40000000'),(10017,'Number of payments per year','Number of payments per year',2,1,4,'B','','12000'),(10017,'Percent of payments already electronic','Percent of payments already electronic',2,1,5,'B','','0.2'),(10017,'Annual AP Spend','Annual AP Spend',2,1,6,'B','','40000000'),(10017,'# of Employees processing AP','# of Employees processing AP',2,1,7,'B','','2')</v>
      </c>
    </row>
    <row r="10" spans="1:11" s="71" customFormat="1">
      <c r="E10" s="94"/>
      <c r="F10" s="78"/>
      <c r="I10" s="71" t="s">
        <v>352</v>
      </c>
      <c r="J10" t="str">
        <f t="shared" si="1"/>
        <v>(10017,'Number of payments per year','Number of payments per year',2,1,4,'B','','12000'),(10017,'Percent of payments already electronic','Percent of payments already electronic',2,1,5,'B','','0.2'),(10017,'Annual AP Spend','Annual AP Spend',2,1,6,'B','','40000000'),(10017,'# of Employees processing AP','# of Employees processing AP',2,1,7,'B','','2'),(10017,'','',2,1,,'B','','')</v>
      </c>
    </row>
    <row r="11" spans="1:11">
      <c r="I11" t="s">
        <v>353</v>
      </c>
    </row>
    <row r="12" spans="1:11">
      <c r="C12" s="2" t="s">
        <v>63</v>
      </c>
      <c r="D12" s="2"/>
      <c r="E12" s="95"/>
      <c r="F12" s="5"/>
    </row>
    <row r="13" spans="1:11" s="71" customFormat="1">
      <c r="E13" s="96"/>
      <c r="F13" s="78"/>
    </row>
    <row r="14" spans="1:11" s="71" customFormat="1">
      <c r="C14" s="92" t="s">
        <v>137</v>
      </c>
      <c r="E14" s="96"/>
      <c r="F14" s="78"/>
    </row>
    <row r="15" spans="1:11" s="71" customFormat="1">
      <c r="B15" s="71" t="s">
        <v>139</v>
      </c>
      <c r="C15" s="71" t="s">
        <v>138</v>
      </c>
      <c r="E15" s="101" t="s">
        <v>42</v>
      </c>
      <c r="F15" s="76"/>
    </row>
    <row r="16" spans="1:11" s="71" customFormat="1">
      <c r="B16" s="71" t="s">
        <v>140</v>
      </c>
      <c r="C16" s="71" t="s">
        <v>145</v>
      </c>
      <c r="E16" s="102" t="s">
        <v>43</v>
      </c>
      <c r="F16" s="89"/>
    </row>
    <row r="17" spans="1:10" s="71" customFormat="1">
      <c r="B17" s="71" t="s">
        <v>141</v>
      </c>
      <c r="C17" s="71" t="s">
        <v>146</v>
      </c>
      <c r="E17" s="103" t="s">
        <v>44</v>
      </c>
      <c r="F17" s="78"/>
    </row>
    <row r="18" spans="1:10" s="71" customFormat="1">
      <c r="A18" s="71">
        <v>6</v>
      </c>
      <c r="B18" s="71" t="s">
        <v>142</v>
      </c>
      <c r="C18" s="71" t="s">
        <v>147</v>
      </c>
      <c r="E18" s="100" t="s">
        <v>150</v>
      </c>
      <c r="F18" s="77">
        <f>F8/F5</f>
        <v>1666.6666666666667</v>
      </c>
      <c r="J18" t="str">
        <f t="shared" ref="J18:J19" si="3">J17&amp;","&amp;"(10017,'"&amp;C18&amp;"','"&amp;C18&amp;"',2,1,"&amp;A18&amp;",'B','"&amp;E18&amp;"','"&amp;F18&amp;"')"</f>
        <v>,(10017,'Average Invoice Amount','Average Invoice Amount',2,1,6,'B','B6/B3','1666.66666666667')</v>
      </c>
    </row>
    <row r="19" spans="1:10" s="71" customFormat="1">
      <c r="A19" s="71">
        <v>7</v>
      </c>
      <c r="B19" s="71" t="s">
        <v>143</v>
      </c>
      <c r="C19" s="71" t="s">
        <v>148</v>
      </c>
      <c r="E19" s="100" t="s">
        <v>151</v>
      </c>
      <c r="F19" s="77">
        <f>F8/F6</f>
        <v>3333.3333333333335</v>
      </c>
      <c r="J19" t="str">
        <f t="shared" si="3"/>
        <v>,(10017,'Average Invoice Amount','Average Invoice Amount',2,1,6,'B','B6/B3','1666.66666666667'),(10017,'Average Payment Amount','Average Payment Amount',2,1,7,'B','B6/B4','3333.33333333333')</v>
      </c>
    </row>
    <row r="20" spans="1:10" s="71" customFormat="1">
      <c r="B20" s="71" t="s">
        <v>144</v>
      </c>
      <c r="C20" s="71" t="s">
        <v>149</v>
      </c>
      <c r="E20" s="103" t="s">
        <v>45</v>
      </c>
      <c r="F20" s="90"/>
      <c r="J20" s="71" t="s">
        <v>354</v>
      </c>
    </row>
    <row r="21" spans="1:10" s="71" customFormat="1">
      <c r="E21" s="97"/>
      <c r="F21" s="77"/>
    </row>
    <row r="22" spans="1:10" s="71" customFormat="1">
      <c r="C22" s="92" t="s">
        <v>152</v>
      </c>
      <c r="E22" s="97"/>
      <c r="F22" s="77"/>
    </row>
    <row r="23" spans="1:10" s="71" customFormat="1">
      <c r="A23" s="71">
        <v>11</v>
      </c>
      <c r="B23" s="71" t="s">
        <v>153</v>
      </c>
      <c r="C23" s="71" t="s">
        <v>162</v>
      </c>
      <c r="E23" s="105">
        <v>5</v>
      </c>
      <c r="F23" s="104">
        <v>5</v>
      </c>
      <c r="J23" t="str">
        <f>J22&amp;","&amp;"(10017,'"&amp;C23&amp;"','"&amp;C23&amp;"',2,1,"&amp;A23&amp;",'C','"&amp;E23&amp;"','"&amp;F23&amp;"')"</f>
        <v>,(10017,'Current Cost of Manual Check Printing/Mailing','Current Cost of Manual Check Printing/Mailing',2,1,11,'C','5','5')</v>
      </c>
    </row>
    <row r="24" spans="1:10" s="71" customFormat="1">
      <c r="A24" s="71">
        <v>12</v>
      </c>
      <c r="B24" s="71" t="s">
        <v>154</v>
      </c>
      <c r="C24" s="71" t="s">
        <v>163</v>
      </c>
      <c r="E24" s="105">
        <v>0.55000000000000004</v>
      </c>
      <c r="F24" s="104">
        <v>0.55000000000000004</v>
      </c>
      <c r="J24" t="str">
        <f t="shared" ref="J24:J31" si="4">J23&amp;","&amp;"(10017,'"&amp;C24&amp;"','"&amp;C24&amp;"',2,1,"&amp;A24&amp;",'C','"&amp;E24&amp;"','"&amp;F24&amp;"')"</f>
        <v>,(10017,'Current Cost of Manual Check Printing/Mailing','Current Cost of Manual Check Printing/Mailing',2,1,11,'C','5','5'),(10017,'Current Cost of ACH^','Current Cost of ACH^',2,1,12,'C','0.55','0.55')</v>
      </c>
    </row>
    <row r="25" spans="1:10" s="71" customFormat="1">
      <c r="A25" s="71">
        <v>13</v>
      </c>
      <c r="B25" s="71" t="s">
        <v>155</v>
      </c>
      <c r="C25" s="71" t="s">
        <v>164</v>
      </c>
      <c r="E25" s="105">
        <v>15</v>
      </c>
      <c r="F25" s="104">
        <v>15</v>
      </c>
      <c r="J25" t="str">
        <f t="shared" si="4"/>
        <v>,(10017,'Current Cost of Manual Check Printing/Mailing','Current Cost of Manual Check Printing/Mailing',2,1,11,'C','5','5'),(10017,'Current Cost of ACH^','Current Cost of ACH^',2,1,12,'C','0.55','0.55'),(10017,'Industry Est. Manual Processing Cost per Invoice','Industry Est. Manual Processing Cost per Invoice',2,1,13,'C','15','15')</v>
      </c>
    </row>
    <row r="26" spans="1:10" s="71" customFormat="1">
      <c r="A26" s="71">
        <v>14</v>
      </c>
      <c r="B26" s="71" t="s">
        <v>156</v>
      </c>
      <c r="C26" s="71" t="s">
        <v>165</v>
      </c>
      <c r="E26" s="105">
        <v>4</v>
      </c>
      <c r="F26" s="104">
        <v>4</v>
      </c>
      <c r="J26" t="str">
        <f t="shared" si="4"/>
        <v>,(10017,'Current Cost of Manual Check Printing/Mailing','Current Cost of Manual Check Printing/Mailing',2,1,11,'C','5','5'),(10017,'Current Cost of ACH^','Current Cost of ACH^',2,1,12,'C','0.55','0.55'),(10017,'Industry Est. Manual Processing Cost per Invoice','Industry Est. Manual Processing Cost per Invoice',2,1,13,'C','15','15'),(10017,'Industry Est. Automated Processing Cost per Invoice','Industry Est. Automated Processing Cost per Invoice',2,1,14,'C','4','4')</v>
      </c>
    </row>
    <row r="27" spans="1:10" s="71" customFormat="1">
      <c r="A27" s="71">
        <v>15</v>
      </c>
      <c r="B27" s="71" t="s">
        <v>157</v>
      </c>
      <c r="C27" s="71" t="s">
        <v>166</v>
      </c>
      <c r="E27" s="97" t="s">
        <v>171</v>
      </c>
      <c r="F27" s="78">
        <v>0</v>
      </c>
      <c r="J27" t="str">
        <f t="shared" si="4"/>
        <v>,(10017,'Current Cost of Manual Check Printing/Mailing','Current Cost of Manual Check Printing/Mailing',2,1,11,'C','5','5'),(10017,'Current Cost of ACH^','Current Cost of ACH^',2,1,12,'C','0.55','0.55'),(10017,'Industry Est. Manual Processing Cost per Invoice','Industry Est. Manual Processing Cost per Invoice',2,1,13,'C','15','15'),(10017,'Industry Est. Automated Processing Cost per Invoice','Industry Est. Automated Processing Cost per Invoice',2,1,14,'C','4','4'),(10017,'ADD'L Percentage of Payments to ACH','ADD'L Percentage of Payments to ACH',2,1,15,'C','0','0')</v>
      </c>
    </row>
    <row r="28" spans="1:10" s="71" customFormat="1">
      <c r="A28" s="71">
        <v>16</v>
      </c>
      <c r="B28" s="71" t="s">
        <v>158</v>
      </c>
      <c r="C28" s="71" t="s">
        <v>167</v>
      </c>
      <c r="E28" s="97" t="s">
        <v>172</v>
      </c>
      <c r="F28" s="78">
        <v>0.1</v>
      </c>
      <c r="J28" t="str">
        <f t="shared" si="4"/>
        <v>,(10017,'Current Cost of Manual Check Printing/Mailing','Current Cost of Manual Check Printing/Mailing',2,1,11,'C','5','5'),(10017,'Current Cost of ACH^','Current Cost of ACH^',2,1,12,'C','0.55','0.55'),(10017,'Industry Est. Manual Processing Cost per Invoice','Industry Est. Manual Processing Cost per Invoice',2,1,13,'C','15','15'),(10017,'Industry Est. Automated Processing Cost per Invoice','Industry Est. Automated Processing Cost per Invoice',2,1,14,'C','4','4'),(10017,'ADD'L Percentage of Payments to ACH','ADD'L Percentage of Payments to ACH',2,1,15,'C','0','0'),(10017,'Percentage of Spend to Rebate Offering Vendors','Percentage of Spend to Rebate Offering Vendors',2,1,16,'C','.1','0.1')</v>
      </c>
    </row>
    <row r="29" spans="1:10" s="71" customFormat="1">
      <c r="A29" s="71">
        <v>17</v>
      </c>
      <c r="B29" s="71" t="s">
        <v>159</v>
      </c>
      <c r="C29" s="71" t="s">
        <v>168</v>
      </c>
      <c r="E29" s="97" t="s">
        <v>173</v>
      </c>
      <c r="F29" s="106">
        <v>5.0000000000000001E-3</v>
      </c>
      <c r="J29" t="str">
        <f t="shared" si="4"/>
        <v>,(10017,'Current Cost of Manual Check Printing/Mailing','Current Cost of Manual Check Printing/Mailing',2,1,11,'C','5','5'),(10017,'Current Cost of ACH^','Current Cost of ACH^',2,1,12,'C','0.55','0.55'),(10017,'Industry Est. Manual Processing Cost per Invoice','Industry Est. Manual Processing Cost per Invoice',2,1,13,'C','15','15'),(10017,'Industry Est. Automated Processing Cost per Invoice','Industry Est. Automated Processing Cost per Invoice',2,1,14,'C','4','4'),(10017,'ADD'L Percentage of Payments to ACH','ADD'L Percentage of Payments to ACH',2,1,15,'C','0','0'),(10017,'Percentage of Spend to Rebate Offering Vendors','Percentage of Spend to Rebate Offering Vendors',2,1,16,'C','.1','0.1'),(10017,'Average Rebate Amount','Average Rebate Amount',2,1,17,'C','0.005','0.005')</v>
      </c>
    </row>
    <row r="30" spans="1:10" s="71" customFormat="1">
      <c r="A30" s="71">
        <v>18</v>
      </c>
      <c r="B30" s="71" t="s">
        <v>160</v>
      </c>
      <c r="C30" s="71" t="s">
        <v>169</v>
      </c>
      <c r="E30" s="100" t="s">
        <v>174</v>
      </c>
      <c r="F30" s="107">
        <f>5940000/4000000000</f>
        <v>1.485E-3</v>
      </c>
      <c r="J30" t="str">
        <f t="shared" si="4"/>
        <v>,(10017,'Current Cost of Manual Check Printing/Mailing','Current Cost of Manual Check Printing/Mailing',2,1,11,'C','5','5'),(10017,'Current Cost of ACH^','Current Cost of ACH^',2,1,12,'C','0.55','0.55'),(10017,'Industry Est. Manual Processing Cost per Invoice','Industry Est. Manual Processing Cost per Invoice',2,1,13,'C','15','15'),(10017,'Industry Est. Automated Processing Cost per Invoice','Industry Est. Automated Processing Cost per Invoice',2,1,14,'C','4','4'),(10017,'ADD'L Percentage of Payments to ACH','ADD'L Percentage of Payments to ACH',2,1,15,'C','0','0'),(10017,'Percentage of Spend to Rebate Offering Vendors','Percentage of Spend to Rebate Offering Vendors',2,1,16,'C','.1','0.1'),(10017,'Average Rebate Amount','Average Rebate Amount',2,1,17,'C','0.005','0.005'),(10017,'Early Pay Discount as a Percent of Total Spend*','Early Pay Discount as a Percent of Total Spend*',2,1,18,'C','5940000/4000000000','0.001485')</v>
      </c>
    </row>
    <row r="31" spans="1:10" s="71" customFormat="1">
      <c r="A31" s="71">
        <v>19</v>
      </c>
      <c r="B31" s="71" t="s">
        <v>161</v>
      </c>
      <c r="C31" s="71" t="s">
        <v>170</v>
      </c>
      <c r="E31" s="97" t="s">
        <v>175</v>
      </c>
      <c r="F31" s="78">
        <v>0.05</v>
      </c>
      <c r="J31" t="str">
        <f t="shared" si="4"/>
        <v>,(10017,'Current Cost of Manual Check Printing/Mailing','Current Cost of Manual Check Printing/Mailing',2,1,11,'C','5','5'),(10017,'Current Cost of ACH^','Current Cost of ACH^',2,1,12,'C','0.55','0.55'),(10017,'Industry Est. Manual Processing Cost per Invoice','Industry Est. Manual Processing Cost per Invoice',2,1,13,'C','15','15'),(10017,'Industry Est. Automated Processing Cost per Invoice','Industry Est. Automated Processing Cost per Invoice',2,1,14,'C','4','4'),(10017,'ADD'L Percentage of Payments to ACH','ADD'L Percentage of Payments to ACH',2,1,15,'C','0','0'),(10017,'Percentage of Spend to Rebate Offering Vendors','Percentage of Spend to Rebate Offering Vendors',2,1,16,'C','.1','0.1'),(10017,'Average Rebate Amount','Average Rebate Amount',2,1,17,'C','0.005','0.005'),(10017,'Early Pay Discount as a Percent of Total Spend*','Early Pay Discount as a Percent of Total Spend*',2,1,18,'C','5940000/4000000000','0.001485'),(10017,'Discount Rate','Discount Rate',2,1,19,'C','.05','0.05')</v>
      </c>
    </row>
    <row r="32" spans="1:10" s="71" customFormat="1">
      <c r="E32" s="97"/>
      <c r="F32" s="78"/>
      <c r="J32" s="71" t="s">
        <v>355</v>
      </c>
    </row>
    <row r="33" spans="1:10" s="71" customFormat="1">
      <c r="C33" s="92" t="s">
        <v>176</v>
      </c>
      <c r="E33" s="97"/>
      <c r="F33" s="78"/>
    </row>
    <row r="34" spans="1:10" s="71" customFormat="1">
      <c r="A34" s="71">
        <v>22</v>
      </c>
      <c r="B34" s="71" t="s">
        <v>177</v>
      </c>
      <c r="C34" s="71" t="s">
        <v>180</v>
      </c>
      <c r="E34" s="97" t="s">
        <v>183</v>
      </c>
      <c r="F34" s="90">
        <v>1.75</v>
      </c>
      <c r="J34" t="str">
        <f t="shared" ref="J34:J36" si="5">J33&amp;","&amp;"(10017,'"&amp;C34&amp;"','"&amp;C34&amp;"',2,1,"&amp;A34&amp;",'C','"&amp;E34&amp;"','"&amp;F34&amp;"')"</f>
        <v>,(10017,'MineralTree per Check Cost','MineralTree per Check Cost',2,1,22,'C','1.75','1.75')</v>
      </c>
    </row>
    <row r="35" spans="1:10" s="71" customFormat="1">
      <c r="A35" s="71">
        <v>23</v>
      </c>
      <c r="B35" s="71" t="s">
        <v>178</v>
      </c>
      <c r="C35" s="71" t="s">
        <v>181</v>
      </c>
      <c r="E35" s="97" t="s">
        <v>184</v>
      </c>
      <c r="F35" s="90">
        <v>0.5</v>
      </c>
      <c r="J35" t="str">
        <f t="shared" si="5"/>
        <v>,(10017,'MineralTree per Check Cost','MineralTree per Check Cost',2,1,22,'C','1.75','1.75'),(10017,'MineralTree per ACH Cost','MineralTree per ACH Cost',2,1,23,'C','0.5','0.5')</v>
      </c>
    </row>
    <row r="36" spans="1:10" s="71" customFormat="1">
      <c r="A36" s="71">
        <v>24</v>
      </c>
      <c r="B36" s="71" t="s">
        <v>179</v>
      </c>
      <c r="C36" s="71" t="s">
        <v>182</v>
      </c>
      <c r="E36" s="97" t="s">
        <v>185</v>
      </c>
      <c r="F36" s="90">
        <v>3.5</v>
      </c>
      <c r="J36" t="str">
        <f t="shared" si="5"/>
        <v>,(10017,'MineralTree per Check Cost','MineralTree per Check Cost',2,1,22,'C','1.75','1.75'),(10017,'MineralTree per ACH Cost','MineralTree per ACH Cost',2,1,23,'C','0.5','0.5'),(10017,'MineralTree per Invoice: capture-code-approve-post','MineralTree per Invoice: capture-code-approve-post',2,1,24,'C','3.5','3.5')</v>
      </c>
    </row>
    <row r="37" spans="1:10" s="71" customFormat="1">
      <c r="E37" s="97"/>
      <c r="F37" s="78"/>
      <c r="J37" s="71" t="s">
        <v>356</v>
      </c>
    </row>
    <row r="38" spans="1:10" s="71" customFormat="1">
      <c r="C38" s="92" t="s">
        <v>186</v>
      </c>
      <c r="E38" s="97"/>
      <c r="F38" s="78"/>
    </row>
    <row r="39" spans="1:10" s="71" customFormat="1">
      <c r="B39" s="71" t="s">
        <v>187</v>
      </c>
      <c r="C39" s="71" t="s">
        <v>199</v>
      </c>
      <c r="E39" s="103" t="s">
        <v>43</v>
      </c>
      <c r="F39" s="89"/>
      <c r="J39"/>
    </row>
    <row r="40" spans="1:10" s="71" customFormat="1">
      <c r="A40" s="71">
        <v>4</v>
      </c>
      <c r="B40" s="71" t="s">
        <v>188</v>
      </c>
      <c r="C40" s="71" t="s">
        <v>200</v>
      </c>
      <c r="E40" s="100" t="s">
        <v>211</v>
      </c>
      <c r="F40" s="89">
        <f>F6*(1-F7)</f>
        <v>9600</v>
      </c>
      <c r="J40" t="str">
        <f>J39&amp;","&amp;"(10017,'"&amp;C40&amp;"','"&amp;C40&amp;"',2,1,"&amp;A40&amp;",'G','"&amp;E40&amp;"','"&amp;F40&amp;"')"</f>
        <v>,(10017,'Current Annual Checks','Current Annual Checks',2,1,4,'G','B4*(1-B5)','9600')</v>
      </c>
    </row>
    <row r="41" spans="1:10" s="71" customFormat="1">
      <c r="A41" s="71">
        <v>5</v>
      </c>
      <c r="B41" s="71" t="s">
        <v>189</v>
      </c>
      <c r="C41" s="71" t="s">
        <v>201</v>
      </c>
      <c r="E41" s="100" t="s">
        <v>212</v>
      </c>
      <c r="F41" s="89">
        <f>F6*F7</f>
        <v>2400</v>
      </c>
      <c r="J41" t="str">
        <f>IF(ISBLANK(A41),J40,J40&amp;","&amp;"(10017,'"&amp;C41&amp;"','"&amp;C41&amp;"',2,1,"&amp;A41&amp;",'G','"&amp;E41&amp;"','"&amp;F41&amp;"')")</f>
        <v>,(10017,'Current Annual Checks','Current Annual Checks',2,1,4,'G','B4*(1-B5)','9600'),(10017,'Current Annual ACH','Current Annual ACH',2,1,5,'G','B4*B5','2400')</v>
      </c>
    </row>
    <row r="42" spans="1:10" s="71" customFormat="1">
      <c r="B42" s="71" t="s">
        <v>190</v>
      </c>
      <c r="C42" s="71" t="s">
        <v>202</v>
      </c>
      <c r="E42" s="103" t="s">
        <v>153</v>
      </c>
      <c r="F42" s="111"/>
      <c r="J42" t="str">
        <f t="shared" ref="J42:J50" si="6">IF(ISBLANK(A42),J41,J41&amp;","&amp;"(10017,'"&amp;C42&amp;"','"&amp;C42&amp;"',2,1,"&amp;A42&amp;",'G','"&amp;E42&amp;"','"&amp;F42&amp;"')")</f>
        <v>,(10017,'Current Annual Checks','Current Annual Checks',2,1,4,'G','B4*(1-B5)','9600'),(10017,'Current Annual ACH','Current Annual ACH',2,1,5,'G','B4*B5','2400')</v>
      </c>
    </row>
    <row r="43" spans="1:10" s="71" customFormat="1">
      <c r="B43" s="71" t="s">
        <v>191</v>
      </c>
      <c r="C43" s="71" t="s">
        <v>203</v>
      </c>
      <c r="E43" s="103" t="s">
        <v>154</v>
      </c>
      <c r="F43" s="111"/>
      <c r="J43" t="str">
        <f t="shared" si="6"/>
        <v>,(10017,'Current Annual Checks','Current Annual Checks',2,1,4,'G','B4*(1-B5)','9600'),(10017,'Current Annual ACH','Current Annual ACH',2,1,5,'G','B4*B5','2400')</v>
      </c>
    </row>
    <row r="44" spans="1:10" s="71" customFormat="1">
      <c r="A44" s="71">
        <v>8</v>
      </c>
      <c r="B44" s="71" t="s">
        <v>192</v>
      </c>
      <c r="C44" s="71" t="s">
        <v>204</v>
      </c>
      <c r="E44" s="100" t="s">
        <v>213</v>
      </c>
      <c r="F44" s="110">
        <f>F23*F40+F41*F24</f>
        <v>49320</v>
      </c>
      <c r="J44" t="str">
        <f t="shared" si="6"/>
        <v>,(10017,'Current Annual Checks','Current Annual Checks',2,1,4,'G','B4*(1-B5)','9600'),(10017,'Current Annual ACH','Current Annual ACH',2,1,5,'G','B4*B5','2400'),(10017,'Current Annual Cost','Current Annual Cost',2,1,8,'G','C11*G4+G5*C12','49320')</v>
      </c>
    </row>
    <row r="45" spans="1:10" s="71" customFormat="1">
      <c r="A45" s="71">
        <v>9</v>
      </c>
      <c r="B45" s="71" t="s">
        <v>193</v>
      </c>
      <c r="C45" s="71" t="s">
        <v>205</v>
      </c>
      <c r="E45" s="100" t="s">
        <v>214</v>
      </c>
      <c r="F45" s="89">
        <f>F6*(1-F7-F27)*(1-F28)</f>
        <v>8640</v>
      </c>
      <c r="J45" t="str">
        <f t="shared" si="6"/>
        <v>,(10017,'Current Annual Checks','Current Annual Checks',2,1,4,'G','B4*(1-B5)','9600'),(10017,'Current Annual ACH','Current Annual ACH',2,1,5,'G','B4*B5','2400'),(10017,'Current Annual Cost','Current Annual Cost',2,1,8,'G','C11*G4+G5*C12','49320'),(10017,'Estimated Number Checks thru MT','Estimated Number Checks thru MT',2,1,9,'G','B4*(1-B5-C15)*(1-C16)','8640')</v>
      </c>
    </row>
    <row r="46" spans="1:10" s="71" customFormat="1">
      <c r="A46" s="71">
        <v>10</v>
      </c>
      <c r="B46" s="71" t="s">
        <v>194</v>
      </c>
      <c r="C46" s="71" t="s">
        <v>206</v>
      </c>
      <c r="E46" s="100" t="s">
        <v>215</v>
      </c>
      <c r="F46" s="89">
        <f>F6*(F7+F27)*(1-F28)</f>
        <v>2160</v>
      </c>
      <c r="J46" t="str">
        <f t="shared" si="6"/>
        <v>,(10017,'Current Annual Checks','Current Annual Checks',2,1,4,'G','B4*(1-B5)','9600'),(10017,'Current Annual ACH','Current Annual ACH',2,1,5,'G','B4*B5','2400'),(10017,'Current Annual Cost','Current Annual Cost',2,1,8,'G','C11*G4+G5*C12','49320'),(10017,'Estimated Number Checks thru MT','Estimated Number Checks thru MT',2,1,9,'G','B4*(1-B5-C15)*(1-C16)','8640'),(10017,'Estimated Number ACH Payments thru MT','Estimated Number ACH Payments thru MT',2,1,10,'G','B4*(B5+C15)*(1-C16)','2160')</v>
      </c>
    </row>
    <row r="47" spans="1:10" s="71" customFormat="1">
      <c r="B47" s="71" t="s">
        <v>195</v>
      </c>
      <c r="C47" s="71" t="s">
        <v>207</v>
      </c>
      <c r="E47" s="103" t="s">
        <v>177</v>
      </c>
      <c r="F47" s="90"/>
      <c r="J47" t="str">
        <f t="shared" si="6"/>
        <v>,(10017,'Current Annual Checks','Current Annual Checks',2,1,4,'G','B4*(1-B5)','9600'),(10017,'Current Annual ACH','Current Annual ACH',2,1,5,'G','B4*B5','2400'),(10017,'Current Annual Cost','Current Annual Cost',2,1,8,'G','C11*G4+G5*C12','49320'),(10017,'Estimated Number Checks thru MT','Estimated Number Checks thru MT',2,1,9,'G','B4*(1-B5-C15)*(1-C16)','8640'),(10017,'Estimated Number ACH Payments thru MT','Estimated Number ACH Payments thru MT',2,1,10,'G','B4*(B5+C15)*(1-C16)','2160')</v>
      </c>
    </row>
    <row r="48" spans="1:10" s="71" customFormat="1">
      <c r="B48" s="71" t="s">
        <v>196</v>
      </c>
      <c r="C48" s="71" t="s">
        <v>208</v>
      </c>
      <c r="E48" s="103" t="s">
        <v>178</v>
      </c>
      <c r="F48" s="90"/>
      <c r="J48" t="str">
        <f t="shared" si="6"/>
        <v>,(10017,'Current Annual Checks','Current Annual Checks',2,1,4,'G','B4*(1-B5)','9600'),(10017,'Current Annual ACH','Current Annual ACH',2,1,5,'G','B4*B5','2400'),(10017,'Current Annual Cost','Current Annual Cost',2,1,8,'G','C11*G4+G5*C12','49320'),(10017,'Estimated Number Checks thru MT','Estimated Number Checks thru MT',2,1,9,'G','B4*(1-B5-C15)*(1-C16)','8640'),(10017,'Estimated Number ACH Payments thru MT','Estimated Number ACH Payments thru MT',2,1,10,'G','B4*(B5+C15)*(1-C16)','2160')</v>
      </c>
    </row>
    <row r="49" spans="1:10" s="71" customFormat="1">
      <c r="A49" s="71">
        <v>13</v>
      </c>
      <c r="B49" s="71" t="s">
        <v>197</v>
      </c>
      <c r="C49" s="71" t="s">
        <v>209</v>
      </c>
      <c r="E49" s="100" t="s">
        <v>217</v>
      </c>
      <c r="F49" s="90">
        <f>F50/22</f>
        <v>1505.4545454545455</v>
      </c>
      <c r="J49" t="str">
        <f t="shared" si="6"/>
        <v>,(10017,'Current Annual Checks','Current Annual Checks',2,1,4,'G','B4*(1-B5)','9600'),(10017,'Current Annual ACH','Current Annual ACH',2,1,5,'G','B4*B5','2400'),(10017,'Current Annual Cost','Current Annual Cost',2,1,8,'G','C11*G4+G5*C12','49320'),(10017,'Estimated Number Checks thru MT','Estimated Number Checks thru MT',2,1,9,'G','B4*(1-B5-C15)*(1-C16)','8640'),(10017,'Estimated Number ACH Payments thru MT','Estimated Number ACH Payments thru MT',2,1,10,'G','B4*(B5+C15)*(1-C16)','2160'),(10017,'Monthly Savings','Monthly Savings',2,1,13,'G','G14/12','1505.45454545455')</v>
      </c>
    </row>
    <row r="50" spans="1:10" s="71" customFormat="1">
      <c r="A50" s="71">
        <v>14</v>
      </c>
      <c r="B50" s="71" t="s">
        <v>198</v>
      </c>
      <c r="C50" s="71" t="s">
        <v>210</v>
      </c>
      <c r="E50" s="100" t="s">
        <v>216</v>
      </c>
      <c r="F50" s="90">
        <f>F44-(F45*F34+F46*F35)</f>
        <v>33120</v>
      </c>
      <c r="J50" t="str">
        <f t="shared" si="6"/>
        <v>,(10017,'Current Annual Checks','Current Annual Checks',2,1,4,'G','B4*(1-B5)','9600'),(10017,'Current Annual ACH','Current Annual ACH',2,1,5,'G','B4*B5','2400'),(10017,'Current Annual Cost','Current Annual Cost',2,1,8,'G','C11*G4+G5*C12','49320'),(10017,'Estimated Number Checks thru MT','Estimated Number Checks thru MT',2,1,9,'G','B4*(1-B5-C15)*(1-C16)','8640'),(10017,'Estimated Number ACH Payments thru MT','Estimated Number ACH Payments thru MT',2,1,10,'G','B4*(B5+C15)*(1-C16)','2160'),(10017,'Monthly Savings','Monthly Savings',2,1,13,'G','G14/12','1505.45454545455'),(10017,'Annual Savings','Annual Savings',2,1,14,'G','G8-(G9*C22+G10*C23)','33120')</v>
      </c>
    </row>
    <row r="51" spans="1:10" s="71" customFormat="1">
      <c r="E51" s="100"/>
      <c r="F51" s="77"/>
      <c r="J51" s="71" t="s">
        <v>357</v>
      </c>
    </row>
    <row r="52" spans="1:10" s="71" customFormat="1">
      <c r="C52" s="92" t="s">
        <v>218</v>
      </c>
      <c r="E52" s="100"/>
      <c r="F52" s="77"/>
    </row>
    <row r="53" spans="1:10" s="71" customFormat="1">
      <c r="B53" s="71" t="s">
        <v>219</v>
      </c>
      <c r="C53" s="71" t="s">
        <v>167</v>
      </c>
      <c r="E53" s="103" t="s">
        <v>158</v>
      </c>
      <c r="F53" s="78"/>
      <c r="J53">
        <f t="shared" ref="J53:J75" si="7">IF(ISBLANK(A53),J52,J52&amp;","&amp;"(10017,'"&amp;C53&amp;"','"&amp;C53&amp;"',2,1,"&amp;A53&amp;",'G','"&amp;E53&amp;"','"&amp;F53&amp;"')")</f>
        <v>0</v>
      </c>
    </row>
    <row r="54" spans="1:10" s="71" customFormat="1">
      <c r="B54" s="71" t="s">
        <v>220</v>
      </c>
      <c r="C54" s="71" t="s">
        <v>168</v>
      </c>
      <c r="E54" s="103" t="s">
        <v>159</v>
      </c>
      <c r="F54" s="106"/>
      <c r="J54">
        <f t="shared" si="7"/>
        <v>0</v>
      </c>
    </row>
    <row r="55" spans="1:10" s="71" customFormat="1">
      <c r="B55" s="71" t="s">
        <v>221</v>
      </c>
      <c r="C55" s="71" t="s">
        <v>149</v>
      </c>
      <c r="E55" s="103" t="s">
        <v>144</v>
      </c>
      <c r="F55" s="90"/>
      <c r="J55">
        <f t="shared" si="7"/>
        <v>0</v>
      </c>
    </row>
    <row r="56" spans="1:10" s="71" customFormat="1">
      <c r="A56" s="71">
        <v>20</v>
      </c>
      <c r="B56" s="71" t="s">
        <v>222</v>
      </c>
      <c r="C56" s="71" t="s">
        <v>225</v>
      </c>
      <c r="E56" s="100" t="s">
        <v>228</v>
      </c>
      <c r="F56" s="90">
        <f>F8*F28</f>
        <v>4000000</v>
      </c>
      <c r="J56" t="str">
        <f t="shared" si="7"/>
        <v>0,(10017,'Annual Spend Conversion','Annual Spend Conversion',2,1,20,'G','B6*C16','4000000')</v>
      </c>
    </row>
    <row r="57" spans="1:10" s="71" customFormat="1">
      <c r="A57" s="71">
        <v>21</v>
      </c>
      <c r="B57" s="71" t="s">
        <v>223</v>
      </c>
      <c r="C57" s="71" t="s">
        <v>226</v>
      </c>
      <c r="E57" s="100" t="s">
        <v>230</v>
      </c>
      <c r="F57" s="90">
        <f>F58/12</f>
        <v>1666.6666666666667</v>
      </c>
      <c r="J57" t="str">
        <f t="shared" si="7"/>
        <v>0,(10017,'Annual Spend Conversion','Annual Spend Conversion',2,1,20,'G','B6*C16','4000000'),(10017,'Monthly Rebate','Monthly Rebate',2,1,21,'G','G22/12','1666.66666666667')</v>
      </c>
    </row>
    <row r="58" spans="1:10" s="71" customFormat="1">
      <c r="A58" s="71">
        <v>22</v>
      </c>
      <c r="B58" s="71" t="s">
        <v>224</v>
      </c>
      <c r="C58" s="71" t="s">
        <v>227</v>
      </c>
      <c r="E58" s="100" t="s">
        <v>229</v>
      </c>
      <c r="F58" s="90">
        <f>F56*F29</f>
        <v>20000</v>
      </c>
      <c r="J58" t="str">
        <f t="shared" si="7"/>
        <v>0,(10017,'Annual Spend Conversion','Annual Spend Conversion',2,1,20,'G','B6*C16','4000000'),(10017,'Monthly Rebate','Monthly Rebate',2,1,21,'G','G22/12','1666.66666666667'),(10017,'Annual Rebate','Annual Rebate',2,1,22,'G','G20*C17','20000')</v>
      </c>
    </row>
    <row r="59" spans="1:10" s="71" customFormat="1">
      <c r="E59" s="100"/>
      <c r="F59" s="77"/>
      <c r="J59" t="str">
        <f t="shared" si="7"/>
        <v>0,(10017,'Annual Spend Conversion','Annual Spend Conversion',2,1,20,'G','B6*C16','4000000'),(10017,'Monthly Rebate','Monthly Rebate',2,1,21,'G','G22/12','1666.66666666667'),(10017,'Annual Rebate','Annual Rebate',2,1,22,'G','G20*C17','20000')</v>
      </c>
    </row>
    <row r="60" spans="1:10" s="71" customFormat="1">
      <c r="C60" s="92" t="s">
        <v>231</v>
      </c>
      <c r="E60" s="100"/>
      <c r="F60" s="77"/>
      <c r="J60" t="str">
        <f t="shared" si="7"/>
        <v>0,(10017,'Annual Spend Conversion','Annual Spend Conversion',2,1,20,'G','B6*C16','4000000'),(10017,'Monthly Rebate','Monthly Rebate',2,1,21,'G','G22/12','1666.66666666667'),(10017,'Annual Rebate','Annual Rebate',2,1,22,'G','G20*C17','20000')</v>
      </c>
    </row>
    <row r="61" spans="1:10" s="71" customFormat="1">
      <c r="B61" s="71" t="s">
        <v>232</v>
      </c>
      <c r="C61" s="71" t="s">
        <v>138</v>
      </c>
      <c r="E61" s="103" t="s">
        <v>139</v>
      </c>
      <c r="F61" s="90"/>
      <c r="J61" t="str">
        <f t="shared" si="7"/>
        <v>0,(10017,'Annual Spend Conversion','Annual Spend Conversion',2,1,20,'G','B6*C16','4000000'),(10017,'Monthly Rebate','Monthly Rebate',2,1,21,'G','G22/12','1666.66666666667'),(10017,'Annual Rebate','Annual Rebate',2,1,22,'G','G20*C17','20000')</v>
      </c>
    </row>
    <row r="62" spans="1:10" s="71" customFormat="1">
      <c r="B62" s="71" t="s">
        <v>233</v>
      </c>
      <c r="C62" s="71" t="s">
        <v>239</v>
      </c>
      <c r="E62" s="103" t="s">
        <v>155</v>
      </c>
      <c r="F62" s="90"/>
      <c r="J62" t="str">
        <f t="shared" si="7"/>
        <v>0,(10017,'Annual Spend Conversion','Annual Spend Conversion',2,1,20,'G','B6*C16','4000000'),(10017,'Monthly Rebate','Monthly Rebate',2,1,21,'G','G22/12','1666.66666666667'),(10017,'Annual Rebate','Annual Rebate',2,1,22,'G','G20*C17','20000')</v>
      </c>
    </row>
    <row r="63" spans="1:10" s="71" customFormat="1">
      <c r="B63" s="71" t="s">
        <v>234</v>
      </c>
      <c r="C63" s="71" t="s">
        <v>240</v>
      </c>
      <c r="E63" s="103" t="s">
        <v>156</v>
      </c>
      <c r="F63" s="90"/>
      <c r="J63" t="str">
        <f t="shared" si="7"/>
        <v>0,(10017,'Annual Spend Conversion','Annual Spend Conversion',2,1,20,'G','B6*C16','4000000'),(10017,'Monthly Rebate','Monthly Rebate',2,1,21,'G','G22/12','1666.66666666667'),(10017,'Annual Rebate','Annual Rebate',2,1,22,'G','G20*C17','20000')</v>
      </c>
    </row>
    <row r="64" spans="1:10" s="71" customFormat="1">
      <c r="B64" s="71" t="s">
        <v>235</v>
      </c>
      <c r="C64" s="71" t="s">
        <v>241</v>
      </c>
      <c r="E64" s="103" t="s">
        <v>179</v>
      </c>
      <c r="F64" s="90"/>
      <c r="J64" t="str">
        <f t="shared" si="7"/>
        <v>0,(10017,'Annual Spend Conversion','Annual Spend Conversion',2,1,20,'G','B6*C16','4000000'),(10017,'Monthly Rebate','Monthly Rebate',2,1,21,'G','G22/12','1666.66666666667'),(10017,'Annual Rebate','Annual Rebate',2,1,22,'G','G20*C17','20000')</v>
      </c>
    </row>
    <row r="65" spans="1:10" s="71" customFormat="1">
      <c r="A65" s="71">
        <v>31</v>
      </c>
      <c r="B65" s="71" t="s">
        <v>236</v>
      </c>
      <c r="C65" s="71" t="s">
        <v>242</v>
      </c>
      <c r="E65" s="100" t="s">
        <v>245</v>
      </c>
      <c r="F65" s="90">
        <f>F26+F36</f>
        <v>7.5</v>
      </c>
      <c r="J65"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v>
      </c>
    </row>
    <row r="66" spans="1:10" s="71" customFormat="1">
      <c r="A66" s="71">
        <v>32</v>
      </c>
      <c r="B66" s="71" t="s">
        <v>237</v>
      </c>
      <c r="C66" s="71" t="s">
        <v>243</v>
      </c>
      <c r="E66" s="100" t="s">
        <v>247</v>
      </c>
      <c r="F66" s="90">
        <f>F67/12</f>
        <v>15000</v>
      </c>
      <c r="J66"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v>
      </c>
    </row>
    <row r="67" spans="1:10" s="71" customFormat="1">
      <c r="A67" s="71">
        <v>33</v>
      </c>
      <c r="B67" s="71" t="s">
        <v>238</v>
      </c>
      <c r="C67" s="71" t="s">
        <v>244</v>
      </c>
      <c r="E67" s="100" t="s">
        <v>246</v>
      </c>
      <c r="F67" s="90">
        <f>F5*(F25-F26-F36)</f>
        <v>180000</v>
      </c>
      <c r="J67"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v>
      </c>
    </row>
    <row r="68" spans="1:10" s="71" customFormat="1">
      <c r="E68" s="100"/>
      <c r="F68" s="77"/>
      <c r="J68"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v>
      </c>
    </row>
    <row r="69" spans="1:10" s="71" customFormat="1">
      <c r="C69" s="92" t="s">
        <v>248</v>
      </c>
      <c r="E69" s="100"/>
      <c r="F69" s="77"/>
      <c r="J69"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v>
      </c>
    </row>
    <row r="70" spans="1:10" s="71" customFormat="1">
      <c r="B70" s="71" t="s">
        <v>249</v>
      </c>
      <c r="C70" s="71" t="s">
        <v>149</v>
      </c>
      <c r="E70" s="103" t="s">
        <v>45</v>
      </c>
      <c r="F70" s="77"/>
      <c r="J70"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v>
      </c>
    </row>
    <row r="71" spans="1:10" s="71" customFormat="1">
      <c r="B71" s="71" t="s">
        <v>250</v>
      </c>
      <c r="C71" s="71" t="s">
        <v>253</v>
      </c>
      <c r="E71" s="103" t="s">
        <v>160</v>
      </c>
      <c r="F71" s="107"/>
      <c r="J71"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v>
      </c>
    </row>
    <row r="72" spans="1:10" s="71" customFormat="1">
      <c r="A72" s="71">
        <v>38</v>
      </c>
      <c r="B72" s="71" t="s">
        <v>251</v>
      </c>
      <c r="C72" s="71" t="s">
        <v>254</v>
      </c>
      <c r="E72" s="100" t="s">
        <v>257</v>
      </c>
      <c r="F72" s="90">
        <f>F73/12</f>
        <v>4950</v>
      </c>
      <c r="J72"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v>
      </c>
    </row>
    <row r="73" spans="1:10" s="71" customFormat="1">
      <c r="A73" s="71">
        <v>39</v>
      </c>
      <c r="B73" s="71" t="s">
        <v>252</v>
      </c>
      <c r="C73" s="71" t="s">
        <v>255</v>
      </c>
      <c r="E73" s="100" t="s">
        <v>256</v>
      </c>
      <c r="F73" s="90">
        <f>F8*F30</f>
        <v>59400</v>
      </c>
      <c r="J73"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v>
      </c>
    </row>
    <row r="74" spans="1:10" s="71" customFormat="1">
      <c r="E74" s="100"/>
      <c r="F74" s="77"/>
      <c r="J74"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v>
      </c>
    </row>
    <row r="75" spans="1:10" s="71" customFormat="1">
      <c r="C75" s="92" t="s">
        <v>164</v>
      </c>
      <c r="E75" s="100"/>
      <c r="F75" s="77"/>
      <c r="J75" t="str">
        <f t="shared" si="7"/>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v>
      </c>
    </row>
    <row r="76" spans="1:10" s="71" customFormat="1">
      <c r="A76" s="71">
        <v>4</v>
      </c>
      <c r="B76" s="71" t="s">
        <v>271</v>
      </c>
      <c r="C76" s="71" t="s">
        <v>277</v>
      </c>
      <c r="E76" s="114" t="s">
        <v>359</v>
      </c>
      <c r="F76" s="108">
        <f>6000/F5*100</f>
        <v>25</v>
      </c>
      <c r="J76" t="str">
        <f>IF(ISBLANK(A76),J75,J75&amp;","&amp;"(10017,'"&amp;C76&amp;"','"&amp;C76&amp;"',2,1,"&amp;A76&amp;",'F','"&amp;E76&amp;"','"&amp;F76&amp;"')")</f>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v>
      </c>
    </row>
    <row r="77" spans="1:10" s="71" customFormat="1">
      <c r="A77" s="71">
        <v>5</v>
      </c>
      <c r="B77" s="71" t="s">
        <v>272</v>
      </c>
      <c r="C77" s="71" t="s">
        <v>278</v>
      </c>
      <c r="E77" s="114" t="s">
        <v>360</v>
      </c>
      <c r="F77" s="108">
        <v>31.67</v>
      </c>
      <c r="J77" t="str">
        <f t="shared" ref="J77:J89" si="8">IF(ISBLANK(A77),J76,J76&amp;","&amp;"(10017,'"&amp;C77&amp;"','"&amp;C77&amp;"',2,1,"&amp;A77&amp;",'F','"&amp;E77&amp;"','"&amp;F77&amp;"')")</f>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v>
      </c>
    </row>
    <row r="78" spans="1:10" s="71" customFormat="1">
      <c r="A78" s="71">
        <v>6</v>
      </c>
      <c r="B78" s="71" t="s">
        <v>273</v>
      </c>
      <c r="C78" s="71" t="s">
        <v>279</v>
      </c>
      <c r="E78" s="114" t="s">
        <v>361</v>
      </c>
      <c r="F78" s="108">
        <v>141.66999999999999</v>
      </c>
      <c r="J78"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v>
      </c>
    </row>
    <row r="79" spans="1:10" s="71" customFormat="1">
      <c r="A79" s="71">
        <v>7</v>
      </c>
      <c r="B79" s="71" t="s">
        <v>274</v>
      </c>
      <c r="C79" s="71" t="s">
        <v>280</v>
      </c>
      <c r="E79" s="114" t="s">
        <v>362</v>
      </c>
      <c r="F79" s="108">
        <v>12</v>
      </c>
      <c r="J79"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v>
      </c>
    </row>
    <row r="80" spans="1:10" s="71" customFormat="1">
      <c r="A80" s="71">
        <v>8</v>
      </c>
      <c r="B80" s="71" t="s">
        <v>275</v>
      </c>
      <c r="C80" s="71" t="s">
        <v>281</v>
      </c>
      <c r="E80" s="114" t="s">
        <v>363</v>
      </c>
      <c r="F80" s="108">
        <v>12.5</v>
      </c>
      <c r="J80"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v>
      </c>
    </row>
    <row r="81" spans="1:10" s="71" customFormat="1">
      <c r="A81" s="71">
        <v>9</v>
      </c>
      <c r="B81" s="71" t="s">
        <v>276</v>
      </c>
      <c r="C81" s="71" t="s">
        <v>282</v>
      </c>
      <c r="E81" s="100" t="s">
        <v>284</v>
      </c>
      <c r="F81" s="90">
        <f>SUM(F76:F80)/100</f>
        <v>2.2283999999999997</v>
      </c>
      <c r="J81"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v>
      </c>
    </row>
    <row r="82" spans="1:10" s="71" customFormat="1">
      <c r="A82" s="71">
        <v>11</v>
      </c>
      <c r="B82" s="71" t="s">
        <v>285</v>
      </c>
      <c r="C82" s="71" t="s">
        <v>286</v>
      </c>
      <c r="E82" s="100" t="s">
        <v>287</v>
      </c>
      <c r="F82" s="77">
        <v>1000</v>
      </c>
      <c r="J82"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v>
      </c>
    </row>
    <row r="83" spans="1:10" s="71" customFormat="1">
      <c r="A83" s="71">
        <v>16</v>
      </c>
      <c r="B83" s="71" t="s">
        <v>288</v>
      </c>
      <c r="C83" s="71" t="s">
        <v>295</v>
      </c>
      <c r="E83" s="100" t="s">
        <v>302</v>
      </c>
      <c r="F83" s="77">
        <v>250</v>
      </c>
      <c r="J83"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v>
      </c>
    </row>
    <row r="84" spans="1:10" s="71" customFormat="1">
      <c r="A84" s="71">
        <v>17</v>
      </c>
      <c r="B84" s="71" t="s">
        <v>289</v>
      </c>
      <c r="C84" s="71" t="s">
        <v>296</v>
      </c>
      <c r="E84" s="100" t="s">
        <v>303</v>
      </c>
      <c r="F84" s="77">
        <v>300</v>
      </c>
      <c r="J84"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v>
      </c>
    </row>
    <row r="85" spans="1:10" s="71" customFormat="1">
      <c r="A85" s="71">
        <v>22</v>
      </c>
      <c r="B85" s="71" t="s">
        <v>290</v>
      </c>
      <c r="C85" s="71" t="s">
        <v>297</v>
      </c>
      <c r="E85" s="100" t="s">
        <v>283</v>
      </c>
      <c r="F85" s="90">
        <v>25</v>
      </c>
      <c r="J85"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v>
      </c>
    </row>
    <row r="86" spans="1:10" s="71" customFormat="1">
      <c r="A86" s="71">
        <v>23</v>
      </c>
      <c r="B86" s="71" t="s">
        <v>291</v>
      </c>
      <c r="C86" s="71" t="s">
        <v>298</v>
      </c>
      <c r="E86" s="100" t="s">
        <v>304</v>
      </c>
      <c r="F86" s="90">
        <v>45</v>
      </c>
      <c r="J86"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v>
      </c>
    </row>
    <row r="87" spans="1:10" s="71" customFormat="1">
      <c r="A87" s="71">
        <v>24</v>
      </c>
      <c r="B87" s="71" t="s">
        <v>292</v>
      </c>
      <c r="C87" s="71" t="s">
        <v>299</v>
      </c>
      <c r="E87" s="100" t="s">
        <v>305</v>
      </c>
      <c r="F87" s="90">
        <f>((F82+F84)/60)*(F85/100)+(F83/60)*(F86/100)</f>
        <v>7.291666666666667</v>
      </c>
      <c r="J87"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v>
      </c>
    </row>
    <row r="88" spans="1:10" s="71" customFormat="1">
      <c r="A88" s="71">
        <v>28</v>
      </c>
      <c r="B88" s="71" t="s">
        <v>293</v>
      </c>
      <c r="C88" s="71" t="s">
        <v>300</v>
      </c>
      <c r="E88" s="100" t="s">
        <v>306</v>
      </c>
      <c r="F88" s="90">
        <f>0.014*F8*0.5*0.1/F5</f>
        <v>1.1666666666666667</v>
      </c>
      <c r="J88"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v>
      </c>
    </row>
    <row r="89" spans="1:10" s="71" customFormat="1">
      <c r="A89" s="71">
        <v>29</v>
      </c>
      <c r="B89" s="71" t="s">
        <v>294</v>
      </c>
      <c r="C89" s="71" t="s">
        <v>301</v>
      </c>
      <c r="E89" s="100" t="s">
        <v>307</v>
      </c>
      <c r="F89" s="90">
        <f>F87+F88+F81</f>
        <v>10.686733333333333</v>
      </c>
      <c r="J89" t="str">
        <f t="shared" si="8"/>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v>
      </c>
    </row>
    <row r="90" spans="1:10" s="71" customFormat="1">
      <c r="E90" s="100"/>
      <c r="F90" s="90"/>
      <c r="J90" t="str">
        <f>IF(ISBLANK(A90),J89,J89&amp;","&amp;"(10017,'"&amp;C90&amp;"','"&amp;C90&amp;"',2,1,"&amp;A90&amp;",'K','"&amp;E90&amp;"','"&amp;F90&amp;"')")</f>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v>
      </c>
    </row>
    <row r="91" spans="1:10" s="71" customFormat="1">
      <c r="B91" s="71" t="s">
        <v>258</v>
      </c>
      <c r="C91" s="91" t="s">
        <v>263</v>
      </c>
      <c r="E91" s="103" t="s">
        <v>42</v>
      </c>
      <c r="F91" s="77"/>
      <c r="J91" t="str">
        <f t="shared" ref="J91:J96" si="9">IF(ISBLANK(A91),J90,J90&amp;","&amp;"(10017,'"&amp;C91&amp;"','"&amp;C91&amp;"',2,1,"&amp;A91&amp;",'K','"&amp;E91&amp;"','"&amp;F91&amp;"')")</f>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v>
      </c>
    </row>
    <row r="92" spans="1:10" s="71" customFormat="1">
      <c r="A92" s="71">
        <v>7</v>
      </c>
      <c r="B92" s="71" t="s">
        <v>259</v>
      </c>
      <c r="C92" s="71" t="s">
        <v>264</v>
      </c>
      <c r="E92" s="100" t="s">
        <v>269</v>
      </c>
      <c r="F92" s="90">
        <v>60000</v>
      </c>
      <c r="J92" t="str">
        <f t="shared" si="9"/>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v>
      </c>
    </row>
    <row r="93" spans="1:10" s="71" customFormat="1">
      <c r="A93" s="71">
        <v>8</v>
      </c>
      <c r="B93" s="71" t="s">
        <v>260</v>
      </c>
      <c r="C93" s="71" t="s">
        <v>265</v>
      </c>
      <c r="E93" s="100" t="s">
        <v>270</v>
      </c>
      <c r="F93" s="90">
        <f>F9*(F92/F5)</f>
        <v>5</v>
      </c>
      <c r="J93" t="str">
        <f t="shared" si="9"/>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v>
      </c>
    </row>
    <row r="94" spans="1:10" s="71" customFormat="1">
      <c r="A94" s="71">
        <v>9</v>
      </c>
      <c r="B94" s="71" t="s">
        <v>261</v>
      </c>
      <c r="C94" s="71" t="s">
        <v>266</v>
      </c>
      <c r="E94" s="100" t="s">
        <v>308</v>
      </c>
      <c r="F94" s="90">
        <f>(F83/60)*(F86/100)</f>
        <v>1.8750000000000002</v>
      </c>
      <c r="J94" t="str">
        <f t="shared" si="9"/>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v>
      </c>
    </row>
    <row r="95" spans="1:10" s="71" customFormat="1">
      <c r="A95" s="71">
        <v>10</v>
      </c>
      <c r="B95" s="71" t="s">
        <v>262</v>
      </c>
      <c r="C95" s="71" t="s">
        <v>267</v>
      </c>
      <c r="E95" s="100" t="s">
        <v>309</v>
      </c>
      <c r="F95" s="90">
        <f>F93+F81+1.88</f>
        <v>9.1083999999999996</v>
      </c>
      <c r="J95" t="str">
        <f t="shared" si="9"/>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v>
      </c>
    </row>
    <row r="96" spans="1:10" s="71" customFormat="1">
      <c r="E96" s="100"/>
      <c r="F96" s="77"/>
      <c r="J96" t="str">
        <f t="shared" si="9"/>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v>
      </c>
    </row>
    <row r="97" spans="1:10" s="71" customFormat="1">
      <c r="C97" s="92" t="s">
        <v>313</v>
      </c>
      <c r="E97" s="100"/>
      <c r="F97" s="77"/>
      <c r="J97" t="str">
        <f>IF(ISBLANK(A97),J96,J96&amp;","&amp;"(10017,'"&amp;C97&amp;"','"&amp;C97&amp;"',2,1,"&amp;A97&amp;",'J','"&amp;E97&amp;"','"&amp;F97&amp;"')")</f>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v>
      </c>
    </row>
    <row r="98" spans="1:10" s="71" customFormat="1">
      <c r="B98" s="71" t="s">
        <v>268</v>
      </c>
      <c r="C98" s="71" t="s">
        <v>317</v>
      </c>
      <c r="E98" s="103" t="s">
        <v>42</v>
      </c>
      <c r="F98" s="77"/>
      <c r="J98" t="str">
        <f t="shared" ref="J98:J115" si="10">IF(ISBLANK(A98),J97,J97&amp;","&amp;"(10017,'"&amp;C98&amp;"','"&amp;C98&amp;"',2,1,"&amp;A98&amp;",'J','"&amp;E98&amp;"','"&amp;F98&amp;"')")</f>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v>
      </c>
    </row>
    <row r="99" spans="1:10" s="71" customFormat="1">
      <c r="B99" s="71" t="s">
        <v>312</v>
      </c>
      <c r="C99" s="71" t="s">
        <v>318</v>
      </c>
      <c r="E99" s="103" t="s">
        <v>43</v>
      </c>
      <c r="F99" s="77"/>
      <c r="J99"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v>
      </c>
    </row>
    <row r="100" spans="1:10" s="71" customFormat="1">
      <c r="B100" s="71" t="s">
        <v>314</v>
      </c>
      <c r="C100" s="71" t="s">
        <v>319</v>
      </c>
      <c r="E100" s="103" t="s">
        <v>45</v>
      </c>
      <c r="F100" s="77"/>
      <c r="J100"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v>
      </c>
    </row>
    <row r="101" spans="1:10" s="71" customFormat="1">
      <c r="E101" s="100"/>
      <c r="F101" s="77"/>
      <c r="J101"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v>
      </c>
    </row>
    <row r="102" spans="1:10" s="71" customFormat="1">
      <c r="C102" s="92" t="s">
        <v>310</v>
      </c>
      <c r="E102" s="100"/>
      <c r="F102" s="77"/>
      <c r="J102"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v>
      </c>
    </row>
    <row r="103" spans="1:10" s="71" customFormat="1">
      <c r="A103" s="71">
        <v>8</v>
      </c>
      <c r="B103" s="71" t="s">
        <v>311</v>
      </c>
      <c r="C103" s="71" t="s">
        <v>320</v>
      </c>
      <c r="E103" s="100" t="s">
        <v>321</v>
      </c>
      <c r="F103" s="90">
        <f>F95*F5</f>
        <v>218601.59999999998</v>
      </c>
      <c r="J103"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v>
      </c>
    </row>
    <row r="104" spans="1:10" s="71" customFormat="1">
      <c r="A104" s="71">
        <v>9</v>
      </c>
      <c r="B104" s="71" t="s">
        <v>315</v>
      </c>
      <c r="C104" s="71" t="s">
        <v>322</v>
      </c>
      <c r="E104" s="100" t="s">
        <v>192</v>
      </c>
      <c r="F104" s="90">
        <f>F44</f>
        <v>49320</v>
      </c>
      <c r="J104"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v>
      </c>
    </row>
    <row r="105" spans="1:10" s="71" customFormat="1">
      <c r="A105" s="71">
        <v>10</v>
      </c>
      <c r="B105" s="71" t="s">
        <v>316</v>
      </c>
      <c r="C105" s="71" t="s">
        <v>323</v>
      </c>
      <c r="E105" s="109" t="s">
        <v>324</v>
      </c>
      <c r="F105" s="90">
        <f>F103+F104</f>
        <v>267921.59999999998</v>
      </c>
      <c r="J105"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v>
      </c>
    </row>
    <row r="106" spans="1:10" s="71" customFormat="1">
      <c r="E106" s="100"/>
      <c r="F106" s="77"/>
      <c r="J106"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v>
      </c>
    </row>
    <row r="107" spans="1:10" s="71" customFormat="1">
      <c r="C107" s="92" t="s">
        <v>325</v>
      </c>
      <c r="E107" s="100"/>
      <c r="F107" s="77"/>
      <c r="J107"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v>
      </c>
    </row>
    <row r="108" spans="1:10" s="71" customFormat="1">
      <c r="A108" s="71">
        <v>13</v>
      </c>
      <c r="B108" s="71" t="s">
        <v>326</v>
      </c>
      <c r="C108" s="71" t="s">
        <v>330</v>
      </c>
      <c r="E108" s="100" t="s">
        <v>334</v>
      </c>
      <c r="F108" s="90">
        <f>(F5*2.3)+(F6*1.3)</f>
        <v>70800</v>
      </c>
      <c r="J108"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Payable',2,1,10,'J','J9+J8','267921.6'),(10017,'Subscription: ','Subscription: ',2,1,13,'J','(B3*2.3)+(B4*1.3)','70800')</v>
      </c>
    </row>
    <row r="109" spans="1:10" s="71" customFormat="1">
      <c r="A109" s="71">
        <v>14</v>
      </c>
      <c r="B109" s="71" t="s">
        <v>327</v>
      </c>
      <c r="C109" s="71" t="s">
        <v>331</v>
      </c>
      <c r="E109" s="100" t="s">
        <v>335</v>
      </c>
      <c r="F109" s="90">
        <f>F103*0.4</f>
        <v>87440.639999999999</v>
      </c>
      <c r="J109"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Payable',2,1,10,'J','J9+J8','267921.6'),(10017,'Subscription: ','Subscription: ',2,1,13,'J','(B3*2.3)+(B4*1.3)','70800'),(10017,'Remaining processing:','Remaining processing:',2,1,14,'J','J8*0.4','87440.64')</v>
      </c>
    </row>
    <row r="110" spans="1:10" s="71" customFormat="1">
      <c r="B110" s="71" t="s">
        <v>328</v>
      </c>
      <c r="C110" s="71" t="s">
        <v>332</v>
      </c>
      <c r="E110" s="103" t="s">
        <v>224</v>
      </c>
      <c r="F110" s="90"/>
      <c r="J110"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Payable',2,1,10,'J','J9+J8','267921.6'),(10017,'Subscription: ','Subscription: ',2,1,13,'J','(B3*2.3)+(B4*1.3)','70800'),(10017,'Remaining processing:','Remaining processing:',2,1,14,'J','J8*0.4','87440.64')</v>
      </c>
    </row>
    <row r="111" spans="1:10" s="71" customFormat="1">
      <c r="A111" s="71">
        <v>16</v>
      </c>
      <c r="B111" s="71" t="s">
        <v>329</v>
      </c>
      <c r="C111" s="71" t="s">
        <v>333</v>
      </c>
      <c r="E111" s="109" t="s">
        <v>345</v>
      </c>
      <c r="F111" s="90">
        <f>F108+F109-F58</f>
        <v>138240.64000000001</v>
      </c>
      <c r="J111"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Payable',2,1,10,'J','J9+J8','267921.6'),(10017,'Subscription: ','Subscription: ',2,1,13,'J','(B3*2.3)+(B4*1.3)','70800'),(10017,'Remaining processing:','Remaining processing:',2,1,14,'J','J8*0.4','87440.64'),(10017,'Future Cost of Automation Accounts Payable','Future Cost of Automation Accounts Payable',2,1,16,'J','J13+J14-G22','138240.64')</v>
      </c>
    </row>
    <row r="112" spans="1:10" s="71" customFormat="1">
      <c r="E112" s="100"/>
      <c r="F112" s="77"/>
      <c r="J112"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Payable',2,1,10,'J','J9+J8','267921.6'),(10017,'Subscription: ','Subscription: ',2,1,13,'J','(B3*2.3)+(B4*1.3)','70800'),(10017,'Remaining processing:','Remaining processing:',2,1,14,'J','J8*0.4','87440.64'),(10017,'Future Cost of Automation Accounts Payable','Future Cost of Automation Accounts Payable',2,1,16,'J','J13+J14-G22','138240.64')</v>
      </c>
    </row>
    <row r="113" spans="1:10" s="71" customFormat="1">
      <c r="A113" s="71">
        <v>18</v>
      </c>
      <c r="B113" s="71" t="s">
        <v>336</v>
      </c>
      <c r="C113" s="71" t="s">
        <v>339</v>
      </c>
      <c r="E113" s="109" t="s">
        <v>342</v>
      </c>
      <c r="F113" s="90">
        <f>F105-F111</f>
        <v>129680.95999999996</v>
      </c>
      <c r="J113"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Payable',2,1,10,'J','J9+J8','267921.6'),(10017,'Subscription: ','Subscription: ',2,1,13,'J','(B3*2.3)+(B4*1.3)','70800'),(10017,'Remaining processing:','Remaining processing:',2,1,14,'J','J8*0.4','87440.64'),(10017,'Future Cost of Automation Accounts Payable','Future Cost of Automation Accounts Payable',2,1,16,'J','J13+J14-G22','138240.64'),(10017,'Annual Savings (dollars)','Annual Savings (dollars)',2,1,18,'J','J10-J16','129680.96')</v>
      </c>
    </row>
    <row r="114" spans="1:10" s="71" customFormat="1">
      <c r="A114" s="71">
        <v>19</v>
      </c>
      <c r="B114" s="71" t="s">
        <v>337</v>
      </c>
      <c r="C114" s="71" t="s">
        <v>340</v>
      </c>
      <c r="E114" s="109" t="s">
        <v>343</v>
      </c>
      <c r="F114" s="112">
        <f>(F111/F105)*(365/30)</f>
        <v>6.2776864077650583</v>
      </c>
      <c r="J114"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Payable',2,1,10,'J','J9+J8','267921.6'),(10017,'Subscription: ','Subscription: ',2,1,13,'J','(B3*2.3)+(B4*1.3)','70800'),(10017,'Remaining processing:','Remaining processing:',2,1,14,'J','J8*0.4','87440.64'),(10017,'Future Cost of Automation Accounts Payable','Future Cost of Automation Accounts Payable',2,1,16,'J','J13+J14-G22','138240.64'),(10017,'Annual Savings (dollars)','Annual Savings (dollars)',2,1,18,'J','J10-J16','129680.96'),(10017,'Time to Breakeven (months)','Time to Breakeven (months)',2,1,19,'J','(J16/J10)*(365/30)','6.27768640776506')</v>
      </c>
    </row>
    <row r="115" spans="1:10" s="71" customFormat="1">
      <c r="A115" s="71">
        <v>20</v>
      </c>
      <c r="B115" s="71" t="s">
        <v>338</v>
      </c>
      <c r="C115" s="71" t="s">
        <v>341</v>
      </c>
      <c r="E115" s="109" t="s">
        <v>344</v>
      </c>
      <c r="F115" s="77">
        <f>0.6*(F9*40*52)/40</f>
        <v>62.4</v>
      </c>
      <c r="J115" t="str">
        <f t="shared" si="10"/>
        <v>0,(10017,'Annual Spend Conversion','Annual Spend Conversion',2,1,20,'G','B6*C16','4000000'),(10017,'Monthly Rebate','Monthly Rebate',2,1,21,'G','G22/12','1666.66666666667'),(10017,'Annual Rebate','Annual Rebate',2,1,22,'G','G20*C17','20000'),(10017,'Est. Total Automated Processing Cost per Invoice','Est. Total Automated Processing Cost per Invoice',2,1,31,'G','C14+C24','7.5'),(10017,'Monthly Opportunity Cost Savings','Monthly Opportunity Cost Savings',2,1,32,'G','G33/12','15000'),(10017,'Annual Opportunity Cost Savings','Annual Opportunity Cost Savings',2,1,33,'G','B3*(C13-C14-C24)','180000'),(10017,'Monthly Discount','Monthly Discount',2,1,38,'G','G39/12','4950'),(10017,'Annual Discount','Annual Discount',2,1,39,'G','B6*C18','59400'),(10017,'Paper storage and retention costs*','Paper storage and retention costs*',2,1,4,'F','6000/B3*100','25'),(10017,'Too-early payments**','Too-early payments**',2,1,5,'F','B6*0.1/B3*100*0.0019','31.67'),(10017,'Duplicate Payments***','Duplicate Payments***',2,1,6,'F','B6*0.17*0.005/B3*100','141.67'),(10017,'Paper copies made (assume 50% electronic, 2pg each)^','Paper copies made (assume 50% electronic, 2pg each)^',2,1,7,'F','50*0.12*2','12'),(10017,'Late payment fees^^','Late payment fees^^',2,1,8,'F','B6*0.005/B3*100*0.015','12.5'),(10017,'Total Hard Costs per invoice','Total Hard Costs per invoice',2,1,9,'F','SUM(F4:F8)/100','2.2284'),(10017,'Invoice Preparation','Invoice Preparation',2,1,11,'F','1000','1000'),(10017,'Invoice Approval','Invoice Approval',2,1,16,'F','250','250'),(10017,'Other Tasks','Other Tasks',2,1,17,'F','300','300'),(10017,'Average hourly salary for AP staff','Average hourly salary for AP staff',2,1,22,'F','25','25'),(10017,'Average hourly salary for department manager approver','Average hourly salary for department manager approver',2,1,23,'F','45','45'),(10017,'Total Salary Cost per invoice','Total Salary Cost per invoice',2,1,24,'F','(F11+F17)/60*F22/100+F16/60*F23/100','7.29166666666667'),(10017,'Total Cost from Invoice Errors per invoice','Total Cost from Invoice Errors per invoice',2,1,28,'F','0.014*B6*0.5*0.1/B3','1.16666666666667'),(10017,'Total Costs (Manual Processing)','Total Costs (Manual Processing)',2,1,29,'F','F24+F28+F9','10.6867333333333'),(10017,'salary (we don't necesarrily need to gather this, can estimate 40k','salary (we don't necesarrily need to gather this, can estimate 40k',2,1,7,'K','60000','60000'),(10017,'cost of AP staff labor/invoice','cost of AP staff labor/invoice',2,1,8,'K','B7*(K7/B3)','5'),(10017,'cost of approver labor/invoice','cost of approver labor/invoice',2,1,9,'K','(F16/60)*(F23/100)','1.875'),(10017,'Total cost/invoice of manual processing*','Total cost/invoice of manual processing*',2,1,10,'K','K8+F9+1.88','9.1084'),(10017,'Invoice processing','Invoice processing',2,1,8,'J','K10*B3','218601.6'),(10017,'Payment processing','Payment processing',2,1,9,'J','G8','49320'),(10017,'Current Cost of Manual Accounts Payable','Current Cost of Manual Accounts Payable',2,1,10,'J','J9+J8','267921.6'),(10017,'Subscription: ','Subscription: ',2,1,13,'J','(B3*2.3)+(B4*1.3)','70800'),(10017,'Remaining processing:','Remaining processing:',2,1,14,'J','J8*0.4','87440.64'),(10017,'Future Cost of Automation Accounts Payable','Future Cost of Automation Accounts Payable',2,1,16,'J','J13+J14-G22','138240.64'),(10017,'Annual Savings (dollars)','Annual Savings (dollars)',2,1,18,'J','J10-J16','129680.96'),(10017,'Time to Breakeven (months)','Time to Breakeven (months)',2,1,19,'J','(J16/J10)*(365/30)','6.27768640776506'),(10017,'Annual Savings (weeks)','Annual Savings (weeks)',2,1,20,'J','0.6*(B7*40*52)/40','62.4')</v>
      </c>
    </row>
    <row r="116" spans="1:10" s="71" customFormat="1">
      <c r="E116" s="97"/>
      <c r="F116" s="77"/>
    </row>
    <row r="117" spans="1:10" s="71" customFormat="1">
      <c r="E117" s="97"/>
      <c r="F117" s="77"/>
    </row>
    <row r="118" spans="1:10" s="71" customFormat="1">
      <c r="E118" s="97"/>
      <c r="F118" s="77"/>
      <c r="J118" s="71" t="s">
        <v>358</v>
      </c>
    </row>
    <row r="120" spans="1:10">
      <c r="C120" s="2"/>
    </row>
    <row r="121" spans="1:10">
      <c r="B121" s="70"/>
      <c r="C121" s="71"/>
      <c r="D121" s="70"/>
      <c r="E121" s="99"/>
      <c r="F121" s="73"/>
    </row>
    <row r="122" spans="1:10">
      <c r="B122" s="70"/>
      <c r="C122" s="71"/>
      <c r="D122" s="70"/>
      <c r="E122" s="99"/>
      <c r="F122" s="74"/>
    </row>
    <row r="123" spans="1:10">
      <c r="B123" s="70"/>
      <c r="C123" s="71"/>
      <c r="D123" s="70"/>
      <c r="E123" s="99"/>
      <c r="F123" s="73"/>
    </row>
    <row r="124" spans="1:10">
      <c r="B124" s="70"/>
      <c r="C124" s="71"/>
      <c r="D124" s="70"/>
      <c r="E124" s="113"/>
      <c r="F124" s="7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workbookViewId="0">
      <selection activeCell="C23" sqref="C23"/>
    </sheetView>
  </sheetViews>
  <sheetFormatPr defaultColWidth="8.85546875" defaultRowHeight="15"/>
  <cols>
    <col min="2" max="2" width="10.7109375" customWidth="1"/>
    <col min="3" max="3" width="44.85546875" customWidth="1"/>
    <col min="4" max="4" width="26.28515625" bestFit="1" customWidth="1"/>
    <col min="5" max="5" width="25.85546875" customWidth="1"/>
    <col min="6" max="6" width="22.85546875" customWidth="1"/>
    <col min="7" max="7" width="24" customWidth="1"/>
    <col min="8" max="8" width="20.42578125" bestFit="1" customWidth="1"/>
  </cols>
  <sheetData>
    <row r="2" spans="2:8">
      <c r="B2" s="2" t="s">
        <v>33</v>
      </c>
      <c r="C2" s="2"/>
      <c r="D2" s="2"/>
      <c r="E2" s="2"/>
      <c r="F2" s="2"/>
    </row>
    <row r="3" spans="2:8">
      <c r="B3" s="2"/>
      <c r="C3" s="2"/>
      <c r="D3" s="2"/>
      <c r="E3" s="2"/>
      <c r="F3" s="2"/>
    </row>
    <row r="4" spans="2:8">
      <c r="B4" s="2" t="s">
        <v>0</v>
      </c>
      <c r="C4" s="2" t="s">
        <v>64</v>
      </c>
      <c r="D4" s="2" t="s">
        <v>53</v>
      </c>
      <c r="E4" s="2" t="s">
        <v>2</v>
      </c>
      <c r="F4" s="2" t="s">
        <v>3</v>
      </c>
      <c r="G4" s="2" t="s">
        <v>35</v>
      </c>
      <c r="H4" s="2" t="s">
        <v>36</v>
      </c>
    </row>
    <row r="5" spans="2:8">
      <c r="B5" s="71" t="s">
        <v>40</v>
      </c>
      <c r="C5" s="71" t="s">
        <v>8</v>
      </c>
      <c r="D5" s="71" t="s">
        <v>10</v>
      </c>
      <c r="E5" s="71"/>
      <c r="F5" s="76">
        <v>25000</v>
      </c>
    </row>
    <row r="6" spans="2:8">
      <c r="B6" s="71" t="s">
        <v>41</v>
      </c>
      <c r="C6" s="71" t="s">
        <v>104</v>
      </c>
      <c r="D6" s="71" t="s">
        <v>10</v>
      </c>
      <c r="E6" s="71"/>
      <c r="F6" s="77">
        <v>16000</v>
      </c>
    </row>
    <row r="7" spans="2:8">
      <c r="B7" s="71" t="s">
        <v>42</v>
      </c>
      <c r="C7" s="71" t="s">
        <v>61</v>
      </c>
      <c r="D7" s="71" t="s">
        <v>10</v>
      </c>
      <c r="E7" s="71"/>
      <c r="F7" s="77">
        <v>500000</v>
      </c>
    </row>
    <row r="8" spans="2:8" s="71" customFormat="1">
      <c r="B8" s="71" t="s">
        <v>43</v>
      </c>
      <c r="C8" s="71" t="s">
        <v>65</v>
      </c>
      <c r="D8" s="71" t="s">
        <v>10</v>
      </c>
      <c r="F8" s="78">
        <v>0.3</v>
      </c>
    </row>
    <row r="9" spans="2:8" s="71" customFormat="1">
      <c r="B9" s="71" t="s">
        <v>44</v>
      </c>
      <c r="C9" s="71" t="s">
        <v>34</v>
      </c>
      <c r="D9" s="71" t="s">
        <v>10</v>
      </c>
      <c r="F9" s="78">
        <v>0.5</v>
      </c>
    </row>
    <row r="10" spans="2:8" s="71" customFormat="1">
      <c r="B10" s="71" t="s">
        <v>45</v>
      </c>
      <c r="C10" s="71" t="s">
        <v>12</v>
      </c>
      <c r="D10" s="71" t="s">
        <v>10</v>
      </c>
      <c r="F10" s="78">
        <v>0.2</v>
      </c>
    </row>
    <row r="12" spans="2:8">
      <c r="C12" s="2" t="s">
        <v>63</v>
      </c>
      <c r="D12" s="2"/>
      <c r="E12" s="1"/>
      <c r="F12" s="5"/>
    </row>
    <row r="13" spans="2:8" s="71" customFormat="1">
      <c r="B13" s="71" t="s">
        <v>46</v>
      </c>
      <c r="C13" s="71" t="s">
        <v>37</v>
      </c>
      <c r="D13" s="71" t="s">
        <v>55</v>
      </c>
      <c r="E13" s="79"/>
      <c r="F13" s="78">
        <v>0.3</v>
      </c>
    </row>
    <row r="14" spans="2:8" s="71" customFormat="1">
      <c r="B14" s="71" t="s">
        <v>47</v>
      </c>
      <c r="C14" s="71" t="s">
        <v>39</v>
      </c>
      <c r="D14" s="71" t="s">
        <v>55</v>
      </c>
      <c r="E14" s="79"/>
      <c r="F14" s="78">
        <v>0.4</v>
      </c>
    </row>
    <row r="15" spans="2:8" s="71" customFormat="1">
      <c r="B15" s="71" t="s">
        <v>48</v>
      </c>
      <c r="C15" s="71" t="s">
        <v>38</v>
      </c>
      <c r="D15" s="71" t="s">
        <v>55</v>
      </c>
      <c r="E15" s="76"/>
      <c r="F15" s="76">
        <v>11</v>
      </c>
    </row>
    <row r="16" spans="2:8" s="71" customFormat="1">
      <c r="B16" s="71" t="s">
        <v>58</v>
      </c>
      <c r="C16" s="71" t="s">
        <v>52</v>
      </c>
      <c r="D16" s="71" t="s">
        <v>55</v>
      </c>
      <c r="E16" s="80"/>
      <c r="F16" s="78">
        <v>0.2</v>
      </c>
    </row>
    <row r="17" spans="1:6" s="71" customFormat="1">
      <c r="B17" s="71" t="s">
        <v>59</v>
      </c>
      <c r="C17" s="71" t="s">
        <v>94</v>
      </c>
      <c r="D17" s="71" t="s">
        <v>55</v>
      </c>
      <c r="E17" s="77"/>
      <c r="F17" s="77">
        <v>35000</v>
      </c>
    </row>
    <row r="19" spans="1:6">
      <c r="C19" s="2" t="s">
        <v>62</v>
      </c>
    </row>
    <row r="20" spans="1:6">
      <c r="A20">
        <v>153</v>
      </c>
      <c r="B20" s="70" t="s">
        <v>49</v>
      </c>
      <c r="C20" s="71" t="s">
        <v>124</v>
      </c>
      <c r="D20" s="70" t="s">
        <v>54</v>
      </c>
      <c r="E20" s="72" t="s">
        <v>76</v>
      </c>
      <c r="F20" s="73">
        <f>F7*F13*F14*F15</f>
        <v>660000</v>
      </c>
    </row>
    <row r="21" spans="1:6">
      <c r="A21">
        <v>154</v>
      </c>
      <c r="B21" s="70" t="s">
        <v>50</v>
      </c>
      <c r="C21" s="71" t="s">
        <v>101</v>
      </c>
      <c r="D21" s="70" t="s">
        <v>54</v>
      </c>
      <c r="E21" s="72" t="s">
        <v>77</v>
      </c>
      <c r="F21" s="74">
        <f>F6*F16</f>
        <v>3200</v>
      </c>
    </row>
    <row r="22" spans="1:6">
      <c r="A22">
        <v>155</v>
      </c>
      <c r="B22" s="70" t="s">
        <v>51</v>
      </c>
      <c r="C22" s="71" t="s">
        <v>127</v>
      </c>
      <c r="D22" s="70" t="s">
        <v>54</v>
      </c>
      <c r="E22" s="72" t="s">
        <v>122</v>
      </c>
      <c r="F22" s="73">
        <f>F21*F8*F9*F10*F5</f>
        <v>2400000</v>
      </c>
    </row>
    <row r="23" spans="1:6">
      <c r="A23">
        <v>152</v>
      </c>
      <c r="B23" s="70" t="s">
        <v>60</v>
      </c>
      <c r="C23" s="71" t="s">
        <v>117</v>
      </c>
      <c r="D23" s="70" t="s">
        <v>54</v>
      </c>
      <c r="E23" s="87" t="s">
        <v>129</v>
      </c>
      <c r="F23" s="75">
        <f>(F22+F20)/F17</f>
        <v>87.428571428571431</v>
      </c>
    </row>
    <row r="25" spans="1:6">
      <c r="E2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7"/>
  <sheetViews>
    <sheetView workbookViewId="0">
      <selection activeCell="C25" sqref="C25"/>
    </sheetView>
  </sheetViews>
  <sheetFormatPr defaultColWidth="8.85546875" defaultRowHeight="15"/>
  <cols>
    <col min="2" max="2" width="10.7109375" customWidth="1"/>
    <col min="3" max="3" width="50.7109375" customWidth="1"/>
    <col min="4" max="4" width="26.28515625" bestFit="1" customWidth="1"/>
    <col min="5" max="5" width="24.140625" customWidth="1"/>
    <col min="6" max="6" width="22.85546875" customWidth="1"/>
    <col min="7" max="7" width="20.42578125" bestFit="1" customWidth="1"/>
  </cols>
  <sheetData>
    <row r="2" spans="1:7">
      <c r="B2" s="2" t="s">
        <v>33</v>
      </c>
      <c r="C2" s="2"/>
      <c r="D2" s="2"/>
      <c r="E2" s="2"/>
      <c r="F2" s="2"/>
    </row>
    <row r="3" spans="1:7">
      <c r="B3" s="2"/>
      <c r="C3" s="2"/>
      <c r="D3" s="2"/>
      <c r="E3" s="2"/>
      <c r="F3" s="2"/>
    </row>
    <row r="4" spans="1:7">
      <c r="B4" s="2" t="s">
        <v>0</v>
      </c>
      <c r="C4" s="2" t="s">
        <v>64</v>
      </c>
      <c r="D4" s="2" t="s">
        <v>53</v>
      </c>
      <c r="E4" s="2" t="s">
        <v>2</v>
      </c>
      <c r="F4" s="2" t="s">
        <v>3</v>
      </c>
      <c r="G4" s="2" t="s">
        <v>36</v>
      </c>
    </row>
    <row r="5" spans="1:7">
      <c r="B5" t="s">
        <v>6</v>
      </c>
      <c r="C5" t="s">
        <v>8</v>
      </c>
      <c r="D5" s="37" t="s">
        <v>10</v>
      </c>
      <c r="E5" s="35"/>
      <c r="F5" s="38">
        <v>25000</v>
      </c>
    </row>
    <row r="6" spans="1:7">
      <c r="B6" t="s">
        <v>7</v>
      </c>
      <c r="C6" t="s">
        <v>114</v>
      </c>
      <c r="D6" s="37" t="s">
        <v>10</v>
      </c>
      <c r="E6" s="33"/>
      <c r="F6" s="36">
        <v>20</v>
      </c>
    </row>
    <row r="7" spans="1:7">
      <c r="B7" t="s">
        <v>11</v>
      </c>
      <c r="C7" t="s">
        <v>34</v>
      </c>
      <c r="D7" s="37" t="s">
        <v>10</v>
      </c>
      <c r="E7" s="34"/>
      <c r="F7" s="39">
        <v>0.5</v>
      </c>
    </row>
    <row r="8" spans="1:7">
      <c r="B8" t="s">
        <v>4</v>
      </c>
      <c r="C8" t="s">
        <v>12</v>
      </c>
      <c r="D8" s="37" t="s">
        <v>10</v>
      </c>
      <c r="E8" s="35"/>
      <c r="F8" s="39">
        <v>0.2</v>
      </c>
    </row>
    <row r="10" spans="1:7">
      <c r="C10" s="2" t="s">
        <v>63</v>
      </c>
      <c r="D10" s="2"/>
      <c r="E10" s="1"/>
      <c r="F10" s="5"/>
    </row>
    <row r="11" spans="1:7">
      <c r="A11" s="6"/>
      <c r="B11" s="6" t="s">
        <v>30</v>
      </c>
      <c r="C11" s="6" t="s">
        <v>56</v>
      </c>
      <c r="D11" s="6" t="s">
        <v>55</v>
      </c>
      <c r="E11" s="81"/>
      <c r="F11" s="81">
        <v>24000</v>
      </c>
    </row>
    <row r="12" spans="1:7">
      <c r="A12" s="6"/>
      <c r="B12" s="6" t="s">
        <v>83</v>
      </c>
      <c r="C12" s="6" t="s">
        <v>57</v>
      </c>
      <c r="D12" s="6" t="s">
        <v>55</v>
      </c>
      <c r="E12" s="81"/>
      <c r="F12" s="81">
        <v>1500</v>
      </c>
    </row>
    <row r="13" spans="1:7">
      <c r="A13" s="6"/>
      <c r="B13" s="6" t="s">
        <v>84</v>
      </c>
      <c r="C13" s="6" t="s">
        <v>82</v>
      </c>
      <c r="D13" s="6" t="s">
        <v>55</v>
      </c>
      <c r="E13" s="81"/>
      <c r="F13" s="81">
        <v>1</v>
      </c>
    </row>
    <row r="14" spans="1:7">
      <c r="A14" s="6"/>
      <c r="B14" s="6" t="s">
        <v>85</v>
      </c>
      <c r="C14" s="6" t="s">
        <v>86</v>
      </c>
      <c r="D14" s="6" t="s">
        <v>55</v>
      </c>
      <c r="E14" s="81"/>
      <c r="F14" s="81">
        <v>50</v>
      </c>
    </row>
    <row r="15" spans="1:7">
      <c r="A15" s="6"/>
      <c r="B15" s="6" t="s">
        <v>88</v>
      </c>
      <c r="C15" s="6" t="s">
        <v>89</v>
      </c>
      <c r="D15" s="6" t="s">
        <v>55</v>
      </c>
      <c r="E15" s="81"/>
      <c r="F15" s="82">
        <v>7.5</v>
      </c>
    </row>
    <row r="16" spans="1:7" s="37" customFormat="1">
      <c r="A16" s="40"/>
      <c r="B16" s="40" t="s">
        <v>91</v>
      </c>
      <c r="C16" s="40" t="s">
        <v>39</v>
      </c>
      <c r="D16" s="6" t="s">
        <v>55</v>
      </c>
      <c r="E16" s="41"/>
      <c r="F16" s="83">
        <v>0.4</v>
      </c>
    </row>
    <row r="17" spans="1:6" s="37" customFormat="1">
      <c r="A17" s="40"/>
      <c r="B17" s="40" t="s">
        <v>92</v>
      </c>
      <c r="C17" s="40" t="s">
        <v>38</v>
      </c>
      <c r="D17" s="6" t="s">
        <v>55</v>
      </c>
      <c r="E17" s="42"/>
      <c r="F17" s="42">
        <v>11</v>
      </c>
    </row>
    <row r="18" spans="1:6" s="37" customFormat="1">
      <c r="A18" s="40"/>
      <c r="B18" s="40" t="s">
        <v>96</v>
      </c>
      <c r="C18" s="40" t="s">
        <v>95</v>
      </c>
      <c r="D18" s="6"/>
      <c r="E18" s="42"/>
      <c r="F18" s="81">
        <f>2000*12*0.3</f>
        <v>7200</v>
      </c>
    </row>
    <row r="20" spans="1:6">
      <c r="C20" s="2" t="s">
        <v>62</v>
      </c>
    </row>
    <row r="21" spans="1:6">
      <c r="A21">
        <v>161</v>
      </c>
      <c r="B21" s="2" t="s">
        <v>78</v>
      </c>
      <c r="C21" t="s">
        <v>100</v>
      </c>
      <c r="D21" s="2" t="s">
        <v>54</v>
      </c>
      <c r="E21" s="84" t="s">
        <v>87</v>
      </c>
      <c r="F21" s="36">
        <f>F6*F13*F14</f>
        <v>1000</v>
      </c>
    </row>
    <row r="22" spans="1:6">
      <c r="A22">
        <v>162</v>
      </c>
      <c r="B22" s="2" t="s">
        <v>79</v>
      </c>
      <c r="C22" t="s">
        <v>115</v>
      </c>
      <c r="D22" s="70" t="s">
        <v>54</v>
      </c>
      <c r="E22" s="85" t="s">
        <v>90</v>
      </c>
      <c r="F22" s="77">
        <f>F15*F14*F6</f>
        <v>7500</v>
      </c>
    </row>
    <row r="23" spans="1:6">
      <c r="A23">
        <v>163</v>
      </c>
      <c r="B23" s="2" t="s">
        <v>80</v>
      </c>
      <c r="C23" t="s">
        <v>124</v>
      </c>
      <c r="D23" s="70" t="s">
        <v>54</v>
      </c>
      <c r="E23" s="85" t="s">
        <v>97</v>
      </c>
      <c r="F23" s="77">
        <f>F18*F17*F16*F6</f>
        <v>633600</v>
      </c>
    </row>
    <row r="24" spans="1:6">
      <c r="A24">
        <v>164</v>
      </c>
      <c r="B24" s="2" t="s">
        <v>81</v>
      </c>
      <c r="C24" t="s">
        <v>127</v>
      </c>
      <c r="D24" s="70" t="s">
        <v>54</v>
      </c>
      <c r="E24" s="88" t="s">
        <v>130</v>
      </c>
      <c r="F24" s="76">
        <f>F21*F7*F8*F5</f>
        <v>2500000</v>
      </c>
    </row>
    <row r="25" spans="1:6">
      <c r="A25">
        <v>165</v>
      </c>
      <c r="B25" s="2" t="s">
        <v>93</v>
      </c>
      <c r="C25" t="s">
        <v>117</v>
      </c>
      <c r="D25" s="70" t="s">
        <v>54</v>
      </c>
      <c r="E25" s="85" t="s">
        <v>123</v>
      </c>
      <c r="F25" s="86">
        <f>(F24+F23)/((F11+(F12*F6)))</f>
        <v>58.029629629629632</v>
      </c>
    </row>
    <row r="27" spans="1:6">
      <c r="E27"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40"/>
  <sheetViews>
    <sheetView zoomScale="70" zoomScaleNormal="70" zoomScalePageLayoutView="70" workbookViewId="0">
      <selection activeCell="B4" sqref="B4"/>
    </sheetView>
  </sheetViews>
  <sheetFormatPr defaultColWidth="10.85546875" defaultRowHeight="14.25"/>
  <cols>
    <col min="1" max="1" width="10.85546875" style="7"/>
    <col min="2" max="2" width="6.85546875" style="7" customWidth="1"/>
    <col min="3" max="3" width="10.85546875" style="7"/>
    <col min="4" max="4" width="11.7109375" style="7" customWidth="1"/>
    <col min="5" max="5" width="13" style="7" customWidth="1"/>
    <col min="6" max="6" width="11" style="7" customWidth="1"/>
    <col min="7" max="7" width="14.140625" style="7" customWidth="1"/>
    <col min="8" max="8" width="5.85546875" style="7" customWidth="1"/>
    <col min="9" max="9" width="14.28515625" style="7" customWidth="1"/>
    <col min="10" max="11" width="14.42578125" style="7" customWidth="1"/>
    <col min="12" max="12" width="17" style="7" customWidth="1"/>
    <col min="13" max="13" width="13.7109375" style="7" customWidth="1"/>
    <col min="14" max="14" width="4.85546875" style="7" customWidth="1"/>
    <col min="15" max="15" width="10.85546875" style="7" customWidth="1"/>
    <col min="16" max="16" width="14.85546875" style="7" customWidth="1"/>
    <col min="17" max="17" width="25.42578125" style="7" customWidth="1"/>
    <col min="18" max="18" width="4.85546875" style="7" customWidth="1"/>
    <col min="19" max="16384" width="10.85546875" style="7"/>
  </cols>
  <sheetData>
    <row r="3" spans="2:19" ht="66" customHeight="1">
      <c r="B3" s="47" t="s">
        <v>128</v>
      </c>
      <c r="C3" s="17"/>
      <c r="D3" s="18"/>
      <c r="E3" s="18"/>
      <c r="F3" s="18"/>
      <c r="G3" s="18"/>
      <c r="H3" s="18"/>
      <c r="I3" s="18"/>
      <c r="J3" s="18"/>
      <c r="K3" s="18"/>
      <c r="L3" s="18"/>
      <c r="M3" s="18"/>
      <c r="N3" s="18"/>
      <c r="O3" s="18"/>
      <c r="P3" s="18"/>
      <c r="Q3" s="18"/>
      <c r="R3" s="18"/>
      <c r="S3" s="18"/>
    </row>
    <row r="4" spans="2:19" ht="36.950000000000003" customHeight="1"/>
    <row r="5" spans="2:19" ht="17.100000000000001" customHeight="1">
      <c r="D5" s="122" t="s">
        <v>102</v>
      </c>
      <c r="E5" s="123"/>
      <c r="F5" s="123"/>
      <c r="G5" s="124"/>
      <c r="I5" s="131" t="s">
        <v>103</v>
      </c>
      <c r="J5" s="132"/>
      <c r="K5" s="133"/>
      <c r="O5" s="50" t="s">
        <v>105</v>
      </c>
      <c r="P5" s="46">
        <v>110</v>
      </c>
      <c r="Q5" s="46">
        <v>190</v>
      </c>
      <c r="R5" s="46">
        <v>73</v>
      </c>
    </row>
    <row r="6" spans="2:19" ht="17.100000000000001" customHeight="1">
      <c r="D6" s="125"/>
      <c r="E6" s="126"/>
      <c r="F6" s="126"/>
      <c r="G6" s="127"/>
      <c r="I6" s="134"/>
      <c r="J6" s="135"/>
      <c r="K6" s="136"/>
      <c r="O6" s="45" t="s">
        <v>106</v>
      </c>
      <c r="P6" s="10">
        <v>31</v>
      </c>
      <c r="Q6" s="10">
        <v>116</v>
      </c>
      <c r="R6" s="10">
        <v>187</v>
      </c>
    </row>
    <row r="7" spans="2:19" ht="15" customHeight="1">
      <c r="D7" s="125"/>
      <c r="E7" s="126"/>
      <c r="F7" s="126"/>
      <c r="G7" s="127"/>
      <c r="I7" s="134"/>
      <c r="J7" s="135"/>
      <c r="K7" s="136"/>
      <c r="O7" s="51" t="s">
        <v>107</v>
      </c>
      <c r="P7" s="10">
        <v>250</v>
      </c>
      <c r="Q7" s="10">
        <v>164</v>
      </c>
      <c r="R7" s="10">
        <v>26</v>
      </c>
    </row>
    <row r="8" spans="2:19" ht="15" customHeight="1">
      <c r="D8" s="125"/>
      <c r="E8" s="126"/>
      <c r="F8" s="126"/>
      <c r="G8" s="127"/>
      <c r="I8" s="134"/>
      <c r="J8" s="135"/>
      <c r="K8" s="136"/>
      <c r="O8" s="52" t="s">
        <v>108</v>
      </c>
      <c r="P8" s="10">
        <v>204</v>
      </c>
      <c r="Q8" s="10">
        <v>204</v>
      </c>
      <c r="R8" s="10">
        <v>204</v>
      </c>
    </row>
    <row r="9" spans="2:19" ht="15" customHeight="1">
      <c r="D9" s="125"/>
      <c r="E9" s="126"/>
      <c r="F9" s="126"/>
      <c r="G9" s="127"/>
      <c r="I9" s="134"/>
      <c r="J9" s="135"/>
      <c r="K9" s="136"/>
      <c r="O9" s="53" t="s">
        <v>110</v>
      </c>
      <c r="P9" s="10">
        <v>127</v>
      </c>
      <c r="Q9" s="10">
        <v>128</v>
      </c>
      <c r="R9" s="10">
        <v>128</v>
      </c>
    </row>
    <row r="10" spans="2:19" ht="15" customHeight="1">
      <c r="D10" s="125"/>
      <c r="E10" s="126"/>
      <c r="F10" s="126"/>
      <c r="G10" s="127"/>
      <c r="I10" s="134"/>
      <c r="J10" s="135"/>
      <c r="K10" s="136"/>
      <c r="O10" s="18" t="s">
        <v>109</v>
      </c>
      <c r="P10" s="10">
        <v>34</v>
      </c>
      <c r="Q10" s="10">
        <v>33</v>
      </c>
      <c r="R10" s="10">
        <v>33</v>
      </c>
    </row>
    <row r="11" spans="2:19" ht="15" customHeight="1">
      <c r="D11" s="125"/>
      <c r="E11" s="126"/>
      <c r="F11" s="126"/>
      <c r="G11" s="127"/>
      <c r="I11" s="134"/>
      <c r="J11" s="135"/>
      <c r="K11" s="136"/>
    </row>
    <row r="12" spans="2:19" ht="15" customHeight="1">
      <c r="D12" s="125"/>
      <c r="E12" s="126"/>
      <c r="F12" s="126"/>
      <c r="G12" s="127"/>
      <c r="I12" s="134"/>
      <c r="J12" s="135"/>
      <c r="K12" s="136"/>
    </row>
    <row r="13" spans="2:19" ht="15" customHeight="1">
      <c r="D13" s="125"/>
      <c r="E13" s="126"/>
      <c r="F13" s="126"/>
      <c r="G13" s="127"/>
      <c r="I13" s="134"/>
      <c r="J13" s="135"/>
      <c r="K13" s="136"/>
    </row>
    <row r="14" spans="2:19" ht="15" customHeight="1">
      <c r="D14" s="125"/>
      <c r="E14" s="126"/>
      <c r="F14" s="126"/>
      <c r="G14" s="127"/>
      <c r="I14" s="134"/>
      <c r="J14" s="135"/>
      <c r="K14" s="136"/>
    </row>
    <row r="15" spans="2:19" ht="15" customHeight="1">
      <c r="D15" s="125"/>
      <c r="E15" s="126"/>
      <c r="F15" s="126"/>
      <c r="G15" s="127"/>
      <c r="I15" s="134"/>
      <c r="J15" s="135"/>
      <c r="K15" s="136"/>
    </row>
    <row r="16" spans="2:19" ht="15" customHeight="1">
      <c r="D16" s="125"/>
      <c r="E16" s="126"/>
      <c r="F16" s="126"/>
      <c r="G16" s="127"/>
      <c r="I16" s="134"/>
      <c r="J16" s="135"/>
      <c r="K16" s="136"/>
    </row>
    <row r="17" spans="3:21" ht="15" customHeight="1">
      <c r="D17" s="128"/>
      <c r="E17" s="129"/>
      <c r="F17" s="129"/>
      <c r="G17" s="130"/>
      <c r="I17" s="137"/>
      <c r="J17" s="138"/>
      <c r="K17" s="139"/>
    </row>
    <row r="20" spans="3:21" s="11" customFormat="1" ht="30">
      <c r="C20" s="31" t="s">
        <v>64</v>
      </c>
      <c r="D20" s="31"/>
      <c r="E20" s="31"/>
      <c r="F20" s="31"/>
      <c r="G20" s="31"/>
      <c r="H20" s="31"/>
      <c r="I20" s="31"/>
      <c r="J20" s="31"/>
      <c r="K20" s="31"/>
      <c r="L20" s="31"/>
      <c r="M20" s="7"/>
      <c r="N20" s="31" t="s">
        <v>99</v>
      </c>
      <c r="O20" s="31"/>
      <c r="P20" s="31"/>
      <c r="Q20" s="31"/>
      <c r="R20" s="31"/>
      <c r="U20" s="43"/>
    </row>
    <row r="21" spans="3:21" ht="33.950000000000003" customHeight="1">
      <c r="C21" s="12" t="s">
        <v>8</v>
      </c>
      <c r="E21" s="9"/>
      <c r="F21" s="9"/>
      <c r="I21" s="12" t="s">
        <v>34</v>
      </c>
      <c r="U21" s="44"/>
    </row>
    <row r="22" spans="3:21" ht="39.950000000000003" customHeight="1">
      <c r="C22" s="115" t="s">
        <v>67</v>
      </c>
      <c r="D22" s="116"/>
      <c r="E22" s="116"/>
      <c r="F22" s="116"/>
      <c r="G22" s="117"/>
      <c r="I22" s="118" t="s">
        <v>69</v>
      </c>
      <c r="J22" s="119"/>
      <c r="K22" s="119"/>
      <c r="L22" s="120"/>
      <c r="N22" s="19"/>
      <c r="O22" s="140" t="s">
        <v>116</v>
      </c>
      <c r="P22" s="140"/>
      <c r="Q22" s="140"/>
      <c r="R22" s="20"/>
      <c r="U22" s="44"/>
    </row>
    <row r="23" spans="3:21" ht="36" customHeight="1">
      <c r="C23" s="13" t="s">
        <v>114</v>
      </c>
      <c r="D23" s="14"/>
      <c r="E23" s="14"/>
      <c r="F23" s="14"/>
      <c r="G23" s="14"/>
      <c r="I23" s="12" t="s">
        <v>12</v>
      </c>
      <c r="N23" s="21"/>
      <c r="O23" s="121" t="s">
        <v>119</v>
      </c>
      <c r="P23" s="121"/>
      <c r="Q23" s="121"/>
      <c r="R23" s="22"/>
      <c r="U23" s="44"/>
    </row>
    <row r="24" spans="3:21" ht="39.950000000000003" customHeight="1">
      <c r="C24" s="115" t="s">
        <v>113</v>
      </c>
      <c r="D24" s="116"/>
      <c r="E24" s="116"/>
      <c r="F24" s="116"/>
      <c r="G24" s="117"/>
      <c r="I24" s="118" t="s">
        <v>66</v>
      </c>
      <c r="J24" s="119"/>
      <c r="K24" s="119"/>
      <c r="L24" s="120"/>
      <c r="N24" s="21"/>
      <c r="O24" s="142" t="str">
        <f>ROUND((O27+O30)/(('Sales Formulas'!F11)+('Sales Formulas'!F12*'Sales Formulas'!F6)),0)&amp;"X"</f>
        <v>58X</v>
      </c>
      <c r="P24" s="142"/>
      <c r="Q24" s="142"/>
      <c r="R24" s="22"/>
      <c r="U24" s="44"/>
    </row>
    <row r="25" spans="3:21" ht="21" customHeight="1">
      <c r="C25" s="59"/>
      <c r="D25" s="60"/>
      <c r="E25" s="60"/>
      <c r="F25" s="60"/>
      <c r="G25" s="60"/>
      <c r="I25" s="61"/>
      <c r="J25" s="62"/>
      <c r="K25" s="62"/>
      <c r="L25" s="62"/>
      <c r="N25" s="21"/>
      <c r="O25" s="63"/>
      <c r="P25" s="63"/>
      <c r="Q25" s="63"/>
      <c r="R25" s="22"/>
      <c r="U25" s="44"/>
    </row>
    <row r="26" spans="3:21" s="8" customFormat="1" ht="36" customHeight="1">
      <c r="C26" s="7"/>
      <c r="D26" s="7"/>
      <c r="E26" s="7"/>
      <c r="F26" s="7"/>
      <c r="G26" s="7"/>
      <c r="H26" s="7"/>
      <c r="I26" s="7"/>
      <c r="J26" s="7"/>
      <c r="K26" s="7"/>
      <c r="L26" s="7"/>
      <c r="N26" s="21"/>
      <c r="O26" s="143" t="s">
        <v>118</v>
      </c>
      <c r="P26" s="143"/>
      <c r="Q26" s="143"/>
      <c r="R26" s="22"/>
      <c r="U26" s="7"/>
    </row>
    <row r="27" spans="3:21" ht="48" customHeight="1">
      <c r="N27" s="21"/>
      <c r="O27" s="141">
        <f>'Sales Formulas'!F14*'Sales Formulas'!F13*'Sales Formulas'!F6*'Sales Formulas'!F5*'Sales Formulas'!F7*'Sales Formulas'!F8</f>
        <v>2500000</v>
      </c>
      <c r="P27" s="141"/>
      <c r="Q27" s="141"/>
      <c r="R27" s="22"/>
    </row>
    <row r="28" spans="3:21" ht="23.1" customHeight="1">
      <c r="N28" s="21"/>
      <c r="O28" s="64"/>
      <c r="P28" s="64"/>
      <c r="Q28" s="64"/>
      <c r="R28" s="22"/>
    </row>
    <row r="29" spans="3:21" ht="35.1" customHeight="1">
      <c r="D29" s="9"/>
      <c r="N29" s="21"/>
      <c r="O29" s="143" t="s">
        <v>124</v>
      </c>
      <c r="P29" s="143"/>
      <c r="Q29" s="143"/>
      <c r="R29" s="22"/>
    </row>
    <row r="30" spans="3:21" ht="17.100000000000001" customHeight="1">
      <c r="D30" s="9"/>
      <c r="N30" s="21"/>
      <c r="O30" s="141">
        <f>'Sales Formulas'!F18*'Sales Formulas'!F17*'Sales Formulas'!F16*'Sales Formulas'!F6</f>
        <v>633600</v>
      </c>
      <c r="P30" s="141"/>
      <c r="Q30" s="141"/>
      <c r="R30" s="22"/>
    </row>
    <row r="31" spans="3:21" ht="24" customHeight="1">
      <c r="N31" s="21"/>
      <c r="O31" s="141"/>
      <c r="P31" s="141"/>
      <c r="Q31" s="141"/>
      <c r="R31" s="22"/>
    </row>
    <row r="32" spans="3:21" ht="30.95" customHeight="1">
      <c r="C32" s="31" t="s">
        <v>74</v>
      </c>
      <c r="D32" s="32"/>
      <c r="E32" s="32"/>
      <c r="F32" s="32"/>
      <c r="G32" s="32"/>
      <c r="H32" s="31"/>
      <c r="I32" s="31"/>
      <c r="J32" s="32"/>
      <c r="K32" s="32"/>
      <c r="L32" s="32"/>
      <c r="N32" s="21"/>
      <c r="O32" s="65"/>
      <c r="P32" s="65"/>
      <c r="Q32" s="65"/>
      <c r="R32" s="22"/>
    </row>
    <row r="33" spans="3:18" ht="15">
      <c r="N33" s="21"/>
      <c r="O33" s="144" t="s">
        <v>115</v>
      </c>
      <c r="P33" s="144"/>
      <c r="Q33" s="144"/>
      <c r="R33" s="22"/>
    </row>
    <row r="34" spans="3:18" ht="30" customHeight="1">
      <c r="C34" s="29" t="s">
        <v>70</v>
      </c>
      <c r="D34" s="15"/>
      <c r="E34" s="15"/>
      <c r="F34" s="16"/>
      <c r="G34" s="26"/>
      <c r="H34" s="145" t="s">
        <v>98</v>
      </c>
      <c r="I34" s="145"/>
      <c r="J34" s="145"/>
      <c r="K34" s="145"/>
      <c r="L34" s="145"/>
      <c r="N34" s="21"/>
      <c r="O34" s="142">
        <f>'Sales Formulas'!F6*'Sales Formulas'!F15*'Sales Formulas'!F14</f>
        <v>7500</v>
      </c>
      <c r="P34" s="142"/>
      <c r="Q34" s="142"/>
      <c r="R34" s="22"/>
    </row>
    <row r="35" spans="3:18" ht="18" customHeight="1">
      <c r="C35" s="27"/>
      <c r="D35" s="28"/>
      <c r="E35" s="28"/>
      <c r="F35" s="28"/>
      <c r="G35" s="28"/>
      <c r="H35" s="145"/>
      <c r="I35" s="145"/>
      <c r="J35" s="145"/>
      <c r="K35" s="145"/>
      <c r="L35" s="145"/>
      <c r="N35" s="21"/>
      <c r="O35" s="142"/>
      <c r="P35" s="142"/>
      <c r="Q35" s="142"/>
      <c r="R35" s="22"/>
    </row>
    <row r="36" spans="3:18" ht="30" customHeight="1">
      <c r="C36" s="29" t="s">
        <v>71</v>
      </c>
      <c r="D36" s="15"/>
      <c r="E36" s="15"/>
      <c r="F36" s="16"/>
      <c r="G36" s="25"/>
      <c r="H36" s="145"/>
      <c r="I36" s="145"/>
      <c r="J36" s="145"/>
      <c r="K36" s="145"/>
      <c r="L36" s="145"/>
      <c r="N36" s="21"/>
      <c r="O36" s="66"/>
      <c r="P36" s="66"/>
      <c r="Q36" s="66"/>
      <c r="R36" s="22"/>
    </row>
    <row r="37" spans="3:18" ht="18">
      <c r="C37" s="27"/>
      <c r="D37" s="28"/>
      <c r="E37" s="28"/>
      <c r="F37" s="28"/>
      <c r="G37" s="28"/>
      <c r="H37" s="145"/>
      <c r="I37" s="145"/>
      <c r="J37" s="145"/>
      <c r="K37" s="145"/>
      <c r="L37" s="145"/>
      <c r="N37" s="21"/>
      <c r="O37" s="143" t="s">
        <v>100</v>
      </c>
      <c r="P37" s="143"/>
      <c r="Q37" s="143"/>
      <c r="R37" s="22"/>
    </row>
    <row r="38" spans="3:18" ht="30" customHeight="1">
      <c r="C38" s="29" t="s">
        <v>72</v>
      </c>
      <c r="D38" s="15"/>
      <c r="E38" s="15"/>
      <c r="F38" s="16"/>
      <c r="G38" s="26"/>
      <c r="H38" s="145"/>
      <c r="I38" s="145"/>
      <c r="J38" s="145"/>
      <c r="K38" s="145"/>
      <c r="L38" s="145"/>
      <c r="N38" s="21"/>
      <c r="O38" s="146">
        <f>'Sales Formulas'!F13*'Sales Formulas'!F14*'Sales Formulas'!F6</f>
        <v>1000</v>
      </c>
      <c r="P38" s="146"/>
      <c r="Q38" s="146"/>
      <c r="R38" s="22"/>
    </row>
    <row r="39" spans="3:18" ht="21.95" customHeight="1">
      <c r="C39" s="27"/>
      <c r="D39" s="28"/>
      <c r="E39" s="28"/>
      <c r="F39" s="28"/>
      <c r="G39" s="28"/>
      <c r="H39" s="145"/>
      <c r="I39" s="145"/>
      <c r="J39" s="145"/>
      <c r="K39" s="145"/>
      <c r="L39" s="145"/>
      <c r="N39" s="21"/>
      <c r="O39" s="22"/>
      <c r="P39" s="23"/>
      <c r="Q39" s="23"/>
      <c r="R39" s="23"/>
    </row>
    <row r="40" spans="3:18" ht="30" customHeight="1">
      <c r="C40" s="29" t="s">
        <v>73</v>
      </c>
      <c r="D40" s="15"/>
      <c r="E40" s="15"/>
      <c r="F40" s="16"/>
      <c r="G40" s="26"/>
      <c r="H40" s="145"/>
      <c r="I40" s="145"/>
      <c r="J40" s="145"/>
      <c r="K40" s="145"/>
      <c r="L40" s="145"/>
      <c r="N40" s="21"/>
      <c r="O40" s="24"/>
      <c r="P40" s="24"/>
      <c r="Q40" s="24"/>
      <c r="R40" s="22"/>
    </row>
  </sheetData>
  <mergeCells count="18">
    <mergeCell ref="O33:Q33"/>
    <mergeCell ref="O34:Q35"/>
    <mergeCell ref="O37:Q37"/>
    <mergeCell ref="H34:L40"/>
    <mergeCell ref="O38:Q38"/>
    <mergeCell ref="O27:Q27"/>
    <mergeCell ref="O24:Q24"/>
    <mergeCell ref="O29:Q29"/>
    <mergeCell ref="O30:Q31"/>
    <mergeCell ref="O26:Q26"/>
    <mergeCell ref="C24:G24"/>
    <mergeCell ref="I24:L24"/>
    <mergeCell ref="O23:Q23"/>
    <mergeCell ref="D5:G17"/>
    <mergeCell ref="I5:K17"/>
    <mergeCell ref="C22:G22"/>
    <mergeCell ref="I22:L22"/>
    <mergeCell ref="O22:Q22"/>
  </mergeCells>
  <pageMargins left="0.7" right="0.7" top="0.75" bottom="0.75" header="0.3" footer="0.3"/>
  <pageSetup orientation="portrait" horizontalDpi="0" verticalDpi="0"/>
  <ignoredErrors>
    <ignoredError sqref="C22:I22 C24:I24 D23:H23 J23:L23 J24:L24 J22:L2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38"/>
  <sheetViews>
    <sheetView topLeftCell="B1" zoomScale="90" zoomScaleNormal="90" zoomScalePageLayoutView="90" workbookViewId="0">
      <selection activeCell="B4" sqref="B4"/>
    </sheetView>
  </sheetViews>
  <sheetFormatPr defaultColWidth="10.85546875" defaultRowHeight="14.25"/>
  <cols>
    <col min="1" max="1" width="10.85546875" style="7"/>
    <col min="2" max="2" width="6.85546875" style="7" customWidth="1"/>
    <col min="3" max="3" width="10.85546875" style="7"/>
    <col min="4" max="4" width="11.7109375" style="7" customWidth="1"/>
    <col min="5" max="5" width="13" style="7" customWidth="1"/>
    <col min="6" max="6" width="11" style="7" customWidth="1"/>
    <col min="7" max="7" width="14.140625" style="7" customWidth="1"/>
    <col min="8" max="8" width="5.85546875" style="7" customWidth="1"/>
    <col min="9" max="9" width="14.28515625" style="7" customWidth="1"/>
    <col min="10" max="11" width="14.42578125" style="7" customWidth="1"/>
    <col min="12" max="12" width="17" style="7" customWidth="1"/>
    <col min="13" max="13" width="6.28515625" style="7" customWidth="1"/>
    <col min="14" max="14" width="4.85546875" style="7" customWidth="1"/>
    <col min="15" max="15" width="17.140625" style="7" customWidth="1"/>
    <col min="16" max="16" width="14.85546875" style="7" customWidth="1"/>
    <col min="17" max="17" width="17.140625" style="7" customWidth="1"/>
    <col min="18" max="18" width="4.85546875" style="7" customWidth="1"/>
    <col min="19" max="16384" width="10.85546875" style="7"/>
  </cols>
  <sheetData>
    <row r="3" spans="2:19" ht="66" customHeight="1">
      <c r="B3" s="47" t="s">
        <v>128</v>
      </c>
      <c r="C3" s="48"/>
      <c r="D3" s="49"/>
      <c r="E3" s="49"/>
      <c r="F3" s="49"/>
      <c r="G3" s="49"/>
      <c r="H3" s="49"/>
      <c r="I3" s="49"/>
      <c r="J3" s="49"/>
      <c r="K3" s="49"/>
      <c r="L3" s="49"/>
      <c r="M3" s="49"/>
      <c r="N3" s="49"/>
      <c r="O3" s="49"/>
      <c r="P3" s="49"/>
      <c r="Q3" s="49"/>
      <c r="R3" s="49"/>
      <c r="S3" s="49"/>
    </row>
    <row r="4" spans="2:19" ht="36.950000000000003" customHeight="1"/>
    <row r="5" spans="2:19" ht="17.100000000000001" customHeight="1">
      <c r="D5" s="147" t="s">
        <v>111</v>
      </c>
      <c r="E5" s="148"/>
      <c r="F5" s="148"/>
      <c r="G5" s="149"/>
      <c r="I5" s="155" t="s">
        <v>112</v>
      </c>
      <c r="J5" s="156"/>
      <c r="K5" s="157"/>
      <c r="O5" s="50" t="s">
        <v>105</v>
      </c>
      <c r="P5" s="46">
        <v>110</v>
      </c>
      <c r="Q5" s="46">
        <v>190</v>
      </c>
      <c r="R5" s="46">
        <v>73</v>
      </c>
    </row>
    <row r="6" spans="2:19" ht="17.100000000000001" customHeight="1">
      <c r="D6" s="150"/>
      <c r="E6" s="135"/>
      <c r="F6" s="135"/>
      <c r="G6" s="151"/>
      <c r="I6" s="158"/>
      <c r="J6" s="126"/>
      <c r="K6" s="159"/>
      <c r="O6" s="45" t="s">
        <v>106</v>
      </c>
      <c r="P6" s="10">
        <v>31</v>
      </c>
      <c r="Q6" s="10">
        <v>116</v>
      </c>
      <c r="R6" s="10">
        <v>187</v>
      </c>
    </row>
    <row r="7" spans="2:19" ht="15" customHeight="1">
      <c r="D7" s="150"/>
      <c r="E7" s="135"/>
      <c r="F7" s="135"/>
      <c r="G7" s="151"/>
      <c r="I7" s="158"/>
      <c r="J7" s="126"/>
      <c r="K7" s="159"/>
      <c r="O7" s="51" t="s">
        <v>107</v>
      </c>
      <c r="P7" s="10">
        <v>250</v>
      </c>
      <c r="Q7" s="10">
        <v>164</v>
      </c>
      <c r="R7" s="10">
        <v>26</v>
      </c>
    </row>
    <row r="8" spans="2:19" ht="15" customHeight="1">
      <c r="D8" s="150"/>
      <c r="E8" s="135"/>
      <c r="F8" s="135"/>
      <c r="G8" s="151"/>
      <c r="I8" s="158"/>
      <c r="J8" s="126"/>
      <c r="K8" s="159"/>
      <c r="O8" s="52" t="s">
        <v>108</v>
      </c>
      <c r="P8" s="10">
        <v>204</v>
      </c>
      <c r="Q8" s="10">
        <v>204</v>
      </c>
      <c r="R8" s="10">
        <v>204</v>
      </c>
    </row>
    <row r="9" spans="2:19" ht="15" customHeight="1">
      <c r="D9" s="150"/>
      <c r="E9" s="135"/>
      <c r="F9" s="135"/>
      <c r="G9" s="151"/>
      <c r="I9" s="158"/>
      <c r="J9" s="126"/>
      <c r="K9" s="159"/>
      <c r="O9" s="53" t="s">
        <v>110</v>
      </c>
      <c r="P9" s="10">
        <v>127</v>
      </c>
      <c r="Q9" s="10">
        <v>128</v>
      </c>
      <c r="R9" s="10">
        <v>128</v>
      </c>
    </row>
    <row r="10" spans="2:19" ht="15" customHeight="1">
      <c r="D10" s="150"/>
      <c r="E10" s="135"/>
      <c r="F10" s="135"/>
      <c r="G10" s="151"/>
      <c r="I10" s="158"/>
      <c r="J10" s="126"/>
      <c r="K10" s="159"/>
      <c r="O10" s="18" t="s">
        <v>109</v>
      </c>
      <c r="P10" s="10">
        <v>34</v>
      </c>
      <c r="Q10" s="10">
        <v>33</v>
      </c>
      <c r="R10" s="10">
        <v>33</v>
      </c>
    </row>
    <row r="11" spans="2:19" ht="15" customHeight="1">
      <c r="D11" s="150"/>
      <c r="E11" s="135"/>
      <c r="F11" s="135"/>
      <c r="G11" s="151"/>
      <c r="I11" s="158"/>
      <c r="J11" s="126"/>
      <c r="K11" s="159"/>
    </row>
    <row r="12" spans="2:19" ht="15" customHeight="1">
      <c r="D12" s="150"/>
      <c r="E12" s="135"/>
      <c r="F12" s="135"/>
      <c r="G12" s="151"/>
      <c r="I12" s="158"/>
      <c r="J12" s="126"/>
      <c r="K12" s="159"/>
    </row>
    <row r="13" spans="2:19" ht="15" customHeight="1">
      <c r="D13" s="150"/>
      <c r="E13" s="135"/>
      <c r="F13" s="135"/>
      <c r="G13" s="151"/>
      <c r="I13" s="158"/>
      <c r="J13" s="126"/>
      <c r="K13" s="159"/>
    </row>
    <row r="14" spans="2:19" ht="15" customHeight="1">
      <c r="D14" s="150"/>
      <c r="E14" s="135"/>
      <c r="F14" s="135"/>
      <c r="G14" s="151"/>
      <c r="I14" s="158"/>
      <c r="J14" s="126"/>
      <c r="K14" s="159"/>
    </row>
    <row r="15" spans="2:19" ht="15" customHeight="1">
      <c r="D15" s="150"/>
      <c r="E15" s="135"/>
      <c r="F15" s="135"/>
      <c r="G15" s="151"/>
      <c r="I15" s="158"/>
      <c r="J15" s="126"/>
      <c r="K15" s="159"/>
    </row>
    <row r="16" spans="2:19" ht="15" customHeight="1">
      <c r="D16" s="150"/>
      <c r="E16" s="135"/>
      <c r="F16" s="135"/>
      <c r="G16" s="151"/>
      <c r="I16" s="158"/>
      <c r="J16" s="126"/>
      <c r="K16" s="159"/>
    </row>
    <row r="17" spans="3:18" ht="15" customHeight="1">
      <c r="D17" s="152"/>
      <c r="E17" s="153"/>
      <c r="F17" s="153"/>
      <c r="G17" s="154"/>
      <c r="I17" s="160"/>
      <c r="J17" s="161"/>
      <c r="K17" s="162"/>
    </row>
    <row r="20" spans="3:18" s="11" customFormat="1" ht="30">
      <c r="C20" s="30" t="s">
        <v>64</v>
      </c>
      <c r="D20" s="31"/>
      <c r="E20" s="31"/>
      <c r="F20" s="31"/>
      <c r="G20" s="31"/>
      <c r="H20" s="31"/>
      <c r="I20" s="31"/>
      <c r="J20" s="31"/>
      <c r="K20" s="31"/>
      <c r="L20" s="31"/>
      <c r="M20" s="7"/>
      <c r="N20" s="31" t="s">
        <v>99</v>
      </c>
      <c r="O20" s="31"/>
      <c r="P20" s="31"/>
      <c r="Q20" s="31"/>
      <c r="R20" s="31"/>
    </row>
    <row r="21" spans="3:18" ht="33.950000000000003" customHeight="1">
      <c r="C21" s="12" t="s">
        <v>8</v>
      </c>
      <c r="D21" s="54"/>
      <c r="E21" s="55"/>
      <c r="F21" s="55"/>
      <c r="G21" s="54"/>
      <c r="H21" s="54"/>
      <c r="I21" s="12" t="s">
        <v>65</v>
      </c>
      <c r="J21" s="54"/>
      <c r="K21" s="54"/>
      <c r="L21" s="54"/>
    </row>
    <row r="22" spans="3:18" ht="39.950000000000003" customHeight="1">
      <c r="C22" s="115" t="s">
        <v>125</v>
      </c>
      <c r="D22" s="116"/>
      <c r="E22" s="116"/>
      <c r="F22" s="116"/>
      <c r="G22" s="117"/>
      <c r="I22" s="115" t="s">
        <v>75</v>
      </c>
      <c r="J22" s="116"/>
      <c r="K22" s="116"/>
      <c r="L22" s="116"/>
      <c r="N22" s="19"/>
      <c r="O22" s="140" t="s">
        <v>116</v>
      </c>
      <c r="P22" s="140"/>
      <c r="Q22" s="140"/>
      <c r="R22" s="20"/>
    </row>
    <row r="23" spans="3:18" ht="36" customHeight="1">
      <c r="C23" s="13" t="s">
        <v>104</v>
      </c>
      <c r="D23" s="56"/>
      <c r="E23" s="56"/>
      <c r="F23" s="56"/>
      <c r="G23" s="56"/>
      <c r="H23" s="54"/>
      <c r="I23" s="12" t="s">
        <v>34</v>
      </c>
      <c r="J23" s="54"/>
      <c r="K23" s="54"/>
      <c r="L23" s="54"/>
      <c r="N23" s="21"/>
      <c r="O23" s="143" t="s">
        <v>120</v>
      </c>
      <c r="P23" s="143"/>
      <c r="Q23" s="143"/>
      <c r="R23" s="22"/>
    </row>
    <row r="24" spans="3:18" ht="39.950000000000003" customHeight="1">
      <c r="C24" s="115" t="s">
        <v>126</v>
      </c>
      <c r="D24" s="116"/>
      <c r="E24" s="116"/>
      <c r="F24" s="116"/>
      <c r="G24" s="117"/>
      <c r="I24" s="115" t="s">
        <v>69</v>
      </c>
      <c r="J24" s="116"/>
      <c r="K24" s="116"/>
      <c r="L24" s="116"/>
      <c r="N24" s="21"/>
      <c r="O24" s="142" t="str">
        <f>ROUND((O27+O30)/('Marketing Formulas'!F17),0)&amp;"X"</f>
        <v>87X</v>
      </c>
      <c r="P24" s="142"/>
      <c r="Q24" s="142"/>
      <c r="R24" s="22"/>
    </row>
    <row r="25" spans="3:18" s="8" customFormat="1" ht="33.950000000000003" customHeight="1">
      <c r="C25" s="13" t="s">
        <v>61</v>
      </c>
      <c r="D25" s="57"/>
      <c r="E25" s="57"/>
      <c r="F25" s="57"/>
      <c r="G25" s="57"/>
      <c r="H25" s="58"/>
      <c r="I25" s="12" t="s">
        <v>12</v>
      </c>
      <c r="J25" s="58"/>
      <c r="K25" s="58"/>
      <c r="L25" s="58"/>
      <c r="N25" s="21"/>
      <c r="O25" s="69"/>
      <c r="P25" s="69"/>
      <c r="Q25" s="69"/>
      <c r="R25" s="22"/>
    </row>
    <row r="26" spans="3:18" ht="39.950000000000003" customHeight="1">
      <c r="C26" s="115" t="s">
        <v>68</v>
      </c>
      <c r="D26" s="116"/>
      <c r="E26" s="116"/>
      <c r="F26" s="116"/>
      <c r="G26" s="117"/>
      <c r="I26" s="115" t="s">
        <v>66</v>
      </c>
      <c r="J26" s="116"/>
      <c r="K26" s="116"/>
      <c r="L26" s="116"/>
      <c r="N26" s="21"/>
      <c r="O26" s="143" t="s">
        <v>121</v>
      </c>
      <c r="P26" s="143"/>
      <c r="Q26" s="143"/>
      <c r="R26" s="22"/>
    </row>
    <row r="27" spans="3:18" ht="42.95" customHeight="1">
      <c r="D27" s="9"/>
      <c r="N27" s="21"/>
      <c r="O27" s="141">
        <f>'Marketing Formulas'!F6*'Marketing Formulas'!F16*'Marketing Formulas'!F8*'Marketing Formulas'!F9*'Marketing Formulas'!F10*'Marketing Formulas'!F5</f>
        <v>2400000</v>
      </c>
      <c r="P27" s="141"/>
      <c r="Q27" s="141"/>
      <c r="R27" s="22"/>
    </row>
    <row r="28" spans="3:18" ht="41.1" customHeight="1">
      <c r="D28" s="9"/>
      <c r="N28" s="21"/>
      <c r="O28" s="69"/>
      <c r="P28" s="69"/>
      <c r="Q28" s="69"/>
      <c r="R28" s="22"/>
    </row>
    <row r="29" spans="3:18" ht="17.100000000000001" customHeight="1">
      <c r="N29" s="21"/>
      <c r="O29" s="143" t="s">
        <v>124</v>
      </c>
      <c r="P29" s="143"/>
      <c r="Q29" s="143"/>
      <c r="R29" s="22"/>
    </row>
    <row r="30" spans="3:18" ht="24.95" customHeight="1">
      <c r="C30" s="31" t="s">
        <v>74</v>
      </c>
      <c r="D30" s="32"/>
      <c r="E30" s="32"/>
      <c r="F30" s="32"/>
      <c r="G30" s="32"/>
      <c r="H30" s="31"/>
      <c r="I30" s="31"/>
      <c r="J30" s="32"/>
      <c r="K30" s="32"/>
      <c r="L30" s="32"/>
      <c r="N30" s="21"/>
      <c r="O30" s="141">
        <f>'Marketing Formulas'!F7*'Marketing Formulas'!F13*'Marketing Formulas'!F14*'Marketing Formulas'!F15</f>
        <v>660000</v>
      </c>
      <c r="P30" s="141"/>
      <c r="Q30" s="141"/>
      <c r="R30" s="22"/>
    </row>
    <row r="31" spans="3:18" ht="20.100000000000001" customHeight="1">
      <c r="N31" s="21"/>
      <c r="O31" s="141"/>
      <c r="P31" s="141"/>
      <c r="Q31" s="141"/>
      <c r="R31" s="22"/>
    </row>
    <row r="32" spans="3:18" ht="30" customHeight="1">
      <c r="C32" s="29" t="s">
        <v>70</v>
      </c>
      <c r="D32" s="15"/>
      <c r="E32" s="15"/>
      <c r="F32" s="16"/>
      <c r="G32" s="26"/>
      <c r="H32" s="145" t="s">
        <v>98</v>
      </c>
      <c r="I32" s="145"/>
      <c r="J32" s="145"/>
      <c r="K32" s="145"/>
      <c r="L32" s="145"/>
      <c r="N32" s="21"/>
      <c r="O32" s="121"/>
      <c r="P32" s="121"/>
      <c r="Q32" s="121"/>
      <c r="R32" s="22"/>
    </row>
    <row r="33" spans="3:18" ht="12" customHeight="1">
      <c r="C33" s="27"/>
      <c r="D33" s="28"/>
      <c r="E33" s="28"/>
      <c r="F33" s="28"/>
      <c r="G33" s="28"/>
      <c r="H33" s="145"/>
      <c r="I33" s="145"/>
      <c r="J33" s="145"/>
      <c r="K33" s="145"/>
      <c r="L33" s="145"/>
      <c r="N33" s="21"/>
      <c r="O33" s="24"/>
      <c r="P33" s="24"/>
      <c r="Q33" s="24"/>
      <c r="R33" s="22"/>
    </row>
    <row r="34" spans="3:18" ht="30" customHeight="1">
      <c r="C34" s="29" t="s">
        <v>71</v>
      </c>
      <c r="D34" s="15"/>
      <c r="E34" s="15"/>
      <c r="F34" s="16"/>
      <c r="G34" s="25"/>
      <c r="H34" s="145"/>
      <c r="I34" s="145"/>
      <c r="J34" s="145"/>
      <c r="K34" s="145"/>
      <c r="L34" s="145"/>
      <c r="N34" s="21"/>
      <c r="O34" s="143" t="s">
        <v>101</v>
      </c>
      <c r="P34" s="143"/>
      <c r="Q34" s="143"/>
      <c r="R34" s="22"/>
    </row>
    <row r="35" spans="3:18" ht="12" customHeight="1">
      <c r="C35" s="27"/>
      <c r="D35" s="28"/>
      <c r="E35" s="28"/>
      <c r="F35" s="28"/>
      <c r="G35" s="28"/>
      <c r="H35" s="145"/>
      <c r="I35" s="145"/>
      <c r="J35" s="145"/>
      <c r="K35" s="145"/>
      <c r="L35" s="145"/>
      <c r="N35" s="21"/>
      <c r="O35" s="142">
        <f>'Marketing Formulas'!F6*'Marketing Formulas'!F16</f>
        <v>3200</v>
      </c>
      <c r="P35" s="142"/>
      <c r="Q35" s="142"/>
      <c r="R35" s="22"/>
    </row>
    <row r="36" spans="3:18" ht="30" customHeight="1">
      <c r="C36" s="29" t="s">
        <v>72</v>
      </c>
      <c r="D36" s="15"/>
      <c r="E36" s="15"/>
      <c r="F36" s="16"/>
      <c r="G36" s="26"/>
      <c r="H36" s="145"/>
      <c r="I36" s="145"/>
      <c r="J36" s="145"/>
      <c r="K36" s="145"/>
      <c r="L36" s="145"/>
      <c r="N36" s="21"/>
      <c r="O36" s="142"/>
      <c r="P36" s="142"/>
      <c r="Q36" s="142"/>
      <c r="R36" s="22"/>
    </row>
    <row r="37" spans="3:18" ht="12" customHeight="1">
      <c r="C37" s="27"/>
      <c r="D37" s="28"/>
      <c r="E37" s="28"/>
      <c r="F37" s="28"/>
      <c r="G37" s="28"/>
      <c r="H37" s="145"/>
      <c r="I37" s="145"/>
      <c r="J37" s="145"/>
      <c r="K37" s="145"/>
      <c r="L37" s="145"/>
      <c r="N37" s="21"/>
      <c r="O37" s="67"/>
      <c r="P37" s="68"/>
      <c r="Q37" s="68"/>
      <c r="R37" s="23"/>
    </row>
    <row r="38" spans="3:18" ht="30" customHeight="1">
      <c r="C38" s="29" t="s">
        <v>73</v>
      </c>
      <c r="D38" s="15"/>
      <c r="E38" s="15"/>
      <c r="F38" s="16"/>
      <c r="G38" s="26"/>
      <c r="H38" s="145"/>
      <c r="I38" s="145"/>
      <c r="J38" s="145"/>
      <c r="K38" s="145"/>
      <c r="L38" s="145"/>
      <c r="N38" s="21"/>
      <c r="O38" s="24"/>
      <c r="P38" s="24"/>
      <c r="Q38" s="24"/>
      <c r="R38" s="22"/>
    </row>
  </sheetData>
  <mergeCells count="19">
    <mergeCell ref="O22:Q22"/>
    <mergeCell ref="O24:Q24"/>
    <mergeCell ref="O27:Q27"/>
    <mergeCell ref="O30:Q31"/>
    <mergeCell ref="O23:Q23"/>
    <mergeCell ref="O26:Q26"/>
    <mergeCell ref="C26:G26"/>
    <mergeCell ref="I26:L26"/>
    <mergeCell ref="O35:Q36"/>
    <mergeCell ref="H32:L38"/>
    <mergeCell ref="O29:Q29"/>
    <mergeCell ref="O34:Q34"/>
    <mergeCell ref="O32:Q32"/>
    <mergeCell ref="D5:G17"/>
    <mergeCell ref="I5:K17"/>
    <mergeCell ref="C22:G22"/>
    <mergeCell ref="I22:L22"/>
    <mergeCell ref="C24:G24"/>
    <mergeCell ref="I24:L24"/>
  </mergeCells>
  <pageMargins left="0.7" right="0.7" top="0.75" bottom="0.75" header="0.3" footer="0.3"/>
  <pageSetup orientation="portrait" horizontalDpi="0" verticalDpi="0"/>
  <ignoredErrors>
    <ignoredError sqref="I24 I26 C26 I22 C22 C2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6"/>
  <sheetViews>
    <sheetView workbookViewId="0">
      <selection activeCell="D17" sqref="D17"/>
    </sheetView>
  </sheetViews>
  <sheetFormatPr defaultColWidth="8.85546875" defaultRowHeight="15"/>
  <cols>
    <col min="2" max="2" width="5.28515625" customWidth="1"/>
    <col min="3" max="3" width="53.140625" customWidth="1"/>
    <col min="4" max="5" width="22.85546875" customWidth="1"/>
  </cols>
  <sheetData>
    <row r="4" spans="2:5">
      <c r="B4" s="2" t="s">
        <v>0</v>
      </c>
      <c r="C4" s="2" t="s">
        <v>1</v>
      </c>
      <c r="D4" s="2" t="s">
        <v>2</v>
      </c>
      <c r="E4" s="2" t="s">
        <v>3</v>
      </c>
    </row>
    <row r="5" spans="2:5">
      <c r="B5" t="s">
        <v>4</v>
      </c>
      <c r="C5" t="s">
        <v>8</v>
      </c>
      <c r="D5" t="s">
        <v>10</v>
      </c>
      <c r="E5" s="3">
        <v>20000</v>
      </c>
    </row>
    <row r="6" spans="2:5">
      <c r="B6" t="s">
        <v>5</v>
      </c>
      <c r="C6" t="s">
        <v>9</v>
      </c>
      <c r="D6" t="s">
        <v>10</v>
      </c>
      <c r="E6">
        <v>20</v>
      </c>
    </row>
    <row r="7" spans="2:5">
      <c r="B7" t="s">
        <v>14</v>
      </c>
      <c r="C7" t="s">
        <v>13</v>
      </c>
      <c r="D7" t="s">
        <v>10</v>
      </c>
      <c r="E7" s="4">
        <v>0.5</v>
      </c>
    </row>
    <row r="8" spans="2:5">
      <c r="B8" t="s">
        <v>6</v>
      </c>
      <c r="C8" t="s">
        <v>15</v>
      </c>
      <c r="D8" t="s">
        <v>10</v>
      </c>
      <c r="E8">
        <v>2.5</v>
      </c>
    </row>
    <row r="9" spans="2:5">
      <c r="B9" t="s">
        <v>11</v>
      </c>
      <c r="C9" t="s">
        <v>16</v>
      </c>
      <c r="D9" t="s">
        <v>10</v>
      </c>
      <c r="E9">
        <v>2</v>
      </c>
    </row>
    <row r="10" spans="2:5">
      <c r="B10" t="s">
        <v>7</v>
      </c>
      <c r="C10" t="s">
        <v>17</v>
      </c>
      <c r="D10" t="s">
        <v>10</v>
      </c>
      <c r="E10">
        <v>1</v>
      </c>
    </row>
    <row r="12" spans="2:5">
      <c r="B12" t="s">
        <v>18</v>
      </c>
      <c r="C12" t="s">
        <v>19</v>
      </c>
      <c r="D12" s="1" t="s">
        <v>20</v>
      </c>
      <c r="E12">
        <f>(E9/E8) * E10*E6</f>
        <v>16</v>
      </c>
    </row>
    <row r="13" spans="2:5">
      <c r="B13" t="s">
        <v>21</v>
      </c>
      <c r="C13" t="s">
        <v>22</v>
      </c>
      <c r="D13" s="1" t="s">
        <v>23</v>
      </c>
      <c r="E13">
        <f>E12*50</f>
        <v>800</v>
      </c>
    </row>
    <row r="14" spans="2:5">
      <c r="B14" t="s">
        <v>24</v>
      </c>
      <c r="C14" t="s">
        <v>25</v>
      </c>
      <c r="D14" s="1" t="s">
        <v>26</v>
      </c>
      <c r="E14" s="3">
        <f>E13*E7*E5</f>
        <v>8000000</v>
      </c>
    </row>
    <row r="15" spans="2:5">
      <c r="B15" t="s">
        <v>27</v>
      </c>
      <c r="C15" t="s">
        <v>28</v>
      </c>
      <c r="D15" s="1" t="s">
        <v>29</v>
      </c>
      <c r="E15" s="3">
        <f>E14*E6</f>
        <v>160000000</v>
      </c>
    </row>
    <row r="16" spans="2:5">
      <c r="B16" t="s">
        <v>30</v>
      </c>
      <c r="C16" t="s">
        <v>31</v>
      </c>
      <c r="D16" s="1" t="s">
        <v>32</v>
      </c>
      <c r="E16">
        <f>E15/60000</f>
        <v>2666.6666666666665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Mineral Tree</vt:lpstr>
      <vt:lpstr>Marketing Formulas</vt:lpstr>
      <vt:lpstr>Sales Formulas</vt:lpstr>
      <vt:lpstr>Sales Formatting &amp; Text</vt:lpstr>
      <vt:lpstr>Marketing Formatting &amp; Text</vt:lpstr>
      <vt:lpstr>Old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Rudd, Christopher</dc:creator>
  <cp:lastModifiedBy>Rudd, Christopher</cp:lastModifiedBy>
  <dcterms:created xsi:type="dcterms:W3CDTF">2017-04-19T14:48:53Z</dcterms:created>
  <dcterms:modified xsi:type="dcterms:W3CDTF">2017-09-07T20:21:44Z</dcterms:modified>
</cp:coreProperties>
</file>